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Cloud\RESULTADO REUNIONES DIC\CIENCIAS ECONOMICAS\"/>
    </mc:Choice>
  </mc:AlternateContent>
  <bookViews>
    <workbookView xWindow="0" yWindow="0" windowWidth="19200" windowHeight="8445" tabRatio="930" activeTab="1"/>
  </bookViews>
  <sheets>
    <sheet name="MENU" sheetId="23" r:id="rId1"/>
    <sheet name="PRESUPUESTO" sheetId="49" r:id="rId2"/>
    <sheet name="PTO - PDI" sheetId="68" r:id="rId3"/>
    <sheet name="PTO + EC" sheetId="69" r:id="rId4"/>
    <sheet name="ALUMNOS" sheetId="2" r:id="rId5"/>
    <sheet name="MAT." sheetId="3" r:id="rId6"/>
    <sheet name="NOMINA" sheetId="4" r:id="rId7"/>
    <sheet name="BASE" sheetId="63" r:id="rId8"/>
    <sheet name="Base 3" sheetId="43" state="hidden" r:id="rId9"/>
    <sheet name="HONORARIOS" sheetId="7" r:id="rId10"/>
    <sheet name="CONVENIOS" sheetId="45" r:id="rId11"/>
    <sheet name="ASESOR.Y.CONSULT." sheetId="53" r:id="rId12"/>
    <sheet name="PROY INVEST." sheetId="54" r:id="rId13"/>
    <sheet name="P.PROY.SOCIAL" sheetId="55" r:id="rId14"/>
    <sheet name="GEST.REC.HUM." sheetId="56" r:id="rId15"/>
    <sheet name="OTRAS ACTIV." sheetId="57" r:id="rId16"/>
    <sheet name="ADICIONALES PD" sheetId="67" r:id="rId17"/>
    <sheet name="SALIDAS" sheetId="61" r:id="rId18"/>
    <sheet name="BIBLIOTECA" sheetId="25" r:id="rId19"/>
    <sheet name="AFILIACIONES" sheetId="31" r:id="rId20"/>
    <sheet name="IMPRESOS.PUBLIC" sheetId="30" r:id="rId21"/>
    <sheet name="MANTEN.EQUIP." sheetId="58" r:id="rId22"/>
    <sheet name="INVER.EQUIPO.COMP" sheetId="35" r:id="rId23"/>
    <sheet name="INVER.OTROS.EQUIPOS" sheetId="36" r:id="rId24"/>
    <sheet name="INVER.MUEBLES" sheetId="37" r:id="rId25"/>
    <sheet name="ADECUAC.LOCATIVAS" sheetId="38" r:id="rId26"/>
    <sheet name="Hoja2" sheetId="65" state="hidden" r:id="rId27"/>
    <sheet name="EDUC.CONT." sheetId="52" r:id="rId28"/>
    <sheet name="PPTO 2017" sheetId="70" r:id="rId29"/>
    <sheet name="EJEC" sheetId="71" r:id="rId30"/>
  </sheets>
  <externalReferences>
    <externalReference r:id="rId31"/>
  </externalReferences>
  <definedNames>
    <definedName name="_xlnm._FilterDatabase" localSheetId="6" hidden="1">NOMINA!$A$22:$CO$61</definedName>
    <definedName name="_xlnm.Print_Area" localSheetId="25">ADECUAC.LOCATIVAS!$A$2:$Q$32</definedName>
    <definedName name="_xlnm.Print_Area" localSheetId="16">'ADICIONALES PD'!$A$2:$N$25</definedName>
    <definedName name="_xlnm.Print_Area" localSheetId="19">AFILIACIONES!$A$2:$Q$30</definedName>
    <definedName name="_xlnm.Print_Area" localSheetId="4">ALUMNOS!$B$1:$V$37</definedName>
    <definedName name="_xlnm.Print_Area" localSheetId="11">ASESOR.Y.CONSULT.!$A$2:$N$31</definedName>
    <definedName name="_xlnm.Print_Area" localSheetId="18">BIBLIOTECA!$A$2:$R$43</definedName>
    <definedName name="_xlnm.Print_Area" localSheetId="10">CONVENIOS!$A$1:$L$63</definedName>
    <definedName name="_xlnm.Print_Area" localSheetId="27">EDUC.CONT.!$A$1:$N$32</definedName>
    <definedName name="_xlnm.Print_Area" localSheetId="14">GEST.REC.HUM.!$A$2:$M$41</definedName>
    <definedName name="_xlnm.Print_Area" localSheetId="9">HONORARIOS!$B$1:$R$132</definedName>
    <definedName name="_xlnm.Print_Area" localSheetId="20">IMPRESOS.PUBLIC!$A$4:$P$37</definedName>
    <definedName name="_xlnm.Print_Area" localSheetId="22">INVER.EQUIPO.COMP!$A$1:$Q$40</definedName>
    <definedName name="_xlnm.Print_Area" localSheetId="24">INVER.MUEBLES!$A$2:$Q$39</definedName>
    <definedName name="_xlnm.Print_Area" localSheetId="23">INVER.OTROS.EQUIPOS!$A$2:$Q$39</definedName>
    <definedName name="_xlnm.Print_Area" localSheetId="21">MANTEN.EQUIP.!$A$2:$P$30</definedName>
    <definedName name="_xlnm.Print_Area" localSheetId="5">MAT.!$B$1:$Q$59</definedName>
    <definedName name="_xlnm.Print_Area" localSheetId="0">MENU!$B$1:$C$35</definedName>
    <definedName name="_xlnm.Print_Area" localSheetId="6">NOMINA!$B$1:$AS$127</definedName>
    <definedName name="_xlnm.Print_Area" localSheetId="15">'OTRAS ACTIV.'!$A$2:$N$39</definedName>
    <definedName name="_xlnm.Print_Area" localSheetId="13">P.PROY.SOCIAL!$A$12:$B$25</definedName>
    <definedName name="_xlnm.Print_Area" localSheetId="1">PRESUPUESTO!$A$2:$I$338</definedName>
    <definedName name="_xlnm.Print_Area" localSheetId="12">'PROY INVEST.'!$A$2:$N$31</definedName>
    <definedName name="_xlnm.Print_Area" localSheetId="2">'PTO - PDI'!$B$6:$F$65</definedName>
    <definedName name="catego2" localSheetId="16">#REF!</definedName>
    <definedName name="catego2">#REF!</definedName>
    <definedName name="CodCategoria">NOMINA!$D$22:$D$89</definedName>
    <definedName name="CodContrato">NOMINA!$G$22:$G$89</definedName>
    <definedName name="codigo" localSheetId="16">#REF!</definedName>
    <definedName name="codigo">#REF!</definedName>
    <definedName name="DATA1" localSheetId="16">#REF!</definedName>
    <definedName name="DATA1">#REF!</definedName>
    <definedName name="DATA2" localSheetId="16">#REF!</definedName>
    <definedName name="DATA2">#REF!</definedName>
    <definedName name="DATA3" localSheetId="16">#REF!</definedName>
    <definedName name="DATA3">#REF!</definedName>
    <definedName name="DATA4" localSheetId="16">#REF!</definedName>
    <definedName name="DATA4">#REF!</definedName>
    <definedName name="DATA5" localSheetId="16">#REF!</definedName>
    <definedName name="DATA5">#REF!</definedName>
    <definedName name="NivelEstudio">NOMINA!$C$22:$C$88</definedName>
    <definedName name="NOMINATABLA">NOMINA!$A$22:$AO$98</definedName>
    <definedName name="OTROS_GASTOS_NOMINA_PDI">PRESUPUESTO!$G$35,PRESUPUESTO!$G$36,PRESUPUESTO!$G$37,PRESUPUESTO!$G$43,PRESUPUESTO!$G$46,PRESUPUESTO!$G$47,PRESUPUESTO!$G$58,PRESUPUESTO!$G$59,PRESUPUESTO!$G$60</definedName>
    <definedName name="OTROS_GASTOS_PDI">PRESUPUESTO!$G$85,PRESUPUESTO!$G$86,PRESUPUESTO!$G$87,PRESUPUESTO!$G$88,PRESUPUESTO!$G$92,PRESUPUESTO!$G$104,PRESUPUESTO!$G$105,PRESUPUESTO!$G$106,PRESUPUESTO!$G$107,PRESUPUESTO!$G$109,PRESUPUESTO!$G$111,PRESUPUESTO!$G$112,PRESUPUESTO!$G$115,PRESUPUESTO!$G$116,PRESUPUESTO!$G$120,PRESUPUESTO!$G$122,PRESUPUESTO!$G$148,PRESUPUESTO!$G$149,PRESUPUESTO!$G$150,PRESUPUESTO!$G$151,PRESUPUESTO!$G$152,PRESUPUESTO!$G$153,PRESUPUESTO!$G$154,PRESUPUESTO!$G$155,PRESUPUESTO!$G$159,PRESUPUESTO!$G$162,PRESUPUESTO!$G$163,PRESUPUESTO!$G$171,PRESUPUESTO!$G$172,PRESUPUESTO!$G$327,PRESUPUESTO!$G$93,PRESUPUESTO!$G$321</definedName>
    <definedName name="razon" localSheetId="16">#REF!</definedName>
    <definedName name="razon">#REF!</definedName>
    <definedName name="sueldo" localSheetId="16">#REF!</definedName>
    <definedName name="sueldo">#REF!</definedName>
    <definedName name="TEST0" localSheetId="16">#REF!</definedName>
    <definedName name="TEST0">#REF!</definedName>
    <definedName name="TESTHKEY" localSheetId="16">#REF!</definedName>
    <definedName name="TESTHKEY">#REF!</definedName>
    <definedName name="TESTKEYS" localSheetId="16">#REF!</definedName>
    <definedName name="TESTKEYS">#REF!</definedName>
    <definedName name="TESTVKEY" localSheetId="16">#REF!</definedName>
    <definedName name="TESTVKEY">#REF!</definedName>
    <definedName name="tipo" localSheetId="16">#REF!</definedName>
    <definedName name="tipo">#REF!</definedName>
    <definedName name="TipoOD">NOMINA!#REF!</definedName>
    <definedName name="_xlnm.Print_Titles" localSheetId="9">HONORARIOS!$25:$25</definedName>
    <definedName name="_xlnm.Print_Titles" localSheetId="6">NOMINA!#REF!</definedName>
    <definedName name="_xlnm.Print_Titles" localSheetId="1">PRESUPUESTO!$4:$5</definedName>
  </definedNames>
  <calcPr calcId="152511"/>
</workbook>
</file>

<file path=xl/calcChain.xml><?xml version="1.0" encoding="utf-8"?>
<calcChain xmlns="http://schemas.openxmlformats.org/spreadsheetml/2006/main">
  <c r="G328" i="49" l="1"/>
  <c r="G326" i="49"/>
  <c r="G325" i="49"/>
  <c r="G324" i="49"/>
  <c r="G323" i="49"/>
  <c r="G322" i="49"/>
  <c r="G321" i="49"/>
  <c r="G320" i="49"/>
  <c r="G319" i="49"/>
  <c r="G318" i="49"/>
  <c r="G317" i="49"/>
  <c r="G316" i="49"/>
  <c r="G315" i="49"/>
  <c r="G314" i="49"/>
  <c r="G313" i="49"/>
  <c r="G312" i="49"/>
  <c r="G311" i="49"/>
  <c r="G310" i="49"/>
  <c r="G309" i="49"/>
  <c r="G308" i="49"/>
  <c r="G304" i="49"/>
  <c r="G303" i="49"/>
  <c r="G302" i="49"/>
  <c r="G301" i="49"/>
  <c r="G300" i="49"/>
  <c r="G299" i="49"/>
  <c r="G297" i="49"/>
  <c r="G295" i="49"/>
  <c r="G294" i="49"/>
  <c r="G293" i="49"/>
  <c r="G292" i="49"/>
  <c r="G290" i="49"/>
  <c r="G289" i="49"/>
  <c r="G288" i="49"/>
  <c r="G287" i="49"/>
  <c r="G286" i="49"/>
  <c r="G285" i="49"/>
  <c r="G284" i="49"/>
  <c r="G282" i="49"/>
  <c r="G281" i="49"/>
  <c r="G279" i="49"/>
  <c r="G276" i="49"/>
  <c r="G275" i="49"/>
  <c r="G274" i="49"/>
  <c r="G273" i="49"/>
  <c r="G272" i="49"/>
  <c r="G271" i="49"/>
  <c r="G270" i="49"/>
  <c r="G269" i="49"/>
  <c r="G267" i="49"/>
  <c r="G266" i="49"/>
  <c r="G265" i="49"/>
  <c r="G264" i="49"/>
  <c r="G263" i="49"/>
  <c r="G262" i="49"/>
  <c r="G261" i="49"/>
  <c r="G260" i="49"/>
  <c r="G259" i="49"/>
  <c r="G258" i="49"/>
  <c r="G257" i="49"/>
  <c r="G256" i="49"/>
  <c r="G255" i="49"/>
  <c r="D248" i="49"/>
  <c r="E248" i="49" s="1"/>
  <c r="D247" i="49"/>
  <c r="E247" i="49"/>
  <c r="D246" i="49"/>
  <c r="E246" i="49" s="1"/>
  <c r="D245" i="49"/>
  <c r="E245" i="49"/>
  <c r="D244" i="49"/>
  <c r="E244" i="49" s="1"/>
  <c r="D243" i="49"/>
  <c r="E243" i="49"/>
  <c r="D242" i="49"/>
  <c r="E242" i="49" s="1"/>
  <c r="D241" i="49"/>
  <c r="E241" i="49"/>
  <c r="G240" i="49"/>
  <c r="D239" i="49"/>
  <c r="E239" i="49"/>
  <c r="D238" i="49"/>
  <c r="E238" i="49" s="1"/>
  <c r="D237" i="49"/>
  <c r="E237" i="49"/>
  <c r="G236" i="49"/>
  <c r="D235" i="49"/>
  <c r="E235" i="49"/>
  <c r="D234" i="49"/>
  <c r="E234" i="49" s="1"/>
  <c r="D233" i="49"/>
  <c r="E233" i="49"/>
  <c r="D232" i="49"/>
  <c r="E232" i="49" s="1"/>
  <c r="D231" i="49"/>
  <c r="E231" i="49"/>
  <c r="D230" i="49"/>
  <c r="E230" i="49" s="1"/>
  <c r="D229" i="49"/>
  <c r="E229" i="49"/>
  <c r="D228" i="49"/>
  <c r="E228" i="49" s="1"/>
  <c r="D227" i="49"/>
  <c r="E227" i="49"/>
  <c r="G224" i="49"/>
  <c r="D223" i="49"/>
  <c r="E223" i="49"/>
  <c r="D219" i="49"/>
  <c r="E219" i="49" s="1"/>
  <c r="G218" i="49"/>
  <c r="D222" i="49"/>
  <c r="E222" i="49" s="1"/>
  <c r="E29" i="49"/>
  <c r="E220" i="49"/>
  <c r="G217" i="49"/>
  <c r="C216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21" i="49"/>
  <c r="C22" i="49"/>
  <c r="C23" i="49"/>
  <c r="C24" i="49"/>
  <c r="C25" i="49"/>
  <c r="C26" i="49"/>
  <c r="C27" i="49"/>
  <c r="C28" i="49"/>
  <c r="D215" i="49"/>
  <c r="E215" i="49"/>
  <c r="G214" i="49"/>
  <c r="G213" i="49"/>
  <c r="G209" i="49"/>
  <c r="G208" i="49"/>
  <c r="D207" i="49"/>
  <c r="E207" i="49" s="1"/>
  <c r="D206" i="49"/>
  <c r="E206" i="49"/>
  <c r="D205" i="49"/>
  <c r="E205" i="49" s="1"/>
  <c r="D204" i="49"/>
  <c r="E204" i="49"/>
  <c r="D203" i="49"/>
  <c r="E203" i="49" s="1"/>
  <c r="D202" i="49"/>
  <c r="E202" i="49"/>
  <c r="D201" i="49"/>
  <c r="E201" i="49" s="1"/>
  <c r="D200" i="49"/>
  <c r="E200" i="49"/>
  <c r="D199" i="49"/>
  <c r="E199" i="49" s="1"/>
  <c r="D198" i="49"/>
  <c r="E198" i="49"/>
  <c r="D197" i="49"/>
  <c r="E197" i="49" s="1"/>
  <c r="D196" i="49"/>
  <c r="E196" i="49"/>
  <c r="D195" i="49"/>
  <c r="E195" i="49" s="1"/>
  <c r="D194" i="49"/>
  <c r="E194" i="49"/>
  <c r="D193" i="49"/>
  <c r="E193" i="49" s="1"/>
  <c r="D192" i="49"/>
  <c r="E192" i="49"/>
  <c r="D191" i="49"/>
  <c r="E191" i="49" s="1"/>
  <c r="D190" i="49"/>
  <c r="E190" i="49"/>
  <c r="D189" i="49"/>
  <c r="E189" i="49" s="1"/>
  <c r="D188" i="49"/>
  <c r="E188" i="49"/>
  <c r="D187" i="49"/>
  <c r="E187" i="49" s="1"/>
  <c r="D186" i="49"/>
  <c r="E186" i="49"/>
  <c r="D185" i="49"/>
  <c r="E185" i="49" s="1"/>
  <c r="D184" i="49"/>
  <c r="E184" i="49"/>
  <c r="D182" i="49"/>
  <c r="E182" i="49" s="1"/>
  <c r="D181" i="49"/>
  <c r="E181" i="49"/>
  <c r="D180" i="49"/>
  <c r="E180" i="49" s="1"/>
  <c r="D175" i="49"/>
  <c r="E175" i="49" s="1"/>
  <c r="D174" i="49"/>
  <c r="E174" i="49" s="1"/>
  <c r="D173" i="49"/>
  <c r="E173" i="49" s="1"/>
  <c r="D172" i="49"/>
  <c r="E172" i="49" s="1"/>
  <c r="D171" i="49"/>
  <c r="E171" i="49" s="1"/>
  <c r="D170" i="49"/>
  <c r="E170" i="49" s="1"/>
  <c r="D169" i="49"/>
  <c r="E169" i="49"/>
  <c r="D168" i="49"/>
  <c r="E168" i="49" s="1"/>
  <c r="G168" i="49"/>
  <c r="D167" i="49"/>
  <c r="E167" i="49" s="1"/>
  <c r="D166" i="49"/>
  <c r="E166" i="49" s="1"/>
  <c r="D165" i="49"/>
  <c r="E165" i="49" s="1"/>
  <c r="D164" i="49"/>
  <c r="E164" i="49" s="1"/>
  <c r="G164" i="49" s="1"/>
  <c r="D163" i="49"/>
  <c r="E163" i="49" s="1"/>
  <c r="D162" i="49"/>
  <c r="E162" i="49"/>
  <c r="D161" i="49"/>
  <c r="E161" i="49"/>
  <c r="D160" i="49"/>
  <c r="E160" i="49" s="1"/>
  <c r="G160" i="49"/>
  <c r="D159" i="49"/>
  <c r="E159" i="49" s="1"/>
  <c r="D158" i="49"/>
  <c r="E158" i="49" s="1"/>
  <c r="D157" i="49"/>
  <c r="E157" i="49" s="1"/>
  <c r="D155" i="49"/>
  <c r="E155" i="49" s="1"/>
  <c r="D154" i="49"/>
  <c r="E154" i="49"/>
  <c r="D152" i="49"/>
  <c r="E152" i="49"/>
  <c r="G152" i="49" s="1"/>
  <c r="D151" i="49"/>
  <c r="E151" i="49" s="1"/>
  <c r="D150" i="49"/>
  <c r="E150" i="49" s="1"/>
  <c r="D148" i="49"/>
  <c r="E148" i="49" s="1"/>
  <c r="D146" i="49"/>
  <c r="E146" i="49" s="1"/>
  <c r="D144" i="49"/>
  <c r="E144" i="49" s="1"/>
  <c r="D143" i="49"/>
  <c r="E143" i="49"/>
  <c r="D138" i="49"/>
  <c r="E138" i="49" s="1"/>
  <c r="D137" i="49"/>
  <c r="E137" i="49" s="1"/>
  <c r="D136" i="49"/>
  <c r="E136" i="49"/>
  <c r="D135" i="49"/>
  <c r="E135" i="49" s="1"/>
  <c r="G135" i="49"/>
  <c r="D134" i="49"/>
  <c r="E134" i="49" s="1"/>
  <c r="D133" i="49"/>
  <c r="E133" i="49" s="1"/>
  <c r="D132" i="49"/>
  <c r="E132" i="49"/>
  <c r="D130" i="49"/>
  <c r="E130" i="49" s="1"/>
  <c r="G130" i="49"/>
  <c r="D129" i="49"/>
  <c r="E129" i="49" s="1"/>
  <c r="D128" i="49"/>
  <c r="E128" i="49" s="1"/>
  <c r="D127" i="49"/>
  <c r="E127" i="49"/>
  <c r="D126" i="49"/>
  <c r="E126" i="49" s="1"/>
  <c r="G126" i="49"/>
  <c r="D124" i="49"/>
  <c r="E124" i="49" s="1"/>
  <c r="D123" i="49"/>
  <c r="E123" i="49" s="1"/>
  <c r="D122" i="49"/>
  <c r="E122" i="49"/>
  <c r="D121" i="49"/>
  <c r="E121" i="49" s="1"/>
  <c r="G121" i="49"/>
  <c r="D120" i="49"/>
  <c r="E120" i="49" s="1"/>
  <c r="D119" i="49"/>
  <c r="E119" i="49" s="1"/>
  <c r="D118" i="49"/>
  <c r="E118" i="49"/>
  <c r="G117" i="49"/>
  <c r="D116" i="49"/>
  <c r="E116" i="49" s="1"/>
  <c r="D115" i="49"/>
  <c r="E115" i="49" s="1"/>
  <c r="D114" i="49"/>
  <c r="E114" i="49" s="1"/>
  <c r="D112" i="49"/>
  <c r="E112" i="49" s="1"/>
  <c r="D111" i="49"/>
  <c r="E111" i="49" s="1"/>
  <c r="D110" i="49"/>
  <c r="E110" i="49" s="1"/>
  <c r="D109" i="49"/>
  <c r="E109" i="49"/>
  <c r="D108" i="49"/>
  <c r="E108" i="49"/>
  <c r="D107" i="49"/>
  <c r="E107" i="49" s="1"/>
  <c r="D106" i="49"/>
  <c r="E106" i="49" s="1"/>
  <c r="D105" i="49"/>
  <c r="E105" i="49" s="1"/>
  <c r="D103" i="49"/>
  <c r="E103" i="49"/>
  <c r="G103" i="49" s="1"/>
  <c r="D102" i="49"/>
  <c r="E102" i="49" s="1"/>
  <c r="D101" i="49"/>
  <c r="E101" i="49" s="1"/>
  <c r="D100" i="49"/>
  <c r="E100" i="49" s="1"/>
  <c r="D99" i="49"/>
  <c r="E99" i="49"/>
  <c r="D98" i="49"/>
  <c r="E98" i="49" s="1"/>
  <c r="G98" i="49"/>
  <c r="D96" i="49"/>
  <c r="E96" i="49" s="1"/>
  <c r="D95" i="49"/>
  <c r="E95" i="49" s="1"/>
  <c r="D94" i="49"/>
  <c r="E94" i="49" s="1"/>
  <c r="G94" i="49"/>
  <c r="D93" i="49"/>
  <c r="E93" i="49" s="1"/>
  <c r="D92" i="49"/>
  <c r="E92" i="49" s="1"/>
  <c r="G88" i="49"/>
  <c r="D87" i="49"/>
  <c r="E87" i="49"/>
  <c r="D86" i="49"/>
  <c r="E86" i="49" s="1"/>
  <c r="D85" i="49"/>
  <c r="E85" i="49" s="1"/>
  <c r="D83" i="49"/>
  <c r="E83" i="49" s="1"/>
  <c r="D82" i="49"/>
  <c r="E82" i="49" s="1"/>
  <c r="D81" i="49"/>
  <c r="E81" i="49" s="1"/>
  <c r="D80" i="49"/>
  <c r="E80" i="49" s="1"/>
  <c r="D79" i="49"/>
  <c r="E79" i="49" s="1"/>
  <c r="G70" i="49"/>
  <c r="G69" i="49"/>
  <c r="G68" i="49"/>
  <c r="G66" i="49"/>
  <c r="G65" i="49"/>
  <c r="G64" i="49"/>
  <c r="G63" i="49"/>
  <c r="D60" i="49"/>
  <c r="E60" i="49"/>
  <c r="D59" i="49"/>
  <c r="E59" i="49" s="1"/>
  <c r="D58" i="49"/>
  <c r="E58" i="49"/>
  <c r="D57" i="49"/>
  <c r="E57" i="49" s="1"/>
  <c r="D56" i="49"/>
  <c r="E56" i="49"/>
  <c r="D55" i="49"/>
  <c r="E55" i="49"/>
  <c r="D54" i="49"/>
  <c r="E54" i="49"/>
  <c r="D53" i="49"/>
  <c r="E53" i="49"/>
  <c r="D52" i="49"/>
  <c r="E52" i="49"/>
  <c r="D51" i="49"/>
  <c r="E51" i="49"/>
  <c r="D50" i="49"/>
  <c r="E50" i="49"/>
  <c r="D49" i="49"/>
  <c r="E49" i="49" s="1"/>
  <c r="D48" i="49"/>
  <c r="E48" i="49"/>
  <c r="D47" i="49"/>
  <c r="E47" i="49"/>
  <c r="D46" i="49"/>
  <c r="E46" i="49" s="1"/>
  <c r="D45" i="49"/>
  <c r="E45" i="49"/>
  <c r="D44" i="49"/>
  <c r="E44" i="49"/>
  <c r="D43" i="49"/>
  <c r="E43" i="49"/>
  <c r="D42" i="49"/>
  <c r="E42" i="49" s="1"/>
  <c r="D41" i="49"/>
  <c r="E41" i="49" s="1"/>
  <c r="D39" i="49"/>
  <c r="E39" i="49" s="1"/>
  <c r="D38" i="49"/>
  <c r="E38" i="49" s="1"/>
  <c r="D37" i="49"/>
  <c r="E37" i="49" s="1"/>
  <c r="D36" i="49"/>
  <c r="E36" i="49"/>
  <c r="D35" i="49"/>
  <c r="E35" i="49" s="1"/>
  <c r="D34" i="49"/>
  <c r="E34" i="49"/>
  <c r="G33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12" i="49"/>
  <c r="G11" i="49"/>
  <c r="G10" i="49"/>
  <c r="G9" i="49"/>
  <c r="G29" i="49"/>
  <c r="G221" i="49" s="1"/>
  <c r="G153" i="49"/>
  <c r="G335" i="49"/>
  <c r="G90" i="49"/>
  <c r="G334" i="49"/>
  <c r="G336" i="49"/>
  <c r="G137" i="49"/>
  <c r="G327" i="49"/>
  <c r="G149" i="49"/>
  <c r="G104" i="49"/>
  <c r="G48" i="49"/>
  <c r="G156" i="49"/>
  <c r="G85" i="49"/>
  <c r="G92" i="49"/>
  <c r="G113" i="49"/>
  <c r="G72" i="49"/>
  <c r="G67" i="49"/>
  <c r="C336" i="49"/>
  <c r="C335" i="49"/>
  <c r="C334" i="49"/>
  <c r="C328" i="49"/>
  <c r="C327" i="49"/>
  <c r="C326" i="49"/>
  <c r="C325" i="49"/>
  <c r="C324" i="49"/>
  <c r="C323" i="49"/>
  <c r="C322" i="49"/>
  <c r="C321" i="49"/>
  <c r="C320" i="49"/>
  <c r="C319" i="49"/>
  <c r="C318" i="49"/>
  <c r="C317" i="49"/>
  <c r="C316" i="49"/>
  <c r="C315" i="49"/>
  <c r="C314" i="49"/>
  <c r="C313" i="49"/>
  <c r="C312" i="49"/>
  <c r="C311" i="49"/>
  <c r="C310" i="49"/>
  <c r="C309" i="49"/>
  <c r="C308" i="49"/>
  <c r="C304" i="49"/>
  <c r="C303" i="49"/>
  <c r="C302" i="49"/>
  <c r="C301" i="49"/>
  <c r="C300" i="49"/>
  <c r="C299" i="49"/>
  <c r="C297" i="49"/>
  <c r="C295" i="49"/>
  <c r="C294" i="49"/>
  <c r="C293" i="49"/>
  <c r="C292" i="49"/>
  <c r="C290" i="49"/>
  <c r="C289" i="49"/>
  <c r="C288" i="49"/>
  <c r="C287" i="49"/>
  <c r="C286" i="49"/>
  <c r="C285" i="49"/>
  <c r="C284" i="49"/>
  <c r="C283" i="49"/>
  <c r="C282" i="49"/>
  <c r="C281" i="49"/>
  <c r="C279" i="49"/>
  <c r="C278" i="49"/>
  <c r="C276" i="49"/>
  <c r="C275" i="49"/>
  <c r="C274" i="49"/>
  <c r="C273" i="49"/>
  <c r="C272" i="49"/>
  <c r="C271" i="49"/>
  <c r="C270" i="49"/>
  <c r="C269" i="49"/>
  <c r="C267" i="49"/>
  <c r="C266" i="49"/>
  <c r="C265" i="49"/>
  <c r="C264" i="49"/>
  <c r="C263" i="49"/>
  <c r="C262" i="49"/>
  <c r="C261" i="49"/>
  <c r="C260" i="49"/>
  <c r="C259" i="49"/>
  <c r="C258" i="49"/>
  <c r="C257" i="49"/>
  <c r="C256" i="49"/>
  <c r="C255" i="49"/>
  <c r="C248" i="49"/>
  <c r="C247" i="49"/>
  <c r="C246" i="49"/>
  <c r="C245" i="49"/>
  <c r="C244" i="49"/>
  <c r="C243" i="49"/>
  <c r="C242" i="49"/>
  <c r="C241" i="49"/>
  <c r="C240" i="49"/>
  <c r="C239" i="49"/>
  <c r="C238" i="49"/>
  <c r="C237" i="49"/>
  <c r="C236" i="49"/>
  <c r="C235" i="49"/>
  <c r="C234" i="49"/>
  <c r="C233" i="49"/>
  <c r="C232" i="49"/>
  <c r="C231" i="49"/>
  <c r="C230" i="49"/>
  <c r="C229" i="49"/>
  <c r="C228" i="49"/>
  <c r="C227" i="49"/>
  <c r="C224" i="49"/>
  <c r="C223" i="49"/>
  <c r="C222" i="49"/>
  <c r="C220" i="49"/>
  <c r="C219" i="49"/>
  <c r="C218" i="49"/>
  <c r="C217" i="49"/>
  <c r="C215" i="49"/>
  <c r="C214" i="49"/>
  <c r="C213" i="49"/>
  <c r="C209" i="49"/>
  <c r="C208" i="49"/>
  <c r="C207" i="49"/>
  <c r="C206" i="49"/>
  <c r="C205" i="49"/>
  <c r="C204" i="49"/>
  <c r="C203" i="49"/>
  <c r="C202" i="49"/>
  <c r="C201" i="49"/>
  <c r="C200" i="49"/>
  <c r="C199" i="49"/>
  <c r="C198" i="49"/>
  <c r="C197" i="49"/>
  <c r="C196" i="49"/>
  <c r="C195" i="49"/>
  <c r="C194" i="49"/>
  <c r="C193" i="49"/>
  <c r="C192" i="49"/>
  <c r="C191" i="49"/>
  <c r="C190" i="49"/>
  <c r="C189" i="49"/>
  <c r="C188" i="49"/>
  <c r="C187" i="49"/>
  <c r="C186" i="49"/>
  <c r="C185" i="49"/>
  <c r="C184" i="49"/>
  <c r="C182" i="49"/>
  <c r="C181" i="49"/>
  <c r="C180" i="49"/>
  <c r="C175" i="49"/>
  <c r="C174" i="49"/>
  <c r="C173" i="49"/>
  <c r="C172" i="49"/>
  <c r="C171" i="49"/>
  <c r="C170" i="49"/>
  <c r="C169" i="49"/>
  <c r="C168" i="49"/>
  <c r="C167" i="49"/>
  <c r="C166" i="49"/>
  <c r="C165" i="49"/>
  <c r="C164" i="49"/>
  <c r="C163" i="49"/>
  <c r="C162" i="49"/>
  <c r="C161" i="49"/>
  <c r="C160" i="49"/>
  <c r="C159" i="49"/>
  <c r="C158" i="49"/>
  <c r="C157" i="49"/>
  <c r="C156" i="49"/>
  <c r="C155" i="49"/>
  <c r="C154" i="49"/>
  <c r="C153" i="49"/>
  <c r="C152" i="49"/>
  <c r="C151" i="49"/>
  <c r="C150" i="49"/>
  <c r="C149" i="49"/>
  <c r="C148" i="49"/>
  <c r="C146" i="49"/>
  <c r="C144" i="49"/>
  <c r="C143" i="49"/>
  <c r="C142" i="49"/>
  <c r="C141" i="49"/>
  <c r="C140" i="49"/>
  <c r="C138" i="49"/>
  <c r="C137" i="49"/>
  <c r="C136" i="49"/>
  <c r="C135" i="49"/>
  <c r="C134" i="49"/>
  <c r="C133" i="49"/>
  <c r="C132" i="49"/>
  <c r="C130" i="49"/>
  <c r="C129" i="49"/>
  <c r="C128" i="49"/>
  <c r="C127" i="49"/>
  <c r="C126" i="49"/>
  <c r="C124" i="49"/>
  <c r="C123" i="49"/>
  <c r="C122" i="49"/>
  <c r="C121" i="49"/>
  <c r="C120" i="49"/>
  <c r="C119" i="49"/>
  <c r="C118" i="49"/>
  <c r="C117" i="49"/>
  <c r="C116" i="49"/>
  <c r="C115" i="49"/>
  <c r="C114" i="49"/>
  <c r="C113" i="49"/>
  <c r="C112" i="49"/>
  <c r="C111" i="49"/>
  <c r="C110" i="49"/>
  <c r="C109" i="49"/>
  <c r="C108" i="49"/>
  <c r="C107" i="49"/>
  <c r="C106" i="49"/>
  <c r="C105" i="49"/>
  <c r="C104" i="49"/>
  <c r="C103" i="49"/>
  <c r="C102" i="49"/>
  <c r="C101" i="49"/>
  <c r="C100" i="49"/>
  <c r="C99" i="49"/>
  <c r="C98" i="49"/>
  <c r="C96" i="49"/>
  <c r="C95" i="49"/>
  <c r="C94" i="49"/>
  <c r="C93" i="49"/>
  <c r="C92" i="49"/>
  <c r="C90" i="49"/>
  <c r="C88" i="49"/>
  <c r="C87" i="49"/>
  <c r="C86" i="49"/>
  <c r="C85" i="49"/>
  <c r="C83" i="49"/>
  <c r="C82" i="49"/>
  <c r="C81" i="49"/>
  <c r="C80" i="49"/>
  <c r="C79" i="49"/>
  <c r="C75" i="49"/>
  <c r="C72" i="49"/>
  <c r="C70" i="49"/>
  <c r="C69" i="49"/>
  <c r="C68" i="49"/>
  <c r="C67" i="49"/>
  <c r="C66" i="49"/>
  <c r="C65" i="49"/>
  <c r="C64" i="49"/>
  <c r="C63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D212" i="49"/>
  <c r="E212" i="49" s="1"/>
  <c r="D211" i="49"/>
  <c r="E211" i="49"/>
  <c r="D210" i="49"/>
  <c r="E210" i="49" s="1"/>
  <c r="D183" i="49"/>
  <c r="E183" i="49"/>
  <c r="G71" i="49"/>
  <c r="C212" i="49"/>
  <c r="C211" i="49"/>
  <c r="C210" i="49"/>
  <c r="C183" i="49"/>
  <c r="C71" i="49"/>
  <c r="N21" i="53"/>
  <c r="N21" i="54"/>
  <c r="N21" i="55"/>
  <c r="M19" i="56"/>
  <c r="M14" i="56"/>
  <c r="M15" i="56"/>
  <c r="M16" i="56"/>
  <c r="M17" i="56"/>
  <c r="M18" i="56"/>
  <c r="M20" i="56"/>
  <c r="C21" i="56"/>
  <c r="D21" i="56"/>
  <c r="E21" i="56"/>
  <c r="F21" i="56"/>
  <c r="G21" i="56"/>
  <c r="H21" i="56"/>
  <c r="I21" i="56"/>
  <c r="J21" i="56"/>
  <c r="K21" i="56"/>
  <c r="L21" i="56"/>
  <c r="M21" i="56"/>
  <c r="M32" i="56"/>
  <c r="M33" i="56"/>
  <c r="M34" i="56"/>
  <c r="M35" i="56"/>
  <c r="M36" i="56"/>
  <c r="M37" i="56"/>
  <c r="M38" i="56"/>
  <c r="C39" i="56"/>
  <c r="D39" i="56"/>
  <c r="E39" i="56"/>
  <c r="F39" i="56"/>
  <c r="G39" i="56"/>
  <c r="H39" i="56"/>
  <c r="I39" i="56"/>
  <c r="J39" i="56"/>
  <c r="K39" i="56"/>
  <c r="L39" i="56"/>
  <c r="M39" i="56"/>
  <c r="F58" i="68" s="1"/>
  <c r="F59" i="68" s="1"/>
  <c r="N9" i="57"/>
  <c r="N10" i="57"/>
  <c r="N14" i="57"/>
  <c r="N15" i="57"/>
  <c r="N16" i="57"/>
  <c r="N17" i="57"/>
  <c r="N18" i="57"/>
  <c r="N19" i="57"/>
  <c r="N20" i="57"/>
  <c r="C21" i="57"/>
  <c r="D21" i="57"/>
  <c r="E21" i="57"/>
  <c r="F21" i="57"/>
  <c r="G21" i="57"/>
  <c r="H21" i="57"/>
  <c r="I21" i="57"/>
  <c r="J21" i="57"/>
  <c r="K21" i="57"/>
  <c r="L21" i="57"/>
  <c r="M21" i="57"/>
  <c r="N21" i="57"/>
  <c r="N27" i="57"/>
  <c r="N28" i="57"/>
  <c r="N32" i="57"/>
  <c r="N33" i="57"/>
  <c r="N34" i="57"/>
  <c r="N35" i="57"/>
  <c r="G141" i="49" s="1"/>
  <c r="N36" i="57"/>
  <c r="N37" i="57"/>
  <c r="N38" i="57"/>
  <c r="C39" i="57"/>
  <c r="D39" i="57"/>
  <c r="E39" i="57"/>
  <c r="F39" i="57"/>
  <c r="G39" i="57"/>
  <c r="H39" i="57"/>
  <c r="I39" i="57"/>
  <c r="J39" i="57"/>
  <c r="K39" i="57"/>
  <c r="L39" i="57"/>
  <c r="M39" i="57"/>
  <c r="N39" i="57"/>
  <c r="N9" i="67"/>
  <c r="N10" i="67"/>
  <c r="N14" i="67"/>
  <c r="N15" i="67"/>
  <c r="N16" i="67"/>
  <c r="N17" i="67"/>
  <c r="N18" i="67"/>
  <c r="N19" i="67"/>
  <c r="N20" i="67"/>
  <c r="N21" i="67"/>
  <c r="N22" i="67"/>
  <c r="C23" i="67"/>
  <c r="D23" i="67"/>
  <c r="E23" i="67"/>
  <c r="F23" i="67"/>
  <c r="G23" i="67"/>
  <c r="H23" i="67"/>
  <c r="I23" i="67"/>
  <c r="J23" i="67"/>
  <c r="K23" i="67"/>
  <c r="L23" i="67"/>
  <c r="M23" i="67"/>
  <c r="N23" i="67"/>
  <c r="AE14" i="61"/>
  <c r="AE15" i="61"/>
  <c r="AE16" i="61"/>
  <c r="AE17" i="61"/>
  <c r="AE18" i="61"/>
  <c r="C19" i="61"/>
  <c r="D19" i="61"/>
  <c r="E19" i="61"/>
  <c r="F19" i="61"/>
  <c r="G19" i="61"/>
  <c r="H19" i="61"/>
  <c r="I19" i="61"/>
  <c r="J19" i="61"/>
  <c r="K19" i="61"/>
  <c r="L19" i="61"/>
  <c r="M19" i="61"/>
  <c r="N19" i="61"/>
  <c r="O19" i="61"/>
  <c r="P19" i="61"/>
  <c r="Q19" i="61"/>
  <c r="R19" i="61"/>
  <c r="S19" i="61"/>
  <c r="T19" i="61"/>
  <c r="U19" i="61"/>
  <c r="V19" i="61"/>
  <c r="W19" i="61"/>
  <c r="X19" i="61"/>
  <c r="Y19" i="61"/>
  <c r="Z19" i="61"/>
  <c r="AA19" i="61"/>
  <c r="AB19" i="61"/>
  <c r="AC19" i="61"/>
  <c r="AD19" i="61"/>
  <c r="AE19" i="61"/>
  <c r="AN84" i="4"/>
  <c r="AM84" i="4"/>
  <c r="AL84" i="4"/>
  <c r="AK84" i="4"/>
  <c r="AG84" i="4"/>
  <c r="AE84" i="4"/>
  <c r="Z84" i="4"/>
  <c r="V84" i="4"/>
  <c r="R84" i="4"/>
  <c r="O84" i="4"/>
  <c r="G84" i="4"/>
  <c r="AJ84" i="4"/>
  <c r="D84" i="4"/>
  <c r="AA84" i="4"/>
  <c r="AC84" i="4"/>
  <c r="AN83" i="4"/>
  <c r="AM83" i="4"/>
  <c r="AL83" i="4"/>
  <c r="AK83" i="4"/>
  <c r="AG83" i="4"/>
  <c r="AE83" i="4"/>
  <c r="Z83" i="4"/>
  <c r="V83" i="4"/>
  <c r="R83" i="4"/>
  <c r="O83" i="4"/>
  <c r="G83" i="4"/>
  <c r="AJ83" i="4"/>
  <c r="D83" i="4"/>
  <c r="AA83" i="4"/>
  <c r="AC83" i="4"/>
  <c r="AN82" i="4"/>
  <c r="AM82" i="4"/>
  <c r="AL82" i="4"/>
  <c r="AK82" i="4"/>
  <c r="AG82" i="4"/>
  <c r="AE82" i="4"/>
  <c r="Z82" i="4"/>
  <c r="V82" i="4"/>
  <c r="R82" i="4"/>
  <c r="O82" i="4"/>
  <c r="G82" i="4"/>
  <c r="AJ82" i="4"/>
  <c r="D82" i="4"/>
  <c r="AA82" i="4"/>
  <c r="AC82" i="4"/>
  <c r="AN73" i="4"/>
  <c r="AM73" i="4"/>
  <c r="AL73" i="4"/>
  <c r="AK73" i="4"/>
  <c r="AG73" i="4"/>
  <c r="AE73" i="4"/>
  <c r="Z73" i="4"/>
  <c r="V73" i="4"/>
  <c r="R73" i="4"/>
  <c r="O73" i="4"/>
  <c r="G73" i="4"/>
  <c r="AJ73" i="4"/>
  <c r="D73" i="4"/>
  <c r="AA73" i="4"/>
  <c r="AC73" i="4"/>
  <c r="AN72" i="4"/>
  <c r="AM72" i="4"/>
  <c r="AL72" i="4"/>
  <c r="AK72" i="4"/>
  <c r="AG72" i="4"/>
  <c r="AE72" i="4"/>
  <c r="Z72" i="4"/>
  <c r="V72" i="4"/>
  <c r="R72" i="4"/>
  <c r="O72" i="4"/>
  <c r="G72" i="4"/>
  <c r="AJ72" i="4"/>
  <c r="D72" i="4"/>
  <c r="AA72" i="4"/>
  <c r="AC72" i="4"/>
  <c r="AN71" i="4"/>
  <c r="AM71" i="4"/>
  <c r="AL71" i="4"/>
  <c r="AK71" i="4"/>
  <c r="AG71" i="4"/>
  <c r="AE71" i="4"/>
  <c r="Z71" i="4"/>
  <c r="V71" i="4"/>
  <c r="R71" i="4"/>
  <c r="O71" i="4"/>
  <c r="G71" i="4"/>
  <c r="AJ71" i="4"/>
  <c r="D71" i="4"/>
  <c r="AA71" i="4"/>
  <c r="AC71" i="4"/>
  <c r="Z70" i="4"/>
  <c r="V70" i="4"/>
  <c r="R70" i="4"/>
  <c r="O70" i="4"/>
  <c r="G70" i="4"/>
  <c r="D70" i="4"/>
  <c r="AA70" i="4"/>
  <c r="AC70" i="4"/>
  <c r="AM70" i="4"/>
  <c r="AE69" i="4"/>
  <c r="Z69" i="4"/>
  <c r="V69" i="4"/>
  <c r="R69" i="4"/>
  <c r="O69" i="4"/>
  <c r="G69" i="4"/>
  <c r="D69" i="4"/>
  <c r="AA69" i="4"/>
  <c r="AC69" i="4"/>
  <c r="AM69" i="4"/>
  <c r="Z68" i="4"/>
  <c r="V68" i="4"/>
  <c r="R68" i="4"/>
  <c r="O68" i="4"/>
  <c r="G68" i="4"/>
  <c r="D68" i="4"/>
  <c r="Z67" i="4"/>
  <c r="V67" i="4"/>
  <c r="R67" i="4"/>
  <c r="O67" i="4"/>
  <c r="G67" i="4"/>
  <c r="D67" i="4"/>
  <c r="Z66" i="4"/>
  <c r="V66" i="4"/>
  <c r="R66" i="4"/>
  <c r="O66" i="4"/>
  <c r="G66" i="4"/>
  <c r="D66" i="4"/>
  <c r="Z65" i="4"/>
  <c r="V65" i="4"/>
  <c r="R65" i="4"/>
  <c r="O65" i="4"/>
  <c r="G65" i="4"/>
  <c r="D65" i="4"/>
  <c r="AK70" i="4"/>
  <c r="AL70" i="4"/>
  <c r="AL69" i="4"/>
  <c r="AK69" i="4"/>
  <c r="X71" i="4"/>
  <c r="Y71" i="4"/>
  <c r="X84" i="4"/>
  <c r="Y84" i="4"/>
  <c r="X83" i="4"/>
  <c r="Y83" i="4"/>
  <c r="X82" i="4"/>
  <c r="Y82" i="4"/>
  <c r="X73" i="4"/>
  <c r="Y73" i="4"/>
  <c r="X65" i="4"/>
  <c r="Y65" i="4"/>
  <c r="X66" i="4"/>
  <c r="Y66" i="4"/>
  <c r="X68" i="4"/>
  <c r="Y68" i="4"/>
  <c r="X70" i="4"/>
  <c r="Y70" i="4"/>
  <c r="X67" i="4"/>
  <c r="Y67" i="4"/>
  <c r="X69" i="4"/>
  <c r="Y69" i="4"/>
  <c r="X72" i="4"/>
  <c r="Y72" i="4"/>
  <c r="G52" i="3"/>
  <c r="G51" i="3"/>
  <c r="G50" i="3"/>
  <c r="G49" i="3"/>
  <c r="G48" i="3"/>
  <c r="G47" i="3"/>
  <c r="G46" i="3"/>
  <c r="G45" i="3"/>
  <c r="G44" i="3"/>
  <c r="G43" i="3"/>
  <c r="D218" i="49"/>
  <c r="I218" i="49"/>
  <c r="F218" i="49"/>
  <c r="C349" i="70"/>
  <c r="C333" i="70"/>
  <c r="C325" i="70"/>
  <c r="C301" i="70"/>
  <c r="C245" i="70"/>
  <c r="C221" i="70"/>
  <c r="C175" i="70"/>
  <c r="C352" i="70"/>
  <c r="H90" i="70"/>
  <c r="C75" i="70"/>
  <c r="C72" i="70"/>
  <c r="C61" i="70"/>
  <c r="C29" i="70"/>
  <c r="C337" i="70"/>
  <c r="C346" i="70"/>
  <c r="C339" i="70"/>
  <c r="C341" i="70"/>
  <c r="C176" i="70"/>
  <c r="C246" i="70"/>
  <c r="C343" i="70"/>
  <c r="C326" i="70"/>
  <c r="C345" i="70"/>
  <c r="C340" i="70"/>
  <c r="C350" i="70"/>
  <c r="C342" i="70"/>
  <c r="C351" i="70"/>
  <c r="C247" i="70"/>
  <c r="J246" i="70"/>
  <c r="C336" i="70"/>
  <c r="C347" i="70"/>
  <c r="C248" i="70"/>
  <c r="C327" i="70"/>
  <c r="F183" i="49"/>
  <c r="C334" i="70"/>
  <c r="C335" i="70"/>
  <c r="C344" i="70"/>
  <c r="F223" i="49"/>
  <c r="D336" i="49"/>
  <c r="D335" i="49"/>
  <c r="D334" i="49"/>
  <c r="D337" i="49" s="1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29" i="49" s="1"/>
  <c r="D308" i="49"/>
  <c r="D304" i="49"/>
  <c r="D303" i="49"/>
  <c r="D302" i="49"/>
  <c r="D301" i="49"/>
  <c r="D300" i="49"/>
  <c r="D299" i="49"/>
  <c r="D297" i="49"/>
  <c r="D295" i="49"/>
  <c r="D294" i="49"/>
  <c r="D293" i="49"/>
  <c r="D292" i="49"/>
  <c r="D290" i="49"/>
  <c r="D289" i="49"/>
  <c r="D288" i="49"/>
  <c r="D287" i="49"/>
  <c r="D286" i="49"/>
  <c r="D285" i="49"/>
  <c r="D284" i="49"/>
  <c r="D283" i="49"/>
  <c r="D282" i="49"/>
  <c r="D281" i="49"/>
  <c r="D279" i="49"/>
  <c r="D278" i="49"/>
  <c r="D276" i="49"/>
  <c r="D275" i="49"/>
  <c r="D274" i="49"/>
  <c r="D273" i="49"/>
  <c r="D272" i="49"/>
  <c r="D271" i="49"/>
  <c r="D270" i="49"/>
  <c r="D269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40" i="49"/>
  <c r="D249" i="49" s="1"/>
  <c r="D236" i="49"/>
  <c r="D224" i="49"/>
  <c r="D220" i="49"/>
  <c r="D217" i="49"/>
  <c r="D216" i="49"/>
  <c r="D214" i="49"/>
  <c r="D213" i="49"/>
  <c r="D209" i="49"/>
  <c r="D208" i="49"/>
  <c r="D156" i="49"/>
  <c r="D153" i="49"/>
  <c r="D149" i="49"/>
  <c r="D142" i="49"/>
  <c r="D141" i="49"/>
  <c r="D140" i="49"/>
  <c r="D117" i="49"/>
  <c r="D113" i="49"/>
  <c r="D104" i="49"/>
  <c r="D90" i="49"/>
  <c r="D88" i="49"/>
  <c r="D75" i="49"/>
  <c r="D72" i="49"/>
  <c r="D71" i="49"/>
  <c r="D70" i="49"/>
  <c r="D69" i="49"/>
  <c r="D68" i="49"/>
  <c r="D67" i="49"/>
  <c r="D66" i="49"/>
  <c r="D65" i="49"/>
  <c r="D64" i="49"/>
  <c r="D63" i="49"/>
  <c r="D40" i="49"/>
  <c r="D61" i="49" s="1"/>
  <c r="D33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29" i="49" s="1"/>
  <c r="T13" i="2"/>
  <c r="T12" i="2"/>
  <c r="T11" i="2"/>
  <c r="T10" i="2"/>
  <c r="T9" i="2"/>
  <c r="T8" i="2"/>
  <c r="T7" i="2"/>
  <c r="T6" i="2"/>
  <c r="T5" i="2"/>
  <c r="T4" i="2"/>
  <c r="F71" i="49"/>
  <c r="AP21" i="4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E23" i="31"/>
  <c r="E22" i="31"/>
  <c r="E21" i="31"/>
  <c r="E20" i="31"/>
  <c r="E19" i="31"/>
  <c r="E18" i="31"/>
  <c r="E15" i="31"/>
  <c r="E14" i="31"/>
  <c r="E13" i="31"/>
  <c r="E12" i="31"/>
  <c r="E11" i="31"/>
  <c r="E10" i="31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1" i="25"/>
  <c r="F9" i="25"/>
  <c r="F8" i="25"/>
  <c r="E37" i="35"/>
  <c r="C56" i="63"/>
  <c r="C55" i="63"/>
  <c r="C54" i="63"/>
  <c r="C53" i="63"/>
  <c r="C52" i="63"/>
  <c r="AL78" i="4"/>
  <c r="AL77" i="4"/>
  <c r="AL76" i="4"/>
  <c r="AL75" i="4"/>
  <c r="AL74" i="4"/>
  <c r="G226" i="49"/>
  <c r="I226" i="49" s="1"/>
  <c r="F120" i="7"/>
  <c r="F109" i="7"/>
  <c r="F66" i="7"/>
  <c r="F27" i="7"/>
  <c r="E7" i="38"/>
  <c r="E7" i="37"/>
  <c r="D34" i="30"/>
  <c r="F7" i="25"/>
  <c r="AC97" i="4"/>
  <c r="V97" i="4"/>
  <c r="R97" i="4"/>
  <c r="O97" i="4"/>
  <c r="I97" i="4"/>
  <c r="Z97" i="4"/>
  <c r="AC96" i="4"/>
  <c r="V96" i="4"/>
  <c r="R96" i="4"/>
  <c r="O96" i="4"/>
  <c r="I96" i="4"/>
  <c r="Z96" i="4"/>
  <c r="AC94" i="4"/>
  <c r="V94" i="4"/>
  <c r="R94" i="4"/>
  <c r="O94" i="4"/>
  <c r="Z94" i="4"/>
  <c r="AC93" i="4"/>
  <c r="V93" i="4"/>
  <c r="R93" i="4"/>
  <c r="O93" i="4"/>
  <c r="V61" i="4"/>
  <c r="R61" i="4"/>
  <c r="O61" i="4"/>
  <c r="I61" i="4"/>
  <c r="AL61" i="4"/>
  <c r="V60" i="4"/>
  <c r="R60" i="4"/>
  <c r="O60" i="4"/>
  <c r="I60" i="4"/>
  <c r="V59" i="4"/>
  <c r="R59" i="4"/>
  <c r="O59" i="4"/>
  <c r="I59" i="4"/>
  <c r="V58" i="4"/>
  <c r="R58" i="4"/>
  <c r="O58" i="4"/>
  <c r="I58" i="4"/>
  <c r="V57" i="4"/>
  <c r="R57" i="4"/>
  <c r="O57" i="4"/>
  <c r="I57" i="4"/>
  <c r="AL57" i="4"/>
  <c r="V56" i="4"/>
  <c r="R56" i="4"/>
  <c r="O56" i="4"/>
  <c r="I56" i="4"/>
  <c r="AL56" i="4"/>
  <c r="V55" i="4"/>
  <c r="R55" i="4"/>
  <c r="O55" i="4"/>
  <c r="I55" i="4"/>
  <c r="V54" i="4"/>
  <c r="R54" i="4"/>
  <c r="O54" i="4"/>
  <c r="I54" i="4"/>
  <c r="V53" i="4"/>
  <c r="R53" i="4"/>
  <c r="O53" i="4"/>
  <c r="I53" i="4"/>
  <c r="V52" i="4"/>
  <c r="R52" i="4"/>
  <c r="O52" i="4"/>
  <c r="I52" i="4"/>
  <c r="V51" i="4"/>
  <c r="R51" i="4"/>
  <c r="O51" i="4"/>
  <c r="I51" i="4"/>
  <c r="V50" i="4"/>
  <c r="R50" i="4"/>
  <c r="O50" i="4"/>
  <c r="I50" i="4"/>
  <c r="V49" i="4"/>
  <c r="R49" i="4"/>
  <c r="O49" i="4"/>
  <c r="V48" i="4"/>
  <c r="R48" i="4"/>
  <c r="O48" i="4"/>
  <c r="V47" i="4"/>
  <c r="R47" i="4"/>
  <c r="O47" i="4"/>
  <c r="I47" i="4"/>
  <c r="V46" i="4"/>
  <c r="R46" i="4"/>
  <c r="O46" i="4"/>
  <c r="I46" i="4"/>
  <c r="V45" i="4"/>
  <c r="R45" i="4"/>
  <c r="O45" i="4"/>
  <c r="I45" i="4"/>
  <c r="V44" i="4"/>
  <c r="R44" i="4"/>
  <c r="O44" i="4"/>
  <c r="I44" i="4"/>
  <c r="V43" i="4"/>
  <c r="R43" i="4"/>
  <c r="O43" i="4"/>
  <c r="I43" i="4"/>
  <c r="V42" i="4"/>
  <c r="R42" i="4"/>
  <c r="O42" i="4"/>
  <c r="I42" i="4"/>
  <c r="V41" i="4"/>
  <c r="R41" i="4"/>
  <c r="O41" i="4"/>
  <c r="V40" i="4"/>
  <c r="R40" i="4"/>
  <c r="O40" i="4"/>
  <c r="I40" i="4"/>
  <c r="V39" i="4"/>
  <c r="R39" i="4"/>
  <c r="O39" i="4"/>
  <c r="V38" i="4"/>
  <c r="R38" i="4"/>
  <c r="O38" i="4"/>
  <c r="I38" i="4"/>
  <c r="V37" i="4"/>
  <c r="R37" i="4"/>
  <c r="O37" i="4"/>
  <c r="I37" i="4"/>
  <c r="V36" i="4"/>
  <c r="R36" i="4"/>
  <c r="O36" i="4"/>
  <c r="I36" i="4"/>
  <c r="V35" i="4"/>
  <c r="R35" i="4"/>
  <c r="O35" i="4"/>
  <c r="I35" i="4"/>
  <c r="V34" i="4"/>
  <c r="R34" i="4"/>
  <c r="O34" i="4"/>
  <c r="I34" i="4"/>
  <c r="V33" i="4"/>
  <c r="R33" i="4"/>
  <c r="O33" i="4"/>
  <c r="V32" i="4"/>
  <c r="R32" i="4"/>
  <c r="O32" i="4"/>
  <c r="I32" i="4"/>
  <c r="V31" i="4"/>
  <c r="R31" i="4"/>
  <c r="O31" i="4"/>
  <c r="I31" i="4"/>
  <c r="V95" i="4"/>
  <c r="R95" i="4"/>
  <c r="O95" i="4"/>
  <c r="V30" i="4"/>
  <c r="R30" i="4"/>
  <c r="O30" i="4"/>
  <c r="V29" i="4"/>
  <c r="R29" i="4"/>
  <c r="O29" i="4"/>
  <c r="V28" i="4"/>
  <c r="R28" i="4"/>
  <c r="O28" i="4"/>
  <c r="V27" i="4"/>
  <c r="R27" i="4"/>
  <c r="O27" i="4"/>
  <c r="I27" i="4"/>
  <c r="V26" i="4"/>
  <c r="R26" i="4"/>
  <c r="O26" i="4"/>
  <c r="I26" i="4"/>
  <c r="V25" i="4"/>
  <c r="R25" i="4"/>
  <c r="O25" i="4"/>
  <c r="V24" i="4"/>
  <c r="R24" i="4"/>
  <c r="O24" i="4"/>
  <c r="I24" i="4"/>
  <c r="V23" i="4"/>
  <c r="R23" i="4"/>
  <c r="O23" i="4"/>
  <c r="I23" i="4"/>
  <c r="C53" i="3"/>
  <c r="Z93" i="4"/>
  <c r="X38" i="4"/>
  <c r="Y38" i="4"/>
  <c r="X97" i="4"/>
  <c r="Y97" i="4"/>
  <c r="Z39" i="4"/>
  <c r="Z40" i="4"/>
  <c r="Z43" i="4"/>
  <c r="Z44" i="4"/>
  <c r="Z45" i="4"/>
  <c r="Z47" i="4"/>
  <c r="Z48" i="4"/>
  <c r="Z51" i="4"/>
  <c r="Z52" i="4"/>
  <c r="Z53" i="4"/>
  <c r="Z55" i="4"/>
  <c r="AL55" i="4"/>
  <c r="Z58" i="4"/>
  <c r="AL58" i="4"/>
  <c r="Z59" i="4"/>
  <c r="AL59" i="4"/>
  <c r="Z60" i="4"/>
  <c r="AL60" i="4"/>
  <c r="Z23" i="4"/>
  <c r="Z24" i="4"/>
  <c r="Z25" i="4"/>
  <c r="Z27" i="4"/>
  <c r="Z28" i="4"/>
  <c r="Z29" i="4"/>
  <c r="Z95" i="4"/>
  <c r="Z31" i="4"/>
  <c r="Z32" i="4"/>
  <c r="Z34" i="4"/>
  <c r="Z35" i="4"/>
  <c r="Z36" i="4"/>
  <c r="Z38" i="4"/>
  <c r="X46" i="4"/>
  <c r="Y46" i="4"/>
  <c r="X29" i="4"/>
  <c r="Y29" i="4"/>
  <c r="X27" i="4"/>
  <c r="Y27" i="4"/>
  <c r="X95" i="4"/>
  <c r="Y95" i="4"/>
  <c r="X32" i="4"/>
  <c r="Y32" i="4"/>
  <c r="X23" i="4"/>
  <c r="Y23" i="4"/>
  <c r="X57" i="4"/>
  <c r="Y57" i="4"/>
  <c r="X61" i="4"/>
  <c r="Y61" i="4"/>
  <c r="X93" i="4"/>
  <c r="Y93" i="4"/>
  <c r="X47" i="4"/>
  <c r="Y47" i="4"/>
  <c r="X54" i="4"/>
  <c r="Y54" i="4"/>
  <c r="X28" i="4"/>
  <c r="Y28" i="4"/>
  <c r="X42" i="4"/>
  <c r="Y42" i="4"/>
  <c r="X26" i="4"/>
  <c r="Y26" i="4"/>
  <c r="X34" i="4"/>
  <c r="Y34" i="4"/>
  <c r="X50" i="4"/>
  <c r="Y50" i="4"/>
  <c r="X94" i="4"/>
  <c r="Y94" i="4"/>
  <c r="X24" i="4"/>
  <c r="Y24" i="4"/>
  <c r="X39" i="4"/>
  <c r="Y39" i="4"/>
  <c r="X41" i="4"/>
  <c r="Y41" i="4"/>
  <c r="X44" i="4"/>
  <c r="Y44" i="4"/>
  <c r="X49" i="4"/>
  <c r="Y49" i="4"/>
  <c r="X56" i="4"/>
  <c r="Y56" i="4"/>
  <c r="X59" i="4"/>
  <c r="Y59" i="4"/>
  <c r="X25" i="4"/>
  <c r="Y25" i="4"/>
  <c r="X33" i="4"/>
  <c r="Y33" i="4"/>
  <c r="X35" i="4"/>
  <c r="Y35" i="4"/>
  <c r="X40" i="4"/>
  <c r="Y40" i="4"/>
  <c r="X43" i="4"/>
  <c r="Y43" i="4"/>
  <c r="X51" i="4"/>
  <c r="Y51" i="4"/>
  <c r="X58" i="4"/>
  <c r="Y58" i="4"/>
  <c r="X37" i="4"/>
  <c r="Y37" i="4"/>
  <c r="X52" i="4"/>
  <c r="Y52" i="4"/>
  <c r="X30" i="4"/>
  <c r="Y30" i="4"/>
  <c r="X31" i="4"/>
  <c r="Y31" i="4"/>
  <c r="X36" i="4"/>
  <c r="Y36" i="4"/>
  <c r="Z41" i="4"/>
  <c r="X45" i="4"/>
  <c r="Y45" i="4"/>
  <c r="X48" i="4"/>
  <c r="Y48" i="4"/>
  <c r="Z49" i="4"/>
  <c r="X53" i="4"/>
  <c r="Y53" i="4"/>
  <c r="X55" i="4"/>
  <c r="Y55" i="4"/>
  <c r="Z56" i="4"/>
  <c r="X60" i="4"/>
  <c r="Y60" i="4"/>
  <c r="X96" i="4"/>
  <c r="Y96" i="4"/>
  <c r="Z42" i="4"/>
  <c r="Z46" i="4"/>
  <c r="Z50" i="4"/>
  <c r="Z54" i="4"/>
  <c r="Z57" i="4"/>
  <c r="Z61" i="4"/>
  <c r="Z26" i="4"/>
  <c r="Z30" i="4"/>
  <c r="Z33" i="4"/>
  <c r="Z37" i="4"/>
  <c r="B2" i="69"/>
  <c r="B3" i="68"/>
  <c r="D326" i="69"/>
  <c r="E322" i="69"/>
  <c r="E321" i="69"/>
  <c r="E287" i="69"/>
  <c r="E285" i="69"/>
  <c r="E280" i="69"/>
  <c r="E269" i="69"/>
  <c r="E266" i="69"/>
  <c r="E257" i="69"/>
  <c r="E243" i="69"/>
  <c r="E146" i="69"/>
  <c r="E144" i="69"/>
  <c r="E138" i="69"/>
  <c r="E83" i="69"/>
  <c r="E77" i="69"/>
  <c r="E73" i="69"/>
  <c r="E32" i="69"/>
  <c r="N9" i="52"/>
  <c r="D275" i="69"/>
  <c r="G34" i="3"/>
  <c r="S13" i="2"/>
  <c r="G33" i="3"/>
  <c r="S12" i="2"/>
  <c r="G32" i="3"/>
  <c r="S11" i="2"/>
  <c r="G31" i="3"/>
  <c r="S10" i="2"/>
  <c r="G30" i="3"/>
  <c r="S9" i="2"/>
  <c r="G29" i="3"/>
  <c r="S8" i="2"/>
  <c r="G28" i="3"/>
  <c r="S7" i="2"/>
  <c r="G27" i="3"/>
  <c r="S6" i="2"/>
  <c r="G26" i="3"/>
  <c r="S5" i="2"/>
  <c r="S4" i="2"/>
  <c r="C213" i="69"/>
  <c r="E213" i="69"/>
  <c r="C207" i="69"/>
  <c r="E207" i="69"/>
  <c r="C206" i="69"/>
  <c r="E206" i="69"/>
  <c r="F209" i="49"/>
  <c r="F208" i="49"/>
  <c r="M10" i="52"/>
  <c r="L10" i="52"/>
  <c r="K10" i="52"/>
  <c r="J10" i="52"/>
  <c r="I10" i="52"/>
  <c r="H10" i="52"/>
  <c r="G10" i="52"/>
  <c r="F10" i="52"/>
  <c r="E10" i="52"/>
  <c r="D10" i="52"/>
  <c r="C10" i="52"/>
  <c r="Q25" i="31"/>
  <c r="P25" i="31"/>
  <c r="O25" i="31"/>
  <c r="N25" i="31"/>
  <c r="M25" i="31"/>
  <c r="L25" i="31"/>
  <c r="K25" i="31"/>
  <c r="J25" i="31"/>
  <c r="I25" i="31"/>
  <c r="H25" i="31"/>
  <c r="G25" i="31"/>
  <c r="F25" i="31"/>
  <c r="I208" i="49"/>
  <c r="C204" i="69"/>
  <c r="E204" i="69"/>
  <c r="H209" i="49"/>
  <c r="C205" i="69"/>
  <c r="E205" i="69" s="1"/>
  <c r="H208" i="49"/>
  <c r="I209" i="49"/>
  <c r="F55" i="68"/>
  <c r="F49" i="68"/>
  <c r="F18" i="68"/>
  <c r="F15" i="68"/>
  <c r="AP91" i="4"/>
  <c r="AP80" i="4"/>
  <c r="AP63" i="4"/>
  <c r="D294" i="69"/>
  <c r="D238" i="69"/>
  <c r="D214" i="69"/>
  <c r="D75" i="69"/>
  <c r="D61" i="69"/>
  <c r="I30" i="49"/>
  <c r="D239" i="69"/>
  <c r="C317" i="69"/>
  <c r="E317" i="69" s="1"/>
  <c r="C315" i="69"/>
  <c r="E315" i="69" s="1"/>
  <c r="C314" i="69"/>
  <c r="E314" i="69" s="1"/>
  <c r="C313" i="69"/>
  <c r="E313" i="69" s="1"/>
  <c r="C312" i="69"/>
  <c r="E312" i="69" s="1"/>
  <c r="C310" i="69"/>
  <c r="E310" i="69" s="1"/>
  <c r="C309" i="69"/>
  <c r="E309" i="69" s="1"/>
  <c r="C308" i="69"/>
  <c r="E308" i="69" s="1"/>
  <c r="C307" i="69"/>
  <c r="E307" i="69" s="1"/>
  <c r="C306" i="69"/>
  <c r="E306" i="69" s="1"/>
  <c r="C305" i="69"/>
  <c r="E305" i="69" s="1"/>
  <c r="C304" i="69"/>
  <c r="E304" i="69" s="1"/>
  <c r="C303" i="69"/>
  <c r="E303" i="69" s="1"/>
  <c r="C302" i="69"/>
  <c r="E302" i="69" s="1"/>
  <c r="C301" i="69"/>
  <c r="E301" i="69" s="1"/>
  <c r="C300" i="69"/>
  <c r="E300" i="69" s="1"/>
  <c r="C299" i="69"/>
  <c r="E299" i="69" s="1"/>
  <c r="C298" i="69"/>
  <c r="E298" i="69" s="1"/>
  <c r="C297" i="69"/>
  <c r="E297" i="69" s="1"/>
  <c r="C293" i="69"/>
  <c r="E293" i="69" s="1"/>
  <c r="C292" i="69"/>
  <c r="E292" i="69" s="1"/>
  <c r="C291" i="69"/>
  <c r="E291" i="69" s="1"/>
  <c r="C290" i="69"/>
  <c r="E290" i="69" s="1"/>
  <c r="C289" i="69"/>
  <c r="E289" i="69" s="1"/>
  <c r="C288" i="69"/>
  <c r="E288" i="69" s="1"/>
  <c r="C286" i="69"/>
  <c r="E286" i="69" s="1"/>
  <c r="C284" i="69"/>
  <c r="E284" i="69" s="1"/>
  <c r="C283" i="69"/>
  <c r="E283" i="69" s="1"/>
  <c r="C282" i="69"/>
  <c r="E282" i="69" s="1"/>
  <c r="C281" i="69"/>
  <c r="E281" i="69" s="1"/>
  <c r="C279" i="69"/>
  <c r="E279" i="69" s="1"/>
  <c r="C278" i="69"/>
  <c r="E278" i="69" s="1"/>
  <c r="C275" i="69"/>
  <c r="E275" i="69" s="1"/>
  <c r="C274" i="69"/>
  <c r="E274" i="69" s="1"/>
  <c r="C273" i="69"/>
  <c r="E273" i="69" s="1"/>
  <c r="C271" i="69"/>
  <c r="E271" i="69" s="1"/>
  <c r="C270" i="69"/>
  <c r="E270" i="69" s="1"/>
  <c r="C268" i="69"/>
  <c r="E268" i="69" s="1"/>
  <c r="C265" i="69"/>
  <c r="E265" i="69" s="1"/>
  <c r="C264" i="69"/>
  <c r="E264" i="69" s="1"/>
  <c r="C263" i="69"/>
  <c r="E263" i="69" s="1"/>
  <c r="C262" i="69"/>
  <c r="E262" i="69" s="1"/>
  <c r="C261" i="69"/>
  <c r="E261" i="69" s="1"/>
  <c r="C260" i="69"/>
  <c r="E260" i="69" s="1"/>
  <c r="C259" i="69"/>
  <c r="E259" i="69" s="1"/>
  <c r="C258" i="69"/>
  <c r="E258" i="69" s="1"/>
  <c r="C256" i="69"/>
  <c r="E256" i="69" s="1"/>
  <c r="C255" i="69"/>
  <c r="E255" i="69" s="1"/>
  <c r="C254" i="69"/>
  <c r="E254" i="69" s="1"/>
  <c r="C253" i="69"/>
  <c r="E253" i="69" s="1"/>
  <c r="C252" i="69"/>
  <c r="E252" i="69" s="1"/>
  <c r="C251" i="69"/>
  <c r="E251" i="69" s="1"/>
  <c r="C250" i="69"/>
  <c r="E250" i="69" s="1"/>
  <c r="C249" i="69"/>
  <c r="E249" i="69" s="1"/>
  <c r="C248" i="69"/>
  <c r="E248" i="69" s="1"/>
  <c r="C247" i="69"/>
  <c r="E247" i="69" s="1"/>
  <c r="C246" i="69"/>
  <c r="E246" i="69" s="1"/>
  <c r="C245" i="69"/>
  <c r="E245" i="69" s="1"/>
  <c r="C244" i="69"/>
  <c r="E244" i="69" s="1"/>
  <c r="C229" i="69"/>
  <c r="E229" i="69" s="1"/>
  <c r="C225" i="69"/>
  <c r="E225" i="69" s="1"/>
  <c r="C210" i="69"/>
  <c r="E210" i="69" s="1"/>
  <c r="F41" i="25"/>
  <c r="C134" i="69"/>
  <c r="E134" i="69" s="1"/>
  <c r="C129" i="69"/>
  <c r="E129" i="69" s="1"/>
  <c r="C125" i="69"/>
  <c r="E125" i="69" s="1"/>
  <c r="C120" i="69"/>
  <c r="E120" i="69" s="1"/>
  <c r="C116" i="69"/>
  <c r="E116" i="69" s="1"/>
  <c r="C97" i="69"/>
  <c r="E97" i="69" s="1"/>
  <c r="C87" i="69"/>
  <c r="E87" i="69" s="1"/>
  <c r="C70" i="69"/>
  <c r="E70" i="69" s="1"/>
  <c r="C69" i="69"/>
  <c r="E69" i="69" s="1"/>
  <c r="C68" i="69"/>
  <c r="E68" i="69" s="1"/>
  <c r="C66" i="69"/>
  <c r="E66" i="69"/>
  <c r="C65" i="69"/>
  <c r="E65" i="69"/>
  <c r="C64" i="69"/>
  <c r="E64" i="69"/>
  <c r="C63" i="69"/>
  <c r="E63" i="69"/>
  <c r="C44" i="69"/>
  <c r="E44" i="69"/>
  <c r="C33" i="69"/>
  <c r="E33" i="69"/>
  <c r="C28" i="69"/>
  <c r="E28" i="69"/>
  <c r="C27" i="69"/>
  <c r="E27" i="69"/>
  <c r="C26" i="69"/>
  <c r="E26" i="69"/>
  <c r="C25" i="69"/>
  <c r="E25" i="69"/>
  <c r="C24" i="69"/>
  <c r="E24" i="69"/>
  <c r="C23" i="69"/>
  <c r="E23" i="69"/>
  <c r="C22" i="69"/>
  <c r="E22" i="69"/>
  <c r="C21" i="69"/>
  <c r="E21" i="69"/>
  <c r="C20" i="69"/>
  <c r="E20" i="69"/>
  <c r="C19" i="69"/>
  <c r="E19" i="69"/>
  <c r="C18" i="69"/>
  <c r="E18" i="69"/>
  <c r="C17" i="69"/>
  <c r="E17" i="69"/>
  <c r="C16" i="69"/>
  <c r="E16" i="69"/>
  <c r="C15" i="69"/>
  <c r="E15" i="69"/>
  <c r="C14" i="69"/>
  <c r="E14" i="69"/>
  <c r="C13" i="69"/>
  <c r="E13" i="69"/>
  <c r="C12" i="69"/>
  <c r="E12" i="69"/>
  <c r="C11" i="69"/>
  <c r="E11" i="69"/>
  <c r="C10" i="69"/>
  <c r="E10" i="69"/>
  <c r="M27" i="52"/>
  <c r="M9" i="55"/>
  <c r="L9" i="55"/>
  <c r="K9" i="55"/>
  <c r="J9" i="55"/>
  <c r="I9" i="55"/>
  <c r="H9" i="55"/>
  <c r="G9" i="55"/>
  <c r="F9" i="55"/>
  <c r="E9" i="55"/>
  <c r="D9" i="55"/>
  <c r="C9" i="55"/>
  <c r="M9" i="54"/>
  <c r="L9" i="54"/>
  <c r="K9" i="54"/>
  <c r="J9" i="54"/>
  <c r="I9" i="54"/>
  <c r="H9" i="54"/>
  <c r="G9" i="54"/>
  <c r="F9" i="54"/>
  <c r="E9" i="54"/>
  <c r="D9" i="54"/>
  <c r="C9" i="54"/>
  <c r="M9" i="53"/>
  <c r="L9" i="53"/>
  <c r="K9" i="53"/>
  <c r="J9" i="53"/>
  <c r="I9" i="53"/>
  <c r="H9" i="53"/>
  <c r="G9" i="53"/>
  <c r="F9" i="53"/>
  <c r="E9" i="53"/>
  <c r="D9" i="53"/>
  <c r="C9" i="53"/>
  <c r="C9" i="69"/>
  <c r="E9" i="69" s="1"/>
  <c r="C276" i="69"/>
  <c r="E276" i="69" s="1"/>
  <c r="C45" i="69"/>
  <c r="E45" i="69" s="1"/>
  <c r="F28" i="68"/>
  <c r="C141" i="69"/>
  <c r="E141" i="69" s="1"/>
  <c r="C277" i="69"/>
  <c r="E277" i="69" s="1"/>
  <c r="C311" i="69"/>
  <c r="E311" i="69" s="1"/>
  <c r="F56" i="68"/>
  <c r="F57" i="68" s="1"/>
  <c r="E337" i="49"/>
  <c r="E349" i="49" s="1"/>
  <c r="C337" i="49"/>
  <c r="C61" i="49"/>
  <c r="I267" i="49"/>
  <c r="F267" i="49"/>
  <c r="I266" i="49"/>
  <c r="F266" i="49"/>
  <c r="I33" i="49"/>
  <c r="F33" i="49"/>
  <c r="H9" i="49"/>
  <c r="F9" i="49"/>
  <c r="I9" i="49"/>
  <c r="H266" i="49"/>
  <c r="H267" i="49"/>
  <c r="E329" i="49"/>
  <c r="F329" i="49" s="1"/>
  <c r="C329" i="49"/>
  <c r="I328" i="49"/>
  <c r="F328" i="49"/>
  <c r="I326" i="49"/>
  <c r="F326" i="49"/>
  <c r="I325" i="49"/>
  <c r="F325" i="49"/>
  <c r="I322" i="49"/>
  <c r="F322" i="49"/>
  <c r="I317" i="49"/>
  <c r="F317" i="49"/>
  <c r="I316" i="49"/>
  <c r="F316" i="49"/>
  <c r="I311" i="49"/>
  <c r="F311" i="49"/>
  <c r="I309" i="49"/>
  <c r="F309" i="49"/>
  <c r="F310" i="49"/>
  <c r="F312" i="49"/>
  <c r="I293" i="49"/>
  <c r="F293" i="49"/>
  <c r="I292" i="49"/>
  <c r="F292" i="49"/>
  <c r="I290" i="49"/>
  <c r="F290" i="49"/>
  <c r="I285" i="49"/>
  <c r="F285" i="49"/>
  <c r="I281" i="49"/>
  <c r="F281" i="49"/>
  <c r="I260" i="49"/>
  <c r="F260" i="49"/>
  <c r="I258" i="49"/>
  <c r="F258" i="49"/>
  <c r="F129" i="49"/>
  <c r="F96" i="49"/>
  <c r="I66" i="49"/>
  <c r="F66" i="49"/>
  <c r="I14" i="49"/>
  <c r="F14" i="49"/>
  <c r="H328" i="49"/>
  <c r="H325" i="49"/>
  <c r="H326" i="49"/>
  <c r="H317" i="49"/>
  <c r="H322" i="49"/>
  <c r="H316" i="49"/>
  <c r="H311" i="49"/>
  <c r="H285" i="49"/>
  <c r="H309" i="49"/>
  <c r="H290" i="49"/>
  <c r="H260" i="49"/>
  <c r="H258" i="49"/>
  <c r="H66" i="49"/>
  <c r="H14" i="49"/>
  <c r="I28" i="49"/>
  <c r="I27" i="49"/>
  <c r="F28" i="49"/>
  <c r="F27" i="49"/>
  <c r="I11" i="49"/>
  <c r="F11" i="49"/>
  <c r="AM88" i="4"/>
  <c r="AM87" i="4"/>
  <c r="AM86" i="4"/>
  <c r="AM85" i="4"/>
  <c r="AM81" i="4"/>
  <c r="AM78" i="4"/>
  <c r="AM77" i="4"/>
  <c r="AM76" i="4"/>
  <c r="AM75" i="4"/>
  <c r="AM74" i="4"/>
  <c r="AL88" i="4"/>
  <c r="AL87" i="4"/>
  <c r="AL86" i="4"/>
  <c r="AL85" i="4"/>
  <c r="AL81" i="4"/>
  <c r="AK88" i="4"/>
  <c r="AK87" i="4"/>
  <c r="AK86" i="4"/>
  <c r="AK85" i="4"/>
  <c r="AK81" i="4"/>
  <c r="AK78" i="4"/>
  <c r="AK77" i="4"/>
  <c r="AK76" i="4"/>
  <c r="AK75" i="4"/>
  <c r="AK74" i="4"/>
  <c r="D68" i="63"/>
  <c r="E129" i="7"/>
  <c r="E118" i="7"/>
  <c r="D70" i="63"/>
  <c r="D69" i="63"/>
  <c r="B70" i="63"/>
  <c r="B69" i="63"/>
  <c r="D88" i="4"/>
  <c r="D87" i="4"/>
  <c r="D86" i="4"/>
  <c r="D85" i="4"/>
  <c r="D81" i="4"/>
  <c r="D78" i="4"/>
  <c r="D77" i="4"/>
  <c r="D76" i="4"/>
  <c r="D75" i="4"/>
  <c r="D74" i="4"/>
  <c r="D64" i="4"/>
  <c r="D61" i="4"/>
  <c r="AA61" i="4"/>
  <c r="AC61" i="4"/>
  <c r="D60" i="4"/>
  <c r="AA60" i="4"/>
  <c r="AC60" i="4"/>
  <c r="D59" i="4"/>
  <c r="AA59" i="4"/>
  <c r="AC59" i="4"/>
  <c r="D58" i="4"/>
  <c r="AA58" i="4"/>
  <c r="AC58" i="4"/>
  <c r="D57" i="4"/>
  <c r="AA57" i="4"/>
  <c r="AC57" i="4"/>
  <c r="D56" i="4"/>
  <c r="AA56" i="4"/>
  <c r="AC56" i="4"/>
  <c r="D55" i="4"/>
  <c r="AA55" i="4"/>
  <c r="AC55" i="4"/>
  <c r="D54" i="4"/>
  <c r="D53" i="4"/>
  <c r="D52" i="4"/>
  <c r="D51" i="4"/>
  <c r="D50" i="4"/>
  <c r="D49" i="4"/>
  <c r="D48" i="4"/>
  <c r="D47" i="4"/>
  <c r="D46" i="4"/>
  <c r="D45" i="4"/>
  <c r="AC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95" i="4"/>
  <c r="D30" i="4"/>
  <c r="D29" i="4"/>
  <c r="D28" i="4"/>
  <c r="D27" i="4"/>
  <c r="D26" i="4"/>
  <c r="D25" i="4"/>
  <c r="I61" i="63"/>
  <c r="B4" i="63"/>
  <c r="A3" i="67"/>
  <c r="G80" i="7"/>
  <c r="G79" i="7"/>
  <c r="G78" i="7"/>
  <c r="G77" i="7"/>
  <c r="G76" i="7"/>
  <c r="G75" i="7"/>
  <c r="G74" i="7"/>
  <c r="G73" i="7"/>
  <c r="G72" i="7"/>
  <c r="G71" i="7"/>
  <c r="G42" i="7"/>
  <c r="G41" i="7"/>
  <c r="G40" i="7"/>
  <c r="G39" i="7"/>
  <c r="G38" i="7"/>
  <c r="G37" i="7"/>
  <c r="G36" i="7"/>
  <c r="G35" i="7"/>
  <c r="G34" i="7"/>
  <c r="G33" i="7"/>
  <c r="G32" i="7"/>
  <c r="G50" i="63"/>
  <c r="AA95" i="4"/>
  <c r="AC95" i="4"/>
  <c r="AA36" i="4"/>
  <c r="AC36" i="4"/>
  <c r="AA65" i="4"/>
  <c r="AC65" i="4"/>
  <c r="AA68" i="4"/>
  <c r="AC68" i="4"/>
  <c r="AA67" i="4"/>
  <c r="AC67" i="4"/>
  <c r="AA66" i="4"/>
  <c r="AC66" i="4"/>
  <c r="AA34" i="4"/>
  <c r="AC34" i="4"/>
  <c r="AA50" i="4"/>
  <c r="AC50" i="4"/>
  <c r="AA43" i="4"/>
  <c r="AC43" i="4"/>
  <c r="AA40" i="4"/>
  <c r="AC40" i="4"/>
  <c r="AA49" i="4"/>
  <c r="AC49" i="4"/>
  <c r="AA38" i="4"/>
  <c r="AC38" i="4"/>
  <c r="AA54" i="4"/>
  <c r="AC54" i="4"/>
  <c r="AA31" i="4"/>
  <c r="AC31" i="4"/>
  <c r="AA47" i="4"/>
  <c r="AC47" i="4"/>
  <c r="AA53" i="4"/>
  <c r="AC53" i="4"/>
  <c r="AA27" i="4"/>
  <c r="AC27" i="4"/>
  <c r="AA26" i="4"/>
  <c r="AC26" i="4"/>
  <c r="AA46" i="4"/>
  <c r="AC46" i="4"/>
  <c r="AA39" i="4"/>
  <c r="AC39" i="4"/>
  <c r="AA44" i="4"/>
  <c r="AC44" i="4"/>
  <c r="AA51" i="4"/>
  <c r="AC51" i="4"/>
  <c r="AA37" i="4"/>
  <c r="AC37" i="4"/>
  <c r="AA28" i="4"/>
  <c r="AC28" i="4"/>
  <c r="AA41" i="4"/>
  <c r="AC41" i="4"/>
  <c r="AA48" i="4"/>
  <c r="AC48" i="4"/>
  <c r="AA52" i="4"/>
  <c r="AC52" i="4"/>
  <c r="AA42" i="4"/>
  <c r="AC42" i="4"/>
  <c r="AA35" i="4"/>
  <c r="AC35" i="4"/>
  <c r="AA33" i="4"/>
  <c r="AC33" i="4"/>
  <c r="AA29" i="4"/>
  <c r="AC29" i="4"/>
  <c r="AA32" i="4"/>
  <c r="AC32" i="4"/>
  <c r="AA30" i="4"/>
  <c r="AC30" i="4"/>
  <c r="AA25" i="4"/>
  <c r="AC25" i="4"/>
  <c r="D15" i="65"/>
  <c r="AK66" i="4"/>
  <c r="AM66" i="4"/>
  <c r="AL66" i="4"/>
  <c r="AL67" i="4"/>
  <c r="AM67" i="4"/>
  <c r="AK67" i="4"/>
  <c r="AM68" i="4"/>
  <c r="AK68" i="4"/>
  <c r="AL68" i="4"/>
  <c r="AK65" i="4"/>
  <c r="AL65" i="4"/>
  <c r="AM65" i="4"/>
  <c r="D21" i="65"/>
  <c r="D20" i="65"/>
  <c r="D19" i="65"/>
  <c r="D18" i="65"/>
  <c r="D17" i="65"/>
  <c r="D16" i="65"/>
  <c r="D22" i="65"/>
  <c r="E15" i="65"/>
  <c r="B106" i="4"/>
  <c r="D27" i="65"/>
  <c r="D26" i="65"/>
  <c r="D25" i="65"/>
  <c r="D24" i="65"/>
  <c r="D13" i="65"/>
  <c r="D12" i="65"/>
  <c r="D11" i="65"/>
  <c r="D10" i="65"/>
  <c r="D9" i="65"/>
  <c r="D8" i="65"/>
  <c r="E19" i="65"/>
  <c r="E21" i="65"/>
  <c r="E18" i="65"/>
  <c r="E17" i="65"/>
  <c r="E20" i="65"/>
  <c r="E16" i="65"/>
  <c r="D4" i="65"/>
  <c r="D3" i="65"/>
  <c r="W98" i="4"/>
  <c r="U98" i="4"/>
  <c r="T98" i="4"/>
  <c r="S98" i="4"/>
  <c r="Q98" i="4"/>
  <c r="P98" i="4"/>
  <c r="N98" i="4"/>
  <c r="M98" i="4"/>
  <c r="L98" i="4"/>
  <c r="K98" i="4"/>
  <c r="J98" i="4"/>
  <c r="W89" i="4"/>
  <c r="U89" i="4"/>
  <c r="T89" i="4"/>
  <c r="S89" i="4"/>
  <c r="Q89" i="4"/>
  <c r="P89" i="4"/>
  <c r="N89" i="4"/>
  <c r="M89" i="4"/>
  <c r="L89" i="4"/>
  <c r="K89" i="4"/>
  <c r="J89" i="4"/>
  <c r="T62" i="4"/>
  <c r="N62" i="4"/>
  <c r="W79" i="4"/>
  <c r="U79" i="4"/>
  <c r="T79" i="4"/>
  <c r="S79" i="4"/>
  <c r="Q79" i="4"/>
  <c r="P79" i="4"/>
  <c r="N79" i="4"/>
  <c r="M79" i="4"/>
  <c r="L79" i="4"/>
  <c r="K79" i="4"/>
  <c r="J79" i="4"/>
  <c r="I79" i="4"/>
  <c r="H79" i="4"/>
  <c r="V92" i="4"/>
  <c r="R92" i="4"/>
  <c r="O92" i="4"/>
  <c r="V88" i="4"/>
  <c r="R88" i="4"/>
  <c r="O88" i="4"/>
  <c r="V87" i="4"/>
  <c r="R87" i="4"/>
  <c r="O87" i="4"/>
  <c r="V86" i="4"/>
  <c r="R86" i="4"/>
  <c r="O86" i="4"/>
  <c r="V85" i="4"/>
  <c r="R85" i="4"/>
  <c r="O85" i="4"/>
  <c r="V81" i="4"/>
  <c r="R81" i="4"/>
  <c r="O81" i="4"/>
  <c r="V78" i="4"/>
  <c r="R78" i="4"/>
  <c r="O78" i="4"/>
  <c r="V77" i="4"/>
  <c r="R77" i="4"/>
  <c r="O77" i="4"/>
  <c r="V76" i="4"/>
  <c r="R76" i="4"/>
  <c r="O76" i="4"/>
  <c r="V75" i="4"/>
  <c r="R75" i="4"/>
  <c r="O75" i="4"/>
  <c r="V74" i="4"/>
  <c r="R74" i="4"/>
  <c r="O74" i="4"/>
  <c r="V64" i="4"/>
  <c r="R64" i="4"/>
  <c r="O64" i="4"/>
  <c r="V22" i="4"/>
  <c r="O22" i="4"/>
  <c r="N90" i="4"/>
  <c r="T90" i="4"/>
  <c r="N119" i="4"/>
  <c r="V79" i="4"/>
  <c r="O98" i="4"/>
  <c r="R98" i="4"/>
  <c r="T119" i="4"/>
  <c r="V98" i="4"/>
  <c r="V89" i="4"/>
  <c r="O79" i="4"/>
  <c r="O89" i="4"/>
  <c r="R89" i="4"/>
  <c r="R79" i="4"/>
  <c r="X92" i="4"/>
  <c r="X79" i="4"/>
  <c r="X89" i="4"/>
  <c r="X98" i="4"/>
  <c r="I27" i="52"/>
  <c r="I28" i="52"/>
  <c r="I30" i="52"/>
  <c r="F27" i="52"/>
  <c r="F28" i="52"/>
  <c r="F30" i="52"/>
  <c r="G27" i="52"/>
  <c r="G28" i="52"/>
  <c r="G30" i="52"/>
  <c r="H27" i="52"/>
  <c r="H28" i="52"/>
  <c r="H30" i="52"/>
  <c r="I26" i="55"/>
  <c r="I28" i="55"/>
  <c r="H26" i="55"/>
  <c r="H28" i="55"/>
  <c r="G26" i="55"/>
  <c r="G28" i="55"/>
  <c r="F26" i="55"/>
  <c r="I26" i="54"/>
  <c r="I28" i="54"/>
  <c r="H26" i="54"/>
  <c r="H28" i="54"/>
  <c r="G26" i="54"/>
  <c r="G28" i="54"/>
  <c r="F26" i="54"/>
  <c r="F28" i="54"/>
  <c r="G51" i="7"/>
  <c r="G50" i="7"/>
  <c r="G49" i="7"/>
  <c r="G48" i="7"/>
  <c r="G47" i="7"/>
  <c r="G46" i="7"/>
  <c r="G45" i="7"/>
  <c r="G44" i="7"/>
  <c r="F28" i="55"/>
  <c r="G25" i="53"/>
  <c r="G26" i="53"/>
  <c r="G28" i="53"/>
  <c r="H25" i="53"/>
  <c r="H26" i="53"/>
  <c r="H28" i="53"/>
  <c r="F25" i="53"/>
  <c r="F26" i="53"/>
  <c r="F28" i="53"/>
  <c r="I25" i="53"/>
  <c r="I26" i="53"/>
  <c r="I28" i="53"/>
  <c r="E102" i="7"/>
  <c r="AN88" i="4"/>
  <c r="AN87" i="4"/>
  <c r="AN86" i="4"/>
  <c r="AN85" i="4"/>
  <c r="AN78" i="4"/>
  <c r="AN77" i="4"/>
  <c r="AN76" i="4"/>
  <c r="AN75" i="4"/>
  <c r="AN74" i="4"/>
  <c r="Q29" i="38"/>
  <c r="P29" i="38"/>
  <c r="O29" i="38"/>
  <c r="N29" i="38"/>
  <c r="M29" i="38"/>
  <c r="L29" i="38"/>
  <c r="K29" i="38"/>
  <c r="J29" i="38"/>
  <c r="I29" i="38"/>
  <c r="H29" i="38"/>
  <c r="G29" i="38"/>
  <c r="F29" i="38"/>
  <c r="R41" i="25"/>
  <c r="Q41" i="25"/>
  <c r="P41" i="25"/>
  <c r="O41" i="25"/>
  <c r="N41" i="25"/>
  <c r="M41" i="25"/>
  <c r="L41" i="25"/>
  <c r="K41" i="25"/>
  <c r="J41" i="25"/>
  <c r="I41" i="25"/>
  <c r="H41" i="25"/>
  <c r="G41" i="25"/>
  <c r="C25" i="53"/>
  <c r="F336" i="49"/>
  <c r="F335" i="49"/>
  <c r="F334" i="49"/>
  <c r="F333" i="49"/>
  <c r="F332" i="49"/>
  <c r="F327" i="49"/>
  <c r="F324" i="49"/>
  <c r="F323" i="49"/>
  <c r="F321" i="49"/>
  <c r="F320" i="49"/>
  <c r="F319" i="49"/>
  <c r="F318" i="49"/>
  <c r="F315" i="49"/>
  <c r="F314" i="49"/>
  <c r="F313" i="49"/>
  <c r="F308" i="49"/>
  <c r="F307" i="49"/>
  <c r="F306" i="49"/>
  <c r="F304" i="49"/>
  <c r="F303" i="49"/>
  <c r="F302" i="49"/>
  <c r="F301" i="49"/>
  <c r="F300" i="49"/>
  <c r="F299" i="49"/>
  <c r="F298" i="49"/>
  <c r="F297" i="49"/>
  <c r="F296" i="49"/>
  <c r="F295" i="49"/>
  <c r="F294" i="49"/>
  <c r="F291" i="49"/>
  <c r="F289" i="49"/>
  <c r="F288" i="49"/>
  <c r="F287" i="49"/>
  <c r="F286" i="49"/>
  <c r="F284" i="49"/>
  <c r="F283" i="49"/>
  <c r="F282" i="49"/>
  <c r="F280" i="49"/>
  <c r="F279" i="49"/>
  <c r="F278" i="49"/>
  <c r="F277" i="49"/>
  <c r="F276" i="49"/>
  <c r="F275" i="49"/>
  <c r="F274" i="49"/>
  <c r="F273" i="49"/>
  <c r="F272" i="49"/>
  <c r="F271" i="49"/>
  <c r="F270" i="49"/>
  <c r="F269" i="49"/>
  <c r="F268" i="49"/>
  <c r="F265" i="49"/>
  <c r="F264" i="49"/>
  <c r="F263" i="49"/>
  <c r="F262" i="49"/>
  <c r="F261" i="49"/>
  <c r="F259" i="49"/>
  <c r="F257" i="49"/>
  <c r="F256" i="49"/>
  <c r="F255" i="49"/>
  <c r="F254" i="49"/>
  <c r="F253" i="49"/>
  <c r="F247" i="49"/>
  <c r="F245" i="49"/>
  <c r="F243" i="49"/>
  <c r="F241" i="49"/>
  <c r="F240" i="49"/>
  <c r="F239" i="49"/>
  <c r="F237" i="49"/>
  <c r="F236" i="49"/>
  <c r="F235" i="49"/>
  <c r="F233" i="49"/>
  <c r="F231" i="49"/>
  <c r="F229" i="49"/>
  <c r="F227" i="49"/>
  <c r="F226" i="49"/>
  <c r="F224" i="49"/>
  <c r="F220" i="49"/>
  <c r="F217" i="49"/>
  <c r="F215" i="49"/>
  <c r="F214" i="49"/>
  <c r="F213" i="49"/>
  <c r="F206" i="49"/>
  <c r="F204" i="49"/>
  <c r="F202" i="49"/>
  <c r="F200" i="49"/>
  <c r="F198" i="49"/>
  <c r="F196" i="49"/>
  <c r="F194" i="49"/>
  <c r="F192" i="49"/>
  <c r="F190" i="49"/>
  <c r="F188" i="49"/>
  <c r="F186" i="49"/>
  <c r="F184" i="49"/>
  <c r="F181" i="49"/>
  <c r="F175" i="49"/>
  <c r="F170" i="49"/>
  <c r="F169" i="49"/>
  <c r="F162" i="49"/>
  <c r="F161" i="49"/>
  <c r="F154" i="49"/>
  <c r="F153" i="49"/>
  <c r="F149" i="49"/>
  <c r="F147" i="49"/>
  <c r="F145" i="49"/>
  <c r="F141" i="49"/>
  <c r="F140" i="49"/>
  <c r="F139" i="49"/>
  <c r="F137" i="49"/>
  <c r="F135" i="49"/>
  <c r="F131" i="49"/>
  <c r="F130" i="49"/>
  <c r="F125" i="49"/>
  <c r="F123" i="49"/>
  <c r="F122" i="49"/>
  <c r="F118" i="49"/>
  <c r="F117" i="49"/>
  <c r="F114" i="49"/>
  <c r="F113" i="49"/>
  <c r="F110" i="49"/>
  <c r="F109" i="49"/>
  <c r="F108" i="49"/>
  <c r="F106" i="49"/>
  <c r="F105" i="49"/>
  <c r="F104" i="49"/>
  <c r="F101" i="49"/>
  <c r="F98" i="49"/>
  <c r="F97" i="49"/>
  <c r="F93" i="49"/>
  <c r="F91" i="49"/>
  <c r="F90" i="49"/>
  <c r="F89" i="49"/>
  <c r="F88" i="49"/>
  <c r="F87" i="49"/>
  <c r="F85" i="49"/>
  <c r="F84" i="49"/>
  <c r="F82" i="49"/>
  <c r="F78" i="49"/>
  <c r="F77" i="49"/>
  <c r="F75" i="49"/>
  <c r="F74" i="49"/>
  <c r="F72" i="49"/>
  <c r="F70" i="49"/>
  <c r="F69" i="49"/>
  <c r="F68" i="49"/>
  <c r="F67" i="49"/>
  <c r="F65" i="49"/>
  <c r="F64" i="49"/>
  <c r="F63" i="49"/>
  <c r="F62" i="49"/>
  <c r="F60" i="49"/>
  <c r="F58" i="49"/>
  <c r="F56" i="49"/>
  <c r="F55" i="49"/>
  <c r="F54" i="49"/>
  <c r="F53" i="49"/>
  <c r="F52" i="49"/>
  <c r="F51" i="49"/>
  <c r="F50" i="49"/>
  <c r="F47" i="49"/>
  <c r="F45" i="49"/>
  <c r="F43" i="49"/>
  <c r="F32" i="49"/>
  <c r="F31" i="49"/>
  <c r="F30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3" i="49"/>
  <c r="F12" i="49"/>
  <c r="F10" i="49"/>
  <c r="E24" i="31"/>
  <c r="E16" i="31"/>
  <c r="F46" i="68"/>
  <c r="I98" i="4"/>
  <c r="E29" i="38"/>
  <c r="F52" i="68"/>
  <c r="F53" i="68"/>
  <c r="E25" i="31"/>
  <c r="AC92" i="4"/>
  <c r="G97" i="4"/>
  <c r="G96" i="4"/>
  <c r="G94" i="4"/>
  <c r="G93" i="4"/>
  <c r="G92" i="4"/>
  <c r="AG88" i="4"/>
  <c r="AE88" i="4"/>
  <c r="AG87" i="4"/>
  <c r="AE87" i="4"/>
  <c r="AG86" i="4"/>
  <c r="AE86" i="4"/>
  <c r="AG85" i="4"/>
  <c r="AE85" i="4"/>
  <c r="AG78" i="4"/>
  <c r="AE78" i="4"/>
  <c r="AG77" i="4"/>
  <c r="AE77" i="4"/>
  <c r="AG76" i="4"/>
  <c r="AE76" i="4"/>
  <c r="AG75" i="4"/>
  <c r="AE75" i="4"/>
  <c r="AG74" i="4"/>
  <c r="AE74" i="4"/>
  <c r="G22" i="4"/>
  <c r="D24" i="4"/>
  <c r="AA24" i="4"/>
  <c r="AC24" i="4"/>
  <c r="D305" i="49"/>
  <c r="D330" i="49" s="1"/>
  <c r="D225" i="49"/>
  <c r="D250" i="49" s="1"/>
  <c r="D76" i="49"/>
  <c r="D73" i="49"/>
  <c r="H52" i="3"/>
  <c r="H51" i="3"/>
  <c r="H50" i="3"/>
  <c r="H49" i="3"/>
  <c r="H48" i="3"/>
  <c r="H47" i="3"/>
  <c r="H46" i="3"/>
  <c r="H45" i="3"/>
  <c r="H44" i="3"/>
  <c r="H43" i="3"/>
  <c r="H42" i="3"/>
  <c r="H41" i="3"/>
  <c r="H36" i="3"/>
  <c r="H35" i="3"/>
  <c r="H34" i="3"/>
  <c r="H33" i="3"/>
  <c r="H32" i="3"/>
  <c r="H31" i="3"/>
  <c r="H30" i="3"/>
  <c r="H29" i="3"/>
  <c r="H28" i="3"/>
  <c r="H27" i="3"/>
  <c r="H26" i="3"/>
  <c r="H25" i="3"/>
  <c r="I333" i="49"/>
  <c r="I332" i="49"/>
  <c r="I307" i="49"/>
  <c r="I306" i="49"/>
  <c r="I254" i="49"/>
  <c r="I253" i="49"/>
  <c r="I84" i="49"/>
  <c r="I78" i="49"/>
  <c r="I77" i="49"/>
  <c r="I74" i="49"/>
  <c r="I62" i="49"/>
  <c r="I32" i="49"/>
  <c r="I31" i="49"/>
  <c r="I70" i="49"/>
  <c r="I44" i="49"/>
  <c r="F34" i="49"/>
  <c r="I289" i="49"/>
  <c r="I24" i="49"/>
  <c r="I13" i="49"/>
  <c r="I10" i="49"/>
  <c r="I324" i="49"/>
  <c r="I323" i="49"/>
  <c r="I321" i="49"/>
  <c r="I320" i="49"/>
  <c r="I319" i="49"/>
  <c r="I318" i="49"/>
  <c r="I315" i="49"/>
  <c r="I314" i="49"/>
  <c r="I313" i="49"/>
  <c r="I312" i="49"/>
  <c r="I310" i="49"/>
  <c r="I304" i="49"/>
  <c r="I303" i="49"/>
  <c r="I302" i="49"/>
  <c r="I301" i="49"/>
  <c r="I300" i="49"/>
  <c r="I299" i="49"/>
  <c r="I298" i="49"/>
  <c r="I297" i="49"/>
  <c r="I296" i="49"/>
  <c r="I295" i="49"/>
  <c r="I294" i="49"/>
  <c r="I291" i="49"/>
  <c r="I288" i="49"/>
  <c r="I287" i="49"/>
  <c r="I286" i="49"/>
  <c r="I284" i="49"/>
  <c r="I282" i="49"/>
  <c r="I280" i="49"/>
  <c r="I277" i="49"/>
  <c r="I276" i="49"/>
  <c r="I275" i="49"/>
  <c r="I274" i="49"/>
  <c r="I273" i="49"/>
  <c r="I272" i="49"/>
  <c r="I271" i="49"/>
  <c r="I270" i="49"/>
  <c r="I269" i="49"/>
  <c r="I268" i="49"/>
  <c r="I265" i="49"/>
  <c r="I264" i="49"/>
  <c r="I263" i="49"/>
  <c r="I262" i="49"/>
  <c r="I261" i="49"/>
  <c r="I259" i="49"/>
  <c r="I257" i="49"/>
  <c r="I256" i="49"/>
  <c r="I255" i="49"/>
  <c r="I224" i="49"/>
  <c r="I217" i="49"/>
  <c r="I214" i="49"/>
  <c r="I213" i="49"/>
  <c r="I168" i="49"/>
  <c r="I160" i="49"/>
  <c r="I147" i="49"/>
  <c r="I145" i="49"/>
  <c r="I142" i="49"/>
  <c r="I139" i="49"/>
  <c r="I131" i="49"/>
  <c r="I126" i="49"/>
  <c r="I125" i="49"/>
  <c r="I117" i="49"/>
  <c r="I97" i="49"/>
  <c r="I94" i="49"/>
  <c r="I91" i="49"/>
  <c r="I89" i="49"/>
  <c r="I88" i="49"/>
  <c r="I69" i="49"/>
  <c r="I68" i="49"/>
  <c r="I65" i="49"/>
  <c r="I64" i="49"/>
  <c r="I63" i="49"/>
  <c r="I45" i="49"/>
  <c r="I26" i="49"/>
  <c r="I25" i="49"/>
  <c r="I23" i="49"/>
  <c r="I22" i="49"/>
  <c r="I21" i="49"/>
  <c r="I20" i="49"/>
  <c r="I19" i="49"/>
  <c r="I18" i="49"/>
  <c r="I17" i="49"/>
  <c r="I16" i="49"/>
  <c r="I15" i="49"/>
  <c r="F8" i="49"/>
  <c r="I240" i="49"/>
  <c r="I236" i="49"/>
  <c r="I308" i="49"/>
  <c r="I12" i="49"/>
  <c r="D97" i="4"/>
  <c r="D96" i="4"/>
  <c r="Z78" i="4"/>
  <c r="G78" i="4"/>
  <c r="AA78" i="4"/>
  <c r="AC78" i="4"/>
  <c r="Z77" i="4"/>
  <c r="G77" i="4"/>
  <c r="AA77" i="4"/>
  <c r="AC77" i="4"/>
  <c r="Z76" i="4"/>
  <c r="G76" i="4"/>
  <c r="AA76" i="4"/>
  <c r="AC76" i="4"/>
  <c r="Z75" i="4"/>
  <c r="G75" i="4"/>
  <c r="AA75" i="4"/>
  <c r="AC75" i="4"/>
  <c r="B19" i="4"/>
  <c r="G61" i="4"/>
  <c r="G60" i="4"/>
  <c r="G59" i="4"/>
  <c r="G58" i="4"/>
  <c r="G57" i="4"/>
  <c r="G56" i="4"/>
  <c r="G55" i="4"/>
  <c r="G54" i="4"/>
  <c r="AL54" i="4"/>
  <c r="G53" i="4"/>
  <c r="AL53" i="4"/>
  <c r="G52" i="4"/>
  <c r="AL52" i="4"/>
  <c r="G51" i="4"/>
  <c r="AL51" i="4"/>
  <c r="G50" i="4"/>
  <c r="AL50" i="4"/>
  <c r="G49" i="4"/>
  <c r="AL49" i="4"/>
  <c r="G48" i="4"/>
  <c r="AL48" i="4"/>
  <c r="G47" i="4"/>
  <c r="AL47" i="4"/>
  <c r="G46" i="4"/>
  <c r="AL46" i="4"/>
  <c r="G45" i="4"/>
  <c r="AL45" i="4"/>
  <c r="G44" i="4"/>
  <c r="AL44" i="4"/>
  <c r="G43" i="4"/>
  <c r="AL43" i="4"/>
  <c r="G42" i="4"/>
  <c r="AL42" i="4"/>
  <c r="G41" i="4"/>
  <c r="AL41" i="4"/>
  <c r="G40" i="4"/>
  <c r="G39" i="4"/>
  <c r="AL39" i="4"/>
  <c r="G38" i="4"/>
  <c r="AL38" i="4"/>
  <c r="G37" i="4"/>
  <c r="AL37" i="4"/>
  <c r="G36" i="4"/>
  <c r="G35" i="4"/>
  <c r="AL35" i="4"/>
  <c r="G34" i="4"/>
  <c r="G33" i="4"/>
  <c r="AL33" i="4"/>
  <c r="G32" i="4"/>
  <c r="AL32" i="4"/>
  <c r="G31" i="4"/>
  <c r="AL31" i="4"/>
  <c r="G95" i="4"/>
  <c r="AL95" i="4"/>
  <c r="G30" i="4"/>
  <c r="AL30" i="4"/>
  <c r="G29" i="4"/>
  <c r="AL29" i="4"/>
  <c r="G28" i="4"/>
  <c r="AL28" i="4"/>
  <c r="G27" i="4"/>
  <c r="AL27" i="4"/>
  <c r="G26" i="4"/>
  <c r="AL26" i="4"/>
  <c r="G25" i="4"/>
  <c r="AL25" i="4"/>
  <c r="AM26" i="4"/>
  <c r="AK26" i="4"/>
  <c r="AK28" i="4"/>
  <c r="AM28" i="4"/>
  <c r="AM30" i="4"/>
  <c r="AK30" i="4"/>
  <c r="AM31" i="4"/>
  <c r="AK31" i="4"/>
  <c r="AM33" i="4"/>
  <c r="AK33" i="4"/>
  <c r="AM35" i="4"/>
  <c r="AK35" i="4"/>
  <c r="AM37" i="4"/>
  <c r="AK37" i="4"/>
  <c r="AM39" i="4"/>
  <c r="AK39" i="4"/>
  <c r="AM41" i="4"/>
  <c r="AK41" i="4"/>
  <c r="AM43" i="4"/>
  <c r="AK43" i="4"/>
  <c r="AM45" i="4"/>
  <c r="AM47" i="4"/>
  <c r="AK47" i="4"/>
  <c r="AM49" i="4"/>
  <c r="AK49" i="4"/>
  <c r="AM51" i="4"/>
  <c r="AK51" i="4"/>
  <c r="AM53" i="4"/>
  <c r="AK53" i="4"/>
  <c r="AM56" i="4"/>
  <c r="AK56" i="4"/>
  <c r="AM58" i="4"/>
  <c r="AK58" i="4"/>
  <c r="AM60" i="4"/>
  <c r="AK60" i="4"/>
  <c r="AK27" i="4"/>
  <c r="AM27" i="4"/>
  <c r="AK29" i="4"/>
  <c r="AM29" i="4"/>
  <c r="AM95" i="4"/>
  <c r="AK95" i="4"/>
  <c r="AM32" i="4"/>
  <c r="AK32" i="4"/>
  <c r="AM34" i="4"/>
  <c r="AK34" i="4"/>
  <c r="AM36" i="4"/>
  <c r="AK36" i="4"/>
  <c r="AM38" i="4"/>
  <c r="AK38" i="4"/>
  <c r="AM40" i="4"/>
  <c r="AK40" i="4"/>
  <c r="AM42" i="4"/>
  <c r="AK42" i="4"/>
  <c r="AM44" i="4"/>
  <c r="AK44" i="4"/>
  <c r="AM46" i="4"/>
  <c r="AK46" i="4"/>
  <c r="AM48" i="4"/>
  <c r="AK48" i="4"/>
  <c r="AM50" i="4"/>
  <c r="AK50" i="4"/>
  <c r="AM52" i="4"/>
  <c r="AK52" i="4"/>
  <c r="AK54" i="4"/>
  <c r="AM54" i="4"/>
  <c r="AM55" i="4"/>
  <c r="AK55" i="4"/>
  <c r="AK57" i="4"/>
  <c r="AM57" i="4"/>
  <c r="AM59" i="4"/>
  <c r="AK59" i="4"/>
  <c r="AK61" i="4"/>
  <c r="AM61" i="4"/>
  <c r="AM25" i="4"/>
  <c r="AK25" i="4"/>
  <c r="X75" i="4"/>
  <c r="Y75" i="4"/>
  <c r="X76" i="4"/>
  <c r="Y76" i="4"/>
  <c r="X77" i="4"/>
  <c r="Y77" i="4"/>
  <c r="X78" i="4"/>
  <c r="Y78" i="4"/>
  <c r="C249" i="49"/>
  <c r="C76" i="49"/>
  <c r="I62" i="4"/>
  <c r="I89" i="4"/>
  <c r="I90" i="4"/>
  <c r="I119" i="4"/>
  <c r="I64" i="63"/>
  <c r="I63" i="63"/>
  <c r="I62" i="63"/>
  <c r="C4" i="63"/>
  <c r="A3" i="38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A3" i="37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A3" i="36"/>
  <c r="Q37" i="35"/>
  <c r="P37" i="35"/>
  <c r="O37" i="35"/>
  <c r="N37" i="35"/>
  <c r="M37" i="35"/>
  <c r="L37" i="35"/>
  <c r="K37" i="35"/>
  <c r="J37" i="35"/>
  <c r="I37" i="35"/>
  <c r="H37" i="35"/>
  <c r="G37" i="35"/>
  <c r="F37" i="35"/>
  <c r="A3" i="35"/>
  <c r="P27" i="58"/>
  <c r="O27" i="58"/>
  <c r="N27" i="58"/>
  <c r="M27" i="58"/>
  <c r="L27" i="58"/>
  <c r="K27" i="58"/>
  <c r="J27" i="58"/>
  <c r="I27" i="58"/>
  <c r="H27" i="58"/>
  <c r="G27" i="58"/>
  <c r="F27" i="58"/>
  <c r="E27" i="58"/>
  <c r="D27" i="58"/>
  <c r="A3" i="58"/>
  <c r="P34" i="30"/>
  <c r="O34" i="30"/>
  <c r="N34" i="30"/>
  <c r="M34" i="30"/>
  <c r="L34" i="30"/>
  <c r="K34" i="30"/>
  <c r="J34" i="30"/>
  <c r="I34" i="30"/>
  <c r="H34" i="30"/>
  <c r="G34" i="30"/>
  <c r="F34" i="30"/>
  <c r="E34" i="30"/>
  <c r="A3" i="30"/>
  <c r="A3" i="31"/>
  <c r="A3" i="25"/>
  <c r="G143" i="49"/>
  <c r="A3" i="61"/>
  <c r="A3" i="57"/>
  <c r="A3" i="56"/>
  <c r="M26" i="55"/>
  <c r="L26" i="55"/>
  <c r="K26" i="55"/>
  <c r="J26" i="55"/>
  <c r="E26" i="55"/>
  <c r="D26" i="55"/>
  <c r="C26" i="55"/>
  <c r="N25" i="55"/>
  <c r="N24" i="55"/>
  <c r="N23" i="55"/>
  <c r="N22" i="55"/>
  <c r="N20" i="55"/>
  <c r="N19" i="55"/>
  <c r="N18" i="55"/>
  <c r="N17" i="55"/>
  <c r="N16" i="55"/>
  <c r="N15" i="55"/>
  <c r="N14" i="55"/>
  <c r="N13" i="55"/>
  <c r="N12" i="55"/>
  <c r="N8" i="55"/>
  <c r="A3" i="55"/>
  <c r="M26" i="54"/>
  <c r="L26" i="54"/>
  <c r="K26" i="54"/>
  <c r="J26" i="54"/>
  <c r="J28" i="54"/>
  <c r="E26" i="54"/>
  <c r="D26" i="54"/>
  <c r="C26" i="54"/>
  <c r="N25" i="54"/>
  <c r="N24" i="54"/>
  <c r="N23" i="54"/>
  <c r="N22" i="54"/>
  <c r="N20" i="54"/>
  <c r="N19" i="54"/>
  <c r="N18" i="54"/>
  <c r="N17" i="54"/>
  <c r="N16" i="54"/>
  <c r="N15" i="54"/>
  <c r="N14" i="54"/>
  <c r="N13" i="54"/>
  <c r="N12" i="54"/>
  <c r="N8" i="54"/>
  <c r="A3" i="54"/>
  <c r="C26" i="53"/>
  <c r="N24" i="53"/>
  <c r="N23" i="53"/>
  <c r="N22" i="53"/>
  <c r="N20" i="53"/>
  <c r="N19" i="53"/>
  <c r="N18" i="53"/>
  <c r="N17" i="53"/>
  <c r="N16" i="53"/>
  <c r="N15" i="53"/>
  <c r="N14" i="53"/>
  <c r="N13" i="53"/>
  <c r="N12" i="53"/>
  <c r="M25" i="53"/>
  <c r="M26" i="53"/>
  <c r="L25" i="53"/>
  <c r="L26" i="53"/>
  <c r="K25" i="53"/>
  <c r="K26" i="53"/>
  <c r="J25" i="53"/>
  <c r="J26" i="53"/>
  <c r="E25" i="53"/>
  <c r="E26" i="53"/>
  <c r="D25" i="53"/>
  <c r="N8" i="53"/>
  <c r="A3" i="53"/>
  <c r="N26" i="52"/>
  <c r="N25" i="52"/>
  <c r="D169" i="69"/>
  <c r="N24" i="52"/>
  <c r="D156" i="69"/>
  <c r="N23" i="52"/>
  <c r="D152" i="69"/>
  <c r="N22" i="52"/>
  <c r="D150" i="69"/>
  <c r="N21" i="52"/>
  <c r="D148" i="69"/>
  <c r="N20" i="52"/>
  <c r="D140" i="69"/>
  <c r="N19" i="52"/>
  <c r="D139" i="69"/>
  <c r="N18" i="52"/>
  <c r="D111" i="69"/>
  <c r="N17" i="52"/>
  <c r="D110" i="69"/>
  <c r="N16" i="52"/>
  <c r="D103" i="69"/>
  <c r="N15" i="52"/>
  <c r="D91" i="69"/>
  <c r="N14" i="52"/>
  <c r="D87" i="69"/>
  <c r="N13" i="52"/>
  <c r="C27" i="52"/>
  <c r="C28" i="52"/>
  <c r="N8" i="52"/>
  <c r="D8" i="69"/>
  <c r="A3" i="52"/>
  <c r="G387" i="45"/>
  <c r="G421" i="45"/>
  <c r="D58" i="45"/>
  <c r="D40" i="45"/>
  <c r="A23" i="45"/>
  <c r="G128" i="7"/>
  <c r="G127" i="7"/>
  <c r="G126" i="7"/>
  <c r="G125" i="7"/>
  <c r="G124" i="7"/>
  <c r="G123" i="7"/>
  <c r="G122" i="7"/>
  <c r="G121" i="7"/>
  <c r="G120" i="7"/>
  <c r="G117" i="7"/>
  <c r="G116" i="7"/>
  <c r="G115" i="7"/>
  <c r="G114" i="7"/>
  <c r="G113" i="7"/>
  <c r="G112" i="7"/>
  <c r="G111" i="7"/>
  <c r="G110" i="7"/>
  <c r="G109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70" i="7"/>
  <c r="G69" i="7"/>
  <c r="G68" i="7"/>
  <c r="G67" i="7"/>
  <c r="G66" i="7"/>
  <c r="E64" i="7"/>
  <c r="G63" i="7"/>
  <c r="G62" i="7"/>
  <c r="G61" i="7"/>
  <c r="G60" i="7"/>
  <c r="G59" i="7"/>
  <c r="G58" i="7"/>
  <c r="G57" i="7"/>
  <c r="G56" i="7"/>
  <c r="G55" i="7"/>
  <c r="G54" i="7"/>
  <c r="G53" i="7"/>
  <c r="G52" i="7"/>
  <c r="G43" i="7"/>
  <c r="G31" i="7"/>
  <c r="G30" i="7"/>
  <c r="G29" i="7"/>
  <c r="G28" i="7"/>
  <c r="G27" i="7"/>
  <c r="C23" i="7"/>
  <c r="C27" i="65"/>
  <c r="C26" i="65"/>
  <c r="C25" i="65"/>
  <c r="C24" i="65"/>
  <c r="C13" i="65"/>
  <c r="C12" i="65"/>
  <c r="C11" i="65"/>
  <c r="C10" i="65"/>
  <c r="C9" i="65"/>
  <c r="C8" i="65"/>
  <c r="AF98" i="4"/>
  <c r="D94" i="4"/>
  <c r="D93" i="4"/>
  <c r="Z92" i="4"/>
  <c r="Y92" i="4"/>
  <c r="D92" i="4"/>
  <c r="AF89" i="4"/>
  <c r="Z88" i="4"/>
  <c r="G88" i="4"/>
  <c r="AA88" i="4"/>
  <c r="AC88" i="4"/>
  <c r="Z87" i="4"/>
  <c r="G87" i="4"/>
  <c r="AA87" i="4"/>
  <c r="AC87" i="4"/>
  <c r="Z86" i="4"/>
  <c r="G86" i="4"/>
  <c r="AA86" i="4"/>
  <c r="AC86" i="4"/>
  <c r="Z85" i="4"/>
  <c r="G85" i="4"/>
  <c r="AA85" i="4"/>
  <c r="AC85" i="4"/>
  <c r="Z81" i="4"/>
  <c r="G81" i="4"/>
  <c r="AA81" i="4"/>
  <c r="AC81" i="4"/>
  <c r="AF79" i="4"/>
  <c r="Z74" i="4"/>
  <c r="G74" i="4"/>
  <c r="AA74" i="4"/>
  <c r="AC74" i="4"/>
  <c r="Z64" i="4"/>
  <c r="G64" i="4"/>
  <c r="AA64" i="4"/>
  <c r="AC64" i="4"/>
  <c r="AF62" i="4"/>
  <c r="W62" i="4"/>
  <c r="U62" i="4"/>
  <c r="S62" i="4"/>
  <c r="Q62" i="4"/>
  <c r="P62" i="4"/>
  <c r="M62" i="4"/>
  <c r="L62" i="4"/>
  <c r="K62" i="4"/>
  <c r="J62" i="4"/>
  <c r="H62" i="4"/>
  <c r="G24" i="4"/>
  <c r="G23" i="4"/>
  <c r="D23" i="4"/>
  <c r="AA23" i="4"/>
  <c r="AC23" i="4"/>
  <c r="Z22" i="4"/>
  <c r="R22" i="4"/>
  <c r="D22" i="4"/>
  <c r="AA22" i="4"/>
  <c r="AC22" i="4"/>
  <c r="I52" i="3"/>
  <c r="I49" i="3"/>
  <c r="I48" i="3"/>
  <c r="I47" i="3"/>
  <c r="I45" i="3"/>
  <c r="I42" i="3"/>
  <c r="K36" i="3"/>
  <c r="I36" i="3"/>
  <c r="K52" i="3"/>
  <c r="E36" i="3"/>
  <c r="K35" i="3"/>
  <c r="I35" i="3"/>
  <c r="I51" i="3"/>
  <c r="E35" i="3"/>
  <c r="K34" i="3"/>
  <c r="I34" i="3"/>
  <c r="K50" i="3"/>
  <c r="E34" i="3"/>
  <c r="K33" i="3"/>
  <c r="I33" i="3"/>
  <c r="K49" i="3"/>
  <c r="E33" i="3"/>
  <c r="K32" i="3"/>
  <c r="I32" i="3"/>
  <c r="K48" i="3"/>
  <c r="E32" i="3"/>
  <c r="K31" i="3"/>
  <c r="I31" i="3"/>
  <c r="K47" i="3"/>
  <c r="E31" i="3"/>
  <c r="K30" i="3"/>
  <c r="I30" i="3"/>
  <c r="I46" i="3"/>
  <c r="E30" i="3"/>
  <c r="K29" i="3"/>
  <c r="I29" i="3"/>
  <c r="K45" i="3"/>
  <c r="E29" i="3"/>
  <c r="K28" i="3"/>
  <c r="I28" i="3"/>
  <c r="K44" i="3"/>
  <c r="E28" i="3"/>
  <c r="K27" i="3"/>
  <c r="I27" i="3"/>
  <c r="I43" i="3"/>
  <c r="E27" i="3"/>
  <c r="K26" i="3"/>
  <c r="I26" i="3"/>
  <c r="K42" i="3"/>
  <c r="E26" i="3"/>
  <c r="B22" i="3"/>
  <c r="H4" i="3"/>
  <c r="H3" i="3"/>
  <c r="S22" i="2"/>
  <c r="R22" i="2"/>
  <c r="Q22" i="2"/>
  <c r="P22" i="2"/>
  <c r="O22" i="2"/>
  <c r="G22" i="2"/>
  <c r="F22" i="2"/>
  <c r="E22" i="2"/>
  <c r="D22" i="2"/>
  <c r="C22" i="2"/>
  <c r="R21" i="2"/>
  <c r="Q21" i="2"/>
  <c r="P21" i="2"/>
  <c r="O21" i="2"/>
  <c r="F21" i="2"/>
  <c r="E21" i="2"/>
  <c r="D21" i="2"/>
  <c r="C21" i="2"/>
  <c r="P14" i="2"/>
  <c r="O14" i="2"/>
  <c r="L14" i="2"/>
  <c r="K14" i="2"/>
  <c r="H14" i="2"/>
  <c r="G14" i="2"/>
  <c r="D14" i="2"/>
  <c r="C14" i="2"/>
  <c r="R2" i="2"/>
  <c r="N2" i="2"/>
  <c r="J2" i="2"/>
  <c r="F2" i="2"/>
  <c r="B2" i="2"/>
  <c r="F337" i="49"/>
  <c r="H324" i="49"/>
  <c r="H321" i="49"/>
  <c r="H320" i="49"/>
  <c r="H319" i="49"/>
  <c r="H318" i="49"/>
  <c r="H315" i="49"/>
  <c r="H314" i="49"/>
  <c r="H313" i="49"/>
  <c r="H312" i="49"/>
  <c r="H310" i="49"/>
  <c r="H308" i="49"/>
  <c r="E305" i="49"/>
  <c r="E341" i="49" s="1"/>
  <c r="C305" i="49"/>
  <c r="H304" i="49"/>
  <c r="H303" i="49"/>
  <c r="H301" i="49"/>
  <c r="H299" i="49"/>
  <c r="H297" i="49"/>
  <c r="H295" i="49"/>
  <c r="H294" i="49"/>
  <c r="H289" i="49"/>
  <c r="H288" i="49"/>
  <c r="H287" i="49"/>
  <c r="H286" i="49"/>
  <c r="H284" i="49"/>
  <c r="H282" i="49"/>
  <c r="G278" i="49"/>
  <c r="H276" i="49"/>
  <c r="H275" i="49"/>
  <c r="H274" i="49"/>
  <c r="H273" i="49"/>
  <c r="H272" i="49"/>
  <c r="H271" i="49"/>
  <c r="H270" i="49"/>
  <c r="H269" i="49"/>
  <c r="H265" i="49"/>
  <c r="H264" i="49"/>
  <c r="H262" i="49"/>
  <c r="H261" i="49"/>
  <c r="H259" i="49"/>
  <c r="H257" i="49"/>
  <c r="H256" i="49"/>
  <c r="H255" i="49"/>
  <c r="H240" i="49"/>
  <c r="H236" i="49"/>
  <c r="H224" i="49"/>
  <c r="H214" i="49"/>
  <c r="H213" i="49"/>
  <c r="C176" i="49"/>
  <c r="C177" i="49" s="1"/>
  <c r="H142" i="49"/>
  <c r="H130" i="49"/>
  <c r="H117" i="49"/>
  <c r="H88" i="49"/>
  <c r="E76" i="49"/>
  <c r="F76" i="49"/>
  <c r="E73" i="49"/>
  <c r="C73" i="49"/>
  <c r="H70" i="49"/>
  <c r="H69" i="49"/>
  <c r="H68" i="49"/>
  <c r="H65" i="49"/>
  <c r="H64" i="49"/>
  <c r="H63" i="49"/>
  <c r="H25" i="49"/>
  <c r="H19" i="49"/>
  <c r="H18" i="49"/>
  <c r="H15" i="49"/>
  <c r="H13" i="49"/>
  <c r="H12" i="49"/>
  <c r="H10" i="49"/>
  <c r="AD71" i="4"/>
  <c r="AD82" i="4"/>
  <c r="AD83" i="4"/>
  <c r="AD84" i="4"/>
  <c r="AD73" i="4"/>
  <c r="AD70" i="4"/>
  <c r="AD72" i="4"/>
  <c r="AD69" i="4"/>
  <c r="AD65" i="4"/>
  <c r="AD66" i="4"/>
  <c r="AD67" i="4"/>
  <c r="AD68" i="4"/>
  <c r="AL64" i="4"/>
  <c r="AK64" i="4"/>
  <c r="AM64" i="4"/>
  <c r="AF90" i="4"/>
  <c r="AL23" i="4"/>
  <c r="AD24" i="4"/>
  <c r="AG24" i="4"/>
  <c r="AL24" i="4"/>
  <c r="K119" i="4"/>
  <c r="K90" i="4"/>
  <c r="L119" i="4"/>
  <c r="L90" i="4"/>
  <c r="Q119" i="4"/>
  <c r="Q90" i="4"/>
  <c r="S119" i="4"/>
  <c r="S90" i="4"/>
  <c r="M119" i="4"/>
  <c r="M90" i="4"/>
  <c r="U119" i="4"/>
  <c r="U90" i="4"/>
  <c r="AD39" i="4"/>
  <c r="AD32" i="4"/>
  <c r="AD48" i="4"/>
  <c r="AD33" i="4"/>
  <c r="AD49" i="4"/>
  <c r="AD38" i="4"/>
  <c r="AD54" i="4"/>
  <c r="AD27" i="4"/>
  <c r="AD28" i="4"/>
  <c r="AD43" i="4"/>
  <c r="AD58" i="4"/>
  <c r="AD36" i="4"/>
  <c r="AD52" i="4"/>
  <c r="AD37" i="4"/>
  <c r="AD53" i="4"/>
  <c r="AD42" i="4"/>
  <c r="AD57" i="4"/>
  <c r="AD51" i="4"/>
  <c r="AD44" i="4"/>
  <c r="AD30" i="4"/>
  <c r="AD60" i="4"/>
  <c r="AD50" i="4"/>
  <c r="AD31" i="4"/>
  <c r="AD47" i="4"/>
  <c r="AD25" i="4"/>
  <c r="AD40" i="4"/>
  <c r="AD55" i="4"/>
  <c r="AD26" i="4"/>
  <c r="AD41" i="4"/>
  <c r="AD56" i="4"/>
  <c r="AD95" i="4"/>
  <c r="AD46" i="4"/>
  <c r="AD61" i="4"/>
  <c r="AD35" i="4"/>
  <c r="AD29" i="4"/>
  <c r="AD59" i="4"/>
  <c r="AD45" i="4"/>
  <c r="AD34" i="4"/>
  <c r="J119" i="4"/>
  <c r="J90" i="4"/>
  <c r="P119" i="4"/>
  <c r="P90" i="4"/>
  <c r="W119" i="4"/>
  <c r="W90" i="4"/>
  <c r="AD23" i="4"/>
  <c r="AG23" i="4"/>
  <c r="AN23" i="4"/>
  <c r="D29" i="69"/>
  <c r="F10" i="68"/>
  <c r="AD94" i="4"/>
  <c r="AD97" i="4"/>
  <c r="AD92" i="4"/>
  <c r="AG92" i="4"/>
  <c r="AL92" i="4"/>
  <c r="AD96" i="4"/>
  <c r="AD93" i="4"/>
  <c r="AM93" i="4"/>
  <c r="D68" i="69"/>
  <c r="D316" i="69"/>
  <c r="D318" i="69"/>
  <c r="D319" i="69"/>
  <c r="C136" i="69"/>
  <c r="E136" i="69" s="1"/>
  <c r="C142" i="69"/>
  <c r="E142" i="69" s="1"/>
  <c r="C267" i="69"/>
  <c r="E267" i="69"/>
  <c r="F47" i="68"/>
  <c r="D174" i="69"/>
  <c r="E346" i="49"/>
  <c r="E350" i="49"/>
  <c r="AD22" i="4"/>
  <c r="AM22" i="4"/>
  <c r="AL22" i="4"/>
  <c r="AK22" i="4"/>
  <c r="AM23" i="4"/>
  <c r="AK23" i="4"/>
  <c r="AM24" i="4"/>
  <c r="AK24" i="4"/>
  <c r="G118" i="7"/>
  <c r="G129" i="7"/>
  <c r="E43" i="3"/>
  <c r="E48" i="3"/>
  <c r="O32" i="3"/>
  <c r="K46" i="3"/>
  <c r="E52" i="3"/>
  <c r="O36" i="3"/>
  <c r="K51" i="3"/>
  <c r="E47" i="3"/>
  <c r="E51" i="3"/>
  <c r="O35" i="3"/>
  <c r="I50" i="3"/>
  <c r="P34" i="3"/>
  <c r="E50" i="3"/>
  <c r="O34" i="3"/>
  <c r="E49" i="3"/>
  <c r="E46" i="3"/>
  <c r="O30" i="3"/>
  <c r="E45" i="3"/>
  <c r="O29" i="3"/>
  <c r="I44" i="3"/>
  <c r="P28" i="3"/>
  <c r="E44" i="3"/>
  <c r="K43" i="3"/>
  <c r="E42" i="3"/>
  <c r="O26" i="3"/>
  <c r="N25" i="53"/>
  <c r="I279" i="49"/>
  <c r="E28" i="54"/>
  <c r="M28" i="54"/>
  <c r="H98" i="4"/>
  <c r="N26" i="54"/>
  <c r="M28" i="55"/>
  <c r="AD76" i="4"/>
  <c r="AD78" i="4"/>
  <c r="AD75" i="4"/>
  <c r="AD77" i="4"/>
  <c r="C330" i="49"/>
  <c r="D62" i="45"/>
  <c r="F73" i="49"/>
  <c r="K28" i="54"/>
  <c r="D28" i="54"/>
  <c r="L28" i="54"/>
  <c r="D26" i="53"/>
  <c r="D28" i="53"/>
  <c r="D27" i="52"/>
  <c r="L27" i="52"/>
  <c r="L28" i="52"/>
  <c r="L30" i="52"/>
  <c r="E27" i="52"/>
  <c r="E28" i="52"/>
  <c r="E30" i="52"/>
  <c r="M28" i="52"/>
  <c r="M30" i="52"/>
  <c r="J27" i="52"/>
  <c r="J28" i="52"/>
  <c r="J30" i="52"/>
  <c r="K27" i="52"/>
  <c r="K28" i="52"/>
  <c r="K30" i="52"/>
  <c r="K28" i="55"/>
  <c r="D28" i="55"/>
  <c r="L28" i="55"/>
  <c r="N26" i="55"/>
  <c r="J28" i="55"/>
  <c r="N9" i="55"/>
  <c r="C28" i="54"/>
  <c r="G283" i="49"/>
  <c r="F9" i="68"/>
  <c r="AD81" i="4"/>
  <c r="AD86" i="4"/>
  <c r="AD88" i="4"/>
  <c r="AD85" i="4"/>
  <c r="AD87" i="4"/>
  <c r="AD64" i="4"/>
  <c r="AD74" i="4"/>
  <c r="E330" i="49"/>
  <c r="F330" i="49" s="1"/>
  <c r="C28" i="53"/>
  <c r="K28" i="53"/>
  <c r="M28" i="53"/>
  <c r="L28" i="53"/>
  <c r="J28" i="53"/>
  <c r="G64" i="7"/>
  <c r="G102" i="7"/>
  <c r="H89" i="4"/>
  <c r="H90" i="4"/>
  <c r="P32" i="3"/>
  <c r="P36" i="3"/>
  <c r="O27" i="3"/>
  <c r="O31" i="3"/>
  <c r="P27" i="3"/>
  <c r="P31" i="3"/>
  <c r="P35" i="3"/>
  <c r="E28" i="53"/>
  <c r="N9" i="54"/>
  <c r="C28" i="55"/>
  <c r="P30" i="3"/>
  <c r="O33" i="3"/>
  <c r="N9" i="53"/>
  <c r="E28" i="55"/>
  <c r="P26" i="3"/>
  <c r="O28" i="3"/>
  <c r="P29" i="3"/>
  <c r="P33" i="3"/>
  <c r="H278" i="49"/>
  <c r="I278" i="49"/>
  <c r="V62" i="4"/>
  <c r="X22" i="4"/>
  <c r="Y22" i="4"/>
  <c r="AF119" i="4"/>
  <c r="O62" i="4"/>
  <c r="D5" i="65"/>
  <c r="H263" i="49"/>
  <c r="X64" i="4"/>
  <c r="Y64" i="4"/>
  <c r="X74" i="4"/>
  <c r="Y74" i="4"/>
  <c r="R62" i="4"/>
  <c r="X81" i="4"/>
  <c r="Y81" i="4"/>
  <c r="X85" i="4"/>
  <c r="Y85" i="4"/>
  <c r="X86" i="4"/>
  <c r="Y86" i="4"/>
  <c r="X87" i="4"/>
  <c r="Y87" i="4"/>
  <c r="X88" i="4"/>
  <c r="Y88" i="4"/>
  <c r="N10" i="52"/>
  <c r="AG70" i="4"/>
  <c r="AN70" i="4"/>
  <c r="AE70" i="4"/>
  <c r="AG69" i="4"/>
  <c r="AN69" i="4"/>
  <c r="AE67" i="4"/>
  <c r="AG67" i="4"/>
  <c r="AI67" i="4"/>
  <c r="AJ67" i="4"/>
  <c r="AN67" i="4"/>
  <c r="AI84" i="4"/>
  <c r="AH84" i="4"/>
  <c r="AE66" i="4"/>
  <c r="AG66" i="4"/>
  <c r="AH66" i="4"/>
  <c r="AN66" i="4"/>
  <c r="AH72" i="4"/>
  <c r="AI72" i="4"/>
  <c r="AI83" i="4"/>
  <c r="AH83" i="4"/>
  <c r="AI69" i="4"/>
  <c r="AJ69" i="4"/>
  <c r="AH69" i="4"/>
  <c r="AE65" i="4"/>
  <c r="AG65" i="4"/>
  <c r="AI65" i="4"/>
  <c r="AJ65" i="4"/>
  <c r="AN65" i="4"/>
  <c r="AH70" i="4"/>
  <c r="AI70" i="4"/>
  <c r="AJ70" i="4"/>
  <c r="AH82" i="4"/>
  <c r="AI82" i="4"/>
  <c r="AG68" i="4"/>
  <c r="AN68" i="4"/>
  <c r="AE68" i="4"/>
  <c r="AH73" i="4"/>
  <c r="AI73" i="4"/>
  <c r="AH71" i="4"/>
  <c r="AI71" i="4"/>
  <c r="AE92" i="4"/>
  <c r="AI92" i="4"/>
  <c r="AJ92" i="4"/>
  <c r="AM92" i="4"/>
  <c r="AL62" i="4"/>
  <c r="F62" i="68"/>
  <c r="R119" i="4"/>
  <c r="R90" i="4"/>
  <c r="V119" i="4"/>
  <c r="V90" i="4"/>
  <c r="O119" i="4"/>
  <c r="O90" i="4"/>
  <c r="D72" i="69"/>
  <c r="D334" i="69"/>
  <c r="D28" i="52"/>
  <c r="D30" i="52"/>
  <c r="G131" i="7"/>
  <c r="B20" i="43"/>
  <c r="D329" i="69"/>
  <c r="D337" i="69"/>
  <c r="D332" i="69"/>
  <c r="D333" i="69"/>
  <c r="AM97" i="4"/>
  <c r="AE97" i="4"/>
  <c r="AG97" i="4"/>
  <c r="AL97" i="4"/>
  <c r="AM94" i="4"/>
  <c r="AE94" i="4"/>
  <c r="AG94" i="4"/>
  <c r="AN94" i="4"/>
  <c r="AM96" i="4"/>
  <c r="AN96" i="4"/>
  <c r="AE96" i="4"/>
  <c r="AG96" i="4"/>
  <c r="AK96" i="4"/>
  <c r="AN92" i="4"/>
  <c r="AK92" i="4"/>
  <c r="AG56" i="4"/>
  <c r="AN56" i="4"/>
  <c r="AE56" i="4"/>
  <c r="AG41" i="4"/>
  <c r="AN41" i="4"/>
  <c r="AE41" i="4"/>
  <c r="AG44" i="4"/>
  <c r="AN44" i="4"/>
  <c r="AE44" i="4"/>
  <c r="AG46" i="4"/>
  <c r="AN46" i="4"/>
  <c r="AE46" i="4"/>
  <c r="AG60" i="4"/>
  <c r="AN60" i="4"/>
  <c r="AE60" i="4"/>
  <c r="AG45" i="4"/>
  <c r="AN45" i="4"/>
  <c r="AE45" i="4"/>
  <c r="AG54" i="4"/>
  <c r="AN54" i="4"/>
  <c r="AE54" i="4"/>
  <c r="AG52" i="4"/>
  <c r="AE52" i="4"/>
  <c r="AG39" i="4"/>
  <c r="AN39" i="4"/>
  <c r="AE39" i="4"/>
  <c r="AG40" i="4"/>
  <c r="AN40" i="4"/>
  <c r="AE40" i="4"/>
  <c r="AG42" i="4"/>
  <c r="AN42" i="4"/>
  <c r="AE42" i="4"/>
  <c r="AG58" i="4"/>
  <c r="AE58" i="4"/>
  <c r="AG43" i="4"/>
  <c r="AN43" i="4"/>
  <c r="AE43" i="4"/>
  <c r="AG48" i="4"/>
  <c r="AN48" i="4"/>
  <c r="AE48" i="4"/>
  <c r="AG50" i="4"/>
  <c r="AN50" i="4"/>
  <c r="AE50" i="4"/>
  <c r="AG49" i="4"/>
  <c r="AN49" i="4"/>
  <c r="AE49" i="4"/>
  <c r="AG61" i="4"/>
  <c r="AN61" i="4"/>
  <c r="AG57" i="4"/>
  <c r="AE57" i="4"/>
  <c r="AG34" i="4"/>
  <c r="AN34" i="4"/>
  <c r="AE34" i="4"/>
  <c r="AG53" i="4"/>
  <c r="AN53" i="4"/>
  <c r="AE53" i="4"/>
  <c r="AG37" i="4"/>
  <c r="AN37" i="4"/>
  <c r="AE37" i="4"/>
  <c r="AG38" i="4"/>
  <c r="AN38" i="4"/>
  <c r="AE38" i="4"/>
  <c r="AG47" i="4"/>
  <c r="AN47" i="4"/>
  <c r="AE47" i="4"/>
  <c r="AG59" i="4"/>
  <c r="AN59" i="4"/>
  <c r="AE59" i="4"/>
  <c r="AG55" i="4"/>
  <c r="AN55" i="4"/>
  <c r="AE55" i="4"/>
  <c r="AG51" i="4"/>
  <c r="AN51" i="4"/>
  <c r="AE51" i="4"/>
  <c r="AG35" i="4"/>
  <c r="AN35" i="4"/>
  <c r="AE35" i="4"/>
  <c r="AG36" i="4"/>
  <c r="AN36" i="4"/>
  <c r="AE36" i="4"/>
  <c r="C272" i="69"/>
  <c r="G75" i="49"/>
  <c r="H75" i="49"/>
  <c r="C74" i="69"/>
  <c r="G305" i="49"/>
  <c r="B5" i="43" s="1"/>
  <c r="H279" i="49"/>
  <c r="I283" i="49"/>
  <c r="E4" i="65"/>
  <c r="E3" i="65"/>
  <c r="B111" i="4"/>
  <c r="G104" i="7"/>
  <c r="B18" i="43"/>
  <c r="H119" i="4"/>
  <c r="N26" i="53"/>
  <c r="B109" i="4"/>
  <c r="B112" i="4"/>
  <c r="B108" i="4"/>
  <c r="B110" i="4"/>
  <c r="X62" i="4"/>
  <c r="X90" i="4"/>
  <c r="N28" i="54"/>
  <c r="B19" i="43"/>
  <c r="AG64" i="4"/>
  <c r="AN64" i="4"/>
  <c r="H283" i="49"/>
  <c r="AN24" i="4"/>
  <c r="AG93" i="4"/>
  <c r="AL93" i="4"/>
  <c r="AE93" i="4"/>
  <c r="AG33" i="4"/>
  <c r="AN33" i="4"/>
  <c r="AE33" i="4"/>
  <c r="AG32" i="4"/>
  <c r="AN32" i="4"/>
  <c r="AE32" i="4"/>
  <c r="AG31" i="4"/>
  <c r="AN31" i="4"/>
  <c r="AE31" i="4"/>
  <c r="AG95" i="4"/>
  <c r="AN95" i="4"/>
  <c r="AE95" i="4"/>
  <c r="AG30" i="4"/>
  <c r="AN30" i="4"/>
  <c r="AE30" i="4"/>
  <c r="AG29" i="4"/>
  <c r="AN29" i="4"/>
  <c r="AE29" i="4"/>
  <c r="AG28" i="4"/>
  <c r="AN28" i="4"/>
  <c r="AE28" i="4"/>
  <c r="AG27" i="4"/>
  <c r="AN27" i="4"/>
  <c r="AE27" i="4"/>
  <c r="AG26" i="4"/>
  <c r="AN26" i="4"/>
  <c r="AE26" i="4"/>
  <c r="AG25" i="4"/>
  <c r="AN25" i="4"/>
  <c r="AE25" i="4"/>
  <c r="N28" i="53"/>
  <c r="AE23" i="4"/>
  <c r="AE24" i="4"/>
  <c r="AH24" i="4"/>
  <c r="AE64" i="4"/>
  <c r="AH86" i="4"/>
  <c r="AI86" i="4"/>
  <c r="AJ86" i="4"/>
  <c r="AI88" i="4"/>
  <c r="AJ88" i="4"/>
  <c r="AH88" i="4"/>
  <c r="AI87" i="4"/>
  <c r="AJ87" i="4"/>
  <c r="AH87" i="4"/>
  <c r="AH85" i="4"/>
  <c r="AI85" i="4"/>
  <c r="AJ85" i="4"/>
  <c r="AI78" i="4"/>
  <c r="AJ78" i="4"/>
  <c r="AH78" i="4"/>
  <c r="AI76" i="4"/>
  <c r="AJ76" i="4"/>
  <c r="AH76" i="4"/>
  <c r="AH75" i="4"/>
  <c r="AI75" i="4"/>
  <c r="AJ75" i="4"/>
  <c r="AH77" i="4"/>
  <c r="AI77" i="4"/>
  <c r="AJ77" i="4"/>
  <c r="AI74" i="4"/>
  <c r="AJ74" i="4"/>
  <c r="AH74" i="4"/>
  <c r="AG81" i="4"/>
  <c r="AN81" i="4"/>
  <c r="AE81" i="4"/>
  <c r="AG22" i="4"/>
  <c r="AN22" i="4"/>
  <c r="N28" i="55"/>
  <c r="AD79" i="4"/>
  <c r="AE22" i="4"/>
  <c r="AD89" i="4"/>
  <c r="AD62" i="4"/>
  <c r="D28" i="65"/>
  <c r="N27" i="52"/>
  <c r="B107" i="4"/>
  <c r="AO69" i="4"/>
  <c r="AP69" i="4"/>
  <c r="AO84" i="4"/>
  <c r="AP84" i="4"/>
  <c r="AO70" i="4"/>
  <c r="AP70" i="4"/>
  <c r="AH67" i="4"/>
  <c r="AO82" i="4"/>
  <c r="AP82" i="4"/>
  <c r="AO72" i="4"/>
  <c r="AP72" i="4"/>
  <c r="AO83" i="4"/>
  <c r="AP83" i="4"/>
  <c r="AO67" i="4"/>
  <c r="AP67" i="4"/>
  <c r="AO71" i="4"/>
  <c r="AP71" i="4"/>
  <c r="AH68" i="4"/>
  <c r="AH65" i="4"/>
  <c r="AO65" i="4"/>
  <c r="AP65" i="4"/>
  <c r="AI66" i="4"/>
  <c r="AJ66" i="4"/>
  <c r="I75" i="49"/>
  <c r="AO73" i="4"/>
  <c r="AP73" i="4"/>
  <c r="AI68" i="4"/>
  <c r="AJ68" i="4"/>
  <c r="AH92" i="4"/>
  <c r="AD90" i="4"/>
  <c r="X119" i="4"/>
  <c r="D175" i="69"/>
  <c r="D240" i="69"/>
  <c r="D331" i="69"/>
  <c r="C75" i="69"/>
  <c r="E75" i="69"/>
  <c r="E74" i="69"/>
  <c r="AL96" i="4"/>
  <c r="AI97" i="4"/>
  <c r="AJ97" i="4"/>
  <c r="AI35" i="4"/>
  <c r="AJ35" i="4"/>
  <c r="AH34" i="4"/>
  <c r="AI43" i="4"/>
  <c r="AJ43" i="4"/>
  <c r="AH39" i="4"/>
  <c r="AI54" i="4"/>
  <c r="AJ54" i="4"/>
  <c r="AI45" i="4"/>
  <c r="AJ45" i="4"/>
  <c r="AI56" i="4"/>
  <c r="AJ56" i="4"/>
  <c r="AI36" i="4"/>
  <c r="AJ36" i="4"/>
  <c r="AI51" i="4"/>
  <c r="AJ51" i="4"/>
  <c r="AJ61" i="4"/>
  <c r="AH41" i="4"/>
  <c r="AI60" i="4"/>
  <c r="AJ60" i="4"/>
  <c r="AI46" i="4"/>
  <c r="AJ46" i="4"/>
  <c r="AI41" i="4"/>
  <c r="AJ41" i="4"/>
  <c r="AH94" i="4"/>
  <c r="AN97" i="4"/>
  <c r="AH40" i="4"/>
  <c r="AI94" i="4"/>
  <c r="AJ94" i="4"/>
  <c r="AI42" i="4"/>
  <c r="AJ42" i="4"/>
  <c r="AI52" i="4"/>
  <c r="AJ52" i="4"/>
  <c r="AH97" i="4"/>
  <c r="AH38" i="4"/>
  <c r="AH48" i="4"/>
  <c r="AI40" i="4"/>
  <c r="AJ40" i="4"/>
  <c r="AK97" i="4"/>
  <c r="C294" i="69"/>
  <c r="E294" i="69" s="1"/>
  <c r="E272" i="69"/>
  <c r="D338" i="69"/>
  <c r="AH60" i="4"/>
  <c r="AN52" i="4"/>
  <c r="AI49" i="4"/>
  <c r="AJ49" i="4"/>
  <c r="AH59" i="4"/>
  <c r="AI96" i="4"/>
  <c r="AJ96" i="4"/>
  <c r="AI48" i="4"/>
  <c r="AJ48" i="4"/>
  <c r="AI37" i="4"/>
  <c r="AJ37" i="4"/>
  <c r="AH57" i="4"/>
  <c r="AH50" i="4"/>
  <c r="AI58" i="4"/>
  <c r="AJ58" i="4"/>
  <c r="AH52" i="4"/>
  <c r="AI44" i="4"/>
  <c r="AJ44" i="4"/>
  <c r="G76" i="49"/>
  <c r="I76" i="49"/>
  <c r="AH53" i="4"/>
  <c r="AH55" i="4"/>
  <c r="AH47" i="4"/>
  <c r="AH96" i="4"/>
  <c r="AH35" i="4"/>
  <c r="AN57" i="4"/>
  <c r="AH49" i="4"/>
  <c r="AN58" i="4"/>
  <c r="AH46" i="4"/>
  <c r="AL94" i="4"/>
  <c r="AH37" i="4"/>
  <c r="AI55" i="4"/>
  <c r="AJ55" i="4"/>
  <c r="AI57" i="4"/>
  <c r="AJ57" i="4"/>
  <c r="AH58" i="4"/>
  <c r="AK94" i="4"/>
  <c r="AN93" i="4"/>
  <c r="AK93" i="4"/>
  <c r="AI53" i="4"/>
  <c r="AJ53" i="4"/>
  <c r="AI38" i="4"/>
  <c r="AJ38" i="4"/>
  <c r="AH36" i="4"/>
  <c r="AH45" i="4"/>
  <c r="AI39" i="4"/>
  <c r="AJ39" i="4"/>
  <c r="AH43" i="4"/>
  <c r="AH54" i="4"/>
  <c r="AH56" i="4"/>
  <c r="AI59" i="4"/>
  <c r="AJ59" i="4"/>
  <c r="AI34" i="4"/>
  <c r="AJ34" i="4"/>
  <c r="AI47" i="4"/>
  <c r="AJ47" i="4"/>
  <c r="AH51" i="4"/>
  <c r="AI50" i="4"/>
  <c r="AJ50" i="4"/>
  <c r="AH42" i="4"/>
  <c r="AH44" i="4"/>
  <c r="I305" i="49"/>
  <c r="E9" i="65"/>
  <c r="F104" i="4"/>
  <c r="E24" i="65"/>
  <c r="B100" i="4"/>
  <c r="E26" i="65"/>
  <c r="B102" i="4"/>
  <c r="E13" i="65"/>
  <c r="F108" i="4"/>
  <c r="E27" i="65"/>
  <c r="B103" i="4"/>
  <c r="E11" i="65"/>
  <c r="F106" i="4"/>
  <c r="E8" i="65"/>
  <c r="F103" i="4"/>
  <c r="E10" i="65"/>
  <c r="F105" i="4"/>
  <c r="E25" i="65"/>
  <c r="B101" i="4"/>
  <c r="E12" i="65"/>
  <c r="F107" i="4"/>
  <c r="AG98" i="4"/>
  <c r="AI93" i="4"/>
  <c r="AJ93" i="4"/>
  <c r="AI64" i="4"/>
  <c r="AJ64" i="4"/>
  <c r="AI26" i="4"/>
  <c r="AJ26" i="4"/>
  <c r="AI28" i="4"/>
  <c r="AJ28" i="4"/>
  <c r="AH31" i="4"/>
  <c r="AH33" i="4"/>
  <c r="AI25" i="4"/>
  <c r="AJ25" i="4"/>
  <c r="AH27" i="4"/>
  <c r="AI29" i="4"/>
  <c r="AJ29" i="4"/>
  <c r="AH95" i="4"/>
  <c r="AH32" i="4"/>
  <c r="AH93" i="4"/>
  <c r="AH26" i="4"/>
  <c r="AH28" i="4"/>
  <c r="AH30" i="4"/>
  <c r="AI33" i="4"/>
  <c r="AJ33" i="4"/>
  <c r="AH29" i="4"/>
  <c r="AH25" i="4"/>
  <c r="AI31" i="4"/>
  <c r="AJ31" i="4"/>
  <c r="AI27" i="4"/>
  <c r="AJ27" i="4"/>
  <c r="AI32" i="4"/>
  <c r="AJ32" i="4"/>
  <c r="AI95" i="4"/>
  <c r="AJ95" i="4"/>
  <c r="AI30" i="4"/>
  <c r="AJ30" i="4"/>
  <c r="AH81" i="4"/>
  <c r="AH23" i="4"/>
  <c r="AI23" i="4"/>
  <c r="AJ23" i="4"/>
  <c r="AI24" i="4"/>
  <c r="AJ24" i="4"/>
  <c r="AO86" i="4"/>
  <c r="AP86" i="4"/>
  <c r="AO78" i="4"/>
  <c r="AP78" i="4"/>
  <c r="AO76" i="4"/>
  <c r="AP76" i="4"/>
  <c r="AE79" i="4"/>
  <c r="AH64" i="4"/>
  <c r="AO87" i="4"/>
  <c r="AP87" i="4"/>
  <c r="AO88" i="4"/>
  <c r="AP88" i="4"/>
  <c r="AO85" i="4"/>
  <c r="AP85" i="4"/>
  <c r="AO77" i="4"/>
  <c r="AP77" i="4"/>
  <c r="AO75" i="4"/>
  <c r="AP75" i="4"/>
  <c r="AO74" i="4"/>
  <c r="AP74" i="4"/>
  <c r="AG89" i="4"/>
  <c r="AN89" i="4"/>
  <c r="AI81" i="4"/>
  <c r="AJ81" i="4"/>
  <c r="AG79" i="4"/>
  <c r="AN79" i="4"/>
  <c r="AM79" i="4"/>
  <c r="AH22" i="4"/>
  <c r="AG62" i="4"/>
  <c r="AI22" i="4"/>
  <c r="AJ22" i="4"/>
  <c r="AE98" i="4"/>
  <c r="AE89" i="4"/>
  <c r="AE62" i="4"/>
  <c r="N28" i="52"/>
  <c r="C30" i="52"/>
  <c r="N30" i="52"/>
  <c r="AD98" i="4"/>
  <c r="AD119" i="4"/>
  <c r="AO68" i="4"/>
  <c r="AP68" i="4"/>
  <c r="AO66" i="4"/>
  <c r="AP66" i="4"/>
  <c r="AG90" i="4"/>
  <c r="AE90" i="4"/>
  <c r="D241" i="69"/>
  <c r="D320" i="69"/>
  <c r="D339" i="69"/>
  <c r="AN98" i="4"/>
  <c r="AO97" i="4"/>
  <c r="AP97" i="4"/>
  <c r="AO96" i="4"/>
  <c r="AP96" i="4"/>
  <c r="AN62" i="4"/>
  <c r="AN90" i="4"/>
  <c r="F27" i="68"/>
  <c r="AO22" i="4"/>
  <c r="AP22" i="4"/>
  <c r="AK89" i="4"/>
  <c r="AL89" i="4"/>
  <c r="G34" i="49"/>
  <c r="AM89" i="4"/>
  <c r="AO24" i="4"/>
  <c r="AP24" i="4"/>
  <c r="AO23" i="4"/>
  <c r="AP23" i="4"/>
  <c r="AI79" i="4"/>
  <c r="AK79" i="4"/>
  <c r="AL79" i="4"/>
  <c r="AH79" i="4"/>
  <c r="AG119" i="4"/>
  <c r="AE119" i="4"/>
  <c r="AO43" i="4"/>
  <c r="AP43" i="4"/>
  <c r="AJ98" i="4"/>
  <c r="AO33" i="4"/>
  <c r="AP33" i="4"/>
  <c r="AO46" i="4"/>
  <c r="AP46" i="4"/>
  <c r="AO58" i="4"/>
  <c r="AP58" i="4"/>
  <c r="AO54" i="4"/>
  <c r="AP54" i="4"/>
  <c r="AO60" i="4"/>
  <c r="AP60" i="4"/>
  <c r="AO47" i="4"/>
  <c r="AP47" i="4"/>
  <c r="AO34" i="4"/>
  <c r="AP34" i="4"/>
  <c r="AO37" i="4"/>
  <c r="AP37" i="4"/>
  <c r="AO32" i="4"/>
  <c r="AP32" i="4"/>
  <c r="AO56" i="4"/>
  <c r="AP56" i="4"/>
  <c r="AO30" i="4"/>
  <c r="AP30" i="4"/>
  <c r="AO61" i="4"/>
  <c r="AP61" i="4"/>
  <c r="AO42" i="4"/>
  <c r="AP42" i="4"/>
  <c r="AK62" i="4"/>
  <c r="AO52" i="4"/>
  <c r="AP52" i="4"/>
  <c r="AO55" i="4"/>
  <c r="AP55" i="4"/>
  <c r="AO31" i="4"/>
  <c r="AP31" i="4"/>
  <c r="AI98" i="4"/>
  <c r="AO27" i="4"/>
  <c r="AP27" i="4"/>
  <c r="AO49" i="4"/>
  <c r="AP49" i="4"/>
  <c r="AO29" i="4"/>
  <c r="AP29" i="4"/>
  <c r="AO25" i="4"/>
  <c r="AP25" i="4"/>
  <c r="AO38" i="4"/>
  <c r="AP38" i="4"/>
  <c r="AO44" i="4"/>
  <c r="AP44" i="4"/>
  <c r="AO35" i="4"/>
  <c r="AP35" i="4"/>
  <c r="AO39" i="4"/>
  <c r="AP39" i="4"/>
  <c r="AO36" i="4"/>
  <c r="AP36" i="4"/>
  <c r="AO26" i="4"/>
  <c r="AP26" i="4"/>
  <c r="AO51" i="4"/>
  <c r="AP51" i="4"/>
  <c r="AO41" i="4"/>
  <c r="AP41" i="4"/>
  <c r="AO95" i="4"/>
  <c r="AP95" i="4"/>
  <c r="AO48" i="4"/>
  <c r="AP48" i="4"/>
  <c r="AO59" i="4"/>
  <c r="AP59" i="4"/>
  <c r="AO28" i="4"/>
  <c r="AP28" i="4"/>
  <c r="AO57" i="4"/>
  <c r="AP57" i="4"/>
  <c r="AO40" i="4"/>
  <c r="AP40" i="4"/>
  <c r="AO50" i="4"/>
  <c r="AP50" i="4"/>
  <c r="AO45" i="4"/>
  <c r="AP45" i="4"/>
  <c r="AO53" i="4"/>
  <c r="AP53" i="4"/>
  <c r="AM98" i="4"/>
  <c r="AL98" i="4"/>
  <c r="AK98" i="4"/>
  <c r="AO92" i="4"/>
  <c r="AP92" i="4"/>
  <c r="AO93" i="4"/>
  <c r="AP93" i="4"/>
  <c r="AO94" i="4"/>
  <c r="AP94" i="4"/>
  <c r="AH98" i="4"/>
  <c r="AM62" i="4"/>
  <c r="AH89" i="4"/>
  <c r="AI89" i="4"/>
  <c r="AJ89" i="4"/>
  <c r="AJ79" i="4"/>
  <c r="AO64" i="4"/>
  <c r="AP64" i="4"/>
  <c r="AH62" i="4"/>
  <c r="AI62" i="4"/>
  <c r="AJ62" i="4"/>
  <c r="AM90" i="4"/>
  <c r="AK90" i="4"/>
  <c r="AH90" i="4"/>
  <c r="AJ90" i="4"/>
  <c r="AL90" i="4"/>
  <c r="AI90" i="4"/>
  <c r="D336" i="69"/>
  <c r="D327" i="69"/>
  <c r="D328" i="69"/>
  <c r="AN119" i="4"/>
  <c r="G56" i="49"/>
  <c r="I34" i="49"/>
  <c r="C34" i="69"/>
  <c r="E34" i="69"/>
  <c r="G42" i="49"/>
  <c r="B13" i="43"/>
  <c r="H34" i="49"/>
  <c r="G38" i="49"/>
  <c r="AO79" i="4"/>
  <c r="AP79" i="4"/>
  <c r="AI119" i="4"/>
  <c r="AK119" i="4"/>
  <c r="AH119" i="4"/>
  <c r="AM119" i="4"/>
  <c r="AL119" i="4"/>
  <c r="G53" i="49"/>
  <c r="AJ119" i="4"/>
  <c r="G40" i="49"/>
  <c r="AO81" i="4"/>
  <c r="AO62" i="4"/>
  <c r="AO98" i="4"/>
  <c r="C38" i="69"/>
  <c r="E38" i="69"/>
  <c r="C40" i="69"/>
  <c r="E40" i="69"/>
  <c r="G54" i="49"/>
  <c r="G55" i="49"/>
  <c r="F24" i="68"/>
  <c r="AP62" i="4"/>
  <c r="AP98" i="4"/>
  <c r="AO89" i="4"/>
  <c r="F23" i="68"/>
  <c r="AP81" i="4"/>
  <c r="H56" i="49"/>
  <c r="C56" i="69"/>
  <c r="E56" i="69" s="1"/>
  <c r="C42" i="69"/>
  <c r="E42" i="69"/>
  <c r="I56" i="49"/>
  <c r="G39" i="49"/>
  <c r="G41" i="49"/>
  <c r="G52" i="49"/>
  <c r="G51" i="49"/>
  <c r="H40" i="49"/>
  <c r="I40" i="49"/>
  <c r="C55" i="69"/>
  <c r="E55" i="69"/>
  <c r="H54" i="49"/>
  <c r="AO90" i="4"/>
  <c r="AP90" i="4"/>
  <c r="H55" i="49"/>
  <c r="I55" i="49"/>
  <c r="I54" i="49"/>
  <c r="C54" i="69"/>
  <c r="E54" i="69"/>
  <c r="AP89" i="4"/>
  <c r="AO119" i="4"/>
  <c r="H52" i="49"/>
  <c r="C52" i="69"/>
  <c r="E52" i="69" s="1"/>
  <c r="C41" i="69"/>
  <c r="E41" i="69"/>
  <c r="C39" i="69"/>
  <c r="E39" i="69" s="1"/>
  <c r="H51" i="49"/>
  <c r="C51" i="69"/>
  <c r="E51" i="69"/>
  <c r="I53" i="49"/>
  <c r="C53" i="69"/>
  <c r="E53" i="69" s="1"/>
  <c r="I51" i="49"/>
  <c r="H53" i="49"/>
  <c r="I52" i="49"/>
  <c r="S14" i="2"/>
  <c r="G21" i="2"/>
  <c r="E25" i="3"/>
  <c r="E37" i="3"/>
  <c r="G37" i="3"/>
  <c r="K25" i="3"/>
  <c r="C37" i="3"/>
  <c r="I25" i="3"/>
  <c r="I37" i="3"/>
  <c r="S21" i="2"/>
  <c r="T14" i="2"/>
  <c r="E41" i="3"/>
  <c r="E53" i="3"/>
  <c r="C94" i="69"/>
  <c r="E94" i="69" s="1"/>
  <c r="I95" i="49"/>
  <c r="O25" i="3"/>
  <c r="O37" i="3"/>
  <c r="G53" i="3"/>
  <c r="I41" i="3"/>
  <c r="I53" i="3"/>
  <c r="K41" i="3"/>
  <c r="G8" i="49"/>
  <c r="P25" i="3"/>
  <c r="G353" i="49"/>
  <c r="C8" i="69"/>
  <c r="P37" i="3"/>
  <c r="C29" i="69"/>
  <c r="E29" i="69" s="1"/>
  <c r="E8" i="69"/>
  <c r="F8" i="68"/>
  <c r="F11" i="68" s="1"/>
  <c r="H8" i="49"/>
  <c r="I8" i="49"/>
  <c r="I29" i="49"/>
  <c r="H29" i="49"/>
  <c r="F212" i="49" l="1"/>
  <c r="G212" i="49"/>
  <c r="G35" i="49"/>
  <c r="E61" i="49"/>
  <c r="F35" i="49"/>
  <c r="H38" i="49"/>
  <c r="F38" i="49"/>
  <c r="I38" i="49"/>
  <c r="G111" i="49"/>
  <c r="F111" i="49"/>
  <c r="G151" i="49"/>
  <c r="H151" i="49" s="1"/>
  <c r="I164" i="49"/>
  <c r="G185" i="49"/>
  <c r="F185" i="49"/>
  <c r="G193" i="49"/>
  <c r="F193" i="49"/>
  <c r="G201" i="49"/>
  <c r="F201" i="49"/>
  <c r="G230" i="49"/>
  <c r="F230" i="49"/>
  <c r="G238" i="49"/>
  <c r="F238" i="49"/>
  <c r="G246" i="49"/>
  <c r="F246" i="49"/>
  <c r="F210" i="49"/>
  <c r="G210" i="49"/>
  <c r="F39" i="49"/>
  <c r="H39" i="49"/>
  <c r="I39" i="49"/>
  <c r="G59" i="49"/>
  <c r="F59" i="49"/>
  <c r="F92" i="49"/>
  <c r="G102" i="49"/>
  <c r="F102" i="49"/>
  <c r="G112" i="49"/>
  <c r="F146" i="49"/>
  <c r="H152" i="49"/>
  <c r="I152" i="49"/>
  <c r="G165" i="49"/>
  <c r="F165" i="49"/>
  <c r="F182" i="49"/>
  <c r="G182" i="49"/>
  <c r="G191" i="49"/>
  <c r="F191" i="49"/>
  <c r="G199" i="49"/>
  <c r="F199" i="49"/>
  <c r="G207" i="49"/>
  <c r="F207" i="49"/>
  <c r="G222" i="49"/>
  <c r="F222" i="49"/>
  <c r="E249" i="49"/>
  <c r="F249" i="49" s="1"/>
  <c r="G228" i="49"/>
  <c r="F228" i="49"/>
  <c r="F244" i="49"/>
  <c r="G244" i="49"/>
  <c r="H41" i="49"/>
  <c r="F41" i="49"/>
  <c r="I41" i="49"/>
  <c r="G46" i="49"/>
  <c r="F46" i="49"/>
  <c r="G57" i="49"/>
  <c r="F57" i="49"/>
  <c r="G107" i="49"/>
  <c r="F107" i="49"/>
  <c r="G157" i="49"/>
  <c r="F157" i="49"/>
  <c r="G166" i="49"/>
  <c r="F172" i="49"/>
  <c r="G172" i="49"/>
  <c r="G180" i="49"/>
  <c r="F180" i="49"/>
  <c r="G189" i="49"/>
  <c r="F189" i="49"/>
  <c r="G197" i="49"/>
  <c r="F197" i="49"/>
  <c r="G205" i="49"/>
  <c r="F205" i="49"/>
  <c r="G234" i="49"/>
  <c r="F234" i="49"/>
  <c r="G242" i="49"/>
  <c r="F242" i="49"/>
  <c r="G37" i="49"/>
  <c r="F37" i="49"/>
  <c r="F42" i="49"/>
  <c r="H42" i="49"/>
  <c r="I42" i="49"/>
  <c r="G49" i="49"/>
  <c r="F49" i="49"/>
  <c r="G79" i="49"/>
  <c r="E176" i="49"/>
  <c r="F176" i="49" s="1"/>
  <c r="G115" i="49"/>
  <c r="F115" i="49"/>
  <c r="G150" i="49"/>
  <c r="G158" i="49"/>
  <c r="G187" i="49"/>
  <c r="F187" i="49"/>
  <c r="G195" i="49"/>
  <c r="F195" i="49"/>
  <c r="G203" i="49"/>
  <c r="F203" i="49"/>
  <c r="G219" i="49"/>
  <c r="F219" i="49"/>
  <c r="G232" i="49"/>
  <c r="F232" i="49"/>
  <c r="G248" i="49"/>
  <c r="F248" i="49"/>
  <c r="G341" i="49"/>
  <c r="H305" i="49"/>
  <c r="F305" i="49"/>
  <c r="F36" i="49"/>
  <c r="F40" i="49"/>
  <c r="F44" i="49"/>
  <c r="F48" i="49"/>
  <c r="G183" i="49"/>
  <c r="G220" i="49"/>
  <c r="G43" i="49"/>
  <c r="G58" i="49"/>
  <c r="G82" i="49"/>
  <c r="G93" i="49"/>
  <c r="G96" i="49"/>
  <c r="G114" i="49"/>
  <c r="F121" i="49"/>
  <c r="F168" i="49"/>
  <c r="G184" i="49"/>
  <c r="G188" i="49"/>
  <c r="G192" i="49"/>
  <c r="G196" i="49"/>
  <c r="G200" i="49"/>
  <c r="G204" i="49"/>
  <c r="G215" i="49"/>
  <c r="G229" i="49"/>
  <c r="G233" i="49"/>
  <c r="G239" i="49"/>
  <c r="G241" i="49"/>
  <c r="G245" i="49"/>
  <c r="F211" i="49"/>
  <c r="F151" i="49"/>
  <c r="I98" i="49"/>
  <c r="G105" i="49"/>
  <c r="G109" i="49"/>
  <c r="G122" i="49"/>
  <c r="H126" i="49"/>
  <c r="I135" i="49"/>
  <c r="G154" i="49"/>
  <c r="G162" i="49"/>
  <c r="F164" i="49"/>
  <c r="G169" i="49"/>
  <c r="G174" i="49"/>
  <c r="C29" i="49"/>
  <c r="C341" i="49" s="1"/>
  <c r="C225" i="49"/>
  <c r="C250" i="49" s="1"/>
  <c r="C347" i="49" s="1"/>
  <c r="G211" i="49"/>
  <c r="F142" i="49"/>
  <c r="F156" i="49"/>
  <c r="G36" i="49"/>
  <c r="G47" i="49"/>
  <c r="G50" i="49"/>
  <c r="G60" i="49"/>
  <c r="G87" i="49"/>
  <c r="F94" i="49"/>
  <c r="G101" i="49"/>
  <c r="G106" i="49"/>
  <c r="G108" i="49"/>
  <c r="F126" i="49"/>
  <c r="G129" i="49"/>
  <c r="F160" i="49"/>
  <c r="G175" i="49"/>
  <c r="G181" i="49"/>
  <c r="G186" i="49"/>
  <c r="G190" i="49"/>
  <c r="G194" i="49"/>
  <c r="G198" i="49"/>
  <c r="G202" i="49"/>
  <c r="G206" i="49"/>
  <c r="G223" i="49"/>
  <c r="G227" i="49"/>
  <c r="G231" i="49"/>
  <c r="G235" i="49"/>
  <c r="G237" i="49"/>
  <c r="G243" i="49"/>
  <c r="G247" i="49"/>
  <c r="F103" i="49"/>
  <c r="G110" i="49"/>
  <c r="G118" i="49"/>
  <c r="I121" i="49"/>
  <c r="G123" i="49"/>
  <c r="I130" i="49"/>
  <c r="F143" i="49"/>
  <c r="F152" i="49"/>
  <c r="G161" i="49"/>
  <c r="G170" i="49"/>
  <c r="G140" i="49"/>
  <c r="I140" i="49" s="1"/>
  <c r="F25" i="68"/>
  <c r="H72" i="49"/>
  <c r="C148" i="69"/>
  <c r="E148" i="69" s="1"/>
  <c r="I334" i="49"/>
  <c r="C112" i="69"/>
  <c r="E112" i="69" s="1"/>
  <c r="I156" i="49"/>
  <c r="G80" i="49"/>
  <c r="F80" i="49"/>
  <c r="F83" i="49"/>
  <c r="G83" i="49"/>
  <c r="C100" i="69"/>
  <c r="E100" i="69" s="1"/>
  <c r="H101" i="49"/>
  <c r="C102" i="69"/>
  <c r="E102" i="69" s="1"/>
  <c r="I103" i="49"/>
  <c r="G120" i="49"/>
  <c r="F120" i="49"/>
  <c r="C128" i="69"/>
  <c r="E128" i="69" s="1"/>
  <c r="H129" i="49"/>
  <c r="F138" i="49"/>
  <c r="G138" i="49"/>
  <c r="C164" i="69"/>
  <c r="E164" i="69" s="1"/>
  <c r="I165" i="49"/>
  <c r="H165" i="49"/>
  <c r="I175" i="49"/>
  <c r="H175" i="49"/>
  <c r="D176" i="49"/>
  <c r="D177" i="49" s="1"/>
  <c r="D251" i="49" s="1"/>
  <c r="D252" i="49" s="1"/>
  <c r="D331" i="49" s="1"/>
  <c r="D338" i="49" s="1"/>
  <c r="F79" i="49"/>
  <c r="I129" i="49"/>
  <c r="G81" i="49"/>
  <c r="F81" i="49"/>
  <c r="H95" i="49"/>
  <c r="F95" i="49"/>
  <c r="F99" i="49"/>
  <c r="G99" i="49"/>
  <c r="C117" i="69"/>
  <c r="E117" i="69" s="1"/>
  <c r="I118" i="49"/>
  <c r="H118" i="49"/>
  <c r="I123" i="49"/>
  <c r="H123" i="49"/>
  <c r="C122" i="69"/>
  <c r="E122" i="69" s="1"/>
  <c r="G127" i="49"/>
  <c r="F127" i="49"/>
  <c r="G133" i="49"/>
  <c r="F133" i="49"/>
  <c r="F136" i="49"/>
  <c r="G136" i="49"/>
  <c r="I161" i="49"/>
  <c r="H161" i="49"/>
  <c r="H168" i="49"/>
  <c r="C167" i="69"/>
  <c r="E167" i="69" s="1"/>
  <c r="C78" i="69"/>
  <c r="E78" i="69" s="1"/>
  <c r="I79" i="49"/>
  <c r="H79" i="49"/>
  <c r="C95" i="69"/>
  <c r="E95" i="69" s="1"/>
  <c r="H96" i="49"/>
  <c r="G116" i="49"/>
  <c r="F116" i="49"/>
  <c r="G124" i="49"/>
  <c r="F124" i="49"/>
  <c r="G134" i="49"/>
  <c r="F134" i="49"/>
  <c r="H164" i="49"/>
  <c r="C163" i="69"/>
  <c r="E163" i="69" s="1"/>
  <c r="G173" i="49"/>
  <c r="F173" i="49"/>
  <c r="H103" i="49"/>
  <c r="I101" i="49"/>
  <c r="I96" i="49"/>
  <c r="F86" i="49"/>
  <c r="G86" i="49"/>
  <c r="C93" i="69"/>
  <c r="E93" i="69" s="1"/>
  <c r="H94" i="49"/>
  <c r="G100" i="49"/>
  <c r="F100" i="49"/>
  <c r="G119" i="49"/>
  <c r="F119" i="49"/>
  <c r="F128" i="49"/>
  <c r="G128" i="49"/>
  <c r="F132" i="49"/>
  <c r="G132" i="49"/>
  <c r="C153" i="69"/>
  <c r="E153" i="69" s="1"/>
  <c r="H154" i="49"/>
  <c r="C159" i="69"/>
  <c r="E159" i="69" s="1"/>
  <c r="H160" i="49"/>
  <c r="G146" i="49"/>
  <c r="C168" i="69"/>
  <c r="E168" i="69" s="1"/>
  <c r="I169" i="49"/>
  <c r="H169" i="49"/>
  <c r="H143" i="49"/>
  <c r="H87" i="49"/>
  <c r="H98" i="49"/>
  <c r="H102" i="49"/>
  <c r="H108" i="49"/>
  <c r="I87" i="49"/>
  <c r="I108" i="49"/>
  <c r="I150" i="49"/>
  <c r="I158" i="49"/>
  <c r="F112" i="49"/>
  <c r="F150" i="49"/>
  <c r="F158" i="49"/>
  <c r="F166" i="49"/>
  <c r="F36" i="68"/>
  <c r="C151" i="69"/>
  <c r="E151" i="69" s="1"/>
  <c r="H174" i="49"/>
  <c r="G144" i="49"/>
  <c r="F144" i="49"/>
  <c r="F148" i="49"/>
  <c r="G159" i="49"/>
  <c r="F159" i="49"/>
  <c r="G163" i="49"/>
  <c r="F163" i="49"/>
  <c r="G167" i="49"/>
  <c r="F167" i="49"/>
  <c r="F171" i="49"/>
  <c r="I143" i="49"/>
  <c r="H112" i="49"/>
  <c r="F174" i="49"/>
  <c r="G148" i="49"/>
  <c r="G155" i="49"/>
  <c r="F155" i="49"/>
  <c r="G171" i="49"/>
  <c r="I335" i="49"/>
  <c r="H335" i="49"/>
  <c r="I92" i="49"/>
  <c r="H111" i="49"/>
  <c r="I111" i="49"/>
  <c r="C324" i="69"/>
  <c r="E324" i="69" s="1"/>
  <c r="C103" i="69"/>
  <c r="E103" i="69" s="1"/>
  <c r="C110" i="69"/>
  <c r="E110" i="69" s="1"/>
  <c r="G337" i="49"/>
  <c r="H337" i="49" s="1"/>
  <c r="G61" i="49"/>
  <c r="G345" i="49" s="1"/>
  <c r="C91" i="69"/>
  <c r="C48" i="69"/>
  <c r="E48" i="69" s="1"/>
  <c r="F41" i="68"/>
  <c r="H67" i="49"/>
  <c r="I48" i="49"/>
  <c r="I104" i="49"/>
  <c r="H92" i="49"/>
  <c r="H104" i="49"/>
  <c r="I67" i="49"/>
  <c r="C67" i="69"/>
  <c r="E67" i="69" s="1"/>
  <c r="H141" i="49"/>
  <c r="C140" i="69"/>
  <c r="E140" i="69" s="1"/>
  <c r="I141" i="49"/>
  <c r="I151" i="49"/>
  <c r="H48" i="49"/>
  <c r="H149" i="49"/>
  <c r="I336" i="49"/>
  <c r="I90" i="49"/>
  <c r="C71" i="69"/>
  <c r="E71" i="69" s="1"/>
  <c r="H85" i="49"/>
  <c r="C316" i="69"/>
  <c r="E316" i="69" s="1"/>
  <c r="F37" i="68"/>
  <c r="H153" i="49"/>
  <c r="F35" i="68"/>
  <c r="H90" i="49"/>
  <c r="H334" i="49"/>
  <c r="G329" i="49"/>
  <c r="G330" i="49" s="1"/>
  <c r="H330" i="49" s="1"/>
  <c r="H156" i="49"/>
  <c r="C150" i="69"/>
  <c r="E150" i="69" s="1"/>
  <c r="C89" i="69"/>
  <c r="E89" i="69" s="1"/>
  <c r="C323" i="69"/>
  <c r="E323" i="69" s="1"/>
  <c r="I153" i="49"/>
  <c r="I327" i="49"/>
  <c r="C169" i="69"/>
  <c r="E169" i="69" s="1"/>
  <c r="C155" i="69"/>
  <c r="E155" i="69" s="1"/>
  <c r="C84" i="69"/>
  <c r="I137" i="49"/>
  <c r="C152" i="69"/>
  <c r="E152" i="69" s="1"/>
  <c r="H327" i="49"/>
  <c r="G73" i="49"/>
  <c r="B12" i="43" s="1"/>
  <c r="I85" i="49"/>
  <c r="I72" i="49"/>
  <c r="H113" i="49"/>
  <c r="I113" i="49"/>
  <c r="I149" i="49"/>
  <c r="H336" i="49"/>
  <c r="C325" i="69"/>
  <c r="H170" i="49" l="1"/>
  <c r="F34" i="68"/>
  <c r="H157" i="49"/>
  <c r="I170" i="49"/>
  <c r="I157" i="49"/>
  <c r="C156" i="69"/>
  <c r="E156" i="69" s="1"/>
  <c r="C160" i="69"/>
  <c r="E160" i="69" s="1"/>
  <c r="F50" i="68"/>
  <c r="F51" i="68" s="1"/>
  <c r="H235" i="49"/>
  <c r="I235" i="49"/>
  <c r="C224" i="69"/>
  <c r="E224" i="69" s="1"/>
  <c r="I202" i="49"/>
  <c r="C198" i="69"/>
  <c r="E198" i="69" s="1"/>
  <c r="H202" i="49"/>
  <c r="C182" i="69"/>
  <c r="E182" i="69" s="1"/>
  <c r="I186" i="49"/>
  <c r="H186" i="49"/>
  <c r="C36" i="69"/>
  <c r="E36" i="69" s="1"/>
  <c r="H36" i="49"/>
  <c r="I36" i="49"/>
  <c r="I174" i="49"/>
  <c r="I154" i="49"/>
  <c r="C230" i="69"/>
  <c r="E230" i="69" s="1"/>
  <c r="I241" i="49"/>
  <c r="H241" i="49"/>
  <c r="H204" i="49"/>
  <c r="I204" i="49"/>
  <c r="C200" i="69"/>
  <c r="E200" i="69" s="1"/>
  <c r="C184" i="69"/>
  <c r="E184" i="69" s="1"/>
  <c r="H188" i="49"/>
  <c r="I188" i="49"/>
  <c r="C221" i="69"/>
  <c r="E221" i="69" s="1"/>
  <c r="H232" i="49"/>
  <c r="I232" i="49"/>
  <c r="H187" i="49"/>
  <c r="C183" i="69"/>
  <c r="E183" i="69" s="1"/>
  <c r="I187" i="49"/>
  <c r="C49" i="69"/>
  <c r="E49" i="69" s="1"/>
  <c r="H205" i="49"/>
  <c r="C201" i="69"/>
  <c r="E201" i="69" s="1"/>
  <c r="I205" i="49"/>
  <c r="C171" i="69"/>
  <c r="E171" i="69" s="1"/>
  <c r="H172" i="49"/>
  <c r="I172" i="49"/>
  <c r="I166" i="49"/>
  <c r="H166" i="49"/>
  <c r="C165" i="69"/>
  <c r="E165" i="69" s="1"/>
  <c r="C106" i="69"/>
  <c r="E106" i="69" s="1"/>
  <c r="H107" i="49"/>
  <c r="I107" i="49"/>
  <c r="C350" i="49"/>
  <c r="C203" i="69"/>
  <c r="E203" i="69" s="1"/>
  <c r="H207" i="49"/>
  <c r="I207" i="49"/>
  <c r="I182" i="49"/>
  <c r="I112" i="49"/>
  <c r="C111" i="69"/>
  <c r="E111" i="69" s="1"/>
  <c r="H246" i="49"/>
  <c r="C235" i="69"/>
  <c r="E235" i="69" s="1"/>
  <c r="I246" i="49"/>
  <c r="H193" i="49"/>
  <c r="C189" i="69"/>
  <c r="E189" i="69" s="1"/>
  <c r="I193" i="49"/>
  <c r="E345" i="49"/>
  <c r="E344" i="49"/>
  <c r="F61" i="49"/>
  <c r="E343" i="49"/>
  <c r="E177" i="49"/>
  <c r="C139" i="69"/>
  <c r="E139" i="69" s="1"/>
  <c r="F29" i="68"/>
  <c r="C236" i="69"/>
  <c r="E236" i="69" s="1"/>
  <c r="I247" i="49"/>
  <c r="H247" i="49"/>
  <c r="I231" i="49"/>
  <c r="C220" i="69"/>
  <c r="E220" i="69" s="1"/>
  <c r="H231" i="49"/>
  <c r="C194" i="69"/>
  <c r="E194" i="69" s="1"/>
  <c r="H198" i="49"/>
  <c r="I198" i="49"/>
  <c r="C179" i="69"/>
  <c r="E179" i="69" s="1"/>
  <c r="I181" i="49"/>
  <c r="C105" i="69"/>
  <c r="E105" i="69" s="1"/>
  <c r="I106" i="49"/>
  <c r="C86" i="69"/>
  <c r="E86" i="69" s="1"/>
  <c r="C60" i="69"/>
  <c r="E60" i="69" s="1"/>
  <c r="I60" i="49"/>
  <c r="C344" i="49"/>
  <c r="C343" i="49"/>
  <c r="F29" i="49"/>
  <c r="C345" i="49"/>
  <c r="C104" i="69"/>
  <c r="E104" i="69" s="1"/>
  <c r="H105" i="49"/>
  <c r="I105" i="49"/>
  <c r="I239" i="49"/>
  <c r="C228" i="69"/>
  <c r="E228" i="69" s="1"/>
  <c r="H239" i="49"/>
  <c r="H200" i="49"/>
  <c r="I200" i="49"/>
  <c r="C196" i="69"/>
  <c r="E196" i="69" s="1"/>
  <c r="C180" i="69"/>
  <c r="E180" i="69" s="1"/>
  <c r="H184" i="49"/>
  <c r="I184" i="49"/>
  <c r="C113" i="69"/>
  <c r="E113" i="69" s="1"/>
  <c r="I114" i="49"/>
  <c r="H114" i="49"/>
  <c r="H93" i="49"/>
  <c r="I93" i="49"/>
  <c r="C92" i="69"/>
  <c r="E92" i="69" s="1"/>
  <c r="C81" i="69"/>
  <c r="E81" i="69" s="1"/>
  <c r="H82" i="49"/>
  <c r="I82" i="49"/>
  <c r="I183" i="49"/>
  <c r="C237" i="69"/>
  <c r="E237" i="69" s="1"/>
  <c r="I248" i="49"/>
  <c r="H248" i="49"/>
  <c r="H195" i="49"/>
  <c r="C191" i="69"/>
  <c r="E191" i="69" s="1"/>
  <c r="I195" i="49"/>
  <c r="C149" i="69"/>
  <c r="E149" i="69" s="1"/>
  <c r="H150" i="49"/>
  <c r="I234" i="49"/>
  <c r="H234" i="49"/>
  <c r="C223" i="69"/>
  <c r="E223" i="69" s="1"/>
  <c r="C233" i="69"/>
  <c r="E233" i="69" s="1"/>
  <c r="H244" i="49"/>
  <c r="I244" i="49"/>
  <c r="C217" i="69"/>
  <c r="E217" i="69" s="1"/>
  <c r="I228" i="49"/>
  <c r="H228" i="49"/>
  <c r="C212" i="69"/>
  <c r="E212" i="69" s="1"/>
  <c r="I222" i="49"/>
  <c r="H210" i="49"/>
  <c r="I210" i="49"/>
  <c r="C251" i="49"/>
  <c r="H201" i="49"/>
  <c r="C197" i="69"/>
  <c r="E197" i="69" s="1"/>
  <c r="I201" i="49"/>
  <c r="F30" i="68"/>
  <c r="I35" i="49"/>
  <c r="C35" i="69"/>
  <c r="E35" i="69" s="1"/>
  <c r="I212" i="49"/>
  <c r="H212" i="49"/>
  <c r="H140" i="49"/>
  <c r="C109" i="69"/>
  <c r="E109" i="69" s="1"/>
  <c r="I110" i="49"/>
  <c r="H110" i="49"/>
  <c r="H243" i="49"/>
  <c r="C232" i="69"/>
  <c r="E232" i="69" s="1"/>
  <c r="I243" i="49"/>
  <c r="G249" i="49"/>
  <c r="H227" i="49"/>
  <c r="I227" i="49"/>
  <c r="C216" i="69"/>
  <c r="C190" i="69"/>
  <c r="E190" i="69" s="1"/>
  <c r="I194" i="49"/>
  <c r="H194" i="49"/>
  <c r="C50" i="69"/>
  <c r="E50" i="69" s="1"/>
  <c r="I50" i="49"/>
  <c r="I211" i="49"/>
  <c r="H211" i="49"/>
  <c r="I162" i="49"/>
  <c r="C161" i="69"/>
  <c r="E161" i="69" s="1"/>
  <c r="H162" i="49"/>
  <c r="C121" i="69"/>
  <c r="E121" i="69" s="1"/>
  <c r="H122" i="49"/>
  <c r="I122" i="49"/>
  <c r="C222" i="69"/>
  <c r="E222" i="69" s="1"/>
  <c r="H233" i="49"/>
  <c r="I233" i="49"/>
  <c r="O216" i="49"/>
  <c r="I196" i="49"/>
  <c r="H196" i="49"/>
  <c r="C192" i="69"/>
  <c r="E192" i="69" s="1"/>
  <c r="C58" i="69"/>
  <c r="E58" i="69" s="1"/>
  <c r="I58" i="49"/>
  <c r="C349" i="49"/>
  <c r="C199" i="69"/>
  <c r="E199" i="69" s="1"/>
  <c r="H203" i="49"/>
  <c r="I203" i="49"/>
  <c r="I242" i="49"/>
  <c r="H242" i="49"/>
  <c r="C231" i="69"/>
  <c r="E231" i="69" s="1"/>
  <c r="I189" i="49"/>
  <c r="C185" i="69"/>
  <c r="E185" i="69" s="1"/>
  <c r="H189" i="49"/>
  <c r="I180" i="49"/>
  <c r="H180" i="49"/>
  <c r="C178" i="69"/>
  <c r="C46" i="69"/>
  <c r="E46" i="69" s="1"/>
  <c r="I46" i="49"/>
  <c r="C187" i="69"/>
  <c r="E187" i="69" s="1"/>
  <c r="H191" i="49"/>
  <c r="I191" i="49"/>
  <c r="I102" i="49"/>
  <c r="C101" i="69"/>
  <c r="E101" i="69" s="1"/>
  <c r="C346" i="49"/>
  <c r="I230" i="49"/>
  <c r="H230" i="49"/>
  <c r="C219" i="69"/>
  <c r="E219" i="69" s="1"/>
  <c r="C226" i="69"/>
  <c r="E226" i="69" s="1"/>
  <c r="H237" i="49"/>
  <c r="I237" i="49"/>
  <c r="I223" i="49"/>
  <c r="C202" i="69"/>
  <c r="E202" i="69" s="1"/>
  <c r="H206" i="49"/>
  <c r="I206" i="49"/>
  <c r="I190" i="49"/>
  <c r="C186" i="69"/>
  <c r="E186" i="69" s="1"/>
  <c r="H190" i="49"/>
  <c r="C173" i="69"/>
  <c r="E173" i="69" s="1"/>
  <c r="C107" i="69"/>
  <c r="E107" i="69" s="1"/>
  <c r="I47" i="49"/>
  <c r="C47" i="69"/>
  <c r="E47" i="69" s="1"/>
  <c r="C108" i="69"/>
  <c r="E108" i="69" s="1"/>
  <c r="I109" i="49"/>
  <c r="H109" i="49"/>
  <c r="C234" i="69"/>
  <c r="E234" i="69" s="1"/>
  <c r="H245" i="49"/>
  <c r="I245" i="49"/>
  <c r="C218" i="69"/>
  <c r="E218" i="69" s="1"/>
  <c r="I229" i="49"/>
  <c r="H229" i="49"/>
  <c r="I215" i="49"/>
  <c r="C208" i="69"/>
  <c r="E208" i="69" s="1"/>
  <c r="H192" i="49"/>
  <c r="I192" i="49"/>
  <c r="C188" i="69"/>
  <c r="E188" i="69" s="1"/>
  <c r="I43" i="49"/>
  <c r="C43" i="69"/>
  <c r="E43" i="69" s="1"/>
  <c r="C211" i="69"/>
  <c r="E211" i="69" s="1"/>
  <c r="I220" i="49"/>
  <c r="I219" i="49"/>
  <c r="C157" i="69"/>
  <c r="E157" i="69" s="1"/>
  <c r="H158" i="49"/>
  <c r="C114" i="69"/>
  <c r="E114" i="69" s="1"/>
  <c r="H115" i="49"/>
  <c r="I115" i="49"/>
  <c r="C37" i="69"/>
  <c r="E37" i="69" s="1"/>
  <c r="C193" i="69"/>
  <c r="E193" i="69" s="1"/>
  <c r="I197" i="49"/>
  <c r="H197" i="49"/>
  <c r="I57" i="49"/>
  <c r="C57" i="69"/>
  <c r="E57" i="69" s="1"/>
  <c r="C195" i="69"/>
  <c r="E195" i="69" s="1"/>
  <c r="H199" i="49"/>
  <c r="I199" i="49"/>
  <c r="I59" i="49"/>
  <c r="C59" i="69"/>
  <c r="E59" i="69" s="1"/>
  <c r="H238" i="49"/>
  <c r="C227" i="69"/>
  <c r="E227" i="69" s="1"/>
  <c r="I238" i="49"/>
  <c r="H185" i="49"/>
  <c r="I185" i="49"/>
  <c r="C181" i="69"/>
  <c r="E181" i="69" s="1"/>
  <c r="I61" i="49"/>
  <c r="C170" i="69"/>
  <c r="E170" i="69" s="1"/>
  <c r="I171" i="49"/>
  <c r="H171" i="49"/>
  <c r="C143" i="69"/>
  <c r="E143" i="69" s="1"/>
  <c r="I144" i="49"/>
  <c r="H144" i="49"/>
  <c r="C145" i="69"/>
  <c r="E145" i="69" s="1"/>
  <c r="I146" i="49"/>
  <c r="H146" i="49"/>
  <c r="C99" i="69"/>
  <c r="E99" i="69" s="1"/>
  <c r="I100" i="49"/>
  <c r="H100" i="49"/>
  <c r="C126" i="69"/>
  <c r="E126" i="69" s="1"/>
  <c r="H127" i="49"/>
  <c r="I127" i="49"/>
  <c r="I81" i="49"/>
  <c r="C80" i="69"/>
  <c r="E80" i="69" s="1"/>
  <c r="H81" i="49"/>
  <c r="C119" i="69"/>
  <c r="E119" i="69" s="1"/>
  <c r="I120" i="49"/>
  <c r="C79" i="69"/>
  <c r="E79" i="69" s="1"/>
  <c r="I80" i="49"/>
  <c r="H80" i="49"/>
  <c r="G176" i="49"/>
  <c r="H176" i="49" s="1"/>
  <c r="F38" i="68"/>
  <c r="F33" i="68"/>
  <c r="C166" i="69"/>
  <c r="E166" i="69" s="1"/>
  <c r="I167" i="49"/>
  <c r="H167" i="49"/>
  <c r="C158" i="69"/>
  <c r="E158" i="69" s="1"/>
  <c r="I159" i="49"/>
  <c r="H159" i="49"/>
  <c r="C131" i="69"/>
  <c r="E131" i="69" s="1"/>
  <c r="H132" i="49"/>
  <c r="I132" i="49"/>
  <c r="C172" i="69"/>
  <c r="E172" i="69" s="1"/>
  <c r="H173" i="49"/>
  <c r="I173" i="49"/>
  <c r="C133" i="69"/>
  <c r="E133" i="69" s="1"/>
  <c r="I134" i="49"/>
  <c r="H134" i="49"/>
  <c r="C115" i="69"/>
  <c r="E115" i="69" s="1"/>
  <c r="I116" i="49"/>
  <c r="H116" i="49"/>
  <c r="H83" i="49"/>
  <c r="I83" i="49"/>
  <c r="C82" i="69"/>
  <c r="E82" i="69" s="1"/>
  <c r="F32" i="68"/>
  <c r="I155" i="49"/>
  <c r="H155" i="49"/>
  <c r="C154" i="69"/>
  <c r="E154" i="69" s="1"/>
  <c r="C118" i="69"/>
  <c r="E118" i="69" s="1"/>
  <c r="I119" i="49"/>
  <c r="H119" i="49"/>
  <c r="C132" i="69"/>
  <c r="E132" i="69" s="1"/>
  <c r="H133" i="49"/>
  <c r="I133" i="49"/>
  <c r="F40" i="68"/>
  <c r="F42" i="68" s="1"/>
  <c r="I148" i="49"/>
  <c r="C147" i="69"/>
  <c r="E147" i="69" s="1"/>
  <c r="H148" i="49"/>
  <c r="C162" i="69"/>
  <c r="E162" i="69" s="1"/>
  <c r="I163" i="49"/>
  <c r="H163" i="49"/>
  <c r="H128" i="49"/>
  <c r="I128" i="49"/>
  <c r="C127" i="69"/>
  <c r="E127" i="69" s="1"/>
  <c r="C85" i="69"/>
  <c r="E85" i="69" s="1"/>
  <c r="I86" i="49"/>
  <c r="H86" i="49"/>
  <c r="C123" i="69"/>
  <c r="E123" i="69" s="1"/>
  <c r="I124" i="49"/>
  <c r="H124" i="49"/>
  <c r="C135" i="69"/>
  <c r="E135" i="69" s="1"/>
  <c r="I136" i="49"/>
  <c r="C98" i="69"/>
  <c r="E98" i="69" s="1"/>
  <c r="I99" i="49"/>
  <c r="H99" i="49"/>
  <c r="C137" i="69"/>
  <c r="E137" i="69" s="1"/>
  <c r="H138" i="49"/>
  <c r="I138" i="49"/>
  <c r="G346" i="49"/>
  <c r="G349" i="49"/>
  <c r="I337" i="49"/>
  <c r="C318" i="69"/>
  <c r="E318" i="69" s="1"/>
  <c r="G350" i="49"/>
  <c r="B11" i="43"/>
  <c r="B14" i="43" s="1"/>
  <c r="B16" i="43" s="1"/>
  <c r="H61" i="49"/>
  <c r="G344" i="49"/>
  <c r="G354" i="49"/>
  <c r="I330" i="49"/>
  <c r="I329" i="49"/>
  <c r="H329" i="49"/>
  <c r="C72" i="69"/>
  <c r="C334" i="69" s="1"/>
  <c r="G343" i="49"/>
  <c r="G355" i="49"/>
  <c r="E84" i="69"/>
  <c r="B7" i="43"/>
  <c r="F26" i="68"/>
  <c r="F31" i="68" s="1"/>
  <c r="I73" i="49"/>
  <c r="H73" i="49"/>
  <c r="C326" i="69"/>
  <c r="E325" i="69"/>
  <c r="C174" i="69" l="1"/>
  <c r="E174" i="69" s="1"/>
  <c r="I176" i="49"/>
  <c r="E216" i="69"/>
  <c r="C238" i="69"/>
  <c r="E238" i="69" s="1"/>
  <c r="C61" i="69"/>
  <c r="C333" i="69" s="1"/>
  <c r="E216" i="49"/>
  <c r="G216" i="49"/>
  <c r="C340" i="49"/>
  <c r="C351" i="49"/>
  <c r="C252" i="49"/>
  <c r="C331" i="49" s="1"/>
  <c r="E178" i="69"/>
  <c r="F177" i="49"/>
  <c r="I249" i="49"/>
  <c r="H249" i="49"/>
  <c r="F39" i="68"/>
  <c r="F60" i="68" s="1"/>
  <c r="G177" i="49"/>
  <c r="G356" i="49"/>
  <c r="E72" i="69"/>
  <c r="E334" i="69" s="1"/>
  <c r="C319" i="69"/>
  <c r="E319" i="69" s="1"/>
  <c r="C329" i="69"/>
  <c r="C175" i="69"/>
  <c r="C337" i="69"/>
  <c r="C338" i="69"/>
  <c r="E326" i="69"/>
  <c r="E61" i="69" l="1"/>
  <c r="E333" i="69" s="1"/>
  <c r="C331" i="69"/>
  <c r="C332" i="69"/>
  <c r="I216" i="49"/>
  <c r="C209" i="69"/>
  <c r="G225" i="49"/>
  <c r="C348" i="49"/>
  <c r="C338" i="49"/>
  <c r="C339" i="49" s="1"/>
  <c r="F216" i="49"/>
  <c r="E225" i="49"/>
  <c r="H177" i="49"/>
  <c r="I177" i="49"/>
  <c r="E331" i="69"/>
  <c r="E175" i="69"/>
  <c r="E338" i="69"/>
  <c r="E337" i="69"/>
  <c r="E329" i="69" l="1"/>
  <c r="E332" i="69"/>
  <c r="F225" i="49"/>
  <c r="E250" i="49"/>
  <c r="I225" i="49"/>
  <c r="H225" i="49"/>
  <c r="G250" i="49"/>
  <c r="E209" i="69"/>
  <c r="C214" i="69"/>
  <c r="F250" i="49" l="1"/>
  <c r="E347" i="49"/>
  <c r="E251" i="49"/>
  <c r="G347" i="49"/>
  <c r="F61" i="68"/>
  <c r="F63" i="68" s="1"/>
  <c r="F65" i="68" s="1"/>
  <c r="F67" i="68" s="1"/>
  <c r="I250" i="49"/>
  <c r="H250" i="49"/>
  <c r="G251" i="49"/>
  <c r="C239" i="69"/>
  <c r="E214" i="69"/>
  <c r="E239" i="69" l="1"/>
  <c r="C240" i="69"/>
  <c r="I251" i="49"/>
  <c r="G340" i="49"/>
  <c r="B6" i="43"/>
  <c r="B8" i="43" s="1"/>
  <c r="G351" i="49"/>
  <c r="H251" i="49"/>
  <c r="G252" i="49"/>
  <c r="F251" i="49"/>
  <c r="E252" i="49"/>
  <c r="E351" i="49"/>
  <c r="E340" i="49"/>
  <c r="C241" i="69" l="1"/>
  <c r="E240" i="69"/>
  <c r="E339" i="69" s="1"/>
  <c r="C339" i="69"/>
  <c r="F252" i="49"/>
  <c r="E331" i="49"/>
  <c r="H252" i="49"/>
  <c r="I252" i="49"/>
  <c r="G331" i="49"/>
  <c r="E338" i="49" l="1"/>
  <c r="E348" i="49"/>
  <c r="F331" i="49"/>
  <c r="I331" i="49"/>
  <c r="H331" i="49"/>
  <c r="B10" i="43"/>
  <c r="G338" i="49"/>
  <c r="B9" i="43"/>
  <c r="G348" i="49"/>
  <c r="C320" i="69"/>
  <c r="E241" i="69"/>
  <c r="G339" i="49" l="1"/>
  <c r="H338" i="49"/>
  <c r="I338" i="49"/>
  <c r="E320" i="69"/>
  <c r="E336" i="69" s="1"/>
  <c r="C336" i="69"/>
  <c r="C327" i="69"/>
  <c r="E339" i="49"/>
  <c r="F338" i="49"/>
  <c r="C328" i="69" l="1"/>
  <c r="E327" i="69"/>
  <c r="E328" i="69" s="1"/>
</calcChain>
</file>

<file path=xl/sharedStrings.xml><?xml version="1.0" encoding="utf-8"?>
<sst xmlns="http://schemas.openxmlformats.org/spreadsheetml/2006/main" count="3343" uniqueCount="1085">
  <si>
    <t>INGRESOS</t>
  </si>
  <si>
    <t>Matriculas</t>
  </si>
  <si>
    <t>TOTAL MATRICULAS</t>
  </si>
  <si>
    <t>Inscripciones</t>
  </si>
  <si>
    <t>Devol.Matricula</t>
  </si>
  <si>
    <t>Certific.Constancias</t>
  </si>
  <si>
    <t>Supletorios</t>
  </si>
  <si>
    <t>Habilitaciones</t>
  </si>
  <si>
    <t>Validaciones</t>
  </si>
  <si>
    <t>Desc.Matricu.Pensi.</t>
  </si>
  <si>
    <t>Venta Libros</t>
  </si>
  <si>
    <t>Ingr.Servic.Laborat.</t>
  </si>
  <si>
    <t>Alquiler Lockers</t>
  </si>
  <si>
    <t>TOTAL INGRESOS OPNALES</t>
  </si>
  <si>
    <t>Clientes (Estudian.)</t>
  </si>
  <si>
    <t>Diferencia en Cambio</t>
  </si>
  <si>
    <t>San.Cheques Devuelto</t>
  </si>
  <si>
    <t>Mr Vr Reci.Mr Vr Can</t>
  </si>
  <si>
    <t>Rein.Otros Cost.Gast</t>
  </si>
  <si>
    <t>Acti.Relac.Educacion</t>
  </si>
  <si>
    <t>Sueldos</t>
  </si>
  <si>
    <t>Horas Extras Recargo</t>
  </si>
  <si>
    <t>Incapacidades</t>
  </si>
  <si>
    <t>Auxilio Transporte</t>
  </si>
  <si>
    <t>Cesantias</t>
  </si>
  <si>
    <t>Intereses Cesantia</t>
  </si>
  <si>
    <t>Prima de Servicios</t>
  </si>
  <si>
    <t>Vacaciones</t>
  </si>
  <si>
    <t>Auxilios</t>
  </si>
  <si>
    <t>Dotación Sumin.Traba</t>
  </si>
  <si>
    <t>Apor.Admin.Riesg.Pro</t>
  </si>
  <si>
    <t>Ap.Ent.Prom.Sal.EPS</t>
  </si>
  <si>
    <t>Apor.Fondos Pens/CES</t>
  </si>
  <si>
    <t>Caja Compens Fam.</t>
  </si>
  <si>
    <t>Aportes al I.C.B.F.</t>
  </si>
  <si>
    <t>Sena</t>
  </si>
  <si>
    <t>Apoyo Aprendis Sena</t>
  </si>
  <si>
    <t>Apo.Salud Apren.Sena</t>
  </si>
  <si>
    <t>Ap.Riesgo Apren.Sena</t>
  </si>
  <si>
    <t>Honorarios Catedra</t>
  </si>
  <si>
    <t>Hon.Cursos,Sem.Diplo</t>
  </si>
  <si>
    <t>Honorarios Investig.</t>
  </si>
  <si>
    <t>Otros Honorarios</t>
  </si>
  <si>
    <t>TOTAL HONORARIOS CATEDRA</t>
  </si>
  <si>
    <t>GENERALES DE ADMON</t>
  </si>
  <si>
    <t>Otros Arriendos</t>
  </si>
  <si>
    <t>Afiliac. Sostenimien</t>
  </si>
  <si>
    <t>Cumplimiento</t>
  </si>
  <si>
    <t>Respon.Civil y Extra</t>
  </si>
  <si>
    <t>Seguro accidente est</t>
  </si>
  <si>
    <t>Telefonos</t>
  </si>
  <si>
    <t>Correo, Portes,Teleg</t>
  </si>
  <si>
    <t>Transp, Fletes, Acar</t>
  </si>
  <si>
    <t>Empaste Documentos</t>
  </si>
  <si>
    <t>Impresos y Publicaci</t>
  </si>
  <si>
    <t>Avisos en Prensa</t>
  </si>
  <si>
    <t>Internet y Base Dato</t>
  </si>
  <si>
    <t>Lavanderia</t>
  </si>
  <si>
    <t>Proceso Admisiones</t>
  </si>
  <si>
    <t>Serv.Bienestar Unive</t>
  </si>
  <si>
    <t>Servicios Varios</t>
  </si>
  <si>
    <t>Alojamie.y Manunten.</t>
  </si>
  <si>
    <t>Pasajes Aereos</t>
  </si>
  <si>
    <t>Pasajes Terrestres</t>
  </si>
  <si>
    <t>Material Didactico</t>
  </si>
  <si>
    <t>Libr,Susc,Per.Revist</t>
  </si>
  <si>
    <t>Gas.Repr.Relac.Publi</t>
  </si>
  <si>
    <t>Elemen.Aseo Cafeter</t>
  </si>
  <si>
    <t>Utiles, Papel.Fotoco</t>
  </si>
  <si>
    <t>Taxis y buses</t>
  </si>
  <si>
    <t>Elem.Laborat. Enseñ</t>
  </si>
  <si>
    <t>Elementos Audivisual</t>
  </si>
  <si>
    <t>Elem.Rope.Lenc.Menaj</t>
  </si>
  <si>
    <t>Imple.Bienestar Univ</t>
  </si>
  <si>
    <t>Materiales y Repues</t>
  </si>
  <si>
    <t>Elem.Suministro Comp</t>
  </si>
  <si>
    <t>Im.Dev.Mue.Ens,Eq.Of</t>
  </si>
  <si>
    <t>Implem.Devol.Libros</t>
  </si>
  <si>
    <t>Elemen Y Sumin Vario</t>
  </si>
  <si>
    <t>TOTAL GRALES ADMON</t>
  </si>
  <si>
    <t>FINANCIEROS Y EXTRAORDINARIOS</t>
  </si>
  <si>
    <t>Comisiones</t>
  </si>
  <si>
    <t>Intereses por Mora</t>
  </si>
  <si>
    <t>Honorarios</t>
  </si>
  <si>
    <t>Diversos</t>
  </si>
  <si>
    <t>UNIDADES  APOYO ACADEMICAS</t>
  </si>
  <si>
    <t>ADMSYPUBLI</t>
  </si>
  <si>
    <t>Admisiones Y Publici</t>
  </si>
  <si>
    <t>ATENUSUARI</t>
  </si>
  <si>
    <t>Atencion Usuario</t>
  </si>
  <si>
    <t>AUDIOVISUA</t>
  </si>
  <si>
    <t>Rcsos Audiovisules</t>
  </si>
  <si>
    <t>BIBLIOTECA</t>
  </si>
  <si>
    <t>Biblioteca</t>
  </si>
  <si>
    <t>BNSTARUNIV</t>
  </si>
  <si>
    <t>Bnstar Universitario</t>
  </si>
  <si>
    <t>DIRCCTECNO</t>
  </si>
  <si>
    <t>Direcc.Tecnología</t>
  </si>
  <si>
    <t>LABORMEDIC</t>
  </si>
  <si>
    <t>Lab. Medicina</t>
  </si>
  <si>
    <t>RELINTERNA</t>
  </si>
  <si>
    <t>Relac.Internal y Egr</t>
  </si>
  <si>
    <t>RECTORIA</t>
  </si>
  <si>
    <t>Rectoría</t>
  </si>
  <si>
    <t>VICERREACA</t>
  </si>
  <si>
    <t>Vicerrect. Academica</t>
  </si>
  <si>
    <t>ADMONPOSTG</t>
  </si>
  <si>
    <t>Admon Postgrados</t>
  </si>
  <si>
    <t>DPTOBIOETI</t>
  </si>
  <si>
    <t>Dpto Bioetica</t>
  </si>
  <si>
    <t>POSTMEDICI</t>
  </si>
  <si>
    <t>Admon Postgr Medicin</t>
  </si>
  <si>
    <t>EDUCONTINU</t>
  </si>
  <si>
    <t>TOTAL UNID.APOYO ACADEMICO</t>
  </si>
  <si>
    <t>UNIDADES APOYO ADDTIVO</t>
  </si>
  <si>
    <t>ALMACÉN</t>
  </si>
  <si>
    <t>ALmacen</t>
  </si>
  <si>
    <t>CLAUSTRO</t>
  </si>
  <si>
    <t>Claustro</t>
  </si>
  <si>
    <t>COMPRAS</t>
  </si>
  <si>
    <t>Compras</t>
  </si>
  <si>
    <t>CONSEDIREC</t>
  </si>
  <si>
    <t>Consejo Directivo</t>
  </si>
  <si>
    <t>CONTABILID</t>
  </si>
  <si>
    <t>Contabilidad</t>
  </si>
  <si>
    <t>CORRESPOND</t>
  </si>
  <si>
    <t>Correspondencia</t>
  </si>
  <si>
    <t>CREDYCARTE</t>
  </si>
  <si>
    <t>Credito y Cartera</t>
  </si>
  <si>
    <t>DLLOFISICO</t>
  </si>
  <si>
    <t>Dllo Físico y Mtto.</t>
  </si>
  <si>
    <t>EVALYPLANE</t>
  </si>
  <si>
    <t>Evaluac y Planeacion</t>
  </si>
  <si>
    <t>FUNDSALUDB</t>
  </si>
  <si>
    <t>Fund. Salud Bosque</t>
  </si>
  <si>
    <t>GRLESADMON</t>
  </si>
  <si>
    <t>Generales Admon</t>
  </si>
  <si>
    <t>PRESUPUEST</t>
  </si>
  <si>
    <t>Presupuesto</t>
  </si>
  <si>
    <t>RRHH</t>
  </si>
  <si>
    <t>Recursos Humanos</t>
  </si>
  <si>
    <t>SECRETGRAL</t>
  </si>
  <si>
    <t>Secretaría General</t>
  </si>
  <si>
    <t>SEGURIDAD</t>
  </si>
  <si>
    <t>Seguridad</t>
  </si>
  <si>
    <t>SERVGENERL</t>
  </si>
  <si>
    <t>Servicios Generales</t>
  </si>
  <si>
    <t>TESORERÍA</t>
  </si>
  <si>
    <t>Tesorería</t>
  </si>
  <si>
    <t>VICERREADM</t>
  </si>
  <si>
    <t>Vicerrect. Administr</t>
  </si>
  <si>
    <t>TOTAL UNID.APOYO ADTTIVO</t>
  </si>
  <si>
    <t>RDTO NETO</t>
  </si>
  <si>
    <t>NOMBRE DEL EMPLEADO</t>
  </si>
  <si>
    <t>CATEGORIA</t>
  </si>
  <si>
    <t>DIF</t>
  </si>
  <si>
    <t>SUELDO ANUAL</t>
  </si>
  <si>
    <t>SUB.TRAN.</t>
  </si>
  <si>
    <t>HORAS EXTRAS</t>
  </si>
  <si>
    <t>VACACIONES</t>
  </si>
  <si>
    <t>PRIMA</t>
  </si>
  <si>
    <t>CESANTIAS</t>
  </si>
  <si>
    <t>I.C.</t>
  </si>
  <si>
    <t>APORTE SALUD</t>
  </si>
  <si>
    <t>APORTE PENSION</t>
  </si>
  <si>
    <t>APORTE ARP</t>
  </si>
  <si>
    <t>PARAFISCALES</t>
  </si>
  <si>
    <t>TOTAL</t>
  </si>
  <si>
    <t>NO APLICA</t>
  </si>
  <si>
    <t xml:space="preserve"> </t>
  </si>
  <si>
    <t>PROFESOR ESPECIAL</t>
  </si>
  <si>
    <t>PROFESOR ASOCIADO</t>
  </si>
  <si>
    <t>PROFESOR  ASISTENTE</t>
  </si>
  <si>
    <t>INSTRUCTOR ASOCIADO</t>
  </si>
  <si>
    <t>INSTRUCTOR ASISTENTE</t>
  </si>
  <si>
    <t>porcentaje</t>
  </si>
  <si>
    <t>Subsidio Transporte</t>
  </si>
  <si>
    <t>Salario Minimo</t>
  </si>
  <si>
    <t>MAX SALARIO</t>
  </si>
  <si>
    <t>SALUD PATRONO</t>
  </si>
  <si>
    <t>SALUD TOTAL</t>
  </si>
  <si>
    <t>PENSION PATRONO</t>
  </si>
  <si>
    <t>PENSION TOTAL</t>
  </si>
  <si>
    <t>ARP</t>
  </si>
  <si>
    <t xml:space="preserve">AÑO LABORAL </t>
  </si>
  <si>
    <t>AÑO ACADEMICO</t>
  </si>
  <si>
    <t>TIPO CONTRATO</t>
  </si>
  <si>
    <t>CATEGORIAS</t>
  </si>
  <si>
    <t>PROFESOR TITULAR</t>
  </si>
  <si>
    <t>JOVEN INVESTIGADOR</t>
  </si>
  <si>
    <t>SERVICIO SOCIAL OBLIG.</t>
  </si>
  <si>
    <t>MONITOR</t>
  </si>
  <si>
    <t>INSTRUCTOR</t>
  </si>
  <si>
    <t>PROFESOR</t>
  </si>
  <si>
    <t>DOCENTE</t>
  </si>
  <si>
    <t>PROF. BIENESTAR UNIV.</t>
  </si>
  <si>
    <t>ORQUESTA SINFONICA</t>
  </si>
  <si>
    <t>INVESTIGADOR</t>
  </si>
  <si>
    <t>HORAS</t>
  </si>
  <si>
    <t>PORCENTAJE</t>
  </si>
  <si>
    <t>SEMESTRE</t>
  </si>
  <si>
    <t>ALUMNOS I PERIODO</t>
  </si>
  <si>
    <t>VALOR MATRICULA</t>
  </si>
  <si>
    <t>TOTAL I PERIODO</t>
  </si>
  <si>
    <t>ALUMNOS II PERIODO</t>
  </si>
  <si>
    <t>TOTAL II PERIODO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</si>
  <si>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</si>
  <si>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</si>
  <si>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</si>
  <si>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</si>
  <si>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</si>
  <si>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</si>
  <si>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</si>
  <si>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</si>
  <si>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</si>
  <si>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</si>
  <si>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</si>
  <si>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</si>
  <si>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 xml:space="preserve">TOTAL </t>
  </si>
  <si>
    <t xml:space="preserve"> I PERIODO</t>
  </si>
  <si>
    <t>II PERIODO</t>
  </si>
  <si>
    <t xml:space="preserve">UNIVERSIDAD EL BOSQUE </t>
  </si>
  <si>
    <t>DEPARTAMENTO DE PRESUPUESTOS</t>
  </si>
  <si>
    <t>HONORARIOS</t>
  </si>
  <si>
    <t>NOMBRE DOCENTE</t>
  </si>
  <si>
    <t>ASIGNATURA</t>
  </si>
  <si>
    <t>VALOR HORA</t>
  </si>
  <si>
    <t xml:space="preserve">VALOR TOTAL HORAS </t>
  </si>
  <si>
    <t>OTROS HONORARIOS</t>
  </si>
  <si>
    <t>NOMBRE</t>
  </si>
  <si>
    <t>CONCEPTO</t>
  </si>
  <si>
    <t>TOTAL OTROS HONORARIOS</t>
  </si>
  <si>
    <t xml:space="preserve">CONSOLIDADO </t>
  </si>
  <si>
    <t>PASAJES AEREOS</t>
  </si>
  <si>
    <t>Impresos y Publicaciones</t>
  </si>
  <si>
    <t>IMPRESOS Y PUBLICACIONES</t>
  </si>
  <si>
    <t>INVERSION OTROS EQUIPOS</t>
  </si>
  <si>
    <t>ADECUACIONES LOCATIVAS</t>
  </si>
  <si>
    <t>INVERSIONES Y APORTES</t>
  </si>
  <si>
    <t>TOTAL INVERSIONES UNIDAD ACADEMICA</t>
  </si>
  <si>
    <t>RENDIMIENTO O SUBVENCION PRESUPUESTAL</t>
  </si>
  <si>
    <t>MENU PRINCIPAL</t>
  </si>
  <si>
    <t>Alumnos</t>
  </si>
  <si>
    <t>Matrículas</t>
  </si>
  <si>
    <t>Afiliaciones</t>
  </si>
  <si>
    <t>Inversión equipos cómputo</t>
  </si>
  <si>
    <t>Inversión otros equipos</t>
  </si>
  <si>
    <t>Inversión muebles y enseres</t>
  </si>
  <si>
    <t>Adecuaciones locativas</t>
  </si>
  <si>
    <t>TITULO OBRA</t>
  </si>
  <si>
    <t>AUTOR</t>
  </si>
  <si>
    <t>SEP</t>
  </si>
  <si>
    <t>OCT</t>
  </si>
  <si>
    <t>NOV</t>
  </si>
  <si>
    <t>DIC</t>
  </si>
  <si>
    <t>JUSTIFICACION</t>
  </si>
  <si>
    <t>ENTIDAD</t>
  </si>
  <si>
    <t>VIGENCIA</t>
  </si>
  <si>
    <t>ANUAL</t>
  </si>
  <si>
    <t>CLASE ADECUAC.</t>
  </si>
  <si>
    <t>SUACD00001</t>
  </si>
  <si>
    <t>SEMESTRAL</t>
  </si>
  <si>
    <t>JUSTIFICACIÓN</t>
  </si>
  <si>
    <t>SUELDO TOTAL</t>
  </si>
  <si>
    <t>Costo Total ABS</t>
  </si>
  <si>
    <t>Costo RH ABS</t>
  </si>
  <si>
    <t>% Costo RH/Costo Total</t>
  </si>
  <si>
    <t>Excedente +</t>
  </si>
  <si>
    <t>Excedente -</t>
  </si>
  <si>
    <t>Carga Prestacional</t>
  </si>
  <si>
    <t>Costos Total RH</t>
  </si>
  <si>
    <t>Ingreso por Matricula/ Ingresos totales</t>
  </si>
  <si>
    <t>PERIODO I</t>
  </si>
  <si>
    <t>Semestre</t>
  </si>
  <si>
    <t>PERIODO II</t>
  </si>
  <si>
    <t>Verificar que los enlaces a la hoja de presupuesto sean los correctos.</t>
  </si>
  <si>
    <t>Pronóstico</t>
  </si>
  <si>
    <t>Facultad</t>
  </si>
  <si>
    <t>INGRESOS TOTALES</t>
  </si>
  <si>
    <t>COSTO TOTAL ROTACION</t>
  </si>
  <si>
    <t>Convenios</t>
  </si>
  <si>
    <t>TÍTULO</t>
  </si>
  <si>
    <t xml:space="preserve">Nómina </t>
  </si>
  <si>
    <t>DOCENCIA</t>
  </si>
  <si>
    <t>Curso Vacacional</t>
  </si>
  <si>
    <t>Otr.Gtos  Viaje Sali</t>
  </si>
  <si>
    <t>Peajes  Tramites</t>
  </si>
  <si>
    <t>Combustib. y Lubric</t>
  </si>
  <si>
    <t>Impl.Devol.Eq.Comput</t>
  </si>
  <si>
    <t>LABAMBIENT</t>
  </si>
  <si>
    <t>Ingreso Totales</t>
  </si>
  <si>
    <t>INGRESOS OPERACIONALES</t>
  </si>
  <si>
    <t>Ingresos Biblioteca</t>
  </si>
  <si>
    <t>Ingres.Audiovisuales</t>
  </si>
  <si>
    <t>Ingres.Servic.Tecn.</t>
  </si>
  <si>
    <t>Ingresos Bienestar U</t>
  </si>
  <si>
    <t>GASTOS</t>
  </si>
  <si>
    <t>OPERACIONALES DIRECTOS</t>
  </si>
  <si>
    <t>GASTOS DE PERSONAL</t>
  </si>
  <si>
    <t>Indemnizac.Laborales</t>
  </si>
  <si>
    <t>Capacitación Persona</t>
  </si>
  <si>
    <t>Gastos Deport.Recrea</t>
  </si>
  <si>
    <t>Gast.Medicos, Drogas</t>
  </si>
  <si>
    <t>TOTAL GASTOS DE PERSONAL</t>
  </si>
  <si>
    <t xml:space="preserve">HONORARIOS </t>
  </si>
  <si>
    <t>Hon. Medicina Legal</t>
  </si>
  <si>
    <t xml:space="preserve">TOTAL HONORARIOS </t>
  </si>
  <si>
    <t>Revisoria Fiscal</t>
  </si>
  <si>
    <t>Asesoria Juridica</t>
  </si>
  <si>
    <t>Imp.Indust. Comercio</t>
  </si>
  <si>
    <t>Imp.a Propiedad Raiz</t>
  </si>
  <si>
    <t>Emergencia Economica</t>
  </si>
  <si>
    <t>Eq.Comput.Comunic</t>
  </si>
  <si>
    <t>Eq. Medico Cientifico</t>
  </si>
  <si>
    <t>Seguro por Riesgos</t>
  </si>
  <si>
    <t>Aseo</t>
  </si>
  <si>
    <t>Vigilancia</t>
  </si>
  <si>
    <t>Asistencia Tecnica</t>
  </si>
  <si>
    <t>Acueduc y Alcantar</t>
  </si>
  <si>
    <t>Energia Electricar</t>
  </si>
  <si>
    <t>Servicios Audiovisua</t>
  </si>
  <si>
    <t>Servicio Laboratorio</t>
  </si>
  <si>
    <t>Propaganda y Divulga</t>
  </si>
  <si>
    <t>Admon Loc,Oficin,Cas</t>
  </si>
  <si>
    <t>Mantenimto Software</t>
  </si>
  <si>
    <t>Mto. Licencias</t>
  </si>
  <si>
    <t>Ap EPS - ARP Estudia</t>
  </si>
  <si>
    <t>Notariales</t>
  </si>
  <si>
    <t>Tramites y Licencias</t>
  </si>
  <si>
    <t>Formu,Certific.Const</t>
  </si>
  <si>
    <t>Construc. Edificac.</t>
  </si>
  <si>
    <t>Otros Adecua.Instal.</t>
  </si>
  <si>
    <t>Estampillas</t>
  </si>
  <si>
    <t>Parqueaderos</t>
  </si>
  <si>
    <t>Implem. Deportivos</t>
  </si>
  <si>
    <t>Herramientas</t>
  </si>
  <si>
    <t>Impl.Devol. Eq.Instr</t>
  </si>
  <si>
    <t>Impl.Dev.Eq.Comunic.</t>
  </si>
  <si>
    <t>Elemen. Decorativos</t>
  </si>
  <si>
    <t>May.Vr.Can.Men.Vr.Re</t>
  </si>
  <si>
    <t>TOTAL GTOS OPNALES DIRECTOS</t>
  </si>
  <si>
    <t>OPERACIONALES INDIRECTOS</t>
  </si>
  <si>
    <t>ADMONFACED</t>
  </si>
  <si>
    <t>Admon Facultad Educación</t>
  </si>
  <si>
    <t>CLINODONTO</t>
  </si>
  <si>
    <t>Admon  Clinicas Odon</t>
  </si>
  <si>
    <t>DIVINVESTI</t>
  </si>
  <si>
    <t>Division Investigacion</t>
  </si>
  <si>
    <t>LABORACISC</t>
  </si>
  <si>
    <t>Lab.Cisco</t>
  </si>
  <si>
    <t>POSTEDUCAC</t>
  </si>
  <si>
    <t>Admon Postg Educacion</t>
  </si>
  <si>
    <t>POSTODONTO</t>
  </si>
  <si>
    <t>Admon Postg Odontolog</t>
  </si>
  <si>
    <t>POSTPSICOL</t>
  </si>
  <si>
    <t>Admon Postg Psicologia</t>
  </si>
  <si>
    <t>Admon   Educ Continu</t>
  </si>
  <si>
    <t>Lab. Ambiental</t>
  </si>
  <si>
    <t>LABORAFISI</t>
  </si>
  <si>
    <t>Lab. Física</t>
  </si>
  <si>
    <t>LABORPSICO</t>
  </si>
  <si>
    <t>Lab. Psicometría</t>
  </si>
  <si>
    <t>D. Humanidades</t>
  </si>
  <si>
    <t>EDIFICACIO</t>
  </si>
  <si>
    <t>Edificios, Dep Mto.</t>
  </si>
  <si>
    <t>EQUCOMPUTO</t>
  </si>
  <si>
    <t>Eq.Computo Subreparto</t>
  </si>
  <si>
    <t>EQUTELECOM</t>
  </si>
  <si>
    <t>Eq.Telecom Dep Mto.</t>
  </si>
  <si>
    <t>TELEFONOS</t>
  </si>
  <si>
    <t>Teléfonos Subreparto</t>
  </si>
  <si>
    <t>TOTAL GTOS OPNALES INDIRECTOS</t>
  </si>
  <si>
    <t>TOTAL GASTOS OPNALES</t>
  </si>
  <si>
    <t>RDTO OPNAL</t>
  </si>
  <si>
    <t>INGRESOS NO OPERACIONALES</t>
  </si>
  <si>
    <t>Cuentas de Ahorro</t>
  </si>
  <si>
    <t>Depositos a Término</t>
  </si>
  <si>
    <t>Derechos Fiduciarios</t>
  </si>
  <si>
    <t>Form.Insc.Prove.</t>
  </si>
  <si>
    <t>Predios CL 134 7B41</t>
  </si>
  <si>
    <t>Oficinas</t>
  </si>
  <si>
    <t>Cafeterias</t>
  </si>
  <si>
    <t>Bodega</t>
  </si>
  <si>
    <t>Alquiler Espacios</t>
  </si>
  <si>
    <t>Tienda Universitaria</t>
  </si>
  <si>
    <t>Otros Inmuebles</t>
  </si>
  <si>
    <t>Asesorias</t>
  </si>
  <si>
    <t>Administrativos</t>
  </si>
  <si>
    <t>Por Contrato</t>
  </si>
  <si>
    <t>Lockers</t>
  </si>
  <si>
    <t>Stands</t>
  </si>
  <si>
    <t>Cons.Tratam.Odontol.</t>
  </si>
  <si>
    <t>Serv.Comité Etica</t>
  </si>
  <si>
    <t>Certificac.Carnetiza</t>
  </si>
  <si>
    <t>Por Siniestro</t>
  </si>
  <si>
    <t>Aprovechamientos</t>
  </si>
  <si>
    <t>Proyecto Investigaci</t>
  </si>
  <si>
    <t>Excedentes</t>
  </si>
  <si>
    <t>Sobrante de Caja</t>
  </si>
  <si>
    <t>TOTAL INGRESOS NO OPNALES</t>
  </si>
  <si>
    <t>GASTOS NO OPERACIONALES DIRECTOS</t>
  </si>
  <si>
    <t>Cheq.Libreta Papeler</t>
  </si>
  <si>
    <t>Servicios Remesas</t>
  </si>
  <si>
    <t>Intereses Ordinarios</t>
  </si>
  <si>
    <t>Activ.Cultural Civic</t>
  </si>
  <si>
    <t>Multas,Sancion.Litig</t>
  </si>
  <si>
    <t>Gastos de Personal</t>
  </si>
  <si>
    <t>Impuestos Asumidos</t>
  </si>
  <si>
    <t>TOTAL GASTOS NO OPNALES DIRECTOS</t>
  </si>
  <si>
    <t>RDTO NO OPNAL</t>
  </si>
  <si>
    <t>INVERSIONES UNIDADES ACADEMICAS</t>
  </si>
  <si>
    <t>Muebles y Enseres</t>
  </si>
  <si>
    <t xml:space="preserve">ADMINISTRACION </t>
  </si>
  <si>
    <t>SUELDO MENS.</t>
  </si>
  <si>
    <t>semestral</t>
  </si>
  <si>
    <t>Anual</t>
  </si>
  <si>
    <t>Total</t>
  </si>
  <si>
    <t>Operativo</t>
  </si>
  <si>
    <t>TIPO</t>
  </si>
  <si>
    <t>Tipo</t>
  </si>
  <si>
    <t>ALOJAMIENTO Y MANUTENCION</t>
  </si>
  <si>
    <t>SUACD00002</t>
  </si>
  <si>
    <t>D. Bioetica</t>
  </si>
  <si>
    <t>SUAEL00001</t>
  </si>
  <si>
    <t>Materias Electivas</t>
  </si>
  <si>
    <t>Bonificaciones</t>
  </si>
  <si>
    <t>LABORCONTR</t>
  </si>
  <si>
    <t>Lab. Control</t>
  </si>
  <si>
    <t>Descuentos Comerciales Cond.</t>
  </si>
  <si>
    <t>MARGEN DE OPERACIÓN</t>
  </si>
  <si>
    <t>% GASTO NOMINA</t>
  </si>
  <si>
    <t>%   INC.</t>
  </si>
  <si>
    <t>CANTIDADES EN MILES DE PESOS</t>
  </si>
  <si>
    <t>COMENTARIO</t>
  </si>
  <si>
    <t>AL SEMESTRE.</t>
  </si>
  <si>
    <t>EL NUMERO DE HORAS  CORRESPONDE AL</t>
  </si>
  <si>
    <t>CLINICA -HOSPITAL</t>
  </si>
  <si>
    <t>VALOR SEMESTRE</t>
  </si>
  <si>
    <t>CONVENIOS DOCENTES ASISTENCIALES</t>
  </si>
  <si>
    <t>MONA</t>
  </si>
  <si>
    <t>NUMERO DE CUENTA</t>
  </si>
  <si>
    <t>NOMBRE CUENTA</t>
  </si>
  <si>
    <t>EDUCACION CONTINUADA</t>
  </si>
  <si>
    <t>OTROS INGRESOS</t>
  </si>
  <si>
    <t>TOTAL INGRESOS</t>
  </si>
  <si>
    <t>EGRESOS</t>
  </si>
  <si>
    <t>ARRENDAMIENTOS</t>
  </si>
  <si>
    <t>POLIZAS DE CUMPLIMIENTO</t>
  </si>
  <si>
    <t>CORREOS Y PORTES</t>
  </si>
  <si>
    <t>PROPAGANDA Y DIVULG.</t>
  </si>
  <si>
    <t>AVISOS EN LA PRENSA</t>
  </si>
  <si>
    <t>RELACIONES PUBLICAS</t>
  </si>
  <si>
    <t>RELAC.PUBLICAS-REFRIGERIOS</t>
  </si>
  <si>
    <t>PAPELERIA Y FOTOCOPIAS</t>
  </si>
  <si>
    <t>TAXIS Y BUSES</t>
  </si>
  <si>
    <t>ELEM.LABORATORIO Y ENSEÑ.</t>
  </si>
  <si>
    <t>MATERIAL DIDACTICO,LIBROS</t>
  </si>
  <si>
    <t>DIVERSOS E IMPREVISTOS</t>
  </si>
  <si>
    <t>TOTAL EGRESOS</t>
  </si>
  <si>
    <t>CUOTA ADMINISTRACION</t>
  </si>
  <si>
    <t>RENDIMIENTO</t>
  </si>
  <si>
    <t>INSTRUCTIVO: FAVOR DILIGENCIAR LOS ESPACIOS EN BLANCO Y  COLOCAR EL NOMBRE DEL EVENTO EN LA CASILLA " CURSO"</t>
  </si>
  <si>
    <t>PROYECTOS DE ASESORIA Y CONSULTORIA</t>
  </si>
  <si>
    <t>PROYECTO</t>
  </si>
  <si>
    <t>CONTRATOS O CONVENIOS</t>
  </si>
  <si>
    <t>INSTRUCTIVO: FAVOR DILIGENCIAR LOS ESPACIOS EN BLANCO Y  COLOCAR EL NOMBRE DEL PROYECTO EN LA CASILLA " PROYECTO"</t>
  </si>
  <si>
    <t>SOFTWARE-INTERNET-BASE DAT.</t>
  </si>
  <si>
    <t>GASTOS ADMON</t>
  </si>
  <si>
    <t>PROGRAMAS DE PROYECCION SOCIAL CON FINANCIACION EXTERNA O DE LA UNIVERSIDAD</t>
  </si>
  <si>
    <t>SITIO</t>
  </si>
  <si>
    <t>FECHA</t>
  </si>
  <si>
    <t xml:space="preserve">GESTION DEL RECURSO HUMANO </t>
  </si>
  <si>
    <t>OTROS CONCEPTOS</t>
  </si>
  <si>
    <t>PASAJES AEREOS-TERRESTRES</t>
  </si>
  <si>
    <t>PARTICIPANTES</t>
  </si>
  <si>
    <t>VALOR</t>
  </si>
  <si>
    <t>INSTRUCTIVO: FAVOR DILIGENCIAR LOS ESPACIOS EN BLANCO.</t>
  </si>
  <si>
    <t>AFILIACIONES Y SOSTENIMIENTO</t>
  </si>
  <si>
    <t>LOCALIZACION</t>
  </si>
  <si>
    <t>EQUIPOS</t>
  </si>
  <si>
    <t>INVERSION EN MUEBLES Y ENSERES</t>
  </si>
  <si>
    <t>PASAJES AEREOS Y TERRESTRES</t>
  </si>
  <si>
    <t>INSTRUCTIVO: FAVOR DILIGENCIAR LOS ESPACIOS EN BLANCO Y  COLOCAR EL NOMBRE DEL PROGRAMA EN LA CASILLA " PROYECTO"</t>
  </si>
  <si>
    <t>MANTENIMIENTO DE EQUIPOS Y MUEBLES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</si>
  <si>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</si>
  <si>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</si>
  <si>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</si>
  <si>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</si>
  <si>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</si>
  <si>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</si>
  <si>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</si>
  <si>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</si>
  <si>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PLANEACION ANUAL</t>
  </si>
  <si>
    <t>Mantenimiento de Equipo</t>
  </si>
  <si>
    <t>Mantenim. Eq.Instrum.Musicales</t>
  </si>
  <si>
    <t>Mantenim. Eq.Aseo,Cocina.Mant.</t>
  </si>
  <si>
    <t>Mantenim. Eq.Varios oficina</t>
  </si>
  <si>
    <t>Mantenim. Eq.  de Comp.Com</t>
  </si>
  <si>
    <t>Mantenim. Eq.Medico Cientifico</t>
  </si>
  <si>
    <t>NOTA:  SOLO SE PUEDEN MODIFICAR LOS ESPACIOS EN BLANCO</t>
  </si>
  <si>
    <t>No. HORAS SEMESTRE</t>
  </si>
  <si>
    <t>TOTAL SEGUNDO SEMESTRE</t>
  </si>
  <si>
    <t>TOTAL PRIMER SEMETRE</t>
  </si>
  <si>
    <t>CURSO</t>
  </si>
  <si>
    <t>DESCRIPCION DEL EVENTO - CONGRESO -SEMINARIO O CURSO</t>
  </si>
  <si>
    <t>FECHA PROBABLE</t>
  </si>
  <si>
    <t>Primas extralegales</t>
  </si>
  <si>
    <t xml:space="preserve">CONVENIOS CON ENTIDADES </t>
  </si>
  <si>
    <t>Hon.Conv.Entid.Salud  y Otros.</t>
  </si>
  <si>
    <t>IMPUESTOS</t>
  </si>
  <si>
    <t>CONTRIBUCIONES Y AFILIACIONES</t>
  </si>
  <si>
    <t>SEGUROS</t>
  </si>
  <si>
    <t>SERVICIOS</t>
  </si>
  <si>
    <t>GASTOS LEGALES</t>
  </si>
  <si>
    <t>MANTENIMIENTO,REPARACIONES Y ADECUACIONES</t>
  </si>
  <si>
    <t>GASTOS DE VIAJE</t>
  </si>
  <si>
    <t>AMORTIZACIONES</t>
  </si>
  <si>
    <t>GASTOS DIVERSOS</t>
  </si>
  <si>
    <t>Mater e Implem dev. Inst Music.</t>
  </si>
  <si>
    <t>FINANCIEROS</t>
  </si>
  <si>
    <t>RECUPERACIONES</t>
  </si>
  <si>
    <t>AÑOS ANTERIORES</t>
  </si>
  <si>
    <t>SUACD00003</t>
  </si>
  <si>
    <t>Laboratorio de Simulacion Clinica</t>
  </si>
  <si>
    <t>TOTAL CONVENIOS CON ENTIDADES</t>
  </si>
  <si>
    <t>SALIDAS DE CAMPO ACADEMICAS</t>
  </si>
  <si>
    <t>SALIDA</t>
  </si>
  <si>
    <t>DESCRIPCION DE LA SALIDA</t>
  </si>
  <si>
    <t>NUMERO DE DOCENTES</t>
  </si>
  <si>
    <t>INSTRUCTIVO: FAVOR DILIGENCIAR LOS ESPACIOS EN BLANCO Y  COLOCAR EL NOMBRE DE LA SALIDA EN LA CASILLA " SALIDA"</t>
  </si>
  <si>
    <t>Salidas de Campo</t>
  </si>
  <si>
    <t>% INC.</t>
  </si>
  <si>
    <t>SECUNDARIA</t>
  </si>
  <si>
    <t>TECNICO</t>
  </si>
  <si>
    <t>TECNOLOGO</t>
  </si>
  <si>
    <t>UNIVERSITARIO</t>
  </si>
  <si>
    <t>ESPECIALISTA</t>
  </si>
  <si>
    <t>MAGISTER</t>
  </si>
  <si>
    <t>INST.ASISTENTE</t>
  </si>
  <si>
    <t>INST.ASOCIADO</t>
  </si>
  <si>
    <t>PROF.ASISTENTE</t>
  </si>
  <si>
    <t>PROF.ASOCIADO</t>
  </si>
  <si>
    <t>PROF.TITULAR</t>
  </si>
  <si>
    <t>DOCTORADO</t>
  </si>
  <si>
    <t>POSDOCTORADO</t>
  </si>
  <si>
    <t>Semestral</t>
  </si>
  <si>
    <t>Academico</t>
  </si>
  <si>
    <t>ACADEMICO</t>
  </si>
  <si>
    <t>CLAS</t>
  </si>
  <si>
    <t>PREP</t>
  </si>
  <si>
    <t>EVAL</t>
  </si>
  <si>
    <t>ÉXITO</t>
  </si>
  <si>
    <t>TOT</t>
  </si>
  <si>
    <t>FORM</t>
  </si>
  <si>
    <t>INVES</t>
  </si>
  <si>
    <t>CONS</t>
  </si>
  <si>
    <t>CONT</t>
  </si>
  <si>
    <t>ACAD</t>
  </si>
  <si>
    <t>ESTUDIOS</t>
  </si>
  <si>
    <t>A2</t>
  </si>
  <si>
    <t>A3</t>
  </si>
  <si>
    <t>A4</t>
  </si>
  <si>
    <t>A36</t>
  </si>
  <si>
    <t>A37</t>
  </si>
  <si>
    <t>A56</t>
  </si>
  <si>
    <t>A57</t>
  </si>
  <si>
    <t>A58</t>
  </si>
  <si>
    <t>A59</t>
  </si>
  <si>
    <t>A60</t>
  </si>
  <si>
    <t>A77</t>
  </si>
  <si>
    <t>A78</t>
  </si>
  <si>
    <t>A79</t>
  </si>
  <si>
    <t>%</t>
  </si>
  <si>
    <t>INVESTIGACION</t>
  </si>
  <si>
    <t>EXTENSION</t>
  </si>
  <si>
    <t>GEST</t>
  </si>
  <si>
    <t>NR</t>
  </si>
  <si>
    <t>CODIGO CATEGORIA</t>
  </si>
  <si>
    <t>TIEMPO</t>
  </si>
  <si>
    <t>CODIGO CONTRATO</t>
  </si>
  <si>
    <t>operativo</t>
  </si>
  <si>
    <t>desarrollo</t>
  </si>
  <si>
    <t>COD</t>
  </si>
  <si>
    <t>Avaluos</t>
  </si>
  <si>
    <t>Gas</t>
  </si>
  <si>
    <t>Servicios Señalizacion</t>
  </si>
  <si>
    <t>SUACD00004</t>
  </si>
  <si>
    <t>Aportes Investigacion</t>
  </si>
  <si>
    <t>SUACD00005</t>
  </si>
  <si>
    <t>Aporte plan de Desarrollo</t>
  </si>
  <si>
    <t>Fac. Ciencias.</t>
  </si>
  <si>
    <t>SUAPD00001</t>
  </si>
  <si>
    <t>Serv.Lab.Psicometria.</t>
  </si>
  <si>
    <t>SUACL00002</t>
  </si>
  <si>
    <t>ADMONFAING</t>
  </si>
  <si>
    <t>Admon Facultad Ingenieria</t>
  </si>
  <si>
    <t>Ing. Investigacion y Desarrollo</t>
  </si>
  <si>
    <t>Apoyo Fondo Sostenibilidad</t>
  </si>
  <si>
    <t>Equipos de Computo-Tecnologia-licencias-Sotfware</t>
  </si>
  <si>
    <t>Equipos Medicos-Odontologicos-Laboratorios-Otros</t>
  </si>
  <si>
    <t>OBSERVACIONES</t>
  </si>
  <si>
    <t xml:space="preserve">PROYECTOS DE INVESTIGACION CON FINANCIACION EXTERNA </t>
  </si>
  <si>
    <t>DEDIC.</t>
  </si>
  <si>
    <t>% EJEC.</t>
  </si>
  <si>
    <t>En éste enlace pueden modificar el pronóstico de Presupuesto y retención de alumnos en el cuadro del " Plan de la Facultad" siempre y cuando hagan la justificación respectiva. Solo se podrán modificar las celdas en blanco.</t>
  </si>
  <si>
    <t>NUEVOS DOCENTES I PERIODO ACAD.</t>
  </si>
  <si>
    <t>NUEVOS DOCENTES II PERIODO ACAD.</t>
  </si>
  <si>
    <t>INSTRUCTIVO: FAVOR DILIGENCIAR LOS ESPACIOS EN BLANCO Y  COLOCAR EL NOMBRE DEL PROYECTO EN LA CASILLA " ACTIVIDAD O EVENTO"</t>
  </si>
  <si>
    <t>OTRAS ACTIVIDADES/EVENTOS</t>
  </si>
  <si>
    <t>ACTIVIDAD/ EVENTO</t>
  </si>
  <si>
    <t>Otras Actividades/Eventos</t>
  </si>
  <si>
    <t>APLICA PARA ACTIVIDADES DE LAS  SALIDAS DE CAMPO ACADÉMICAS PROGRAMADAS POR LAS FACULTADES</t>
  </si>
  <si>
    <t>INSTRUCTIVO: FAVOR DILIGENCIAR LOS ESPACIOS EN BLANCO DE ACUERDO AL MES EN EL QUE SE REQUIERE LA ADQUISICIÓN Y EL VALOR DEL LIBRO</t>
  </si>
  <si>
    <t>ADQUISICION LIBROS - SUSCRIPCIONES - BASES DE DATOS</t>
  </si>
  <si>
    <t># EJEMPLARES</t>
  </si>
  <si>
    <t xml:space="preserve">INVERSION EQUIPOS DE COMPUTO/LICENCIAS O SOFTWARE </t>
  </si>
  <si>
    <t xml:space="preserve">LOS SIGUIENTES CUADROS, SOLO SI APLICAN PARA USTEDES, DEBERÁN SER DILIGENCIADOS. </t>
  </si>
  <si>
    <t>SOBRE-SUELDO</t>
  </si>
  <si>
    <t>En éste enlace pueden alimentar los pagos de los convenios de docencia-servicio, o demás convenios que se tengan de docencia.</t>
  </si>
  <si>
    <t>Educación Continuada</t>
  </si>
  <si>
    <t>Asesorías y consultorías</t>
  </si>
  <si>
    <t>Gestión del Recurso Humano</t>
  </si>
  <si>
    <t>Proyectos de Investigación</t>
  </si>
  <si>
    <t>Proyectos con Proyección social</t>
  </si>
  <si>
    <t>PRIMER PERIODO ACADEMICO</t>
  </si>
  <si>
    <t>TOTAL PRIMER PRIMER PERIODO ACADEMICO</t>
  </si>
  <si>
    <t>SEGUNDO PERIODO ACADEMICO</t>
  </si>
  <si>
    <t>TOTAL SEGUNDO PERIODO ACADEMICO</t>
  </si>
  <si>
    <t>OTROS GASTOS DE SALIDA</t>
  </si>
  <si>
    <t>Asesoria Programas Academicos</t>
  </si>
  <si>
    <t>HONORARIOS ÚNICAMENTE POR ASESORIA PROGRAMAS ACADEMICOS</t>
  </si>
  <si>
    <t>OTROS HONORARIOS DISTINTOS A LA ASESORIA PROGRAMAS ACADEMICOS Y CONVENIOS DE ROTACION</t>
  </si>
  <si>
    <t>TIC</t>
  </si>
  <si>
    <t>PRACT</t>
  </si>
  <si>
    <t>GRAN TOTAL</t>
  </si>
  <si>
    <t>EL NUMERO DE HORAS ,CORRESPONDE</t>
  </si>
  <si>
    <t>ADICIONALES PLAN DE DESARROLLO</t>
  </si>
  <si>
    <t xml:space="preserve">un punto </t>
  </si>
  <si>
    <t>dos puntos</t>
  </si>
  <si>
    <t>tres puntos</t>
  </si>
  <si>
    <t>% inc</t>
  </si>
  <si>
    <t>LÍNEAS ESTRATEGICAS</t>
  </si>
  <si>
    <t>PROGRAMA</t>
  </si>
  <si>
    <t>CIMIENTOS</t>
  </si>
  <si>
    <t xml:space="preserve"> 2.   PLANEACIÓN - INNOVACIÓN - CALIDAD</t>
  </si>
  <si>
    <t>Programa 1. Fortalecimiento del Sistema de Planeación Institucional y de Unidades Académicas y Administrativas</t>
  </si>
  <si>
    <t>Proyecto 1. Implementación, seguimiento y evaluación del PDI 2016 - 2021</t>
  </si>
  <si>
    <t>Proyecto 2. Elaboración, implementación, seguimiento y evaluación  de Planes Estratégicos de las Unidades Académicas y Administrativas articulados con el PDI 2016 - 2021</t>
  </si>
  <si>
    <t xml:space="preserve">Proyecto 1. Autoevaluación y Acreditación  Institucional  y de Programas a nivel nacional </t>
  </si>
  <si>
    <t>Proyecto 2. Acreditación  institucional  y de programas a nivel internacional</t>
  </si>
  <si>
    <t>Proyecto 3. Certificaciones de calidad de los procesos académico-administrativos</t>
  </si>
  <si>
    <t xml:space="preserve">Proyecto 4. Fortalecimiento del desarrollo del Sistema de Información de Calidad  </t>
  </si>
  <si>
    <t>3. TALENTO HUMANO</t>
  </si>
  <si>
    <t>Programa 1. Desarrollo e Implementación de la Política de Gestión del Talento Humano Académico y Administrativo, alineada con la Misión y Visión Institucional</t>
  </si>
  <si>
    <t>Proyecto 1. Desarrollo e  implementación  de la Política de Gestión de Talento Humano Académico, alineada con la Misión y la Visión Institucional</t>
  </si>
  <si>
    <t>PILARES</t>
  </si>
  <si>
    <t>4. EDUCACIÓN</t>
  </si>
  <si>
    <t>5. INVESTIGACIÓN</t>
  </si>
  <si>
    <t>Programa 2. Desarrollo e implementación de la Política Institucional para la Transferencia del Conocimiento producto de investigación de acuerdo con la Misión y la Visión.</t>
  </si>
  <si>
    <t>Proyecto 2. Fortalecimiento de la innovación de base tecnológica</t>
  </si>
  <si>
    <t>6. RESPONSABILIDAD SOCIAL</t>
  </si>
  <si>
    <t>Programa 1. Vinculación con el entorno</t>
  </si>
  <si>
    <t>Proyecto 1. Fortalecimiento de la relación con egresados</t>
  </si>
  <si>
    <t>Proyecto 2. Estrategia de priorización y relacionamiento Interinstitucional con alcance nacional e internacional</t>
  </si>
  <si>
    <t xml:space="preserve">Proyecto 3. Consolidación de las relaciones con la comunidad </t>
  </si>
  <si>
    <t>ESTRATEGIAS</t>
  </si>
  <si>
    <t>7. ÉXITO ESTUDIANTIL</t>
  </si>
  <si>
    <t>Programa 3. Preparación a la Vida Laboral</t>
  </si>
  <si>
    <t>Proyecto 1. Gestión para el desempeño profesional</t>
  </si>
  <si>
    <t>8. BIENESTAR INSTITUCIONAL</t>
  </si>
  <si>
    <t>Programa 1. Fortalecimiento de Bienestar para los Actores Universitarios</t>
  </si>
  <si>
    <t>Proyecto 2. Fortalecimiento de bienestar  para estudiantes y egresados</t>
  </si>
  <si>
    <t>9. INTERNACIONALIZACIÓN</t>
  </si>
  <si>
    <t xml:space="preserve">Programa 1. Fortalecimiento de la implementación de la Política de Internacionalización </t>
  </si>
  <si>
    <t>Proyecto 1. Relaciones Internacionales con los grupos de interés</t>
  </si>
  <si>
    <t>Proyecto 2. Internacionalización del currículo</t>
  </si>
  <si>
    <t>Proyecto 3. Internacionalización para el éxito estudiantil</t>
  </si>
  <si>
    <t>Proyecto 4. Internacionalización del Talento Humano</t>
  </si>
  <si>
    <t xml:space="preserve"># TOTAL DE PROGRAMAS: </t>
  </si>
  <si>
    <t xml:space="preserve"># TOTAL DE PROYECTOS: </t>
  </si>
  <si>
    <t>CAPACITACION ( INSCRIPCION)</t>
  </si>
  <si>
    <t>Gastos Personal Vigencia Pasad</t>
  </si>
  <si>
    <t>Capacitac modalid Condonable</t>
  </si>
  <si>
    <t>Matrículas Extraordinarias</t>
  </si>
  <si>
    <t>Corte Láser y Prototipado 3D</t>
  </si>
  <si>
    <t>Consulta y Asesoría Psicologic</t>
  </si>
  <si>
    <t>Derechos de Grado</t>
  </si>
  <si>
    <t>Asesoría Técnica</t>
  </si>
  <si>
    <t>Imp.de Valorización</t>
  </si>
  <si>
    <t>Imp. Delineación Urbana</t>
  </si>
  <si>
    <t>Garantías</t>
  </si>
  <si>
    <t>Serv. Participación</t>
  </si>
  <si>
    <t>Ap. ARL Estudia. Pregrado</t>
  </si>
  <si>
    <t>Aduaneros</t>
  </si>
  <si>
    <t>Licencia de Urbanismo</t>
  </si>
  <si>
    <t>Títulos de Tesorería (TES)</t>
  </si>
  <si>
    <t>Bonos</t>
  </si>
  <si>
    <t>Utilidad Cont Forward CF016V10</t>
  </si>
  <si>
    <t>Transporte</t>
  </si>
  <si>
    <t>Asesor Consultas Neurociencia</t>
  </si>
  <si>
    <t>Servicio Alojam.Manutenc.Otros</t>
  </si>
  <si>
    <t>Reclamos</t>
  </si>
  <si>
    <t>De Provisión Honorarios</t>
  </si>
  <si>
    <t>Gastos Bancarios</t>
  </si>
  <si>
    <t>Certificado y Estudio de Créd</t>
  </si>
  <si>
    <t>Prima Amortizada</t>
  </si>
  <si>
    <t>Perdida Contr Forward</t>
  </si>
  <si>
    <t>Apoyo Movilidad Académica</t>
  </si>
  <si>
    <t>Donaciones, Apoyos, patrocinio</t>
  </si>
  <si>
    <t>Reintegro Recursos No Ejecutad</t>
  </si>
  <si>
    <t>Venta de Libros y Textos</t>
  </si>
  <si>
    <t xml:space="preserve">Servicios academicos no dados </t>
  </si>
  <si>
    <t>Salario Integral</t>
  </si>
  <si>
    <t>Utilidad Cont Forward</t>
  </si>
  <si>
    <t>Arrendamientos</t>
  </si>
  <si>
    <t>CONTRATOS - CONVENIOS</t>
  </si>
  <si>
    <t>DESCRIPCION DE LA ACTIVIDAD - EVENTO</t>
  </si>
  <si>
    <t>PORC. DE GASTOS DE TAL. HUMANO/ ING TOTALES.</t>
  </si>
  <si>
    <t>PORC. DE GASTOS DE NOMINA / ING OPERACIO.</t>
  </si>
  <si>
    <t>PORC. DE GASTOS DE NOMINA / ING TOTALES</t>
  </si>
  <si>
    <t>PORC. DE GASTOS HONORARIOS / ING OPERAC.</t>
  </si>
  <si>
    <t>PORC. DE GASTOS BIENESTAR / ING TOTALES.</t>
  </si>
  <si>
    <t>PORC. RENDIMIENTO NETO / ING TOTALES</t>
  </si>
  <si>
    <t>PORC. INVERSIONES UNID ACADEM/ING.OPERAC.</t>
  </si>
  <si>
    <t>PORC. INVERSIONES UNID ACADEM/ING.TOTAL</t>
  </si>
  <si>
    <t>PORC. COSTOS FIJOS/ING.TOTAL</t>
  </si>
  <si>
    <t>CARGA PRESTACIONAL</t>
  </si>
  <si>
    <t>4.EDUCACION</t>
  </si>
  <si>
    <t>5.INVESTIGACION</t>
  </si>
  <si>
    <t>6.RESPONSABILIDAD SOCIAL</t>
  </si>
  <si>
    <t xml:space="preserve"> TOTAL INGRESOS</t>
  </si>
  <si>
    <t>GASTOS FUNCIONAMIENTO E INVERSION</t>
  </si>
  <si>
    <t>Líderes</t>
  </si>
  <si>
    <t>Impresión planes de desarrollo de las unidades</t>
  </si>
  <si>
    <t>Nómina</t>
  </si>
  <si>
    <t>Nómina Acad. Admon</t>
  </si>
  <si>
    <t>Capacitación, apoyos académicos</t>
  </si>
  <si>
    <t>Convenios Doc - Asis.</t>
  </si>
  <si>
    <t>Excelencia Académica</t>
  </si>
  <si>
    <t>Gastos de Viaje</t>
  </si>
  <si>
    <t>Fortalecimiento Académico</t>
  </si>
  <si>
    <t>Inversiones Académicas</t>
  </si>
  <si>
    <t>Base de datos y Bibliotéca</t>
  </si>
  <si>
    <t>Elementos de Laboratorio</t>
  </si>
  <si>
    <t>Elementos Audiovisuales</t>
  </si>
  <si>
    <t>Material Didáctico</t>
  </si>
  <si>
    <t>Otros Gastos</t>
  </si>
  <si>
    <t>Proyecto 1. IMPLEMENTACIÓN Y SEGUIMIENTO DE LA POLÍTICA DE GESTIÓN CURRICULAR</t>
  </si>
  <si>
    <t>Soporte y Mantenimiento</t>
  </si>
  <si>
    <t>Equipos de Laboratorio</t>
  </si>
  <si>
    <t>Otras Actividades</t>
  </si>
  <si>
    <t>Afiliaciones y Cuotas de Sostenimiento-Nacionales</t>
  </si>
  <si>
    <t>Participación Eventos</t>
  </si>
  <si>
    <t>Servicios Bienestar Universitario</t>
  </si>
  <si>
    <t>Afiliaciones y Cuotas de Sostenimiento Internacionales</t>
  </si>
  <si>
    <t>Movilidad Estudiantil</t>
  </si>
  <si>
    <t>Apoyos a maestrias y doctorados, asistencia a congresos, viajes de misiones académicas, asistencia a cursos</t>
  </si>
  <si>
    <t>SUB TOTAL GASTOS FUNCIONAMIENTO E INVERSION PLAN DE DESARROLLO</t>
  </si>
  <si>
    <t>GASTOS INDIRECTOS</t>
  </si>
  <si>
    <t>OTROS GASTOS</t>
  </si>
  <si>
    <t>TOTAL GASTOS</t>
  </si>
  <si>
    <t>RENDIMIENTO O SUBVENCION</t>
  </si>
  <si>
    <t>VARIABLES</t>
  </si>
  <si>
    <t>PUNTOS COORDINACIÓN</t>
  </si>
  <si>
    <t>DÍAS LABORALES</t>
  </si>
  <si>
    <t>MARGEN NETO</t>
  </si>
  <si>
    <t>Otros Gastos de Nómina</t>
  </si>
  <si>
    <t xml:space="preserve">SUBTOTAL NACIONALES </t>
  </si>
  <si>
    <t xml:space="preserve">SUBTOTAL INTERNACIONALES </t>
  </si>
  <si>
    <t>Cursos y Otros</t>
  </si>
  <si>
    <t>APLICA PARA EL PERSONAL DOCENTE Y ADMINISTRATIVO DE LA UNIDAD ACADEMICA - NACIONAL</t>
  </si>
  <si>
    <t>APLICA PARA ACTIVIDADES DE REPRESENTACION  DE LA UNIDAD ACADEMICA - NACIONAL</t>
  </si>
  <si>
    <t>APLICA PARA ACTIVIDADES DE REPRESENTACION  DE LA UNIDAD ACADEMICA - INTERNACIONAL</t>
  </si>
  <si>
    <t>INSTRUCTIVO: FAVOR DILIGENCIAR LOS ESPACIOS EN BLANCO Y  COLOCAR EL NOMBRE DEL EVENTO O ACTIVIDAD EN LA CASILLA " ACTIVIDAD/EVENTO"</t>
  </si>
  <si>
    <t>MATRICULAS -INSCRIPCIONES</t>
  </si>
  <si>
    <t>STANDS</t>
  </si>
  <si>
    <t>Provision Clientes (Estudiante</t>
  </si>
  <si>
    <t>SUAAC00001</t>
  </si>
  <si>
    <t>Centro de Diseño</t>
  </si>
  <si>
    <t>SUAAC00002</t>
  </si>
  <si>
    <t>Centro de Lenguas</t>
  </si>
  <si>
    <t>PORC. DE GASTOS INDIRECTOS / ING TOTALES.</t>
  </si>
  <si>
    <t>TOTAL PRESUPUESTO</t>
  </si>
  <si>
    <t>PARTICIPACIÓN DE INGRESOS DIFERENTES A MATRÍCULAS SOBRE INGRESOS TOTALES</t>
  </si>
  <si>
    <t>MARGEN DE RENDIMIENTO O SUBVENCIÓN</t>
  </si>
  <si>
    <t>MARGEN OPERACIONAL</t>
  </si>
  <si>
    <t>PTO - PDI</t>
  </si>
  <si>
    <t>PTO + EC</t>
  </si>
  <si>
    <t>Se contemplan los apoyos económicos para Doctorados, Maestrías y Especializaciones, y participaciones en seminarios o congresos para los docentes y administrativos.</t>
  </si>
  <si>
    <t>En éste enlace pueden registrar los eventos de capacitación o de participación de los estudiantes, celebración de actividades y reuniones académicas.</t>
  </si>
  <si>
    <t>Se contemplan actividades o eventos especiales que se desarrollen directamente con el Plan de desarrollo del Programa</t>
  </si>
  <si>
    <t>Adicionales PD</t>
  </si>
  <si>
    <t>En éste enlace pueden consultar la nómina Docente y Administrativa. Podrán ser modificadas las celdas en blanco. Se debe discriminar La dedicación por horas 2016, de los Docentes y Administrativos que tengan carga docente  bajo los siguientes parámetros. DOCENCIA- *CLAS: Horas clase; *PREP: Horas de preparación; *EXITO: Horas destinadas para el programa de éxito estudiantil  o las horas de asesoría académica; *LAB: Horas de acompañamiento a los estudiantes en laboratorios, anfiteatro, talleres, preclínicas; *TIC: Horas destinadas para el programa institucional de TIC, es decir las horas que se destinan al desarrollo de TIC (aulas virtuales). INVESTIGACION.- *FORM: Horas destinadas a Investigación Formativa; *INVEST: Horas destinadas a la investigación propiamente dicha en grupos de investigación de la Universidad, únicamente los investigadores inscritos en Cvlac de Colciencias y de acuerdo a la dedicación registrada en ese sistema. EXTENSION.- *PRACT: Horas de supervisión, dirección o coordinación de practicas profesionales (clínicas, Sociales, Organizacionales, etc.); *CONS: Horas de consultoría y proyección social; *CONT: Horas destinadas a Educ. Continuada. GEST ACAD: Horas de Gestión Académico-Administrativo.</t>
  </si>
  <si>
    <t>En éste enlace se deben registrar los Contratos por Prestación de Servicios o Cuentas de Cobro que se realizaran por concepto de  horas asesoría programas académicos, otros honorarios distintos a los convenios de docencia-servicio.</t>
  </si>
  <si>
    <t>APLICA PARA EL PERSONAL DOCENTE Y ADMINISTRATIVO DE LA UNIDAD ACADEMICA - INTERNACIONAL</t>
  </si>
  <si>
    <t>PRESUPUESTO 2018</t>
  </si>
  <si>
    <t xml:space="preserve">                                  PRESUPUESTO 2018-PLAN DE DESARROLLO</t>
  </si>
  <si>
    <t>PRESUPUESTO EDUCACIÓN CONTINUADA 2018</t>
  </si>
  <si>
    <t>INFORMACIÓN HISTÓRICA ESTUDIANTES 2014-2017 Y PROYECCION 2018</t>
  </si>
  <si>
    <t>PRONOSTICO PRESUPUESTO 2018-01</t>
  </si>
  <si>
    <t>PLAN DE LA FACULTAD 2018-01</t>
  </si>
  <si>
    <t>PRONOSTICO PRESUPUESTO 2018-02</t>
  </si>
  <si>
    <t>PLAN DE LA FACULTAD 2018-02</t>
  </si>
  <si>
    <t>DEDI 2018</t>
  </si>
  <si>
    <t>DEDICACION POR HORAS 2018</t>
  </si>
  <si>
    <t>NUCLEO ACADEMICO</t>
  </si>
  <si>
    <t>Nucleo Academico</t>
  </si>
  <si>
    <t>DATOS QUE ALIMENTAN GRAFICA DE LA HOJA "HONORARIOS"</t>
  </si>
  <si>
    <t>VALOR HORA SEMESTRE 2018</t>
  </si>
  <si>
    <t>PRIMER SEMESTRE 2018</t>
  </si>
  <si>
    <t>SEGUNDO SEMESTRE 2018</t>
  </si>
  <si>
    <t>TOTAL    2018</t>
  </si>
  <si>
    <t>En este enlace puede consultar el presupuesto para el 2018 de acuerdo al Plan de Desarrollo de su programa.</t>
  </si>
  <si>
    <t>En este enlace puede consultar el consolidado del presupuesto del programa para el 2018 más el presupuesto de los cursos de Educación Continuada que el programa piensa realizar.</t>
  </si>
  <si>
    <t>En éste enlace pueden registrar los Cursos, Seminarios, Diplomados de Educación Continuada que la unidad académica piense realizar en el 2018.</t>
  </si>
  <si>
    <t>En éste enlace pueden registrar las asesorías o consultorías que proyecta realizar en el 2018.</t>
  </si>
  <si>
    <t>TOTAL       2018</t>
  </si>
  <si>
    <t>CURSOS - SEMINARIOS - DIPLOMADOS - 2018</t>
  </si>
  <si>
    <t>En éste enlace pueden consultar las estadísticas del histórico de alumnos 2014 hasta el 2017 y la proyección 2018</t>
  </si>
  <si>
    <t>En éste enlace pueden consultar el Presupuesto del año 2017, la Ejecución del año 2017 proyectada, porcentaje de ejecución, presupuesto para el 2018 y variación porcentual entre el Presupuesto 2018 y la Ejecución 2017.También pueden anotar sus observaciones al frente de cada ítem.</t>
  </si>
  <si>
    <t>Ejec a Ago</t>
  </si>
  <si>
    <t>PRESUPUESTO 2017</t>
  </si>
  <si>
    <t>EJEC. PROY. 2017</t>
  </si>
  <si>
    <t>NOMINA ACTUAL DOCENTES.</t>
  </si>
  <si>
    <t>SUBTOTAL NOMINA ACTUAL DOCENTES.</t>
  </si>
  <si>
    <t>SUBTOTAL NUEVOS DOCENTES I PERIODO ACAD.</t>
  </si>
  <si>
    <t>SUBTOTAL NUEVOS DOCENTES II PERIODO ACAD.</t>
  </si>
  <si>
    <t>TOTAL NOMINA DOCENTE</t>
  </si>
  <si>
    <t>TOTAL NOMINA ADMINISTRACION</t>
  </si>
  <si>
    <t>Honorarios no causados</t>
  </si>
  <si>
    <t>MATRICULAS - VARIACION. PTO  2018-EJEC. 2017</t>
  </si>
  <si>
    <t>GTOS PERSONAL-VARIACION PTO 2018-EJEC 2017</t>
  </si>
  <si>
    <t>GTS HONORARIOS-VARIACION PTO 2018-EJEC 2017</t>
  </si>
  <si>
    <t>GTOS GENERALES-VARIACION PTO 2018-EJEC 2017</t>
  </si>
  <si>
    <t>SUACL00003</t>
  </si>
  <si>
    <t>Clínicas Odontológicas</t>
  </si>
  <si>
    <t>ADMONFARTE</t>
  </si>
  <si>
    <t>Admon Facultad de Artes</t>
  </si>
  <si>
    <t>SUAAC00012</t>
  </si>
  <si>
    <t>SUAAC00008</t>
  </si>
  <si>
    <t>Of. de desarrollo</t>
  </si>
  <si>
    <t>SUAAC00010</t>
  </si>
  <si>
    <t>Servicios TIC Vic. Académica</t>
  </si>
  <si>
    <t>Servicios Ingeniería de Sistem</t>
  </si>
  <si>
    <t>ADMONFCIEN</t>
  </si>
  <si>
    <t>Admon Facultad de Ciencias</t>
  </si>
  <si>
    <t>2017</t>
  </si>
  <si>
    <t>Agosto</t>
  </si>
  <si>
    <t>ADMON EMPRESAS PREG</t>
  </si>
  <si>
    <t>Presupuesto Acumulado</t>
  </si>
  <si>
    <t>Real Acumulado</t>
  </si>
  <si>
    <t>Final</t>
  </si>
  <si>
    <t>Total Plan de Desarrollo</t>
  </si>
  <si>
    <t>Total Proyecto</t>
  </si>
  <si>
    <t>Miles</t>
  </si>
  <si>
    <t>O SUBVENCION PRESUPUESTAL</t>
  </si>
  <si>
    <t>TOTAL INGRE</t>
  </si>
  <si>
    <t>SOS OPNALES</t>
  </si>
  <si>
    <t>Servicios Academicos no Dados</t>
  </si>
  <si>
    <t>Devolucion Matrícula</t>
  </si>
  <si>
    <t>Devoluciones Educación Formal - Superior Formación Profesional</t>
  </si>
  <si>
    <t>Certificados y Constancias</t>
  </si>
  <si>
    <t>Educación Formal - Superior Formación Profesional Matricula</t>
  </si>
  <si>
    <t>Derechos Academicos - Superior Formación Profesional - Certificados</t>
  </si>
  <si>
    <t>Derechos Academicos - Superior Formación Profesional - Derechos de Gr</t>
  </si>
  <si>
    <t>Derechos Academicos - Superior Formación Profesional - Habilitaciones</t>
  </si>
  <si>
    <t>Derechos Academicos - Superior Formación Profesional - Validaciones</t>
  </si>
  <si>
    <t>Derechos Academicos - Superior Formación Profesional - Curso vacacion</t>
  </si>
  <si>
    <t>TOTAL GASTO</t>
  </si>
  <si>
    <t>S OPNALES</t>
  </si>
  <si>
    <t>TOTAL GTOS</t>
  </si>
  <si>
    <t>OPNALES DIRECTOS</t>
  </si>
  <si>
    <t>S DE PERSONAL</t>
  </si>
  <si>
    <t>Auxilio de Transporte</t>
  </si>
  <si>
    <t>Cesantías</t>
  </si>
  <si>
    <t>Intereses Sobre Cesantías</t>
  </si>
  <si>
    <t>Dotación y Suministro a Trabajadores</t>
  </si>
  <si>
    <t>Capacitación al Personal</t>
  </si>
  <si>
    <t>Capacitac Modalidad Condonable</t>
  </si>
  <si>
    <t>Aportes  Administradoras de Riesgos</t>
  </si>
  <si>
    <t>Aportes a Entidades Promotoras</t>
  </si>
  <si>
    <t>Aportes Fondos de Pension Cesantías</t>
  </si>
  <si>
    <t>Aportes Cajas De Compensación</t>
  </si>
  <si>
    <t>Aportes Al I.C.B.F.</t>
  </si>
  <si>
    <t>TOTAL HONOR</t>
  </si>
  <si>
    <t>ARIOS</t>
  </si>
  <si>
    <t>Honorarios Cursos, Seminarios,</t>
  </si>
  <si>
    <t>TOTAL GRALE</t>
  </si>
  <si>
    <t>S ADMON</t>
  </si>
  <si>
    <t>ARRENDAMIEN</t>
  </si>
  <si>
    <t>TOS</t>
  </si>
  <si>
    <t>CONTRIBUCIO</t>
  </si>
  <si>
    <t>NES Y AFILIACIONES</t>
  </si>
  <si>
    <t>Afiliaciones y Sostenimientos</t>
  </si>
  <si>
    <t>Seguro Accidente Estudiantil</t>
  </si>
  <si>
    <t>Correo, Portes y Telegramas</t>
  </si>
  <si>
    <t>Propaganda y Divulgación</t>
  </si>
  <si>
    <t>Internet y Base Datos</t>
  </si>
  <si>
    <t>Servicios Bienestar Universita</t>
  </si>
  <si>
    <t>GASTOS DE V</t>
  </si>
  <si>
    <t>IAJE</t>
  </si>
  <si>
    <t>Alojamiento y Manuntención</t>
  </si>
  <si>
    <t>Otros Gastos De Viaje Salidas</t>
  </si>
  <si>
    <t>AMORTIZACIO</t>
  </si>
  <si>
    <t>NES</t>
  </si>
  <si>
    <t>Amortizacion Biblioteca</t>
  </si>
  <si>
    <t>GASTOS DIVE</t>
  </si>
  <si>
    <t>RSOS</t>
  </si>
  <si>
    <t>Libros,Suscripciones,Periodico</t>
  </si>
  <si>
    <t>Gastos De Representacion y Rel</t>
  </si>
  <si>
    <t>Elementos De Aseo y Cafeteria</t>
  </si>
  <si>
    <t>Utiles, Papeleria y Fotocopias</t>
  </si>
  <si>
    <t>Taxis y Buses</t>
  </si>
  <si>
    <t>Implementos Devolutivos Libros</t>
  </si>
  <si>
    <t>Elementos y Suministros Varios</t>
  </si>
  <si>
    <t>OPNALES INDIRECTOS</t>
  </si>
  <si>
    <t>TOTAL UNID.</t>
  </si>
  <si>
    <t>APOYO ACADEMICO</t>
  </si>
  <si>
    <t>SUACE00001</t>
  </si>
  <si>
    <t>SUACJ00001</t>
  </si>
  <si>
    <t>APOYO ADTTIVO</t>
  </si>
  <si>
    <t>RDTO NO OPN</t>
  </si>
  <si>
    <t>AL</t>
  </si>
  <si>
    <t>S NO OPNALES DIRECTOS</t>
  </si>
  <si>
    <t>RSOS.</t>
  </si>
  <si>
    <t>Apoyo Fondo Sostenibilidad Ice</t>
  </si>
  <si>
    <t>INVERSIONES</t>
  </si>
  <si>
    <t>UNIDADES ACADEMICAS</t>
  </si>
  <si>
    <t>EQUIPOS DE</t>
  </si>
  <si>
    <t>COMPUTO-TECNOLOGIA-LICENCIAS-SOTFWARE</t>
  </si>
  <si>
    <t>Equipo Proc Datos</t>
  </si>
  <si>
    <t>ALFREDO  CASAS NIÑO</t>
  </si>
  <si>
    <t>ANA MARIA CORDOBA ACOSTA</t>
  </si>
  <si>
    <t>ANDRES MAURICIO PEÑARANDA CASTRO</t>
  </si>
  <si>
    <t>ARTURO NICHOLLS MIRANDA</t>
  </si>
  <si>
    <t>BORIS EDUARDO CABRERA CASILIMAS</t>
  </si>
  <si>
    <t>BORIS ERNESTO CENDALES AYALA</t>
  </si>
  <si>
    <t>CARLOS ALBERTO PEÑARANDA CASTRO</t>
  </si>
  <si>
    <t>DANIEL ANTONIO MICHAELS VALDERRAMA</t>
  </si>
  <si>
    <t>DIANA CAROLINA VARGAS FRANCO</t>
  </si>
  <si>
    <t>EDUARDO ENRIQUE AROCHA DAVILA</t>
  </si>
  <si>
    <t>GERMAN MAURICIO ROJAS SANCHEZ</t>
  </si>
  <si>
    <t>GERMAN ORLANDO GRANADOS POVEDA</t>
  </si>
  <si>
    <t>HECTOR  DAVID NIETO  MARTINEZ</t>
  </si>
  <si>
    <t>HERNANDO RODRIGUEZ ZAMBRANO</t>
  </si>
  <si>
    <t>HUMBERTO DE JESUS BEDOYA AGUDELO</t>
  </si>
  <si>
    <t>IVAN EUGENIO ANZOLA CASTILLO</t>
  </si>
  <si>
    <t>JAIRO BORRAY BENAVIDES</t>
  </si>
  <si>
    <t>JAIRO EBERTO ALVAREZ CORTES</t>
  </si>
  <si>
    <t>JOSE ELIAS VARGAS MORA</t>
  </si>
  <si>
    <t>JOSE IVORRA VALERO</t>
  </si>
  <si>
    <t>JOSE LUIS NIÑO AMEZQUITA</t>
  </si>
  <si>
    <t>JUAN HARVEY CASTRO TRUJILLO</t>
  </si>
  <si>
    <t>JUAN MANUEL CASTAÑEDA ISAZA</t>
  </si>
  <si>
    <t>LUGO MANUEL BARBOSA GUERRERO</t>
  </si>
  <si>
    <t>LUIS ARTURO RODRIGUEZ BUITRAGO</t>
  </si>
  <si>
    <t>MARIO HERNAN GONZALEZ BRIÑEZ</t>
  </si>
  <si>
    <t>PEDRO NEL VALBUENA HERNANDEZ</t>
  </si>
  <si>
    <t>RAUL FABIAN CADENA VIDAL</t>
  </si>
  <si>
    <t>RICARDO ALBERTO BORDA HERNANDEZ</t>
  </si>
  <si>
    <t>RUBEN HERAZO PERIÑAN</t>
  </si>
  <si>
    <t>SERGIO LEONARDO GONZALEZ TIQUE</t>
  </si>
  <si>
    <t>TATIANA YELITHZA ROSERO ARIZA</t>
  </si>
  <si>
    <t>WILSON SOLANO RODRIGUEZ</t>
  </si>
  <si>
    <t>YAVAR JARRAH NEZHAD</t>
  </si>
  <si>
    <t>VICTOR MANUEL PORTUGAL ORTIZ</t>
  </si>
  <si>
    <t>DIANA MARISELA LOTE</t>
  </si>
  <si>
    <t>MARILUZ CASAS SANABRIA</t>
  </si>
  <si>
    <t>ADMINISTRACION DE EMPRESAS</t>
  </si>
  <si>
    <t>Servicios Facultad Ciencias Juridicas</t>
  </si>
  <si>
    <t>Servicios Facultad Ciencias Economicas</t>
  </si>
  <si>
    <t>LAB_BIO</t>
  </si>
  <si>
    <t>Laboratorio de Biologia</t>
  </si>
  <si>
    <t>SUAAC00009</t>
  </si>
  <si>
    <t>Fac. Ciencias Políticas y Jurí</t>
  </si>
  <si>
    <t>MATRICULAS - VARIACION. PTO  2017-EJEC. 2016</t>
  </si>
  <si>
    <t>GTOS PERSONAL-VARIACION PTO 2017-EJEC 2016</t>
  </si>
  <si>
    <t>GTS HONORARIOS-VARIACION PTO 2017-EJEC 2016</t>
  </si>
  <si>
    <t>GTOS GENERALES-VARIACION PTO 2017-EJEC 2016</t>
  </si>
  <si>
    <t>SALIDAS PRACTICA SOCIAL</t>
  </si>
  <si>
    <t>INTERNACIONALIZACION</t>
  </si>
  <si>
    <t>Universidad EL Bosque</t>
  </si>
  <si>
    <t>Universidad El Bosque</t>
  </si>
  <si>
    <t>Estudiantes y docentes</t>
  </si>
  <si>
    <t>2 actividades en el año</t>
  </si>
  <si>
    <t>CATEDRA PETER DRUCKER</t>
  </si>
  <si>
    <t>Actividad de Participación instituciones internacionales</t>
  </si>
  <si>
    <t xml:space="preserve">Conferencias  invitados en temáticas de Ciencias Económicas </t>
  </si>
  <si>
    <t>Proyecto Prime -  Pacto Global estaándares GRI</t>
  </si>
  <si>
    <t>ASAMBLEA CLADEA</t>
  </si>
  <si>
    <t xml:space="preserve">Asistencia CLADEA </t>
  </si>
  <si>
    <t>Costarica</t>
  </si>
  <si>
    <t>07 - 09 octubre 2018</t>
  </si>
  <si>
    <t xml:space="preserve">Decano </t>
  </si>
  <si>
    <t>ASAMBLEA ASCOLFA</t>
  </si>
  <si>
    <t>Asistencia  Decano y Docente ( Ponencia)</t>
  </si>
  <si>
    <t>Colombia</t>
  </si>
  <si>
    <t>14 - 17 Julio</t>
  </si>
  <si>
    <t>Manizales -Colombia</t>
  </si>
  <si>
    <t>ENCUENTRO DE EGRESADOS</t>
  </si>
  <si>
    <t xml:space="preserve"> Convocatoria y Evento de Egresados</t>
  </si>
  <si>
    <t>CURSOS  Y CAPACITACIONES</t>
  </si>
  <si>
    <t xml:space="preserve"> Apoyo a TICS - Simposios - Gestion Educativa</t>
  </si>
  <si>
    <t>Docentes</t>
  </si>
  <si>
    <t>Año 2018</t>
  </si>
  <si>
    <t>4 actividades en el año</t>
  </si>
  <si>
    <t>Curso internacional - Salida Académica</t>
  </si>
  <si>
    <t>Semana del Administrador de Empresas</t>
  </si>
  <si>
    <t>Bogotá</t>
  </si>
  <si>
    <t>Coordinador de Prácticas</t>
  </si>
  <si>
    <t>1 y 2 Periodo  -2018</t>
  </si>
  <si>
    <t>Visitas de Prácticas Empresariales</t>
  </si>
  <si>
    <t>Misiones Académicas</t>
  </si>
  <si>
    <t>Valle del Cauca</t>
  </si>
  <si>
    <t xml:space="preserve">2 Docentes </t>
  </si>
  <si>
    <t>2 Periodo 2018</t>
  </si>
  <si>
    <t>Msión académica Internacional</t>
  </si>
  <si>
    <t>México</t>
  </si>
  <si>
    <t>Noviembre</t>
  </si>
  <si>
    <t>Junio - septiembre</t>
  </si>
  <si>
    <t>Rueda de Negocios  - Feria Empresarial</t>
  </si>
  <si>
    <t>Celebración semana del administrador</t>
  </si>
  <si>
    <t>Salida de aprendizaje en empresas del Valle del Cauca</t>
  </si>
  <si>
    <t>Seguimiento a estudiantes de Practica Empresarial</t>
  </si>
  <si>
    <t>Inmersión académica internacional de los estudiantes y docentes.</t>
  </si>
  <si>
    <t>Actividad expositiva de emprendimiento y negociación</t>
  </si>
  <si>
    <t>Estudiantes, Docentes y egresados</t>
  </si>
  <si>
    <t>Octubre</t>
  </si>
  <si>
    <t>Septiembre - Octubre</t>
  </si>
  <si>
    <t>Consultorio empresarial</t>
  </si>
  <si>
    <t>Actividad de participación internacional en evento</t>
  </si>
  <si>
    <t>Ponenecia Internacional</t>
  </si>
  <si>
    <t>Salida Empresa BIMBO</t>
  </si>
  <si>
    <t>Salida a Cemex</t>
  </si>
  <si>
    <t>Bimbo</t>
  </si>
  <si>
    <t>Salida a TOTTO</t>
  </si>
  <si>
    <t>TOTTO</t>
  </si>
  <si>
    <t>Mayo</t>
  </si>
  <si>
    <t>ASCOLFA</t>
  </si>
  <si>
    <t>Pertenecer a la Asosiacion de Facultades de Administracion agrega valor a los docentes y estudiantes de la facultad, ya que como agremiacion en el campo de la Administracion de Empresas aglutina las mejores escuelas de negocios del pais y por tanto, a través de la participacion en los eventos programados en el año es posible tejer redes académicas en los diferentes campos de esta profesión</t>
  </si>
  <si>
    <t>CLADEA</t>
  </si>
  <si>
    <t>Cladea en la actualidad reune a las mas importantes escuelas y programas de Administración de Empresas de Iberoamérica, razon por la que pertenecer a ella coadyuva con el fortalecimiento de las redes internacionales para jalonar el desarrollo de la facultad</t>
  </si>
  <si>
    <t>Logística Aspectos Estrategicos</t>
  </si>
  <si>
    <t>Christoper Martin</t>
  </si>
  <si>
    <t>Presenta un enfoque administrativo y práctico, presenta los puntos de vista y las ideas de los pensadores de la logística líderes en este sector.</t>
  </si>
  <si>
    <t>Manual de Administración para MPyMES</t>
  </si>
  <si>
    <t>Sosa Pulido Demetrio</t>
  </si>
  <si>
    <t>Aplica las técnicas de la administración para lograr óptimos resultados que es la clave del éxito del administrador, se encuentran elementos para llevar a la práctica una administracioón sencilla y efectiva para los negocios.</t>
  </si>
  <si>
    <t>Análisis Bursatíl con fines Especulativos</t>
  </si>
  <si>
    <t>Álavarez Alfonso</t>
  </si>
  <si>
    <t>Incluye conocimientos de aplicación práctica que contribuyen a mejorar el sistema de inversiones entendiendo el mercado y realizando previsiones razonables mediante la aplicación de las técnicas necesarias para comprender el movimiento de los precios.</t>
  </si>
  <si>
    <t>No se renueva contrato</t>
  </si>
  <si>
    <t>Se le cambia la carga academica por ajuste de tiempo del docente</t>
  </si>
  <si>
    <t xml:space="preserve">No labora en esta facultad </t>
  </si>
  <si>
    <t>JULIAN ALBERTO GUTIERREZ LOPEZ</t>
  </si>
  <si>
    <t>Reemplazo del profesor Jose Luis Niño Amezquita</t>
  </si>
  <si>
    <t>HECTOR RODRIGO OSPINA ESTUPIÑAN</t>
  </si>
  <si>
    <t>Se le asigna las 20 horas que se le retiran al profesor Arturo Nicholls</t>
  </si>
  <si>
    <t>Se le incrementan 18 horas, de las 25 profesor Ricardo Borda que no labora en la facultad</t>
  </si>
  <si>
    <t>Mata establecida por Admisiones</t>
  </si>
  <si>
    <t>Revista cuadernos latinoamericanos de Administracion</t>
  </si>
  <si>
    <t>Impresión 2 ediciones por año</t>
  </si>
  <si>
    <t xml:space="preserve">Impresión digital Hojas de Administración </t>
  </si>
  <si>
    <t>Impresión digital trimestralmente (apoyo )</t>
  </si>
  <si>
    <t>Comportamiento racional en la toma de decisiones</t>
  </si>
  <si>
    <t>Impresora multifuncional que permita sacar copias, scaner, y demas funciones que necesita la Facultad</t>
  </si>
  <si>
    <t>Secretaria del decanatura</t>
  </si>
  <si>
    <t>La facultad carece de este elemento tecnologico para aguilizar y maximizar la operacionalidad con la comunidad academica</t>
  </si>
  <si>
    <t>Decano y Director</t>
  </si>
  <si>
    <t>CEMEX</t>
  </si>
  <si>
    <t>Aulas infomatica</t>
  </si>
  <si>
    <t>Director- Docente</t>
  </si>
  <si>
    <t>Simuladores de Administracion</t>
  </si>
  <si>
    <t>Director de los dos programas se hace redistribucion de horas por programa</t>
  </si>
  <si>
    <t>El contrato del docente es de 20 horas</t>
  </si>
  <si>
    <t>JUAN PABLO BONILLA</t>
  </si>
  <si>
    <t>NNNNNNNN</t>
  </si>
  <si>
    <t>MIGUEL FERNANDO RANGEL GALVIS</t>
  </si>
  <si>
    <t>Reemplazo del profesor Alfredo Casas 20 horas</t>
  </si>
  <si>
    <t>Reemplazo del profesor Alfredo Casas 10 horas</t>
  </si>
  <si>
    <t>SUAPD00002</t>
  </si>
  <si>
    <t>Aporte Servicio de la Deuda</t>
  </si>
  <si>
    <t>JULIAN GUTIERREZ -REMP.MANUEL QUIÑONES</t>
  </si>
  <si>
    <t>GERMAN GRANADOS -REMP.MANUEL QUIÑONES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</si>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</sst>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 * #,##0.00_ ;_ * \-#,##0.00_ ;_ * &quot;-&quot;??_ ;_ @_ "/>
    <numFmt numFmtId="167" formatCode="_ * #,##0_ ;_ * \-#,##0_ ;_ * &quot;-&quot;??_ ;_ @_ "/>
    <numFmt numFmtId="168" formatCode="0_ ;\-0\ "/>
    <numFmt numFmtId="169" formatCode="_-* #,##0\ _€_-;\-* #,##0\ _€_-;_-* &quot;-&quot;??\ _€_-;_-@_-"/>
    <numFmt numFmtId="170" formatCode="&quot;$&quot;\ #,##0"/>
    <numFmt numFmtId="171" formatCode="&quot;$&quot;\ #,##0.00"/>
    <numFmt numFmtId="172" formatCode="dd/mm/yyyy;@"/>
    <numFmt numFmtId="173" formatCode="#,##0.000"/>
    <numFmt numFmtId="174" formatCode="0.0%"/>
    <numFmt numFmtId="175" formatCode="0.00\ &quot;Ingresos&quot;"/>
    <numFmt numFmtId="176" formatCode="0.00\ &quot;Gastos&quot;"/>
    <numFmt numFmtId="177" formatCode="0.000"/>
  </numFmts>
  <fonts count="8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8"/>
      <color indexed="17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62"/>
      <name val="Cambria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.5"/>
      <name val="Tahoma"/>
      <family val="2"/>
    </font>
    <font>
      <sz val="10"/>
      <color indexed="9"/>
      <name val="Tahoma"/>
      <family val="2"/>
    </font>
    <font>
      <sz val="12"/>
      <color indexed="9"/>
      <name val="Tahoma"/>
      <family val="2"/>
    </font>
    <font>
      <b/>
      <sz val="10"/>
      <color indexed="9"/>
      <name val="Tahoma"/>
      <family val="2"/>
    </font>
    <font>
      <sz val="9"/>
      <name val="Tahoma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4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9"/>
      <color indexed="9"/>
      <name val="Tahoma"/>
      <family val="2"/>
    </font>
    <font>
      <b/>
      <sz val="9"/>
      <color indexed="9"/>
      <name val="Tahoma"/>
      <family val="2"/>
    </font>
    <font>
      <sz val="10"/>
      <color indexed="48"/>
      <name val="Tahoma"/>
      <family val="2"/>
    </font>
    <font>
      <b/>
      <sz val="9"/>
      <color indexed="48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sz val="14"/>
      <name val="Arial"/>
      <family val="2"/>
    </font>
    <font>
      <b/>
      <sz val="12"/>
      <color indexed="9"/>
      <name val="Tahoma"/>
      <family val="2"/>
    </font>
    <font>
      <b/>
      <sz val="9"/>
      <color indexed="9"/>
      <name val="Arial"/>
      <family val="2"/>
    </font>
    <font>
      <b/>
      <sz val="6"/>
      <color indexed="9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b/>
      <sz val="16"/>
      <color rgb="FFFFFFFF"/>
      <name val="Arial"/>
      <family val="2"/>
    </font>
    <font>
      <b/>
      <sz val="12"/>
      <color rgb="FFFFFFFF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3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9"/>
      <color theme="0"/>
      <name val="Tahoma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b/>
      <sz val="13"/>
      <name val="Tahoma"/>
      <family val="2"/>
    </font>
  </fonts>
  <fills count="70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6940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59B"/>
        <bgColor rgb="FF31859B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rgb="FF31859B"/>
      </patternFill>
    </fill>
    <fill>
      <patternFill patternType="solid">
        <fgColor theme="0"/>
        <bgColor rgb="FF31859B"/>
      </patternFill>
    </fill>
    <fill>
      <patternFill patternType="solid">
        <fgColor theme="4" tint="0.59999389629810485"/>
        <bgColor rgb="FF31859B"/>
      </patternFill>
    </fill>
    <fill>
      <patternFill patternType="solid">
        <fgColor theme="6" tint="0.59999389629810485"/>
        <bgColor rgb="FF31859B"/>
      </patternFill>
    </fill>
    <fill>
      <patternFill patternType="solid">
        <fgColor theme="6" tint="0.79998168889431442"/>
        <bgColor rgb="FF31859B"/>
      </patternFill>
    </fill>
    <fill>
      <patternFill patternType="solid">
        <fgColor rgb="FFFF0000"/>
        <bgColor indexed="64"/>
      </patternFill>
    </fill>
    <fill>
      <patternFill patternType="solid">
        <fgColor rgb="FF31859B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EDAFF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9" tint="0.39997558519241921"/>
        <bgColor indexed="64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10" fillId="2" borderId="0" applyNumberFormat="0" applyBorder="0" applyAlignment="0" applyProtection="0"/>
    <xf numFmtId="0" fontId="11" fillId="3" borderId="1" applyNumberFormat="0" applyAlignment="0" applyProtection="0"/>
    <xf numFmtId="0" fontId="12" fillId="4" borderId="2" applyNumberFormat="0" applyAlignment="0" applyProtection="0"/>
    <xf numFmtId="0" fontId="13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6" borderId="0" applyNumberFormat="0" applyBorder="0" applyAlignment="0" applyProtection="0"/>
    <xf numFmtId="0" fontId="17" fillId="12" borderId="0" applyNumberFormat="0" applyBorder="0" applyAlignment="0" applyProtection="0"/>
    <xf numFmtId="0" fontId="17" fillId="17" borderId="0" applyNumberFormat="0" applyBorder="0" applyAlignment="0" applyProtection="0"/>
    <xf numFmtId="0" fontId="16" fillId="17" borderId="0" applyNumberFormat="0" applyBorder="0" applyAlignment="0" applyProtection="0"/>
    <xf numFmtId="0" fontId="18" fillId="17" borderId="1" applyNumberFormat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18" borderId="0" applyNumberFormat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1" fillId="19" borderId="0" applyNumberFormat="0" applyBorder="0" applyAlignment="0" applyProtection="0"/>
    <xf numFmtId="0" fontId="29" fillId="0" borderId="0"/>
    <xf numFmtId="0" fontId="3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0" fontId="29" fillId="12" borderId="4" applyNumberFormat="0" applyFont="0" applyAlignment="0" applyProtection="0"/>
    <xf numFmtId="9" fontId="3" fillId="0" borderId="0" applyFont="0" applyFill="0" applyBorder="0" applyAlignment="0" applyProtection="0"/>
    <xf numFmtId="0" fontId="22" fillId="3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14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264">
    <xf numFmtId="0" fontId="0" fillId="0" borderId="0" xfId="0"/>
    <xf numFmtId="0" fontId="6" fillId="0" borderId="0" xfId="0" applyFont="1" applyFill="1" applyBorder="1" applyAlignment="1">
      <alignment horizontal="lef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28" fillId="20" borderId="13" xfId="0" applyFont="1" applyFill="1" applyBorder="1" applyAlignment="1">
      <alignment horizontal="right" vertical="center"/>
    </xf>
    <xf numFmtId="0" fontId="0" fillId="21" borderId="0" xfId="0" applyFill="1"/>
    <xf numFmtId="0" fontId="28" fillId="21" borderId="0" xfId="0" applyFont="1" applyFill="1"/>
    <xf numFmtId="0" fontId="3" fillId="22" borderId="0" xfId="0" applyFont="1" applyFill="1"/>
    <xf numFmtId="3" fontId="40" fillId="0" borderId="0" xfId="0" applyNumberFormat="1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28" fillId="21" borderId="0" xfId="0" applyFont="1" applyFill="1" applyAlignment="1">
      <alignment vertical="center"/>
    </xf>
    <xf numFmtId="3" fontId="28" fillId="21" borderId="0" xfId="0" applyNumberFormat="1" applyFont="1" applyFill="1" applyAlignment="1">
      <alignment vertical="center"/>
    </xf>
    <xf numFmtId="3" fontId="40" fillId="20" borderId="13" xfId="0" applyNumberFormat="1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3" fontId="29" fillId="0" borderId="0" xfId="0" applyNumberFormat="1" applyFont="1" applyBorder="1" applyAlignment="1">
      <alignment vertical="center"/>
    </xf>
    <xf numFmtId="0" fontId="0" fillId="21" borderId="0" xfId="0" applyFill="1" applyBorder="1"/>
    <xf numFmtId="0" fontId="29" fillId="21" borderId="0" xfId="0" applyFont="1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29" fillId="21" borderId="0" xfId="0" applyFont="1" applyFill="1" applyBorder="1" applyAlignment="1">
      <alignment vertical="center"/>
    </xf>
    <xf numFmtId="3" fontId="29" fillId="21" borderId="0" xfId="0" applyNumberFormat="1" applyFont="1" applyFill="1" applyBorder="1" applyAlignment="1">
      <alignment vertical="center"/>
    </xf>
    <xf numFmtId="3" fontId="29" fillId="21" borderId="0" xfId="0" applyNumberFormat="1" applyFont="1" applyFill="1" applyAlignment="1">
      <alignment vertical="center"/>
    </xf>
    <xf numFmtId="0" fontId="29" fillId="21" borderId="0" xfId="0" applyFont="1" applyFill="1" applyAlignment="1">
      <alignment vertical="center" wrapText="1"/>
    </xf>
    <xf numFmtId="0" fontId="5" fillId="23" borderId="13" xfId="0" applyFont="1" applyFill="1" applyBorder="1" applyAlignment="1">
      <alignment vertical="center"/>
    </xf>
    <xf numFmtId="0" fontId="5" fillId="23" borderId="20" xfId="0" applyFont="1" applyFill="1" applyBorder="1" applyAlignment="1">
      <alignment vertical="center"/>
    </xf>
    <xf numFmtId="0" fontId="0" fillId="22" borderId="0" xfId="0" applyFill="1" applyBorder="1"/>
    <xf numFmtId="0" fontId="29" fillId="24" borderId="0" xfId="0" applyFont="1" applyFill="1" applyAlignment="1">
      <alignment vertical="center"/>
    </xf>
    <xf numFmtId="0" fontId="5" fillId="24" borderId="0" xfId="0" applyFont="1" applyFill="1" applyAlignment="1">
      <alignment vertical="center"/>
    </xf>
    <xf numFmtId="0" fontId="5" fillId="24" borderId="0" xfId="0" applyFont="1" applyFill="1"/>
    <xf numFmtId="0" fontId="28" fillId="24" borderId="0" xfId="0" applyFont="1" applyFill="1" applyAlignment="1">
      <alignment vertical="center"/>
    </xf>
    <xf numFmtId="0" fontId="28" fillId="21" borderId="21" xfId="0" applyFont="1" applyFill="1" applyBorder="1" applyAlignment="1">
      <alignment horizontal="center"/>
    </xf>
    <xf numFmtId="0" fontId="28" fillId="21" borderId="12" xfId="0" applyFont="1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0" xfId="0" applyFill="1" applyAlignment="1">
      <alignment horizontal="justify" vertical="center"/>
    </xf>
    <xf numFmtId="0" fontId="0" fillId="21" borderId="0" xfId="0" applyFill="1" applyAlignment="1">
      <alignment horizontal="center"/>
    </xf>
    <xf numFmtId="0" fontId="9" fillId="21" borderId="0" xfId="0" applyFont="1" applyFill="1" applyAlignment="1">
      <alignment horizontal="justify" vertical="center"/>
    </xf>
    <xf numFmtId="0" fontId="45" fillId="22" borderId="0" xfId="0" applyFont="1" applyFill="1" applyAlignment="1">
      <alignment vertical="center"/>
    </xf>
    <xf numFmtId="169" fontId="45" fillId="0" borderId="0" xfId="36" applyNumberFormat="1" applyFont="1" applyAlignment="1">
      <alignment horizontal="center" vertical="center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justify" vertical="center"/>
    </xf>
    <xf numFmtId="0" fontId="45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9" fontId="45" fillId="22" borderId="0" xfId="47" applyFont="1" applyFill="1" applyAlignment="1">
      <alignment vertical="center"/>
    </xf>
    <xf numFmtId="3" fontId="45" fillId="0" borderId="0" xfId="0" applyNumberFormat="1" applyFont="1" applyAlignment="1">
      <alignment vertical="center"/>
    </xf>
    <xf numFmtId="3" fontId="40" fillId="0" borderId="0" xfId="0" applyNumberFormat="1" applyFont="1" applyAlignment="1">
      <alignment vertical="center"/>
    </xf>
    <xf numFmtId="0" fontId="45" fillId="24" borderId="0" xfId="0" applyFont="1" applyFill="1" applyAlignment="1">
      <alignment vertical="center"/>
    </xf>
    <xf numFmtId="0" fontId="40" fillId="22" borderId="0" xfId="0" applyFont="1" applyFill="1" applyAlignment="1">
      <alignment vertical="center" wrapText="1"/>
    </xf>
    <xf numFmtId="165" fontId="40" fillId="22" borderId="0" xfId="36" applyFont="1" applyFill="1" applyAlignment="1">
      <alignment vertical="center"/>
    </xf>
    <xf numFmtId="0" fontId="40" fillId="22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 wrapText="1"/>
    </xf>
    <xf numFmtId="0" fontId="40" fillId="0" borderId="0" xfId="0" applyFont="1" applyFill="1" applyAlignment="1">
      <alignment vertical="center" wrapText="1"/>
    </xf>
    <xf numFmtId="3" fontId="40" fillId="0" borderId="0" xfId="0" applyNumberFormat="1" applyFont="1" applyFill="1" applyAlignment="1">
      <alignment horizontal="center" vertical="center"/>
    </xf>
    <xf numFmtId="0" fontId="45" fillId="24" borderId="0" xfId="0" applyFont="1" applyFill="1"/>
    <xf numFmtId="0" fontId="45" fillId="0" borderId="0" xfId="0" applyFont="1" applyFill="1" applyAlignment="1">
      <alignment horizontal="center" vertical="center"/>
    </xf>
    <xf numFmtId="0" fontId="44" fillId="21" borderId="0" xfId="0" applyFont="1" applyFill="1"/>
    <xf numFmtId="0" fontId="44" fillId="22" borderId="0" xfId="0" applyFont="1" applyFill="1" applyBorder="1"/>
    <xf numFmtId="0" fontId="0" fillId="22" borderId="15" xfId="0" applyFill="1" applyBorder="1"/>
    <xf numFmtId="0" fontId="0" fillId="22" borderId="0" xfId="0" applyFill="1" applyBorder="1" applyAlignment="1">
      <alignment horizontal="center"/>
    </xf>
    <xf numFmtId="0" fontId="0" fillId="22" borderId="17" xfId="0" applyFill="1" applyBorder="1"/>
    <xf numFmtId="0" fontId="30" fillId="22" borderId="15" xfId="0" applyFont="1" applyFill="1" applyBorder="1"/>
    <xf numFmtId="0" fontId="44" fillId="22" borderId="0" xfId="0" applyFont="1" applyFill="1" applyBorder="1" applyAlignment="1">
      <alignment horizontal="center"/>
    </xf>
    <xf numFmtId="0" fontId="0" fillId="22" borderId="37" xfId="0" applyFill="1" applyBorder="1"/>
    <xf numFmtId="0" fontId="0" fillId="22" borderId="16" xfId="0" applyFill="1" applyBorder="1"/>
    <xf numFmtId="0" fontId="0" fillId="22" borderId="16" xfId="0" applyFill="1" applyBorder="1" applyAlignment="1">
      <alignment horizontal="center"/>
    </xf>
    <xf numFmtId="0" fontId="0" fillId="22" borderId="18" xfId="0" applyFill="1" applyBorder="1"/>
    <xf numFmtId="0" fontId="30" fillId="22" borderId="0" xfId="0" applyFont="1" applyFill="1" applyBorder="1"/>
    <xf numFmtId="0" fontId="44" fillId="22" borderId="15" xfId="0" applyFont="1" applyFill="1" applyBorder="1"/>
    <xf numFmtId="0" fontId="44" fillId="23" borderId="44" xfId="0" applyFont="1" applyFill="1" applyBorder="1"/>
    <xf numFmtId="0" fontId="44" fillId="23" borderId="19" xfId="0" applyFont="1" applyFill="1" applyBorder="1"/>
    <xf numFmtId="0" fontId="44" fillId="23" borderId="35" xfId="0" applyFont="1" applyFill="1" applyBorder="1"/>
    <xf numFmtId="0" fontId="0" fillId="24" borderId="0" xfId="0" applyFill="1"/>
    <xf numFmtId="0" fontId="0" fillId="23" borderId="0" xfId="0" applyFill="1"/>
    <xf numFmtId="0" fontId="47" fillId="23" borderId="12" xfId="0" applyFont="1" applyFill="1" applyBorder="1"/>
    <xf numFmtId="0" fontId="5" fillId="23" borderId="20" xfId="0" applyFont="1" applyFill="1" applyBorder="1"/>
    <xf numFmtId="0" fontId="0" fillId="24" borderId="0" xfId="0" applyFill="1" applyAlignment="1">
      <alignment vertical="center" wrapText="1"/>
    </xf>
    <xf numFmtId="0" fontId="45" fillId="22" borderId="44" xfId="0" applyFont="1" applyFill="1" applyBorder="1" applyAlignment="1">
      <alignment vertical="center"/>
    </xf>
    <xf numFmtId="0" fontId="45" fillId="22" borderId="19" xfId="0" applyFont="1" applyFill="1" applyBorder="1" applyAlignment="1">
      <alignment vertical="center"/>
    </xf>
    <xf numFmtId="169" fontId="45" fillId="22" borderId="19" xfId="36" applyNumberFormat="1" applyFont="1" applyFill="1" applyBorder="1" applyAlignment="1">
      <alignment horizontal="center" vertical="center"/>
    </xf>
    <xf numFmtId="0" fontId="45" fillId="22" borderId="19" xfId="0" applyFont="1" applyFill="1" applyBorder="1" applyAlignment="1">
      <alignment vertical="center" wrapText="1"/>
    </xf>
    <xf numFmtId="9" fontId="45" fillId="22" borderId="19" xfId="47" applyFont="1" applyFill="1" applyBorder="1" applyAlignment="1">
      <alignment vertical="center"/>
    </xf>
    <xf numFmtId="3" fontId="45" fillId="22" borderId="19" xfId="0" applyNumberFormat="1" applyFont="1" applyFill="1" applyBorder="1" applyAlignment="1">
      <alignment vertical="center"/>
    </xf>
    <xf numFmtId="0" fontId="40" fillId="22" borderId="15" xfId="0" applyFont="1" applyFill="1" applyBorder="1" applyAlignment="1">
      <alignment vertical="center"/>
    </xf>
    <xf numFmtId="0" fontId="40" fillId="22" borderId="0" xfId="0" applyFont="1" applyFill="1" applyBorder="1" applyAlignment="1">
      <alignment vertical="center"/>
    </xf>
    <xf numFmtId="49" fontId="40" fillId="22" borderId="0" xfId="0" applyNumberFormat="1" applyFont="1" applyFill="1" applyBorder="1" applyAlignment="1">
      <alignment vertical="center"/>
    </xf>
    <xf numFmtId="0" fontId="40" fillId="22" borderId="0" xfId="0" applyFont="1" applyFill="1" applyBorder="1" applyAlignment="1">
      <alignment horizontal="justify" vertical="center"/>
    </xf>
    <xf numFmtId="0" fontId="40" fillId="22" borderId="0" xfId="0" applyFont="1" applyFill="1" applyBorder="1" applyAlignment="1">
      <alignment vertical="center" wrapText="1"/>
    </xf>
    <xf numFmtId="165" fontId="40" fillId="22" borderId="0" xfId="36" applyFont="1" applyFill="1" applyBorder="1" applyAlignment="1">
      <alignment vertical="center"/>
    </xf>
    <xf numFmtId="0" fontId="40" fillId="22" borderId="0" xfId="0" applyFont="1" applyFill="1" applyBorder="1" applyAlignment="1">
      <alignment horizontal="center" vertical="center" wrapText="1"/>
    </xf>
    <xf numFmtId="3" fontId="40" fillId="22" borderId="0" xfId="0" applyNumberFormat="1" applyFont="1" applyFill="1" applyBorder="1" applyAlignment="1">
      <alignment vertical="center"/>
    </xf>
    <xf numFmtId="0" fontId="45" fillId="22" borderId="0" xfId="0" applyFont="1" applyFill="1" applyBorder="1" applyAlignment="1">
      <alignment vertical="center"/>
    </xf>
    <xf numFmtId="0" fontId="45" fillId="22" borderId="0" xfId="0" applyFont="1" applyFill="1" applyBorder="1" applyAlignment="1">
      <alignment horizontal="center" vertical="center"/>
    </xf>
    <xf numFmtId="0" fontId="40" fillId="22" borderId="37" xfId="0" applyFont="1" applyFill="1" applyBorder="1" applyAlignment="1">
      <alignment vertical="center"/>
    </xf>
    <xf numFmtId="0" fontId="40" fillId="22" borderId="16" xfId="0" applyFont="1" applyFill="1" applyBorder="1" applyAlignment="1">
      <alignment vertical="center"/>
    </xf>
    <xf numFmtId="49" fontId="40" fillId="22" borderId="16" xfId="0" applyNumberFormat="1" applyFont="1" applyFill="1" applyBorder="1" applyAlignment="1">
      <alignment vertical="center"/>
    </xf>
    <xf numFmtId="0" fontId="45" fillId="22" borderId="16" xfId="0" applyFont="1" applyFill="1" applyBorder="1" applyAlignment="1">
      <alignment horizontal="center" vertical="center"/>
    </xf>
    <xf numFmtId="0" fontId="40" fillId="22" borderId="16" xfId="0" applyFont="1" applyFill="1" applyBorder="1" applyAlignment="1">
      <alignment vertical="center" wrapText="1"/>
    </xf>
    <xf numFmtId="0" fontId="40" fillId="22" borderId="16" xfId="0" applyFont="1" applyFill="1" applyBorder="1" applyAlignment="1">
      <alignment horizontal="center" vertical="center" wrapText="1"/>
    </xf>
    <xf numFmtId="3" fontId="40" fillId="22" borderId="16" xfId="0" applyNumberFormat="1" applyFont="1" applyFill="1" applyBorder="1" applyAlignment="1">
      <alignment vertical="center"/>
    </xf>
    <xf numFmtId="3" fontId="32" fillId="22" borderId="27" xfId="0" applyNumberFormat="1" applyFont="1" applyFill="1" applyBorder="1" applyAlignment="1">
      <alignment horizontal="center"/>
    </xf>
    <xf numFmtId="3" fontId="32" fillId="22" borderId="28" xfId="0" applyNumberFormat="1" applyFont="1" applyFill="1" applyBorder="1" applyAlignment="1">
      <alignment horizontal="center"/>
    </xf>
    <xf numFmtId="0" fontId="32" fillId="22" borderId="26" xfId="0" applyFont="1" applyFill="1" applyBorder="1" applyAlignment="1">
      <alignment horizontal="left"/>
    </xf>
    <xf numFmtId="0" fontId="32" fillId="22" borderId="27" xfId="0" applyFont="1" applyFill="1" applyBorder="1" applyAlignment="1">
      <alignment horizontal="left"/>
    </xf>
    <xf numFmtId="0" fontId="32" fillId="22" borderId="27" xfId="0" applyFont="1" applyFill="1" applyBorder="1" applyAlignment="1" applyProtection="1">
      <alignment horizontal="left"/>
    </xf>
    <xf numFmtId="0" fontId="32" fillId="21" borderId="0" xfId="0" applyFont="1" applyFill="1"/>
    <xf numFmtId="0" fontId="31" fillId="21" borderId="0" xfId="0" applyFont="1" applyFill="1" applyBorder="1" applyAlignment="1">
      <alignment horizontal="center"/>
    </xf>
    <xf numFmtId="0" fontId="32" fillId="21" borderId="0" xfId="0" applyFont="1" applyFill="1" applyBorder="1"/>
    <xf numFmtId="0" fontId="33" fillId="21" borderId="12" xfId="0" applyFont="1" applyFill="1" applyBorder="1" applyAlignment="1">
      <alignment horizontal="center" vertical="center"/>
    </xf>
    <xf numFmtId="0" fontId="33" fillId="21" borderId="22" xfId="0" applyFont="1" applyFill="1" applyBorder="1" applyAlignment="1">
      <alignment horizontal="center" vertical="center"/>
    </xf>
    <xf numFmtId="3" fontId="33" fillId="21" borderId="22" xfId="0" applyNumberFormat="1" applyFont="1" applyFill="1" applyBorder="1" applyAlignment="1">
      <alignment horizontal="center" vertical="center" wrapText="1"/>
    </xf>
    <xf numFmtId="0" fontId="33" fillId="21" borderId="22" xfId="0" applyFont="1" applyFill="1" applyBorder="1" applyAlignment="1">
      <alignment horizontal="center" vertical="center" wrapText="1"/>
    </xf>
    <xf numFmtId="0" fontId="33" fillId="21" borderId="0" xfId="0" applyFont="1" applyFill="1" applyBorder="1" applyAlignment="1">
      <alignment horizontal="center" vertical="center" wrapText="1"/>
    </xf>
    <xf numFmtId="0" fontId="32" fillId="21" borderId="0" xfId="0" applyFont="1" applyFill="1" applyAlignment="1">
      <alignment horizontal="center" vertical="center"/>
    </xf>
    <xf numFmtId="3" fontId="32" fillId="21" borderId="45" xfId="0" applyNumberFormat="1" applyFont="1" applyFill="1" applyBorder="1" applyAlignment="1">
      <alignment horizontal="center"/>
    </xf>
    <xf numFmtId="3" fontId="32" fillId="21" borderId="0" xfId="0" applyNumberFormat="1" applyFont="1" applyFill="1" applyBorder="1" applyAlignment="1">
      <alignment horizontal="center"/>
    </xf>
    <xf numFmtId="3" fontId="32" fillId="21" borderId="46" xfId="0" applyNumberFormat="1" applyFont="1" applyFill="1" applyBorder="1" applyAlignment="1">
      <alignment horizontal="center"/>
    </xf>
    <xf numFmtId="3" fontId="32" fillId="21" borderId="47" xfId="0" applyNumberFormat="1" applyFont="1" applyFill="1" applyBorder="1" applyAlignment="1">
      <alignment horizontal="center"/>
    </xf>
    <xf numFmtId="3" fontId="32" fillId="21" borderId="0" xfId="0" applyNumberFormat="1" applyFont="1" applyFill="1"/>
    <xf numFmtId="3" fontId="33" fillId="21" borderId="0" xfId="0" applyNumberFormat="1" applyFont="1" applyFill="1" applyBorder="1" applyAlignment="1">
      <alignment horizontal="left"/>
    </xf>
    <xf numFmtId="3" fontId="33" fillId="21" borderId="22" xfId="0" applyNumberFormat="1" applyFont="1" applyFill="1" applyBorder="1" applyAlignment="1">
      <alignment horizontal="center"/>
    </xf>
    <xf numFmtId="3" fontId="33" fillId="21" borderId="0" xfId="0" applyNumberFormat="1" applyFont="1" applyFill="1" applyBorder="1" applyAlignment="1"/>
    <xf numFmtId="3" fontId="33" fillId="21" borderId="38" xfId="0" applyNumberFormat="1" applyFont="1" applyFill="1" applyBorder="1" applyAlignment="1">
      <alignment horizontal="center" vertical="center" wrapText="1"/>
    </xf>
    <xf numFmtId="0" fontId="35" fillId="21" borderId="0" xfId="0" applyFont="1" applyFill="1"/>
    <xf numFmtId="3" fontId="35" fillId="21" borderId="0" xfId="0" applyNumberFormat="1" applyFont="1" applyFill="1"/>
    <xf numFmtId="0" fontId="35" fillId="21" borderId="0" xfId="0" applyFont="1" applyFill="1" applyBorder="1"/>
    <xf numFmtId="3" fontId="35" fillId="21" borderId="0" xfId="0" applyNumberFormat="1" applyFont="1" applyFill="1" applyBorder="1"/>
    <xf numFmtId="3" fontId="36" fillId="21" borderId="0" xfId="0" applyNumberFormat="1" applyFont="1" applyFill="1" applyBorder="1"/>
    <xf numFmtId="3" fontId="37" fillId="21" borderId="0" xfId="0" applyNumberFormat="1" applyFont="1" applyFill="1" applyBorder="1" applyAlignment="1">
      <alignment horizontal="center"/>
    </xf>
    <xf numFmtId="0" fontId="33" fillId="21" borderId="0" xfId="0" applyFont="1" applyFill="1" applyBorder="1" applyAlignment="1">
      <alignment horizontal="right"/>
    </xf>
    <xf numFmtId="0" fontId="33" fillId="21" borderId="0" xfId="0" applyFont="1" applyFill="1" applyBorder="1" applyAlignment="1">
      <alignment horizontal="center" vertical="center"/>
    </xf>
    <xf numFmtId="0" fontId="32" fillId="21" borderId="0" xfId="0" applyFont="1" applyFill="1" applyBorder="1" applyAlignment="1">
      <alignment horizontal="left"/>
    </xf>
    <xf numFmtId="0" fontId="32" fillId="21" borderId="0" xfId="0" applyFont="1" applyFill="1" applyBorder="1" applyAlignment="1"/>
    <xf numFmtId="3" fontId="45" fillId="24" borderId="19" xfId="0" applyNumberFormat="1" applyFont="1" applyFill="1" applyBorder="1" applyAlignment="1">
      <alignment vertical="center"/>
    </xf>
    <xf numFmtId="0" fontId="45" fillId="24" borderId="19" xfId="0" applyFont="1" applyFill="1" applyBorder="1" applyAlignment="1">
      <alignment vertical="center"/>
    </xf>
    <xf numFmtId="4" fontId="45" fillId="24" borderId="19" xfId="0" applyNumberFormat="1" applyFont="1" applyFill="1" applyBorder="1" applyAlignment="1">
      <alignment vertical="center"/>
    </xf>
    <xf numFmtId="3" fontId="40" fillId="24" borderId="19" xfId="0" applyNumberFormat="1" applyFont="1" applyFill="1" applyBorder="1" applyAlignment="1">
      <alignment vertical="center"/>
    </xf>
    <xf numFmtId="3" fontId="40" fillId="24" borderId="0" xfId="0" applyNumberFormat="1" applyFont="1" applyFill="1" applyBorder="1" applyAlignment="1">
      <alignment vertical="center" wrapText="1"/>
    </xf>
    <xf numFmtId="4" fontId="40" fillId="24" borderId="0" xfId="0" applyNumberFormat="1" applyFont="1" applyFill="1" applyBorder="1" applyAlignment="1">
      <alignment vertical="center" wrapText="1"/>
    </xf>
    <xf numFmtId="0" fontId="40" fillId="24" borderId="0" xfId="0" applyFont="1" applyFill="1" applyBorder="1" applyAlignment="1">
      <alignment vertical="center"/>
    </xf>
    <xf numFmtId="0" fontId="40" fillId="24" borderId="0" xfId="0" applyFont="1" applyFill="1" applyBorder="1" applyAlignment="1">
      <alignment vertical="center" wrapText="1"/>
    </xf>
    <xf numFmtId="3" fontId="40" fillId="24" borderId="0" xfId="0" applyNumberFormat="1" applyFont="1" applyFill="1" applyBorder="1" applyAlignment="1">
      <alignment vertical="center"/>
    </xf>
    <xf numFmtId="3" fontId="40" fillId="24" borderId="0" xfId="0" applyNumberFormat="1" applyFont="1" applyFill="1" applyBorder="1" applyAlignment="1">
      <alignment horizontal="center" vertical="center"/>
    </xf>
    <xf numFmtId="0" fontId="45" fillId="24" borderId="0" xfId="0" applyFont="1" applyFill="1" applyBorder="1" applyAlignment="1">
      <alignment vertical="center"/>
    </xf>
    <xf numFmtId="0" fontId="45" fillId="24" borderId="0" xfId="0" applyFont="1" applyFill="1" applyBorder="1"/>
    <xf numFmtId="3" fontId="40" fillId="24" borderId="16" xfId="0" applyNumberFormat="1" applyFont="1" applyFill="1" applyBorder="1" applyAlignment="1">
      <alignment vertical="center" wrapText="1"/>
    </xf>
    <xf numFmtId="4" fontId="40" fillId="24" borderId="16" xfId="0" applyNumberFormat="1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/>
    </xf>
    <xf numFmtId="0" fontId="40" fillId="24" borderId="16" xfId="0" applyFont="1" applyFill="1" applyBorder="1" applyAlignment="1">
      <alignment vertical="center" wrapText="1"/>
    </xf>
    <xf numFmtId="3" fontId="40" fillId="24" borderId="16" xfId="0" applyNumberFormat="1" applyFont="1" applyFill="1" applyBorder="1" applyAlignment="1">
      <alignment vertical="center"/>
    </xf>
    <xf numFmtId="3" fontId="40" fillId="24" borderId="16" xfId="0" applyNumberFormat="1" applyFont="1" applyFill="1" applyBorder="1" applyAlignment="1">
      <alignment horizontal="center" vertical="center"/>
    </xf>
    <xf numFmtId="0" fontId="45" fillId="24" borderId="16" xfId="0" applyFont="1" applyFill="1" applyBorder="1" applyAlignment="1">
      <alignment vertical="center"/>
    </xf>
    <xf numFmtId="0" fontId="45" fillId="24" borderId="16" xfId="0" applyFont="1" applyFill="1" applyBorder="1"/>
    <xf numFmtId="0" fontId="32" fillId="24" borderId="0" xfId="0" applyFont="1" applyFill="1"/>
    <xf numFmtId="0" fontId="32" fillId="24" borderId="0" xfId="0" applyFont="1" applyFill="1" applyAlignment="1">
      <alignment horizontal="center" vertical="center"/>
    </xf>
    <xf numFmtId="0" fontId="40" fillId="24" borderId="0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32" fillId="24" borderId="0" xfId="0" applyFont="1" applyFill="1" applyBorder="1"/>
    <xf numFmtId="3" fontId="32" fillId="24" borderId="0" xfId="0" applyNumberFormat="1" applyFont="1" applyFill="1" applyBorder="1"/>
    <xf numFmtId="0" fontId="33" fillId="24" borderId="0" xfId="0" applyFont="1" applyFill="1" applyBorder="1" applyAlignment="1">
      <alignment horizontal="center" vertical="center"/>
    </xf>
    <xf numFmtId="0" fontId="33" fillId="24" borderId="0" xfId="0" applyFont="1" applyFill="1" applyBorder="1" applyAlignment="1">
      <alignment horizontal="center" vertical="center" wrapText="1"/>
    </xf>
    <xf numFmtId="3" fontId="33" fillId="24" borderId="0" xfId="0" applyNumberFormat="1" applyFont="1" applyFill="1" applyBorder="1" applyAlignment="1">
      <alignment horizontal="center" vertical="center" wrapText="1"/>
    </xf>
    <xf numFmtId="0" fontId="32" fillId="24" borderId="0" xfId="0" applyFont="1" applyFill="1" applyBorder="1" applyAlignment="1">
      <alignment horizontal="center" vertical="center"/>
    </xf>
    <xf numFmtId="0" fontId="32" fillId="24" borderId="0" xfId="0" applyFont="1" applyFill="1" applyBorder="1" applyAlignment="1">
      <alignment horizontal="left"/>
    </xf>
    <xf numFmtId="0" fontId="32" fillId="24" borderId="0" xfId="0" applyFont="1" applyFill="1" applyBorder="1" applyAlignment="1"/>
    <xf numFmtId="3" fontId="32" fillId="24" borderId="0" xfId="0" applyNumberFormat="1" applyFont="1" applyFill="1" applyBorder="1" applyAlignment="1">
      <alignment horizontal="center"/>
    </xf>
    <xf numFmtId="3" fontId="32" fillId="24" borderId="0" xfId="0" applyNumberFormat="1" applyFont="1" applyFill="1" applyBorder="1" applyAlignment="1"/>
    <xf numFmtId="0" fontId="33" fillId="24" borderId="0" xfId="0" applyFont="1" applyFill="1" applyBorder="1" applyAlignment="1">
      <alignment horizontal="left"/>
    </xf>
    <xf numFmtId="3" fontId="33" fillId="24" borderId="0" xfId="0" applyNumberFormat="1" applyFont="1" applyFill="1" applyBorder="1" applyAlignment="1"/>
    <xf numFmtId="3" fontId="33" fillId="24" borderId="0" xfId="0" applyNumberFormat="1" applyFont="1" applyFill="1" applyBorder="1" applyAlignment="1">
      <alignment horizontal="left"/>
    </xf>
    <xf numFmtId="0" fontId="31" fillId="21" borderId="0" xfId="0" applyFont="1" applyFill="1" applyBorder="1" applyAlignment="1"/>
    <xf numFmtId="0" fontId="31" fillId="24" borderId="0" xfId="0" applyFont="1" applyFill="1" applyBorder="1" applyAlignment="1"/>
    <xf numFmtId="0" fontId="0" fillId="21" borderId="0" xfId="0" applyFill="1" applyAlignment="1">
      <alignment vertical="center" wrapText="1"/>
    </xf>
    <xf numFmtId="0" fontId="44" fillId="24" borderId="0" xfId="0" applyFont="1" applyFill="1"/>
    <xf numFmtId="0" fontId="4" fillId="27" borderId="13" xfId="0" applyFont="1" applyFill="1" applyBorder="1" applyAlignment="1">
      <alignment horizontal="center" vertical="center" wrapText="1"/>
    </xf>
    <xf numFmtId="0" fontId="50" fillId="28" borderId="32" xfId="0" applyFont="1" applyFill="1" applyBorder="1"/>
    <xf numFmtId="0" fontId="50" fillId="28" borderId="50" xfId="0" applyFont="1" applyFill="1" applyBorder="1"/>
    <xf numFmtId="3" fontId="50" fillId="28" borderId="50" xfId="0" applyNumberFormat="1" applyFont="1" applyFill="1" applyBorder="1"/>
    <xf numFmtId="0" fontId="6" fillId="0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29" fillId="24" borderId="0" xfId="0" applyFont="1" applyFill="1"/>
    <xf numFmtId="0" fontId="56" fillId="24" borderId="0" xfId="0" applyFont="1" applyFill="1"/>
    <xf numFmtId="3" fontId="29" fillId="24" borderId="0" xfId="0" applyNumberFormat="1" applyFont="1" applyFill="1"/>
    <xf numFmtId="0" fontId="9" fillId="24" borderId="0" xfId="0" applyFont="1" applyFill="1"/>
    <xf numFmtId="0" fontId="9" fillId="24" borderId="0" xfId="0" applyFont="1" applyFill="1" applyAlignment="1">
      <alignment vertical="center" wrapText="1"/>
    </xf>
    <xf numFmtId="0" fontId="29" fillId="26" borderId="13" xfId="0" applyFont="1" applyFill="1" applyBorder="1" applyAlignment="1">
      <alignment vertical="center"/>
    </xf>
    <xf numFmtId="3" fontId="29" fillId="26" borderId="13" xfId="0" applyNumberFormat="1" applyFont="1" applyFill="1" applyBorder="1" applyAlignment="1">
      <alignment vertical="center"/>
    </xf>
    <xf numFmtId="0" fontId="33" fillId="21" borderId="44" xfId="0" applyFont="1" applyFill="1" applyBorder="1" applyAlignment="1">
      <alignment horizontal="center" vertical="center"/>
    </xf>
    <xf numFmtId="0" fontId="32" fillId="22" borderId="54" xfId="0" applyFont="1" applyFill="1" applyBorder="1" applyAlignment="1">
      <alignment horizontal="left"/>
    </xf>
    <xf numFmtId="0" fontId="32" fillId="22" borderId="52" xfId="0" applyFont="1" applyFill="1" applyBorder="1" applyAlignment="1">
      <alignment horizontal="left"/>
    </xf>
    <xf numFmtId="0" fontId="32" fillId="22" borderId="52" xfId="0" applyFont="1" applyFill="1" applyBorder="1" applyAlignment="1" applyProtection="1">
      <alignment horizontal="left"/>
    </xf>
    <xf numFmtId="0" fontId="32" fillId="22" borderId="53" xfId="0" applyFont="1" applyFill="1" applyBorder="1" applyAlignment="1">
      <alignment horizontal="left"/>
    </xf>
    <xf numFmtId="0" fontId="29" fillId="26" borderId="0" xfId="0" applyFont="1" applyFill="1" applyAlignment="1">
      <alignment vertical="center"/>
    </xf>
    <xf numFmtId="0" fontId="29" fillId="21" borderId="19" xfId="0" applyFont="1" applyFill="1" applyBorder="1" applyAlignment="1">
      <alignment vertical="center"/>
    </xf>
    <xf numFmtId="3" fontId="29" fillId="21" borderId="19" xfId="0" applyNumberFormat="1" applyFont="1" applyFill="1" applyBorder="1" applyAlignment="1">
      <alignment vertical="center"/>
    </xf>
    <xf numFmtId="3" fontId="0" fillId="21" borderId="0" xfId="0" applyNumberFormat="1" applyFill="1"/>
    <xf numFmtId="3" fontId="50" fillId="28" borderId="33" xfId="0" applyNumberFormat="1" applyFont="1" applyFill="1" applyBorder="1"/>
    <xf numFmtId="0" fontId="32" fillId="0" borderId="0" xfId="0" applyFont="1"/>
    <xf numFmtId="0" fontId="33" fillId="0" borderId="0" xfId="0" applyFont="1"/>
    <xf numFmtId="9" fontId="33" fillId="0" borderId="0" xfId="0" applyNumberFormat="1" applyFont="1"/>
    <xf numFmtId="0" fontId="52" fillId="0" borderId="0" xfId="0" applyFont="1"/>
    <xf numFmtId="9" fontId="52" fillId="0" borderId="0" xfId="0" applyNumberFormat="1" applyFont="1"/>
    <xf numFmtId="0" fontId="32" fillId="0" borderId="0" xfId="0" applyFont="1" applyAlignment="1">
      <alignment horizontal="center" vertical="center"/>
    </xf>
    <xf numFmtId="0" fontId="8" fillId="0" borderId="38" xfId="0" applyFont="1" applyFill="1" applyBorder="1" applyAlignment="1">
      <alignment horizontal="left"/>
    </xf>
    <xf numFmtId="0" fontId="9" fillId="0" borderId="21" xfId="0" applyFont="1" applyBorder="1"/>
    <xf numFmtId="9" fontId="9" fillId="0" borderId="21" xfId="0" applyNumberFormat="1" applyFont="1" applyBorder="1"/>
    <xf numFmtId="3" fontId="9" fillId="0" borderId="15" xfId="0" applyNumberFormat="1" applyFont="1" applyBorder="1"/>
    <xf numFmtId="0" fontId="8" fillId="0" borderId="21" xfId="0" applyFont="1" applyFill="1" applyBorder="1" applyAlignment="1">
      <alignment horizontal="left"/>
    </xf>
    <xf numFmtId="0" fontId="7" fillId="0" borderId="21" xfId="0" applyNumberFormat="1" applyFont="1" applyFill="1" applyBorder="1" applyAlignment="1">
      <alignment horizontal="left"/>
    </xf>
    <xf numFmtId="169" fontId="9" fillId="0" borderId="21" xfId="36" applyNumberFormat="1" applyFont="1" applyBorder="1"/>
    <xf numFmtId="0" fontId="8" fillId="21" borderId="27" xfId="0" applyNumberFormat="1" applyFont="1" applyFill="1" applyBorder="1" applyAlignment="1">
      <alignment horizontal="left"/>
    </xf>
    <xf numFmtId="167" fontId="8" fillId="21" borderId="27" xfId="36" applyNumberFormat="1" applyFont="1" applyFill="1" applyBorder="1"/>
    <xf numFmtId="9" fontId="42" fillId="21" borderId="27" xfId="0" applyNumberFormat="1" applyFont="1" applyFill="1" applyBorder="1"/>
    <xf numFmtId="0" fontId="8" fillId="0" borderId="21" xfId="0" applyNumberFormat="1" applyFont="1" applyFill="1" applyBorder="1" applyAlignment="1">
      <alignment horizontal="left"/>
    </xf>
    <xf numFmtId="0" fontId="8" fillId="0" borderId="27" xfId="0" applyNumberFormat="1" applyFont="1" applyFill="1" applyBorder="1" applyAlignment="1">
      <alignment horizontal="left"/>
    </xf>
    <xf numFmtId="167" fontId="8" fillId="0" borderId="27" xfId="36" applyNumberFormat="1" applyFont="1" applyFill="1" applyBorder="1"/>
    <xf numFmtId="0" fontId="8" fillId="0" borderId="27" xfId="0" applyFont="1" applyFill="1" applyBorder="1" applyAlignment="1">
      <alignment horizontal="left"/>
    </xf>
    <xf numFmtId="0" fontId="8" fillId="21" borderId="27" xfId="0" applyFont="1" applyFill="1" applyBorder="1" applyAlignment="1">
      <alignment horizontal="left"/>
    </xf>
    <xf numFmtId="0" fontId="8" fillId="0" borderId="27" xfId="0" applyFont="1" applyFill="1" applyBorder="1" applyAlignment="1"/>
    <xf numFmtId="0" fontId="8" fillId="21" borderId="28" xfId="0" applyFont="1" applyFill="1" applyBorder="1" applyAlignment="1">
      <alignment horizontal="left"/>
    </xf>
    <xf numFmtId="167" fontId="8" fillId="21" borderId="28" xfId="36" applyNumberFormat="1" applyFont="1" applyFill="1" applyBorder="1"/>
    <xf numFmtId="0" fontId="8" fillId="0" borderId="0" xfId="0" applyFont="1" applyAlignment="1">
      <alignment horizontal="center"/>
    </xf>
    <xf numFmtId="9" fontId="33" fillId="0" borderId="0" xfId="0" applyNumberFormat="1" applyFont="1" applyAlignment="1">
      <alignment horizontal="center"/>
    </xf>
    <xf numFmtId="9" fontId="51" fillId="0" borderId="0" xfId="0" applyNumberFormat="1" applyFont="1"/>
    <xf numFmtId="0" fontId="51" fillId="0" borderId="0" xfId="0" applyFont="1" applyAlignment="1">
      <alignment horizontal="right"/>
    </xf>
    <xf numFmtId="9" fontId="32" fillId="0" borderId="0" xfId="0" applyNumberFormat="1" applyFont="1"/>
    <xf numFmtId="169" fontId="55" fillId="0" borderId="21" xfId="36" applyNumberFormat="1" applyFont="1" applyBorder="1"/>
    <xf numFmtId="169" fontId="55" fillId="26" borderId="21" xfId="36" applyNumberFormat="1" applyFont="1" applyFill="1" applyBorder="1"/>
    <xf numFmtId="0" fontId="29" fillId="0" borderId="0" xfId="0" applyFont="1" applyFill="1"/>
    <xf numFmtId="9" fontId="42" fillId="22" borderId="27" xfId="0" applyNumberFormat="1" applyFont="1" applyFill="1" applyBorder="1"/>
    <xf numFmtId="0" fontId="0" fillId="22" borderId="26" xfId="0" applyFill="1" applyBorder="1"/>
    <xf numFmtId="3" fontId="32" fillId="22" borderId="26" xfId="0" applyNumberFormat="1" applyFont="1" applyFill="1" applyBorder="1" applyAlignment="1">
      <alignment horizontal="center"/>
    </xf>
    <xf numFmtId="0" fontId="32" fillId="30" borderId="0" xfId="0" applyFont="1" applyFill="1"/>
    <xf numFmtId="0" fontId="32" fillId="33" borderId="0" xfId="0" applyFont="1" applyFill="1"/>
    <xf numFmtId="0" fontId="31" fillId="21" borderId="0" xfId="0" applyFont="1" applyFill="1" applyAlignment="1">
      <alignment horizontal="center"/>
    </xf>
    <xf numFmtId="0" fontId="31" fillId="24" borderId="0" xfId="0" applyFont="1" applyFill="1" applyBorder="1" applyAlignment="1">
      <alignment horizontal="center"/>
    </xf>
    <xf numFmtId="0" fontId="31" fillId="21" borderId="0" xfId="0" applyFont="1" applyFill="1" applyAlignment="1"/>
    <xf numFmtId="0" fontId="63" fillId="34" borderId="35" xfId="0" applyFont="1" applyFill="1" applyBorder="1" applyAlignment="1">
      <alignment horizontal="center" vertical="center"/>
    </xf>
    <xf numFmtId="0" fontId="0" fillId="30" borderId="0" xfId="0" applyFill="1"/>
    <xf numFmtId="0" fontId="0" fillId="32" borderId="21" xfId="0" applyFill="1" applyBorder="1"/>
    <xf numFmtId="0" fontId="0" fillId="30" borderId="27" xfId="0" applyFill="1" applyBorder="1"/>
    <xf numFmtId="0" fontId="0" fillId="32" borderId="26" xfId="0" applyFill="1" applyBorder="1" applyAlignment="1"/>
    <xf numFmtId="0" fontId="38" fillId="0" borderId="38" xfId="0" applyFont="1" applyBorder="1"/>
    <xf numFmtId="0" fontId="38" fillId="0" borderId="21" xfId="0" applyFont="1" applyBorder="1"/>
    <xf numFmtId="0" fontId="38" fillId="0" borderId="29" xfId="0" applyFont="1" applyBorder="1"/>
    <xf numFmtId="0" fontId="0" fillId="30" borderId="31" xfId="0" applyFill="1" applyBorder="1"/>
    <xf numFmtId="0" fontId="55" fillId="30" borderId="31" xfId="0" applyFont="1" applyFill="1" applyBorder="1"/>
    <xf numFmtId="0" fontId="28" fillId="30" borderId="31" xfId="0" applyFont="1" applyFill="1" applyBorder="1"/>
    <xf numFmtId="0" fontId="0" fillId="30" borderId="22" xfId="0" applyFill="1" applyBorder="1"/>
    <xf numFmtId="0" fontId="0" fillId="30" borderId="17" xfId="0" applyFill="1" applyBorder="1"/>
    <xf numFmtId="0" fontId="0" fillId="30" borderId="36" xfId="0" applyFill="1" applyBorder="1"/>
    <xf numFmtId="0" fontId="0" fillId="30" borderId="28" xfId="0" applyFill="1" applyBorder="1"/>
    <xf numFmtId="0" fontId="29" fillId="33" borderId="0" xfId="0" applyFont="1" applyFill="1"/>
    <xf numFmtId="0" fontId="0" fillId="33" borderId="0" xfId="0" applyFill="1"/>
    <xf numFmtId="3" fontId="38" fillId="22" borderId="62" xfId="0" applyNumberFormat="1" applyFont="1" applyFill="1" applyBorder="1"/>
    <xf numFmtId="3" fontId="38" fillId="22" borderId="40" xfId="0" applyNumberFormat="1" applyFont="1" applyFill="1" applyBorder="1"/>
    <xf numFmtId="0" fontId="50" fillId="28" borderId="64" xfId="0" applyFont="1" applyFill="1" applyBorder="1"/>
    <xf numFmtId="0" fontId="58" fillId="35" borderId="44" xfId="34" applyFont="1" applyFill="1" applyBorder="1" applyAlignment="1" applyProtection="1">
      <alignment horizontal="right" vertical="center" wrapText="1"/>
    </xf>
    <xf numFmtId="0" fontId="58" fillId="26" borderId="44" xfId="34" applyFont="1" applyFill="1" applyBorder="1" applyAlignment="1" applyProtection="1">
      <alignment horizontal="right" vertical="center" wrapText="1"/>
    </xf>
    <xf numFmtId="0" fontId="57" fillId="26" borderId="15" xfId="34" applyFont="1" applyFill="1" applyBorder="1" applyAlignment="1" applyProtection="1">
      <alignment horizontal="right"/>
    </xf>
    <xf numFmtId="0" fontId="19" fillId="26" borderId="17" xfId="34" applyFill="1" applyBorder="1" applyAlignment="1" applyProtection="1"/>
    <xf numFmtId="0" fontId="19" fillId="26" borderId="15" xfId="34" applyFill="1" applyBorder="1" applyAlignment="1" applyProtection="1">
      <alignment horizontal="right"/>
    </xf>
    <xf numFmtId="0" fontId="19" fillId="26" borderId="44" xfId="34" applyFill="1" applyBorder="1" applyAlignment="1" applyProtection="1">
      <alignment horizontal="right"/>
    </xf>
    <xf numFmtId="0" fontId="19" fillId="26" borderId="37" xfId="34" applyFill="1" applyBorder="1" applyAlignment="1" applyProtection="1">
      <alignment horizontal="right"/>
    </xf>
    <xf numFmtId="0" fontId="0" fillId="26" borderId="35" xfId="0" applyFill="1" applyBorder="1"/>
    <xf numFmtId="0" fontId="0" fillId="26" borderId="17" xfId="0" applyFill="1" applyBorder="1"/>
    <xf numFmtId="0" fontId="0" fillId="26" borderId="18" xfId="0" applyFill="1" applyBorder="1"/>
    <xf numFmtId="3" fontId="0" fillId="30" borderId="0" xfId="0" applyNumberFormat="1" applyFill="1"/>
    <xf numFmtId="3" fontId="0" fillId="32" borderId="26" xfId="0" applyNumberFormat="1" applyFill="1" applyBorder="1" applyAlignment="1"/>
    <xf numFmtId="3" fontId="0" fillId="32" borderId="21" xfId="0" applyNumberFormat="1" applyFill="1" applyBorder="1"/>
    <xf numFmtId="3" fontId="0" fillId="0" borderId="27" xfId="0" applyNumberFormat="1" applyBorder="1"/>
    <xf numFmtId="3" fontId="0" fillId="30" borderId="27" xfId="0" applyNumberFormat="1" applyFill="1" applyBorder="1"/>
    <xf numFmtId="3" fontId="0" fillId="32" borderId="27" xfId="0" applyNumberFormat="1" applyFill="1" applyBorder="1" applyAlignment="1"/>
    <xf numFmtId="3" fontId="0" fillId="32" borderId="27" xfId="0" applyNumberFormat="1" applyFill="1" applyBorder="1"/>
    <xf numFmtId="3" fontId="0" fillId="30" borderId="21" xfId="0" applyNumberFormat="1" applyFill="1" applyBorder="1"/>
    <xf numFmtId="3" fontId="0" fillId="32" borderId="28" xfId="0" applyNumberFormat="1" applyFill="1" applyBorder="1" applyAlignment="1"/>
    <xf numFmtId="3" fontId="0" fillId="32" borderId="29" xfId="0" applyNumberFormat="1" applyFill="1" applyBorder="1"/>
    <xf numFmtId="3" fontId="0" fillId="33" borderId="0" xfId="0" applyNumberFormat="1" applyFill="1"/>
    <xf numFmtId="3" fontId="0" fillId="0" borderId="0" xfId="0" applyNumberFormat="1"/>
    <xf numFmtId="3" fontId="50" fillId="29" borderId="33" xfId="0" applyNumberFormat="1" applyFont="1" applyFill="1" applyBorder="1"/>
    <xf numFmtId="3" fontId="29" fillId="30" borderId="27" xfId="0" applyNumberFormat="1" applyFont="1" applyFill="1" applyBorder="1"/>
    <xf numFmtId="3" fontId="0" fillId="22" borderId="27" xfId="0" applyNumberFormat="1" applyFill="1" applyBorder="1"/>
    <xf numFmtId="3" fontId="0" fillId="32" borderId="28" xfId="0" applyNumberFormat="1" applyFill="1" applyBorder="1"/>
    <xf numFmtId="3" fontId="0" fillId="32" borderId="43" xfId="0" applyNumberFormat="1" applyFill="1" applyBorder="1"/>
    <xf numFmtId="3" fontId="0" fillId="32" borderId="33" xfId="0" applyNumberFormat="1" applyFill="1" applyBorder="1"/>
    <xf numFmtId="0" fontId="30" fillId="21" borderId="2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9" fillId="21" borderId="22" xfId="0" applyFont="1" applyFill="1" applyBorder="1" applyAlignment="1">
      <alignment horizontal="justify" vertical="center"/>
    </xf>
    <xf numFmtId="0" fontId="39" fillId="21" borderId="0" xfId="0" applyFont="1" applyFill="1" applyBorder="1" applyAlignment="1">
      <alignment horizontal="justify" vertical="center"/>
    </xf>
    <xf numFmtId="0" fontId="39" fillId="21" borderId="22" xfId="0" applyFont="1" applyFill="1" applyBorder="1" applyAlignment="1">
      <alignment horizontal="center" vertical="center"/>
    </xf>
    <xf numFmtId="3" fontId="29" fillId="0" borderId="27" xfId="0" applyNumberFormat="1" applyFont="1" applyBorder="1"/>
    <xf numFmtId="3" fontId="9" fillId="32" borderId="26" xfId="0" applyNumberFormat="1" applyFont="1" applyFill="1" applyBorder="1" applyAlignment="1">
      <alignment vertical="top" wrapText="1"/>
    </xf>
    <xf numFmtId="3" fontId="9" fillId="22" borderId="26" xfId="0" applyNumberFormat="1" applyFont="1" applyFill="1" applyBorder="1" applyAlignment="1">
      <alignment vertical="top" wrapText="1"/>
    </xf>
    <xf numFmtId="3" fontId="9" fillId="0" borderId="27" xfId="0" applyNumberFormat="1" applyFont="1" applyBorder="1"/>
    <xf numFmtId="172" fontId="9" fillId="0" borderId="27" xfId="0" applyNumberFormat="1" applyFont="1" applyBorder="1"/>
    <xf numFmtId="3" fontId="9" fillId="22" borderId="27" xfId="0" applyNumberFormat="1" applyFont="1" applyFill="1" applyBorder="1"/>
    <xf numFmtId="3" fontId="9" fillId="32" borderId="27" xfId="0" applyNumberFormat="1" applyFont="1" applyFill="1" applyBorder="1"/>
    <xf numFmtId="3" fontId="9" fillId="0" borderId="27" xfId="0" applyNumberFormat="1" applyFont="1" applyBorder="1" applyAlignment="1">
      <alignment vertical="top" wrapText="1"/>
    </xf>
    <xf numFmtId="0" fontId="38" fillId="0" borderId="39" xfId="0" applyFont="1" applyBorder="1" applyAlignment="1">
      <alignment vertical="top" wrapText="1"/>
    </xf>
    <xf numFmtId="3" fontId="38" fillId="22" borderId="40" xfId="0" applyNumberFormat="1" applyFont="1" applyFill="1" applyBorder="1" applyAlignment="1">
      <alignment vertical="top" wrapText="1"/>
    </xf>
    <xf numFmtId="0" fontId="0" fillId="21" borderId="0" xfId="0" applyFill="1" applyAlignment="1">
      <alignment vertical="top" wrapText="1"/>
    </xf>
    <xf numFmtId="3" fontId="38" fillId="22" borderId="62" xfId="0" applyNumberFormat="1" applyFont="1" applyFill="1" applyBorder="1" applyAlignment="1">
      <alignment vertical="top" wrapText="1"/>
    </xf>
    <xf numFmtId="3" fontId="7" fillId="22" borderId="40" xfId="0" applyNumberFormat="1" applyFont="1" applyFill="1" applyBorder="1" applyAlignment="1">
      <alignment vertical="top" wrapText="1"/>
    </xf>
    <xf numFmtId="0" fontId="9" fillId="21" borderId="0" xfId="0" applyFont="1" applyFill="1" applyAlignment="1">
      <alignment vertical="top" wrapText="1"/>
    </xf>
    <xf numFmtId="3" fontId="7" fillId="22" borderId="62" xfId="0" applyNumberFormat="1" applyFont="1" applyFill="1" applyBorder="1" applyAlignment="1">
      <alignment vertical="top" wrapText="1"/>
    </xf>
    <xf numFmtId="3" fontId="29" fillId="22" borderId="27" xfId="0" applyNumberFormat="1" applyFont="1" applyFill="1" applyBorder="1"/>
    <xf numFmtId="3" fontId="0" fillId="0" borderId="27" xfId="0" applyNumberFormat="1" applyFill="1" applyBorder="1"/>
    <xf numFmtId="3" fontId="29" fillId="32" borderId="28" xfId="0" applyNumberFormat="1" applyFont="1" applyFill="1" applyBorder="1"/>
    <xf numFmtId="0" fontId="55" fillId="30" borderId="31" xfId="0" applyFont="1" applyFill="1" applyBorder="1" applyAlignment="1">
      <alignment vertical="top"/>
    </xf>
    <xf numFmtId="3" fontId="66" fillId="22" borderId="27" xfId="0" applyNumberFormat="1" applyFont="1" applyFill="1" applyBorder="1"/>
    <xf numFmtId="3" fontId="39" fillId="32" borderId="26" xfId="0" applyNumberFormat="1" applyFont="1" applyFill="1" applyBorder="1" applyAlignment="1">
      <alignment vertical="top" wrapText="1"/>
    </xf>
    <xf numFmtId="0" fontId="0" fillId="39" borderId="27" xfId="0" applyFill="1" applyBorder="1"/>
    <xf numFmtId="3" fontId="32" fillId="39" borderId="27" xfId="0" applyNumberFormat="1" applyFont="1" applyFill="1" applyBorder="1" applyAlignment="1">
      <alignment horizontal="center"/>
    </xf>
    <xf numFmtId="3" fontId="32" fillId="39" borderId="46" xfId="0" applyNumberFormat="1" applyFont="1" applyFill="1" applyBorder="1" applyAlignment="1">
      <alignment horizontal="center"/>
    </xf>
    <xf numFmtId="165" fontId="9" fillId="0" borderId="27" xfId="36" applyFont="1" applyBorder="1"/>
    <xf numFmtId="3" fontId="29" fillId="0" borderId="27" xfId="0" applyNumberFormat="1" applyFont="1" applyFill="1" applyBorder="1"/>
    <xf numFmtId="169" fontId="55" fillId="39" borderId="21" xfId="36" applyNumberFormat="1" applyFont="1" applyFill="1" applyBorder="1"/>
    <xf numFmtId="0" fontId="7" fillId="0" borderId="0" xfId="0" applyNumberFormat="1" applyFont="1" applyFill="1" applyBorder="1" applyAlignment="1">
      <alignment horizontal="left"/>
    </xf>
    <xf numFmtId="0" fontId="8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/>
    <xf numFmtId="0" fontId="7" fillId="0" borderId="0" xfId="0" applyFont="1" applyFill="1" applyBorder="1" applyAlignment="1">
      <alignment horizontal="left"/>
    </xf>
    <xf numFmtId="49" fontId="6" fillId="0" borderId="0" xfId="40" applyNumberFormat="1" applyFont="1" applyFill="1" applyAlignment="1">
      <alignment horizontal="left"/>
    </xf>
    <xf numFmtId="9" fontId="0" fillId="0" borderId="21" xfId="0" applyNumberFormat="1" applyBorder="1"/>
    <xf numFmtId="3" fontId="31" fillId="22" borderId="57" xfId="0" applyNumberFormat="1" applyFont="1" applyFill="1" applyBorder="1" applyAlignment="1">
      <alignment horizontal="center"/>
    </xf>
    <xf numFmtId="3" fontId="31" fillId="39" borderId="0" xfId="0" applyNumberFormat="1" applyFont="1" applyFill="1" applyBorder="1" applyAlignment="1">
      <alignment horizontal="center"/>
    </xf>
    <xf numFmtId="3" fontId="31" fillId="39" borderId="57" xfId="0" applyNumberFormat="1" applyFont="1" applyFill="1" applyBorder="1" applyAlignment="1">
      <alignment horizontal="center"/>
    </xf>
    <xf numFmtId="3" fontId="0" fillId="42" borderId="27" xfId="0" applyNumberFormat="1" applyFill="1" applyBorder="1"/>
    <xf numFmtId="0" fontId="29" fillId="42" borderId="0" xfId="0" applyFont="1" applyFill="1"/>
    <xf numFmtId="0" fontId="29" fillId="42" borderId="19" xfId="0" applyFont="1" applyFill="1" applyBorder="1"/>
    <xf numFmtId="0" fontId="29" fillId="42" borderId="0" xfId="0" applyFont="1" applyFill="1" applyBorder="1"/>
    <xf numFmtId="0" fontId="29" fillId="42" borderId="16" xfId="0" applyFont="1" applyFill="1" applyBorder="1"/>
    <xf numFmtId="3" fontId="29" fillId="42" borderId="0" xfId="0" applyNumberFormat="1" applyFont="1" applyFill="1" applyBorder="1"/>
    <xf numFmtId="0" fontId="29" fillId="42" borderId="35" xfId="0" applyFont="1" applyFill="1" applyBorder="1"/>
    <xf numFmtId="0" fontId="29" fillId="42" borderId="15" xfId="0" applyFont="1" applyFill="1" applyBorder="1"/>
    <xf numFmtId="0" fontId="29" fillId="42" borderId="17" xfId="0" applyFont="1" applyFill="1" applyBorder="1"/>
    <xf numFmtId="0" fontId="29" fillId="42" borderId="37" xfId="0" applyFont="1" applyFill="1" applyBorder="1"/>
    <xf numFmtId="3" fontId="29" fillId="42" borderId="19" xfId="0" applyNumberFormat="1" applyFont="1" applyFill="1" applyBorder="1"/>
    <xf numFmtId="0" fontId="9" fillId="42" borderId="35" xfId="0" applyFont="1" applyFill="1" applyBorder="1"/>
    <xf numFmtId="0" fontId="9" fillId="42" borderId="17" xfId="0" applyFont="1" applyFill="1" applyBorder="1" applyAlignment="1">
      <alignment vertical="center" wrapText="1"/>
    </xf>
    <xf numFmtId="3" fontId="29" fillId="42" borderId="16" xfId="0" applyNumberFormat="1" applyFont="1" applyFill="1" applyBorder="1"/>
    <xf numFmtId="0" fontId="9" fillId="42" borderId="18" xfId="0" applyFont="1" applyFill="1" applyBorder="1" applyAlignment="1">
      <alignment vertical="center" wrapText="1"/>
    </xf>
    <xf numFmtId="3" fontId="29" fillId="42" borderId="44" xfId="0" applyNumberFormat="1" applyFont="1" applyFill="1" applyBorder="1"/>
    <xf numFmtId="0" fontId="39" fillId="42" borderId="19" xfId="0" applyFont="1" applyFill="1" applyBorder="1" applyAlignment="1">
      <alignment vertical="center" wrapText="1"/>
    </xf>
    <xf numFmtId="0" fontId="29" fillId="42" borderId="0" xfId="0" applyFont="1" applyFill="1" applyBorder="1" applyAlignment="1">
      <alignment vertical="center" wrapText="1"/>
    </xf>
    <xf numFmtId="3" fontId="29" fillId="42" borderId="15" xfId="0" applyNumberFormat="1" applyFont="1" applyFill="1" applyBorder="1"/>
    <xf numFmtId="0" fontId="9" fillId="42" borderId="0" xfId="0" applyFont="1" applyFill="1" applyBorder="1" applyAlignment="1">
      <alignment vertical="center" wrapText="1"/>
    </xf>
    <xf numFmtId="0" fontId="9" fillId="42" borderId="16" xfId="0" applyFont="1" applyFill="1" applyBorder="1" applyAlignment="1">
      <alignment vertical="center" wrapText="1"/>
    </xf>
    <xf numFmtId="15" fontId="29" fillId="42" borderId="0" xfId="0" applyNumberFormat="1" applyFont="1" applyFill="1" applyBorder="1"/>
    <xf numFmtId="0" fontId="29" fillId="22" borderId="0" xfId="0" applyFont="1" applyFill="1"/>
    <xf numFmtId="0" fontId="29" fillId="42" borderId="15" xfId="0" applyFont="1" applyFill="1" applyBorder="1" applyAlignment="1">
      <alignment horizontal="center"/>
    </xf>
    <xf numFmtId="0" fontId="29" fillId="42" borderId="37" xfId="0" applyFont="1" applyFill="1" applyBorder="1" applyAlignment="1">
      <alignment horizontal="center"/>
    </xf>
    <xf numFmtId="0" fontId="29" fillId="0" borderId="57" xfId="0" applyFont="1" applyFill="1" applyBorder="1"/>
    <xf numFmtId="0" fontId="29" fillId="42" borderId="57" xfId="0" applyFont="1" applyFill="1" applyBorder="1"/>
    <xf numFmtId="0" fontId="0" fillId="0" borderId="19" xfId="0" applyBorder="1"/>
    <xf numFmtId="0" fontId="0" fillId="45" borderId="19" xfId="0" applyFill="1" applyBorder="1"/>
    <xf numFmtId="0" fontId="0" fillId="0" borderId="0" xfId="0" applyBorder="1"/>
    <xf numFmtId="0" fontId="0" fillId="45" borderId="0" xfId="0" applyFill="1" applyBorder="1"/>
    <xf numFmtId="0" fontId="29" fillId="46" borderId="0" xfId="0" applyFont="1" applyFill="1" applyAlignment="1">
      <alignment vertical="center"/>
    </xf>
    <xf numFmtId="0" fontId="5" fillId="46" borderId="13" xfId="0" applyFont="1" applyFill="1" applyBorder="1" applyAlignment="1">
      <alignment vertical="center"/>
    </xf>
    <xf numFmtId="3" fontId="40" fillId="0" borderId="0" xfId="0" applyNumberFormat="1" applyFont="1" applyFill="1" applyAlignment="1">
      <alignment vertical="center" wrapText="1"/>
    </xf>
    <xf numFmtId="3" fontId="5" fillId="23" borderId="13" xfId="0" applyNumberFormat="1" applyFont="1" applyFill="1" applyBorder="1" applyAlignment="1">
      <alignment vertical="center"/>
    </xf>
    <xf numFmtId="3" fontId="28" fillId="20" borderId="13" xfId="0" applyNumberFormat="1" applyFont="1" applyFill="1" applyBorder="1" applyAlignment="1">
      <alignment horizontal="right" vertical="center"/>
    </xf>
    <xf numFmtId="0" fontId="68" fillId="24" borderId="0" xfId="0" applyFont="1" applyFill="1"/>
    <xf numFmtId="0" fontId="45" fillId="22" borderId="0" xfId="0" applyNumberFormat="1" applyFont="1" applyFill="1" applyAlignment="1">
      <alignment vertical="center"/>
    </xf>
    <xf numFmtId="0" fontId="40" fillId="22" borderId="0" xfId="0" applyNumberFormat="1" applyFont="1" applyFill="1" applyAlignment="1">
      <alignment vertical="center"/>
    </xf>
    <xf numFmtId="0" fontId="40" fillId="0" borderId="0" xfId="0" applyNumberFormat="1" applyFont="1" applyFill="1" applyAlignment="1">
      <alignment vertical="center"/>
    </xf>
    <xf numFmtId="0" fontId="29" fillId="0" borderId="0" xfId="0" applyNumberFormat="1" applyFont="1" applyAlignment="1">
      <alignment vertical="center"/>
    </xf>
    <xf numFmtId="0" fontId="29" fillId="21" borderId="0" xfId="0" applyNumberFormat="1" applyFont="1" applyFill="1" applyAlignment="1">
      <alignment vertical="center"/>
    </xf>
    <xf numFmtId="0" fontId="28" fillId="20" borderId="13" xfId="0" applyNumberFormat="1" applyFont="1" applyFill="1" applyBorder="1" applyAlignment="1">
      <alignment horizontal="right" vertical="center"/>
    </xf>
    <xf numFmtId="0" fontId="3" fillId="21" borderId="0" xfId="0" applyFont="1" applyFill="1" applyAlignment="1">
      <alignment vertical="center"/>
    </xf>
    <xf numFmtId="0" fontId="4" fillId="44" borderId="13" xfId="0" applyFont="1" applyFill="1" applyBorder="1" applyAlignment="1">
      <alignment horizontal="center" vertical="center" wrapText="1"/>
    </xf>
    <xf numFmtId="1" fontId="29" fillId="21" borderId="0" xfId="0" applyNumberFormat="1" applyFont="1" applyFill="1" applyAlignment="1">
      <alignment horizontal="center" vertical="center"/>
    </xf>
    <xf numFmtId="0" fontId="28" fillId="21" borderId="0" xfId="0" applyFont="1" applyFill="1" applyAlignment="1">
      <alignment horizontal="right" vertical="center"/>
    </xf>
    <xf numFmtId="1" fontId="28" fillId="21" borderId="0" xfId="0" applyNumberFormat="1" applyFont="1" applyFill="1" applyAlignment="1">
      <alignment horizontal="center" vertical="center"/>
    </xf>
    <xf numFmtId="174" fontId="29" fillId="21" borderId="0" xfId="0" applyNumberFormat="1" applyFont="1" applyFill="1" applyAlignment="1">
      <alignment horizontal="left" vertical="center"/>
    </xf>
    <xf numFmtId="0" fontId="4" fillId="40" borderId="0" xfId="0" applyFont="1" applyFill="1" applyBorder="1" applyAlignment="1">
      <alignment horizontal="justify" vertical="center" wrapText="1"/>
    </xf>
    <xf numFmtId="0" fontId="4" fillId="23" borderId="0" xfId="0" applyFont="1" applyFill="1" applyBorder="1" applyAlignment="1">
      <alignment horizontal="center" vertical="center" wrapText="1"/>
    </xf>
    <xf numFmtId="0" fontId="4" fillId="45" borderId="0" xfId="0" applyFont="1" applyFill="1" applyBorder="1" applyAlignment="1">
      <alignment horizontal="center" vertical="center" wrapText="1"/>
    </xf>
    <xf numFmtId="0" fontId="4" fillId="45" borderId="19" xfId="0" applyFont="1" applyFill="1" applyBorder="1" applyAlignment="1">
      <alignment vertical="center" wrapText="1"/>
    </xf>
    <xf numFmtId="0" fontId="4" fillId="23" borderId="0" xfId="0" applyFont="1" applyFill="1" applyBorder="1" applyAlignment="1">
      <alignment horizontal="justify" vertical="center"/>
    </xf>
    <xf numFmtId="0" fontId="28" fillId="26" borderId="0" xfId="0" applyFont="1" applyFill="1" applyBorder="1" applyAlignment="1">
      <alignment horizontal="justify" vertical="center"/>
    </xf>
    <xf numFmtId="3" fontId="28" fillId="26" borderId="0" xfId="0" applyNumberFormat="1" applyFont="1" applyFill="1" applyBorder="1" applyAlignment="1">
      <alignment horizontal="justify" vertical="center"/>
    </xf>
    <xf numFmtId="3" fontId="4" fillId="23" borderId="0" xfId="0" applyNumberFormat="1" applyFont="1" applyFill="1" applyBorder="1" applyAlignment="1">
      <alignment horizontal="justify" vertical="center"/>
    </xf>
    <xf numFmtId="0" fontId="3" fillId="24" borderId="0" xfId="0" applyFont="1" applyFill="1"/>
    <xf numFmtId="0" fontId="4" fillId="23" borderId="0" xfId="0" applyFont="1" applyFill="1" applyBorder="1" applyAlignment="1">
      <alignment horizontal="center" vertical="center"/>
    </xf>
    <xf numFmtId="0" fontId="4" fillId="44" borderId="0" xfId="0" applyFont="1" applyFill="1" applyBorder="1" applyAlignment="1">
      <alignment horizontal="center" vertical="center" wrapText="1"/>
    </xf>
    <xf numFmtId="0" fontId="4" fillId="23" borderId="13" xfId="0" applyFont="1" applyFill="1" applyBorder="1" applyAlignment="1">
      <alignment horizontal="center" vertical="center"/>
    </xf>
    <xf numFmtId="0" fontId="29" fillId="40" borderId="0" xfId="0" applyFont="1" applyFill="1" applyAlignment="1">
      <alignment vertical="center"/>
    </xf>
    <xf numFmtId="3" fontId="29" fillId="0" borderId="19" xfId="0" applyNumberFormat="1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49" fontId="29" fillId="26" borderId="21" xfId="0" applyNumberFormat="1" applyFont="1" applyFill="1" applyBorder="1" applyAlignment="1">
      <alignment vertical="center"/>
    </xf>
    <xf numFmtId="0" fontId="5" fillId="23" borderId="22" xfId="0" applyFont="1" applyFill="1" applyBorder="1" applyAlignment="1">
      <alignment vertical="center"/>
    </xf>
    <xf numFmtId="0" fontId="5" fillId="46" borderId="22" xfId="0" applyFont="1" applyFill="1" applyBorder="1" applyAlignment="1">
      <alignment vertical="center"/>
    </xf>
    <xf numFmtId="0" fontId="5" fillId="23" borderId="38" xfId="0" applyFont="1" applyFill="1" applyBorder="1" applyAlignment="1">
      <alignment vertical="center"/>
    </xf>
    <xf numFmtId="0" fontId="0" fillId="0" borderId="0" xfId="0" applyFill="1" applyBorder="1"/>
    <xf numFmtId="3" fontId="5" fillId="46" borderId="13" xfId="0" applyNumberFormat="1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29" fillId="40" borderId="0" xfId="0" applyFont="1" applyFill="1" applyBorder="1" applyAlignment="1">
      <alignment vertical="center"/>
    </xf>
    <xf numFmtId="0" fontId="29" fillId="40" borderId="19" xfId="0" applyFont="1" applyFill="1" applyBorder="1" applyAlignment="1">
      <alignment vertical="center"/>
    </xf>
    <xf numFmtId="3" fontId="29" fillId="0" borderId="0" xfId="0" applyNumberFormat="1" applyFont="1" applyFill="1" applyBorder="1" applyAlignment="1">
      <alignment vertical="center"/>
    </xf>
    <xf numFmtId="3" fontId="29" fillId="0" borderId="44" xfId="0" applyNumberFormat="1" applyFont="1" applyBorder="1" applyAlignment="1">
      <alignment vertical="center"/>
    </xf>
    <xf numFmtId="3" fontId="29" fillId="0" borderId="35" xfId="0" applyNumberFormat="1" applyFont="1" applyBorder="1" applyAlignment="1">
      <alignment vertical="center"/>
    </xf>
    <xf numFmtId="3" fontId="29" fillId="0" borderId="15" xfId="0" applyNumberFormat="1" applyFont="1" applyBorder="1" applyAlignment="1">
      <alignment vertical="center"/>
    </xf>
    <xf numFmtId="3" fontId="29" fillId="0" borderId="17" xfId="0" applyNumberFormat="1" applyFont="1" applyBorder="1" applyAlignment="1">
      <alignment vertical="center"/>
    </xf>
    <xf numFmtId="3" fontId="29" fillId="26" borderId="12" xfId="0" applyNumberFormat="1" applyFont="1" applyFill="1" applyBorder="1" applyAlignment="1">
      <alignment vertical="center"/>
    </xf>
    <xf numFmtId="3" fontId="29" fillId="26" borderId="20" xfId="0" applyNumberFormat="1" applyFont="1" applyFill="1" applyBorder="1" applyAlignment="1">
      <alignment vertical="center"/>
    </xf>
    <xf numFmtId="0" fontId="0" fillId="0" borderId="38" xfId="0" applyBorder="1"/>
    <xf numFmtId="0" fontId="0" fillId="0" borderId="21" xfId="0" applyBorder="1"/>
    <xf numFmtId="0" fontId="0" fillId="0" borderId="60" xfId="0" applyBorder="1"/>
    <xf numFmtId="0" fontId="3" fillId="0" borderId="38" xfId="0" applyFont="1" applyFill="1" applyBorder="1"/>
    <xf numFmtId="0" fontId="0" fillId="0" borderId="21" xfId="0" applyFill="1" applyBorder="1"/>
    <xf numFmtId="0" fontId="29" fillId="0" borderId="21" xfId="0" applyFont="1" applyFill="1" applyBorder="1" applyAlignment="1">
      <alignment vertical="center"/>
    </xf>
    <xf numFmtId="0" fontId="4" fillId="23" borderId="2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38" xfId="0" applyFill="1" applyBorder="1"/>
    <xf numFmtId="0" fontId="5" fillId="46" borderId="22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5" fillId="46" borderId="12" xfId="0" applyFont="1" applyFill="1" applyBorder="1" applyAlignment="1">
      <alignment vertical="center" wrapText="1"/>
    </xf>
    <xf numFmtId="0" fontId="0" fillId="0" borderId="15" xfId="0" applyFill="1" applyBorder="1" applyAlignment="1">
      <alignment horizontal="center"/>
    </xf>
    <xf numFmtId="0" fontId="29" fillId="0" borderId="17" xfId="0" applyFont="1" applyFill="1" applyBorder="1" applyAlignment="1">
      <alignment horizontal="center" vertical="center"/>
    </xf>
    <xf numFmtId="0" fontId="28" fillId="26" borderId="44" xfId="0" applyFont="1" applyFill="1" applyBorder="1" applyAlignment="1">
      <alignment vertical="center"/>
    </xf>
    <xf numFmtId="0" fontId="29" fillId="26" borderId="38" xfId="0" applyFont="1" applyFill="1" applyBorder="1" applyAlignment="1">
      <alignment vertical="center"/>
    </xf>
    <xf numFmtId="0" fontId="29" fillId="40" borderId="15" xfId="0" applyFont="1" applyFill="1" applyBorder="1" applyAlignment="1">
      <alignment vertical="center"/>
    </xf>
    <xf numFmtId="0" fontId="3" fillId="22" borderId="44" xfId="0" applyFont="1" applyFill="1" applyBorder="1"/>
    <xf numFmtId="0" fontId="3" fillId="22" borderId="15" xfId="0" applyFont="1" applyFill="1" applyBorder="1"/>
    <xf numFmtId="0" fontId="3" fillId="22" borderId="37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0" xfId="0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29" fillId="0" borderId="54" xfId="0" applyFont="1" applyFill="1" applyBorder="1" applyAlignment="1">
      <alignment horizontal="center" vertical="center" wrapText="1"/>
    </xf>
    <xf numFmtId="0" fontId="3" fillId="0" borderId="72" xfId="0" applyFont="1" applyBorder="1"/>
    <xf numFmtId="0" fontId="3" fillId="0" borderId="73" xfId="0" applyFont="1" applyBorder="1"/>
    <xf numFmtId="0" fontId="3" fillId="0" borderId="10" xfId="0" applyFont="1" applyBorder="1"/>
    <xf numFmtId="0" fontId="0" fillId="0" borderId="63" xfId="0" applyBorder="1"/>
    <xf numFmtId="0" fontId="3" fillId="0" borderId="67" xfId="0" applyFont="1" applyBorder="1"/>
    <xf numFmtId="0" fontId="0" fillId="0" borderId="66" xfId="0" applyBorder="1"/>
    <xf numFmtId="0" fontId="0" fillId="0" borderId="72" xfId="0" applyFill="1" applyBorder="1" applyAlignment="1">
      <alignment horizontal="center"/>
    </xf>
    <xf numFmtId="0" fontId="29" fillId="0" borderId="60" xfId="0" applyFont="1" applyFill="1" applyBorder="1" applyAlignment="1">
      <alignment horizontal="center" vertical="center"/>
    </xf>
    <xf numFmtId="0" fontId="0" fillId="0" borderId="60" xfId="0" applyFill="1" applyBorder="1"/>
    <xf numFmtId="10" fontId="0" fillId="0" borderId="73" xfId="0" applyNumberFormat="1" applyBorder="1"/>
    <xf numFmtId="0" fontId="3" fillId="0" borderId="67" xfId="0" applyFont="1" applyFill="1" applyBorder="1"/>
    <xf numFmtId="0" fontId="3" fillId="0" borderId="54" xfId="0" applyFont="1" applyFill="1" applyBorder="1"/>
    <xf numFmtId="0" fontId="0" fillId="0" borderId="54" xfId="0" applyFill="1" applyBorder="1"/>
    <xf numFmtId="10" fontId="0" fillId="0" borderId="73" xfId="0" applyNumberFormat="1" applyFill="1" applyBorder="1"/>
    <xf numFmtId="10" fontId="3" fillId="0" borderId="66" xfId="0" applyNumberFormat="1" applyFont="1" applyFill="1" applyBorder="1"/>
    <xf numFmtId="10" fontId="0" fillId="0" borderId="63" xfId="0" applyNumberFormat="1" applyFill="1" applyBorder="1"/>
    <xf numFmtId="2" fontId="0" fillId="0" borderId="73" xfId="0" applyNumberFormat="1" applyBorder="1"/>
    <xf numFmtId="0" fontId="29" fillId="0" borderId="10" xfId="0" applyFont="1" applyFill="1" applyBorder="1" applyAlignment="1">
      <alignment vertical="center"/>
    </xf>
    <xf numFmtId="2" fontId="0" fillId="0" borderId="63" xfId="0" applyNumberFormat="1" applyBorder="1"/>
    <xf numFmtId="0" fontId="3" fillId="0" borderId="67" xfId="0" applyFont="1" applyFill="1" applyBorder="1" applyAlignment="1">
      <alignment vertical="center"/>
    </xf>
    <xf numFmtId="0" fontId="0" fillId="0" borderId="54" xfId="0" applyBorder="1"/>
    <xf numFmtId="10" fontId="0" fillId="0" borderId="66" xfId="0" applyNumberFormat="1" applyBorder="1"/>
    <xf numFmtId="2" fontId="0" fillId="0" borderId="66" xfId="0" applyNumberFormat="1" applyBorder="1"/>
    <xf numFmtId="0" fontId="3" fillId="0" borderId="10" xfId="0" applyFont="1" applyFill="1" applyBorder="1" applyAlignment="1">
      <alignment vertical="center"/>
    </xf>
    <xf numFmtId="0" fontId="3" fillId="35" borderId="38" xfId="0" applyFont="1" applyFill="1" applyBorder="1" applyAlignment="1">
      <alignment vertical="center" wrapText="1"/>
    </xf>
    <xf numFmtId="0" fontId="0" fillId="45" borderId="21" xfId="0" applyFill="1" applyBorder="1"/>
    <xf numFmtId="3" fontId="29" fillId="45" borderId="0" xfId="0" applyNumberFormat="1" applyFont="1" applyFill="1" applyBorder="1" applyAlignment="1">
      <alignment vertical="center"/>
    </xf>
    <xf numFmtId="3" fontId="29" fillId="42" borderId="19" xfId="0" applyNumberFormat="1" applyFont="1" applyFill="1" applyBorder="1" applyAlignment="1">
      <alignment vertical="center"/>
    </xf>
    <xf numFmtId="3" fontId="29" fillId="42" borderId="0" xfId="0" applyNumberFormat="1" applyFont="1" applyFill="1" applyBorder="1" applyAlignment="1">
      <alignment vertical="center"/>
    </xf>
    <xf numFmtId="0" fontId="4" fillId="23" borderId="13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vertical="center" wrapText="1"/>
    </xf>
    <xf numFmtId="0" fontId="3" fillId="21" borderId="21" xfId="55" applyFill="1" applyBorder="1" applyAlignment="1">
      <alignment horizontal="center"/>
    </xf>
    <xf numFmtId="0" fontId="28" fillId="26" borderId="17" xfId="0" applyFont="1" applyFill="1" applyBorder="1" applyAlignment="1">
      <alignment vertical="center"/>
    </xf>
    <xf numFmtId="0" fontId="0" fillId="45" borderId="38" xfId="0" applyFill="1" applyBorder="1"/>
    <xf numFmtId="0" fontId="0" fillId="0" borderId="38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29" fillId="0" borderId="35" xfId="0" applyFont="1" applyFill="1" applyBorder="1" applyAlignment="1">
      <alignment horizontal="center" vertical="center"/>
    </xf>
    <xf numFmtId="3" fontId="29" fillId="45" borderId="19" xfId="0" applyNumberFormat="1" applyFont="1" applyFill="1" applyBorder="1" applyAlignment="1">
      <alignment vertical="center"/>
    </xf>
    <xf numFmtId="3" fontId="29" fillId="0" borderId="19" xfId="0" applyNumberFormat="1" applyFont="1" applyFill="1" applyBorder="1" applyAlignment="1">
      <alignment vertical="center"/>
    </xf>
    <xf numFmtId="1" fontId="28" fillId="26" borderId="0" xfId="0" applyNumberFormat="1" applyFont="1" applyFill="1" applyBorder="1" applyAlignment="1">
      <alignment vertical="center"/>
    </xf>
    <xf numFmtId="3" fontId="29" fillId="26" borderId="0" xfId="0" applyNumberFormat="1" applyFont="1" applyFill="1" applyBorder="1" applyAlignment="1">
      <alignment vertical="center"/>
    </xf>
    <xf numFmtId="3" fontId="29" fillId="26" borderId="15" xfId="0" applyNumberFormat="1" applyFont="1" applyFill="1" applyBorder="1" applyAlignment="1">
      <alignment vertical="center"/>
    </xf>
    <xf numFmtId="3" fontId="29" fillId="26" borderId="17" xfId="0" applyNumberFormat="1" applyFont="1" applyFill="1" applyBorder="1" applyAlignment="1">
      <alignment vertical="center"/>
    </xf>
    <xf numFmtId="0" fontId="5" fillId="23" borderId="22" xfId="0" applyFont="1" applyFill="1" applyBorder="1" applyAlignment="1">
      <alignment horizontal="center" vertical="center"/>
    </xf>
    <xf numFmtId="0" fontId="5" fillId="23" borderId="12" xfId="0" applyFont="1" applyFill="1" applyBorder="1" applyAlignment="1">
      <alignment horizontal="center" vertical="center" wrapText="1"/>
    </xf>
    <xf numFmtId="0" fontId="5" fillId="23" borderId="12" xfId="0" applyFont="1" applyFill="1" applyBorder="1" applyAlignment="1">
      <alignment vertical="center"/>
    </xf>
    <xf numFmtId="0" fontId="29" fillId="26" borderId="0" xfId="0" applyFont="1" applyFill="1" applyBorder="1" applyAlignment="1">
      <alignment vertical="center"/>
    </xf>
    <xf numFmtId="0" fontId="28" fillId="26" borderId="19" xfId="0" applyFont="1" applyFill="1" applyBorder="1" applyAlignment="1">
      <alignment vertical="center"/>
    </xf>
    <xf numFmtId="1" fontId="28" fillId="26" borderId="19" xfId="0" applyNumberFormat="1" applyFont="1" applyFill="1" applyBorder="1" applyAlignment="1">
      <alignment vertical="center"/>
    </xf>
    <xf numFmtId="3" fontId="29" fillId="26" borderId="19" xfId="0" applyNumberFormat="1" applyFont="1" applyFill="1" applyBorder="1" applyAlignment="1">
      <alignment vertical="center"/>
    </xf>
    <xf numFmtId="0" fontId="29" fillId="26" borderId="19" xfId="0" applyFont="1" applyFill="1" applyBorder="1" applyAlignment="1">
      <alignment vertical="center"/>
    </xf>
    <xf numFmtId="3" fontId="29" fillId="26" borderId="44" xfId="0" applyNumberFormat="1" applyFont="1" applyFill="1" applyBorder="1" applyAlignment="1">
      <alignment vertical="center"/>
    </xf>
    <xf numFmtId="3" fontId="29" fillId="26" borderId="35" xfId="0" applyNumberFormat="1" applyFont="1" applyFill="1" applyBorder="1" applyAlignment="1">
      <alignment vertical="center"/>
    </xf>
    <xf numFmtId="0" fontId="41" fillId="46" borderId="22" xfId="0" applyFont="1" applyFill="1" applyBorder="1" applyAlignment="1">
      <alignment horizontal="center" vertical="center"/>
    </xf>
    <xf numFmtId="0" fontId="5" fillId="46" borderId="12" xfId="0" applyFont="1" applyFill="1" applyBorder="1" applyAlignment="1">
      <alignment vertical="center"/>
    </xf>
    <xf numFmtId="0" fontId="5" fillId="46" borderId="20" xfId="0" applyFont="1" applyFill="1" applyBorder="1" applyAlignment="1">
      <alignment horizontal="center" vertical="center"/>
    </xf>
    <xf numFmtId="0" fontId="29" fillId="46" borderId="12" xfId="0" applyFont="1" applyFill="1" applyBorder="1" applyAlignment="1">
      <alignment vertical="center"/>
    </xf>
    <xf numFmtId="0" fontId="29" fillId="46" borderId="13" xfId="0" applyFont="1" applyFill="1" applyBorder="1" applyAlignment="1">
      <alignment vertical="center"/>
    </xf>
    <xf numFmtId="3" fontId="29" fillId="46" borderId="13" xfId="0" applyNumberFormat="1" applyFont="1" applyFill="1" applyBorder="1" applyAlignment="1">
      <alignment vertical="center"/>
    </xf>
    <xf numFmtId="3" fontId="29" fillId="46" borderId="20" xfId="0" applyNumberFormat="1" applyFont="1" applyFill="1" applyBorder="1" applyAlignment="1">
      <alignment vertical="center"/>
    </xf>
    <xf numFmtId="1" fontId="29" fillId="26" borderId="13" xfId="0" applyNumberFormat="1" applyFont="1" applyFill="1" applyBorder="1" applyAlignment="1">
      <alignment vertical="center"/>
    </xf>
    <xf numFmtId="0" fontId="3" fillId="21" borderId="27" xfId="0" applyFont="1" applyFill="1" applyBorder="1" applyAlignment="1" applyProtection="1">
      <alignment horizontal="center"/>
    </xf>
    <xf numFmtId="0" fontId="3" fillId="21" borderId="28" xfId="0" applyFont="1" applyFill="1" applyBorder="1" applyAlignment="1" applyProtection="1">
      <alignment horizontal="center"/>
    </xf>
    <xf numFmtId="0" fontId="29" fillId="45" borderId="19" xfId="0" applyFont="1" applyFill="1" applyBorder="1" applyAlignment="1">
      <alignment vertical="center"/>
    </xf>
    <xf numFmtId="0" fontId="29" fillId="45" borderId="0" xfId="0" applyFont="1" applyFill="1" applyBorder="1" applyAlignment="1">
      <alignment vertical="center"/>
    </xf>
    <xf numFmtId="3" fontId="39" fillId="32" borderId="26" xfId="0" applyNumberFormat="1" applyFont="1" applyFill="1" applyBorder="1" applyAlignment="1">
      <alignment horizontal="center" vertical="top" wrapText="1"/>
    </xf>
    <xf numFmtId="0" fontId="3" fillId="26" borderId="22" xfId="0" applyFont="1" applyFill="1" applyBorder="1" applyAlignment="1">
      <alignment vertical="center" wrapText="1"/>
    </xf>
    <xf numFmtId="0" fontId="32" fillId="47" borderId="0" xfId="0" applyFont="1" applyFill="1"/>
    <xf numFmtId="0" fontId="0" fillId="47" borderId="0" xfId="0" applyFill="1"/>
    <xf numFmtId="9" fontId="3" fillId="0" borderId="21" xfId="0" applyNumberFormat="1" applyFont="1" applyBorder="1"/>
    <xf numFmtId="0" fontId="3" fillId="0" borderId="21" xfId="0" applyFont="1" applyBorder="1"/>
    <xf numFmtId="4" fontId="3" fillId="42" borderId="17" xfId="0" applyNumberFormat="1" applyFont="1" applyFill="1" applyBorder="1"/>
    <xf numFmtId="4" fontId="3" fillId="42" borderId="18" xfId="0" applyNumberFormat="1" applyFont="1" applyFill="1" applyBorder="1"/>
    <xf numFmtId="3" fontId="3" fillId="42" borderId="0" xfId="0" applyNumberFormat="1" applyFont="1" applyFill="1" applyBorder="1"/>
    <xf numFmtId="0" fontId="32" fillId="22" borderId="61" xfId="0" applyFont="1" applyFill="1" applyBorder="1" applyAlignment="1">
      <alignment horizontal="center"/>
    </xf>
    <xf numFmtId="0" fontId="32" fillId="22" borderId="30" xfId="0" applyFont="1" applyFill="1" applyBorder="1" applyAlignment="1">
      <alignment horizontal="center"/>
    </xf>
    <xf numFmtId="0" fontId="32" fillId="39" borderId="61" xfId="0" applyFont="1" applyFill="1" applyBorder="1" applyAlignment="1">
      <alignment horizontal="center"/>
    </xf>
    <xf numFmtId="0" fontId="33" fillId="21" borderId="13" xfId="0" applyFont="1" applyFill="1" applyBorder="1" applyAlignment="1">
      <alignment horizontal="center" vertical="center" wrapText="1"/>
    </xf>
    <xf numFmtId="0" fontId="37" fillId="21" borderId="0" xfId="0" applyFont="1" applyFill="1" applyBorder="1" applyAlignment="1">
      <alignment horizontal="center"/>
    </xf>
    <xf numFmtId="0" fontId="32" fillId="22" borderId="32" xfId="0" applyFont="1" applyFill="1" applyBorder="1" applyAlignment="1">
      <alignment horizontal="center"/>
    </xf>
    <xf numFmtId="0" fontId="32" fillId="22" borderId="66" xfId="0" applyFont="1" applyFill="1" applyBorder="1" applyAlignment="1">
      <alignment horizontal="center"/>
    </xf>
    <xf numFmtId="0" fontId="32" fillId="0" borderId="61" xfId="0" applyFont="1" applyFill="1" applyBorder="1" applyAlignment="1">
      <alignment horizontal="center"/>
    </xf>
    <xf numFmtId="9" fontId="0" fillId="41" borderId="21" xfId="0" applyNumberFormat="1" applyFill="1" applyBorder="1"/>
    <xf numFmtId="167" fontId="8" fillId="21" borderId="42" xfId="36" applyNumberFormat="1" applyFont="1" applyFill="1" applyBorder="1"/>
    <xf numFmtId="167" fontId="8" fillId="21" borderId="46" xfId="36" applyNumberFormat="1" applyFont="1" applyFill="1" applyBorder="1"/>
    <xf numFmtId="9" fontId="0" fillId="41" borderId="27" xfId="0" applyNumberFormat="1" applyFill="1" applyBorder="1"/>
    <xf numFmtId="9" fontId="0" fillId="0" borderId="27" xfId="0" applyNumberFormat="1" applyBorder="1"/>
    <xf numFmtId="0" fontId="32" fillId="0" borderId="0" xfId="0" applyFont="1" applyAlignment="1">
      <alignment wrapText="1"/>
    </xf>
    <xf numFmtId="0" fontId="0" fillId="47" borderId="0" xfId="0" applyFill="1" applyAlignment="1">
      <alignment wrapText="1"/>
    </xf>
    <xf numFmtId="0" fontId="32" fillId="47" borderId="0" xfId="0" applyFont="1" applyFill="1" applyAlignment="1">
      <alignment wrapText="1"/>
    </xf>
    <xf numFmtId="0" fontId="54" fillId="31" borderId="0" xfId="0" applyFont="1" applyFill="1" applyAlignment="1"/>
    <xf numFmtId="0" fontId="3" fillId="42" borderId="27" xfId="0" applyFont="1" applyFill="1" applyBorder="1" applyAlignment="1" applyProtection="1">
      <alignment horizontal="center"/>
    </xf>
    <xf numFmtId="0" fontId="3" fillId="42" borderId="28" xfId="0" applyFont="1" applyFill="1" applyBorder="1" applyAlignment="1" applyProtection="1">
      <alignment horizontal="center"/>
    </xf>
    <xf numFmtId="3" fontId="0" fillId="41" borderId="27" xfId="0" applyNumberFormat="1" applyFill="1" applyBorder="1"/>
    <xf numFmtId="0" fontId="3" fillId="33" borderId="0" xfId="0" applyFont="1" applyFill="1"/>
    <xf numFmtId="0" fontId="38" fillId="0" borderId="57" xfId="0" applyFont="1" applyBorder="1"/>
    <xf numFmtId="3" fontId="38" fillId="0" borderId="57" xfId="0" applyNumberFormat="1" applyFont="1" applyBorder="1" applyAlignment="1">
      <alignment vertical="top" wrapText="1"/>
    </xf>
    <xf numFmtId="3" fontId="38" fillId="0" borderId="57" xfId="0" applyNumberFormat="1" applyFont="1" applyBorder="1"/>
    <xf numFmtId="3" fontId="38" fillId="22" borderId="36" xfId="0" applyNumberFormat="1" applyFont="1" applyFill="1" applyBorder="1"/>
    <xf numFmtId="3" fontId="38" fillId="22" borderId="75" xfId="0" applyNumberFormat="1" applyFont="1" applyFill="1" applyBorder="1"/>
    <xf numFmtId="3" fontId="38" fillId="22" borderId="27" xfId="0" applyNumberFormat="1" applyFont="1" applyFill="1" applyBorder="1"/>
    <xf numFmtId="3" fontId="38" fillId="22" borderId="31" xfId="0" applyNumberFormat="1" applyFont="1" applyFill="1" applyBorder="1"/>
    <xf numFmtId="3" fontId="38" fillId="41" borderId="62" xfId="0" applyNumberFormat="1" applyFont="1" applyFill="1" applyBorder="1"/>
    <xf numFmtId="3" fontId="38" fillId="41" borderId="71" xfId="0" applyNumberFormat="1" applyFont="1" applyFill="1" applyBorder="1"/>
    <xf numFmtId="3" fontId="50" fillId="28" borderId="47" xfId="0" applyNumberFormat="1" applyFont="1" applyFill="1" applyBorder="1"/>
    <xf numFmtId="0" fontId="38" fillId="0" borderId="65" xfId="0" applyFont="1" applyBorder="1" applyAlignment="1">
      <alignment vertical="top" wrapText="1"/>
    </xf>
    <xf numFmtId="3" fontId="38" fillId="22" borderId="71" xfId="0" applyNumberFormat="1" applyFont="1" applyFill="1" applyBorder="1"/>
    <xf numFmtId="0" fontId="38" fillId="0" borderId="57" xfId="0" applyFont="1" applyBorder="1" applyAlignment="1">
      <alignment vertical="top" wrapText="1"/>
    </xf>
    <xf numFmtId="3" fontId="38" fillId="41" borderId="57" xfId="0" applyNumberFormat="1" applyFont="1" applyFill="1" applyBorder="1"/>
    <xf numFmtId="0" fontId="7" fillId="0" borderId="57" xfId="0" applyFont="1" applyBorder="1" applyAlignment="1">
      <alignment vertical="top" wrapText="1"/>
    </xf>
    <xf numFmtId="37" fontId="0" fillId="0" borderId="27" xfId="38" applyNumberFormat="1" applyFont="1" applyFill="1" applyBorder="1"/>
    <xf numFmtId="171" fontId="3" fillId="22" borderId="0" xfId="0" applyNumberFormat="1" applyFont="1" applyFill="1"/>
    <xf numFmtId="0" fontId="32" fillId="22" borderId="36" xfId="0" applyFont="1" applyFill="1" applyBorder="1" applyAlignment="1">
      <alignment horizontal="left"/>
    </xf>
    <xf numFmtId="0" fontId="32" fillId="22" borderId="28" xfId="0" applyFont="1" applyFill="1" applyBorder="1" applyAlignment="1">
      <alignment horizontal="left"/>
    </xf>
    <xf numFmtId="0" fontId="0" fillId="45" borderId="0" xfId="0" applyFill="1"/>
    <xf numFmtId="0" fontId="31" fillId="21" borderId="0" xfId="0" applyFont="1" applyFill="1" applyAlignment="1">
      <alignment horizontal="center"/>
    </xf>
    <xf numFmtId="0" fontId="31" fillId="22" borderId="11" xfId="0" applyFont="1" applyFill="1" applyBorder="1" applyAlignment="1">
      <alignment horizontal="center"/>
    </xf>
    <xf numFmtId="0" fontId="31" fillId="22" borderId="52" xfId="0" applyFont="1" applyFill="1" applyBorder="1" applyAlignment="1">
      <alignment horizontal="center"/>
    </xf>
    <xf numFmtId="0" fontId="31" fillId="22" borderId="61" xfId="0" applyFont="1" applyFill="1" applyBorder="1" applyAlignment="1">
      <alignment horizontal="center"/>
    </xf>
    <xf numFmtId="0" fontId="31" fillId="24" borderId="0" xfId="0" applyFont="1" applyFill="1" applyBorder="1" applyAlignment="1">
      <alignment horizontal="center"/>
    </xf>
    <xf numFmtId="0" fontId="4" fillId="23" borderId="0" xfId="0" applyFont="1" applyFill="1" applyBorder="1" applyAlignment="1">
      <alignment horizontal="center" vertical="center" wrapText="1"/>
    </xf>
    <xf numFmtId="0" fontId="4" fillId="40" borderId="19" xfId="0" applyFont="1" applyFill="1" applyBorder="1" applyAlignment="1">
      <alignment horizontal="center" vertical="center" wrapText="1"/>
    </xf>
    <xf numFmtId="0" fontId="7" fillId="42" borderId="21" xfId="58" applyNumberFormat="1" applyFont="1" applyFill="1" applyBorder="1" applyAlignment="1">
      <alignment horizontal="left"/>
    </xf>
    <xf numFmtId="3" fontId="3" fillId="42" borderId="17" xfId="0" applyNumberFormat="1" applyFont="1" applyFill="1" applyBorder="1"/>
    <xf numFmtId="3" fontId="3" fillId="42" borderId="18" xfId="0" applyNumberFormat="1" applyFont="1" applyFill="1" applyBorder="1"/>
    <xf numFmtId="0" fontId="28" fillId="26" borderId="20" xfId="0" applyFont="1" applyFill="1" applyBorder="1" applyAlignment="1">
      <alignment vertical="center"/>
    </xf>
    <xf numFmtId="1" fontId="28" fillId="26" borderId="13" xfId="0" applyNumberFormat="1" applyFont="1" applyFill="1" applyBorder="1" applyAlignment="1">
      <alignment vertical="center"/>
    </xf>
    <xf numFmtId="0" fontId="70" fillId="20" borderId="13" xfId="0" applyFont="1" applyFill="1" applyBorder="1" applyAlignment="1">
      <alignment horizontal="center" vertical="center"/>
    </xf>
    <xf numFmtId="0" fontId="58" fillId="26" borderId="22" xfId="34" applyFont="1" applyFill="1" applyBorder="1" applyAlignment="1" applyProtection="1">
      <alignment horizontal="right" vertical="center" wrapText="1"/>
    </xf>
    <xf numFmtId="0" fontId="19" fillId="39" borderId="22" xfId="34" applyFill="1" applyBorder="1" applyAlignment="1" applyProtection="1">
      <alignment horizontal="right" vertical="center" wrapText="1"/>
    </xf>
    <xf numFmtId="0" fontId="3" fillId="45" borderId="38" xfId="0" applyFont="1" applyFill="1" applyBorder="1"/>
    <xf numFmtId="0" fontId="3" fillId="45" borderId="21" xfId="0" applyFont="1" applyFill="1" applyBorder="1"/>
    <xf numFmtId="0" fontId="3" fillId="0" borderId="15" xfId="0" applyFont="1" applyFill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0" borderId="72" xfId="0" applyBorder="1"/>
    <xf numFmtId="0" fontId="3" fillId="0" borderId="77" xfId="0" applyFont="1" applyFill="1" applyBorder="1"/>
    <xf numFmtId="0" fontId="3" fillId="0" borderId="14" xfId="0" applyFont="1" applyFill="1" applyBorder="1"/>
    <xf numFmtId="0" fontId="3" fillId="0" borderId="74" xfId="0" applyFont="1" applyFill="1" applyBorder="1"/>
    <xf numFmtId="3" fontId="3" fillId="21" borderId="21" xfId="55" applyNumberFormat="1" applyFill="1" applyBorder="1" applyAlignment="1">
      <alignment horizontal="center"/>
    </xf>
    <xf numFmtId="1" fontId="29" fillId="42" borderId="0" xfId="0" applyNumberFormat="1" applyFont="1" applyFill="1" applyBorder="1"/>
    <xf numFmtId="0" fontId="0" fillId="0" borderId="0" xfId="0" applyFont="1" applyFill="1" applyBorder="1"/>
    <xf numFmtId="0" fontId="3" fillId="0" borderId="0" xfId="0" applyFont="1" applyAlignment="1">
      <alignment horizontal="center"/>
    </xf>
    <xf numFmtId="3" fontId="28" fillId="21" borderId="0" xfId="0" applyNumberFormat="1" applyFont="1" applyFill="1" applyBorder="1" applyAlignment="1">
      <alignment horizontal="center" vertical="center"/>
    </xf>
    <xf numFmtId="3" fontId="29" fillId="26" borderId="0" xfId="0" applyNumberFormat="1" applyFont="1" applyFill="1" applyBorder="1" applyAlignment="1">
      <alignment horizontal="center" vertical="center"/>
    </xf>
    <xf numFmtId="3" fontId="29" fillId="26" borderId="19" xfId="0" applyNumberFormat="1" applyFont="1" applyFill="1" applyBorder="1" applyAlignment="1">
      <alignment horizontal="center" vertical="center"/>
    </xf>
    <xf numFmtId="0" fontId="5" fillId="23" borderId="0" xfId="0" applyFont="1" applyFill="1" applyBorder="1" applyAlignment="1">
      <alignment horizontal="center" vertical="center"/>
    </xf>
    <xf numFmtId="0" fontId="5" fillId="46" borderId="16" xfId="0" applyFont="1" applyFill="1" applyBorder="1" applyAlignment="1">
      <alignment horizontal="center" vertical="center"/>
    </xf>
    <xf numFmtId="9" fontId="28" fillId="21" borderId="0" xfId="47" applyFont="1" applyFill="1" applyBorder="1" applyAlignment="1">
      <alignment horizontal="center" vertical="center"/>
    </xf>
    <xf numFmtId="169" fontId="55" fillId="0" borderId="21" xfId="36" applyNumberFormat="1" applyFont="1" applyFill="1" applyBorder="1"/>
    <xf numFmtId="0" fontId="6" fillId="49" borderId="0" xfId="0" applyFont="1" applyFill="1" applyAlignment="1">
      <alignment horizontal="left"/>
    </xf>
    <xf numFmtId="169" fontId="55" fillId="0" borderId="17" xfId="36" applyNumberFormat="1" applyFont="1" applyBorder="1"/>
    <xf numFmtId="0" fontId="6" fillId="49" borderId="0" xfId="0" applyNumberFormat="1" applyFont="1" applyFill="1" applyAlignment="1">
      <alignment horizontal="left"/>
    </xf>
    <xf numFmtId="0" fontId="54" fillId="31" borderId="0" xfId="0" applyFont="1" applyFill="1" applyAlignment="1">
      <alignment horizontal="center" vertical="center"/>
    </xf>
    <xf numFmtId="0" fontId="28" fillId="26" borderId="13" xfId="0" applyFont="1" applyFill="1" applyBorder="1" applyAlignment="1">
      <alignment horizontal="center" vertical="center"/>
    </xf>
    <xf numFmtId="175" fontId="38" fillId="51" borderId="23" xfId="0" applyNumberFormat="1" applyFont="1" applyFill="1" applyBorder="1" applyAlignment="1">
      <alignment horizontal="center"/>
    </xf>
    <xf numFmtId="176" fontId="38" fillId="49" borderId="24" xfId="0" applyNumberFormat="1" applyFont="1" applyFill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4" borderId="44" xfId="0" applyFont="1" applyFill="1" applyBorder="1" applyAlignment="1">
      <alignment horizontal="center"/>
    </xf>
    <xf numFmtId="0" fontId="8" fillId="54" borderId="15" xfId="0" applyFont="1" applyFill="1" applyBorder="1" applyAlignment="1">
      <alignment horizontal="center"/>
    </xf>
    <xf numFmtId="0" fontId="8" fillId="54" borderId="37" xfId="0" applyFont="1" applyFill="1" applyBorder="1" applyAlignment="1">
      <alignment horizontal="center"/>
    </xf>
    <xf numFmtId="0" fontId="9" fillId="0" borderId="38" xfId="0" applyFont="1" applyBorder="1"/>
    <xf numFmtId="175" fontId="38" fillId="0" borderId="0" xfId="0" applyNumberFormat="1" applyFont="1" applyFill="1" applyBorder="1" applyAlignment="1">
      <alignment horizontal="center"/>
    </xf>
    <xf numFmtId="176" fontId="38" fillId="0" borderId="0" xfId="0" applyNumberFormat="1" applyFont="1" applyFill="1" applyBorder="1" applyAlignment="1">
      <alignment horizontal="center"/>
    </xf>
    <xf numFmtId="0" fontId="3" fillId="30" borderId="0" xfId="0" applyFont="1" applyFill="1"/>
    <xf numFmtId="3" fontId="29" fillId="45" borderId="17" xfId="0" applyNumberFormat="1" applyFont="1" applyFill="1" applyBorder="1" applyAlignment="1">
      <alignment vertical="center"/>
    </xf>
    <xf numFmtId="0" fontId="32" fillId="45" borderId="0" xfId="0" applyFont="1" applyFill="1"/>
    <xf numFmtId="3" fontId="33" fillId="45" borderId="0" xfId="0" applyNumberFormat="1" applyFont="1" applyFill="1" applyBorder="1" applyAlignment="1"/>
    <xf numFmtId="0" fontId="37" fillId="45" borderId="0" xfId="0" applyFont="1" applyFill="1" applyBorder="1" applyAlignment="1">
      <alignment horizontal="center" vertical="center" wrapText="1"/>
    </xf>
    <xf numFmtId="3" fontId="32" fillId="45" borderId="0" xfId="0" applyNumberFormat="1" applyFont="1" applyFill="1" applyBorder="1" applyAlignment="1">
      <alignment horizontal="center"/>
    </xf>
    <xf numFmtId="0" fontId="32" fillId="45" borderId="0" xfId="0" applyFont="1" applyFill="1" applyBorder="1" applyAlignment="1">
      <alignment horizontal="left"/>
    </xf>
    <xf numFmtId="0" fontId="32" fillId="45" borderId="0" xfId="0" applyFont="1" applyFill="1" applyBorder="1" applyAlignment="1"/>
    <xf numFmtId="3" fontId="32" fillId="45" borderId="0" xfId="0" applyNumberFormat="1" applyFont="1" applyFill="1" applyBorder="1" applyAlignment="1"/>
    <xf numFmtId="0" fontId="32" fillId="45" borderId="0" xfId="0" applyFont="1" applyFill="1" applyBorder="1"/>
    <xf numFmtId="3" fontId="32" fillId="45" borderId="0" xfId="0" applyNumberFormat="1" applyFont="1" applyFill="1" applyBorder="1"/>
    <xf numFmtId="0" fontId="33" fillId="45" borderId="0" xfId="0" applyFont="1" applyFill="1" applyBorder="1" applyAlignment="1">
      <alignment horizontal="left"/>
    </xf>
    <xf numFmtId="3" fontId="33" fillId="45" borderId="0" xfId="0" applyNumberFormat="1" applyFont="1" applyFill="1" applyBorder="1" applyAlignment="1">
      <alignment horizontal="left"/>
    </xf>
    <xf numFmtId="3" fontId="32" fillId="45" borderId="0" xfId="0" applyNumberFormat="1" applyFont="1" applyFill="1"/>
    <xf numFmtId="3" fontId="32" fillId="45" borderId="22" xfId="0" applyNumberFormat="1" applyFont="1" applyFill="1" applyBorder="1"/>
    <xf numFmtId="0" fontId="71" fillId="53" borderId="11" xfId="0" applyFont="1" applyFill="1" applyBorder="1" applyAlignment="1">
      <alignment horizontal="justify" vertical="justify" wrapText="1"/>
    </xf>
    <xf numFmtId="0" fontId="71" fillId="53" borderId="11" xfId="0" applyFont="1" applyFill="1" applyBorder="1" applyAlignment="1">
      <alignment horizontal="left" vertical="justify" wrapText="1"/>
    </xf>
    <xf numFmtId="0" fontId="71" fillId="53" borderId="11" xfId="0" applyFont="1" applyFill="1" applyBorder="1" applyAlignment="1">
      <alignment horizontal="left" wrapText="1"/>
    </xf>
    <xf numFmtId="0" fontId="71" fillId="53" borderId="11" xfId="0" applyFont="1" applyFill="1" applyBorder="1" applyAlignment="1">
      <alignment horizontal="left"/>
    </xf>
    <xf numFmtId="169" fontId="72" fillId="0" borderId="21" xfId="36" applyNumberFormat="1" applyFont="1" applyBorder="1" applyAlignment="1">
      <alignment horizontal="center"/>
    </xf>
    <xf numFmtId="3" fontId="28" fillId="26" borderId="13" xfId="0" applyNumberFormat="1" applyFont="1" applyFill="1" applyBorder="1" applyAlignment="1">
      <alignment horizontal="center" vertical="center"/>
    </xf>
    <xf numFmtId="0" fontId="29" fillId="0" borderId="0" xfId="0" applyFont="1" applyFill="1" applyBorder="1"/>
    <xf numFmtId="0" fontId="73" fillId="50" borderId="44" xfId="0" applyFont="1" applyFill="1" applyBorder="1"/>
    <xf numFmtId="0" fontId="28" fillId="42" borderId="19" xfId="0" applyFont="1" applyFill="1" applyBorder="1"/>
    <xf numFmtId="0" fontId="29" fillId="42" borderId="78" xfId="0" applyFont="1" applyFill="1" applyBorder="1"/>
    <xf numFmtId="0" fontId="29" fillId="42" borderId="79" xfId="0" applyFont="1" applyFill="1" applyBorder="1"/>
    <xf numFmtId="0" fontId="0" fillId="0" borderId="15" xfId="0" applyBorder="1"/>
    <xf numFmtId="0" fontId="0" fillId="0" borderId="17" xfId="0" applyBorder="1"/>
    <xf numFmtId="0" fontId="3" fillId="0" borderId="15" xfId="0" applyFont="1" applyBorder="1"/>
    <xf numFmtId="3" fontId="0" fillId="0" borderId="0" xfId="0" applyNumberFormat="1" applyBorder="1"/>
    <xf numFmtId="3" fontId="29" fillId="42" borderId="17" xfId="0" applyNumberFormat="1" applyFont="1" applyFill="1" applyBorder="1"/>
    <xf numFmtId="3" fontId="0" fillId="0" borderId="17" xfId="0" applyNumberFormat="1" applyBorder="1"/>
    <xf numFmtId="0" fontId="3" fillId="0" borderId="37" xfId="0" applyFont="1" applyBorder="1"/>
    <xf numFmtId="3" fontId="0" fillId="0" borderId="78" xfId="0" applyNumberFormat="1" applyBorder="1"/>
    <xf numFmtId="3" fontId="0" fillId="0" borderId="79" xfId="0" applyNumberFormat="1" applyBorder="1"/>
    <xf numFmtId="0" fontId="28" fillId="0" borderId="19" xfId="0" applyFont="1" applyBorder="1"/>
    <xf numFmtId="0" fontId="28" fillId="0" borderId="35" xfId="0" applyFont="1" applyBorder="1" applyAlignment="1">
      <alignment horizontal="center"/>
    </xf>
    <xf numFmtId="0" fontId="9" fillId="42" borderId="0" xfId="0" applyFont="1" applyFill="1" applyBorder="1"/>
    <xf numFmtId="0" fontId="28" fillId="50" borderId="19" xfId="0" applyFont="1" applyFill="1" applyBorder="1"/>
    <xf numFmtId="0" fontId="28" fillId="42" borderId="35" xfId="0" applyFont="1" applyFill="1" applyBorder="1"/>
    <xf numFmtId="173" fontId="29" fillId="42" borderId="17" xfId="0" applyNumberFormat="1" applyFont="1" applyFill="1" applyBorder="1"/>
    <xf numFmtId="10" fontId="0" fillId="0" borderId="0" xfId="0" applyNumberFormat="1" applyBorder="1"/>
    <xf numFmtId="10" fontId="0" fillId="0" borderId="0" xfId="47" applyNumberFormat="1" applyFont="1" applyBorder="1"/>
    <xf numFmtId="10" fontId="0" fillId="0" borderId="78" xfId="47" applyNumberFormat="1" applyFont="1" applyBorder="1"/>
    <xf numFmtId="0" fontId="28" fillId="0" borderId="0" xfId="0" applyFont="1" applyBorder="1"/>
    <xf numFmtId="0" fontId="73" fillId="42" borderId="19" xfId="0" applyFont="1" applyFill="1" applyBorder="1" applyAlignment="1"/>
    <xf numFmtId="0" fontId="73" fillId="42" borderId="35" xfId="0" applyFont="1" applyFill="1" applyBorder="1" applyAlignment="1"/>
    <xf numFmtId="15" fontId="29" fillId="42" borderId="78" xfId="0" applyNumberFormat="1" applyFont="1" applyFill="1" applyBorder="1"/>
    <xf numFmtId="3" fontId="38" fillId="45" borderId="27" xfId="0" applyNumberFormat="1" applyFont="1" applyFill="1" applyBorder="1"/>
    <xf numFmtId="3" fontId="38" fillId="45" borderId="31" xfId="0" applyNumberFormat="1" applyFont="1" applyFill="1" applyBorder="1"/>
    <xf numFmtId="0" fontId="50" fillId="28" borderId="37" xfId="0" applyFont="1" applyFill="1" applyBorder="1"/>
    <xf numFmtId="0" fontId="28" fillId="45" borderId="0" xfId="0" applyFont="1" applyFill="1" applyBorder="1" applyAlignment="1">
      <alignment horizontal="center"/>
    </xf>
    <xf numFmtId="3" fontId="29" fillId="45" borderId="0" xfId="0" applyNumberFormat="1" applyFont="1" applyFill="1" applyBorder="1"/>
    <xf numFmtId="3" fontId="0" fillId="45" borderId="0" xfId="0" applyNumberFormat="1" applyFill="1" applyBorder="1"/>
    <xf numFmtId="9" fontId="28" fillId="21" borderId="0" xfId="0" applyNumberFormat="1" applyFont="1" applyFill="1" applyBorder="1" applyAlignment="1">
      <alignment horizontal="center" vertical="center"/>
    </xf>
    <xf numFmtId="9" fontId="29" fillId="26" borderId="0" xfId="0" applyNumberFormat="1" applyFont="1" applyFill="1" applyBorder="1" applyAlignment="1">
      <alignment horizontal="center" vertical="center"/>
    </xf>
    <xf numFmtId="9" fontId="29" fillId="26" borderId="13" xfId="0" applyNumberFormat="1" applyFont="1" applyFill="1" applyBorder="1" applyAlignment="1">
      <alignment horizontal="center" vertical="center"/>
    </xf>
    <xf numFmtId="10" fontId="33" fillId="0" borderId="0" xfId="0" applyNumberFormat="1" applyFont="1" applyAlignment="1">
      <alignment horizontal="center"/>
    </xf>
    <xf numFmtId="10" fontId="32" fillId="0" borderId="0" xfId="0" applyNumberFormat="1" applyFont="1"/>
    <xf numFmtId="10" fontId="32" fillId="54" borderId="19" xfId="0" applyNumberFormat="1" applyFont="1" applyFill="1" applyBorder="1"/>
    <xf numFmtId="10" fontId="32" fillId="54" borderId="35" xfId="0" applyNumberFormat="1" applyFont="1" applyFill="1" applyBorder="1"/>
    <xf numFmtId="10" fontId="32" fillId="0" borderId="0" xfId="0" applyNumberFormat="1" applyFont="1" applyBorder="1"/>
    <xf numFmtId="10" fontId="32" fillId="0" borderId="17" xfId="0" applyNumberFormat="1" applyFont="1" applyBorder="1"/>
    <xf numFmtId="10" fontId="32" fillId="54" borderId="0" xfId="0" applyNumberFormat="1" applyFont="1" applyFill="1" applyBorder="1"/>
    <xf numFmtId="10" fontId="32" fillId="54" borderId="17" xfId="0" applyNumberFormat="1" applyFont="1" applyFill="1" applyBorder="1"/>
    <xf numFmtId="10" fontId="32" fillId="54" borderId="78" xfId="0" applyNumberFormat="1" applyFont="1" applyFill="1" applyBorder="1"/>
    <xf numFmtId="10" fontId="32" fillId="54" borderId="79" xfId="0" applyNumberFormat="1" applyFont="1" applyFill="1" applyBorder="1"/>
    <xf numFmtId="10" fontId="32" fillId="0" borderId="19" xfId="0" applyNumberFormat="1" applyFont="1" applyBorder="1"/>
    <xf numFmtId="10" fontId="32" fillId="0" borderId="35" xfId="0" applyNumberFormat="1" applyFont="1" applyBorder="1"/>
    <xf numFmtId="3" fontId="3" fillId="21" borderId="45" xfId="0" applyNumberFormat="1" applyFont="1" applyFill="1" applyBorder="1"/>
    <xf numFmtId="3" fontId="3" fillId="21" borderId="46" xfId="0" applyNumberFormat="1" applyFont="1" applyFill="1" applyBorder="1"/>
    <xf numFmtId="3" fontId="3" fillId="21" borderId="36" xfId="0" applyNumberFormat="1" applyFont="1" applyFill="1" applyBorder="1"/>
    <xf numFmtId="0" fontId="3" fillId="21" borderId="0" xfId="0" applyFont="1" applyFill="1" applyBorder="1"/>
    <xf numFmtId="0" fontId="3" fillId="42" borderId="38" xfId="0" applyFont="1" applyFill="1" applyBorder="1" applyAlignment="1">
      <alignment horizontal="center"/>
    </xf>
    <xf numFmtId="3" fontId="3" fillId="21" borderId="27" xfId="0" applyNumberFormat="1" applyFont="1" applyFill="1" applyBorder="1"/>
    <xf numFmtId="0" fontId="3" fillId="42" borderId="27" xfId="0" applyFont="1" applyFill="1" applyBorder="1" applyAlignment="1">
      <alignment horizontal="center"/>
    </xf>
    <xf numFmtId="3" fontId="3" fillId="21" borderId="28" xfId="0" applyNumberFormat="1" applyFont="1" applyFill="1" applyBorder="1"/>
    <xf numFmtId="0" fontId="3" fillId="21" borderId="16" xfId="0" applyFont="1" applyFill="1" applyBorder="1"/>
    <xf numFmtId="3" fontId="3" fillId="21" borderId="26" xfId="0" applyNumberFormat="1" applyFont="1" applyFill="1" applyBorder="1"/>
    <xf numFmtId="3" fontId="3" fillId="21" borderId="0" xfId="0" applyNumberFormat="1" applyFont="1" applyFill="1" applyBorder="1"/>
    <xf numFmtId="3" fontId="3" fillId="21" borderId="16" xfId="0" applyNumberFormat="1" applyFont="1" applyFill="1" applyBorder="1"/>
    <xf numFmtId="3" fontId="28" fillId="21" borderId="22" xfId="0" applyNumberFormat="1" applyFont="1" applyFill="1" applyBorder="1" applyAlignment="1">
      <alignment horizontal="center"/>
    </xf>
    <xf numFmtId="3" fontId="3" fillId="21" borderId="20" xfId="0" applyNumberFormat="1" applyFont="1" applyFill="1" applyBorder="1"/>
    <xf numFmtId="3" fontId="3" fillId="21" borderId="29" xfId="0" applyNumberFormat="1" applyFont="1" applyFill="1" applyBorder="1"/>
    <xf numFmtId="0" fontId="28" fillId="21" borderId="19" xfId="0" applyFont="1" applyFill="1" applyBorder="1" applyAlignment="1"/>
    <xf numFmtId="0" fontId="3" fillId="21" borderId="19" xfId="0" applyFont="1" applyFill="1" applyBorder="1"/>
    <xf numFmtId="0" fontId="28" fillId="21" borderId="22" xfId="0" applyFont="1" applyFill="1" applyBorder="1" applyAlignment="1">
      <alignment horizontal="center" wrapText="1"/>
    </xf>
    <xf numFmtId="0" fontId="28" fillId="21" borderId="38" xfId="0" applyFont="1" applyFill="1" applyBorder="1" applyAlignment="1">
      <alignment horizontal="center" wrapText="1"/>
    </xf>
    <xf numFmtId="0" fontId="28" fillId="21" borderId="0" xfId="0" applyFont="1" applyFill="1" applyBorder="1" applyAlignment="1">
      <alignment horizontal="center" wrapText="1"/>
    </xf>
    <xf numFmtId="0" fontId="28" fillId="21" borderId="39" xfId="0" applyFont="1" applyFill="1" applyBorder="1" applyAlignment="1">
      <alignment horizontal="center" vertical="center"/>
    </xf>
    <xf numFmtId="0" fontId="54" fillId="31" borderId="0" xfId="0" applyFont="1" applyFill="1" applyAlignment="1">
      <alignment horizontal="center" vertical="center"/>
    </xf>
    <xf numFmtId="0" fontId="5" fillId="22" borderId="0" xfId="0" applyFont="1" applyFill="1"/>
    <xf numFmtId="0" fontId="3" fillId="21" borderId="0" xfId="0" applyFont="1" applyFill="1"/>
    <xf numFmtId="0" fontId="28" fillId="21" borderId="19" xfId="0" applyFont="1" applyFill="1" applyBorder="1" applyAlignment="1">
      <alignment horizontal="center"/>
    </xf>
    <xf numFmtId="0" fontId="3" fillId="21" borderId="35" xfId="0" applyFont="1" applyFill="1" applyBorder="1"/>
    <xf numFmtId="0" fontId="28" fillId="21" borderId="23" xfId="0" applyFont="1" applyFill="1" applyBorder="1" applyAlignment="1">
      <alignment horizontal="center" wrapText="1"/>
    </xf>
    <xf numFmtId="0" fontId="28" fillId="21" borderId="25" xfId="0" applyFont="1" applyFill="1" applyBorder="1" applyAlignment="1">
      <alignment horizontal="center" wrapText="1"/>
    </xf>
    <xf numFmtId="0" fontId="28" fillId="21" borderId="23" xfId="0" applyFont="1" applyFill="1" applyBorder="1" applyAlignment="1">
      <alignment horizontal="center" vertical="center"/>
    </xf>
    <xf numFmtId="0" fontId="28" fillId="21" borderId="24" xfId="0" applyFont="1" applyFill="1" applyBorder="1" applyAlignment="1">
      <alignment horizontal="center" vertical="center"/>
    </xf>
    <xf numFmtId="0" fontId="3" fillId="21" borderId="0" xfId="0" applyFont="1" applyFill="1" applyAlignment="1">
      <alignment wrapText="1"/>
    </xf>
    <xf numFmtId="0" fontId="3" fillId="24" borderId="0" xfId="0" applyFont="1" applyFill="1" applyAlignment="1">
      <alignment wrapText="1"/>
    </xf>
    <xf numFmtId="0" fontId="28" fillId="21" borderId="55" xfId="0" applyFont="1" applyFill="1" applyBorder="1" applyAlignment="1">
      <alignment horizontal="center"/>
    </xf>
    <xf numFmtId="0" fontId="3" fillId="21" borderId="57" xfId="0" applyFont="1" applyFill="1" applyBorder="1" applyAlignment="1">
      <alignment horizontal="center"/>
    </xf>
    <xf numFmtId="3" fontId="3" fillId="21" borderId="57" xfId="0" applyNumberFormat="1" applyFont="1" applyFill="1" applyBorder="1" applyAlignment="1">
      <alignment horizontal="center"/>
    </xf>
    <xf numFmtId="0" fontId="3" fillId="42" borderId="58" xfId="0" applyFont="1" applyFill="1" applyBorder="1"/>
    <xf numFmtId="0" fontId="28" fillId="21" borderId="42" xfId="0" applyFont="1" applyFill="1" applyBorder="1" applyAlignment="1">
      <alignment horizontal="center"/>
    </xf>
    <xf numFmtId="0" fontId="3" fillId="42" borderId="31" xfId="0" applyFont="1" applyFill="1" applyBorder="1"/>
    <xf numFmtId="0" fontId="28" fillId="21" borderId="59" xfId="0" applyFont="1" applyFill="1" applyBorder="1" applyAlignment="1">
      <alignment horizontal="center"/>
    </xf>
    <xf numFmtId="3" fontId="3" fillId="21" borderId="77" xfId="0" applyNumberFormat="1" applyFont="1" applyFill="1" applyBorder="1" applyAlignment="1">
      <alignment horizontal="center"/>
    </xf>
    <xf numFmtId="3" fontId="3" fillId="21" borderId="47" xfId="0" applyNumberFormat="1" applyFont="1" applyFill="1" applyBorder="1"/>
    <xf numFmtId="0" fontId="3" fillId="42" borderId="33" xfId="0" applyFont="1" applyFill="1" applyBorder="1"/>
    <xf numFmtId="3" fontId="28" fillId="21" borderId="13" xfId="0" applyNumberFormat="1" applyFont="1" applyFill="1" applyBorder="1" applyAlignment="1">
      <alignment horizontal="center"/>
    </xf>
    <xf numFmtId="3" fontId="3" fillId="21" borderId="18" xfId="0" applyNumberFormat="1" applyFont="1" applyFill="1" applyBorder="1"/>
    <xf numFmtId="0" fontId="28" fillId="21" borderId="0" xfId="0" applyFont="1" applyFill="1" applyBorder="1" applyAlignment="1">
      <alignment horizontal="center"/>
    </xf>
    <xf numFmtId="0" fontId="3" fillId="22" borderId="35" xfId="0" applyFont="1" applyFill="1" applyBorder="1"/>
    <xf numFmtId="0" fontId="28" fillId="21" borderId="12" xfId="0" applyFont="1" applyFill="1" applyBorder="1" applyAlignment="1">
      <alignment horizontal="center" wrapText="1"/>
    </xf>
    <xf numFmtId="0" fontId="28" fillId="21" borderId="56" xfId="0" applyFont="1" applyFill="1" applyBorder="1" applyAlignment="1">
      <alignment horizontal="center" wrapText="1"/>
    </xf>
    <xf numFmtId="0" fontId="28" fillId="21" borderId="24" xfId="0" applyFont="1" applyFill="1" applyBorder="1" applyAlignment="1">
      <alignment horizontal="center" wrapText="1"/>
    </xf>
    <xf numFmtId="0" fontId="28" fillId="21" borderId="40" xfId="0" applyFont="1" applyFill="1" applyBorder="1" applyAlignment="1">
      <alignment horizontal="center" vertical="center"/>
    </xf>
    <xf numFmtId="0" fontId="3" fillId="22" borderId="0" xfId="0" applyFont="1" applyFill="1" applyBorder="1"/>
    <xf numFmtId="0" fontId="3" fillId="22" borderId="17" xfId="0" applyFont="1" applyFill="1" applyBorder="1"/>
    <xf numFmtId="0" fontId="3" fillId="21" borderId="38" xfId="0" applyFont="1" applyFill="1" applyBorder="1" applyAlignment="1">
      <alignment horizontal="center"/>
    </xf>
    <xf numFmtId="0" fontId="3" fillId="42" borderId="36" xfId="0" applyFont="1" applyFill="1" applyBorder="1"/>
    <xf numFmtId="0" fontId="3" fillId="21" borderId="27" xfId="0" applyFont="1" applyFill="1" applyBorder="1" applyAlignment="1">
      <alignment horizontal="center"/>
    </xf>
    <xf numFmtId="0" fontId="3" fillId="42" borderId="27" xfId="0" applyFont="1" applyFill="1" applyBorder="1"/>
    <xf numFmtId="0" fontId="28" fillId="21" borderId="43" xfId="0" applyFont="1" applyFill="1" applyBorder="1" applyAlignment="1">
      <alignment horizontal="center"/>
    </xf>
    <xf numFmtId="0" fontId="3" fillId="42" borderId="28" xfId="0" applyFont="1" applyFill="1" applyBorder="1"/>
    <xf numFmtId="0" fontId="28" fillId="21" borderId="37" xfId="0" applyFont="1" applyFill="1" applyBorder="1" applyAlignment="1">
      <alignment horizontal="center"/>
    </xf>
    <xf numFmtId="3" fontId="28" fillId="21" borderId="29" xfId="0" applyNumberFormat="1" applyFont="1" applyFill="1" applyBorder="1" applyAlignment="1">
      <alignment horizontal="center"/>
    </xf>
    <xf numFmtId="3" fontId="3" fillId="21" borderId="22" xfId="0" applyNumberFormat="1" applyFont="1" applyFill="1" applyBorder="1"/>
    <xf numFmtId="3" fontId="28" fillId="21" borderId="37" xfId="0" applyNumberFormat="1" applyFont="1" applyFill="1" applyBorder="1" applyAlignment="1">
      <alignment horizontal="center"/>
    </xf>
    <xf numFmtId="0" fontId="3" fillId="22" borderId="16" xfId="0" applyFont="1" applyFill="1" applyBorder="1"/>
    <xf numFmtId="0" fontId="3" fillId="22" borderId="18" xfId="0" applyFont="1" applyFill="1" applyBorder="1"/>
    <xf numFmtId="0" fontId="3" fillId="21" borderId="74" xfId="0" applyFont="1" applyFill="1" applyBorder="1" applyAlignment="1">
      <alignment horizontal="center"/>
    </xf>
    <xf numFmtId="3" fontId="3" fillId="21" borderId="74" xfId="0" applyNumberFormat="1" applyFont="1" applyFill="1" applyBorder="1" applyAlignment="1">
      <alignment horizontal="center"/>
    </xf>
    <xf numFmtId="0" fontId="28" fillId="21" borderId="80" xfId="0" applyFont="1" applyFill="1" applyBorder="1" applyAlignment="1">
      <alignment horizontal="center" wrapText="1"/>
    </xf>
    <xf numFmtId="3" fontId="32" fillId="39" borderId="61" xfId="0" applyNumberFormat="1" applyFont="1" applyFill="1" applyBorder="1" applyAlignment="1">
      <alignment horizontal="center"/>
    </xf>
    <xf numFmtId="3" fontId="38" fillId="41" borderId="57" xfId="0" applyNumberFormat="1" applyFont="1" applyFill="1" applyBorder="1" applyAlignment="1">
      <alignment vertical="top" wrapText="1"/>
    </xf>
    <xf numFmtId="10" fontId="32" fillId="54" borderId="19" xfId="0" applyNumberFormat="1" applyFont="1" applyFill="1" applyBorder="1" applyAlignment="1">
      <alignment horizontal="center"/>
    </xf>
    <xf numFmtId="10" fontId="32" fillId="54" borderId="35" xfId="0" applyNumberFormat="1" applyFont="1" applyFill="1" applyBorder="1" applyAlignment="1">
      <alignment horizontal="center"/>
    </xf>
    <xf numFmtId="10" fontId="32" fillId="0" borderId="0" xfId="0" applyNumberFormat="1" applyFont="1" applyBorder="1" applyAlignment="1">
      <alignment horizontal="center"/>
    </xf>
    <xf numFmtId="10" fontId="32" fillId="0" borderId="17" xfId="0" applyNumberFormat="1" applyFont="1" applyBorder="1" applyAlignment="1">
      <alignment horizontal="center"/>
    </xf>
    <xf numFmtId="10" fontId="32" fillId="54" borderId="0" xfId="0" applyNumberFormat="1" applyFont="1" applyFill="1" applyBorder="1" applyAlignment="1">
      <alignment horizontal="center"/>
    </xf>
    <xf numFmtId="10" fontId="32" fillId="54" borderId="17" xfId="0" applyNumberFormat="1" applyFont="1" applyFill="1" applyBorder="1" applyAlignment="1">
      <alignment horizontal="center"/>
    </xf>
    <xf numFmtId="10" fontId="32" fillId="54" borderId="78" xfId="0" applyNumberFormat="1" applyFont="1" applyFill="1" applyBorder="1" applyAlignment="1">
      <alignment horizontal="center"/>
    </xf>
    <xf numFmtId="10" fontId="32" fillId="54" borderId="79" xfId="0" applyNumberFormat="1" applyFont="1" applyFill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169" fontId="55" fillId="26" borderId="21" xfId="36" applyNumberFormat="1" applyFont="1" applyFill="1" applyBorder="1" applyAlignment="1">
      <alignment horizontal="center"/>
    </xf>
    <xf numFmtId="169" fontId="55" fillId="0" borderId="21" xfId="36" applyNumberFormat="1" applyFont="1" applyFill="1" applyBorder="1" applyAlignment="1">
      <alignment horizontal="center"/>
    </xf>
    <xf numFmtId="169" fontId="55" fillId="0" borderId="21" xfId="36" applyNumberFormat="1" applyFont="1" applyBorder="1" applyAlignment="1">
      <alignment horizontal="center"/>
    </xf>
    <xf numFmtId="167" fontId="8" fillId="21" borderId="27" xfId="36" applyNumberFormat="1" applyFont="1" applyFill="1" applyBorder="1" applyAlignment="1">
      <alignment horizontal="center"/>
    </xf>
    <xf numFmtId="169" fontId="9" fillId="0" borderId="21" xfId="36" applyNumberFormat="1" applyFont="1" applyBorder="1" applyAlignment="1">
      <alignment horizontal="center"/>
    </xf>
    <xf numFmtId="167" fontId="8" fillId="0" borderId="27" xfId="36" applyNumberFormat="1" applyFont="1" applyFill="1" applyBorder="1" applyAlignment="1">
      <alignment horizontal="center"/>
    </xf>
    <xf numFmtId="169" fontId="55" fillId="39" borderId="21" xfId="36" applyNumberFormat="1" applyFont="1" applyFill="1" applyBorder="1" applyAlignment="1">
      <alignment horizontal="center"/>
    </xf>
    <xf numFmtId="167" fontId="8" fillId="21" borderId="28" xfId="36" applyNumberFormat="1" applyFont="1" applyFill="1" applyBorder="1" applyAlignment="1">
      <alignment horizontal="center"/>
    </xf>
    <xf numFmtId="9" fontId="0" fillId="0" borderId="21" xfId="0" applyNumberFormat="1" applyFill="1" applyBorder="1"/>
    <xf numFmtId="169" fontId="55" fillId="60" borderId="21" xfId="36" applyNumberFormat="1" applyFont="1" applyFill="1" applyBorder="1"/>
    <xf numFmtId="0" fontId="8" fillId="0" borderId="0" xfId="0" applyFont="1" applyAlignment="1">
      <alignment horizontal="center" wrapText="1"/>
    </xf>
    <xf numFmtId="10" fontId="33" fillId="0" borderId="0" xfId="0" applyNumberFormat="1" applyFont="1" applyAlignment="1">
      <alignment horizontal="center" vertical="center"/>
    </xf>
    <xf numFmtId="10" fontId="32" fillId="0" borderId="0" xfId="0" applyNumberFormat="1" applyFont="1" applyAlignment="1">
      <alignment vertical="center"/>
    </xf>
    <xf numFmtId="10" fontId="33" fillId="0" borderId="0" xfId="47" applyNumberFormat="1" applyFont="1" applyAlignment="1">
      <alignment horizontal="center"/>
    </xf>
    <xf numFmtId="0" fontId="71" fillId="0" borderId="0" xfId="59" applyFont="1"/>
    <xf numFmtId="9" fontId="28" fillId="0" borderId="0" xfId="0" applyNumberFormat="1" applyFont="1"/>
    <xf numFmtId="0" fontId="71" fillId="0" borderId="0" xfId="59" applyFont="1" applyAlignment="1">
      <alignment vertical="center"/>
    </xf>
    <xf numFmtId="0" fontId="71" fillId="0" borderId="0" xfId="59" applyFont="1" applyAlignment="1">
      <alignment horizontal="center"/>
    </xf>
    <xf numFmtId="169" fontId="71" fillId="0" borderId="0" xfId="36" applyNumberFormat="1" applyFont="1" applyAlignment="1">
      <alignment horizontal="center"/>
    </xf>
    <xf numFmtId="169" fontId="71" fillId="0" borderId="0" xfId="59" applyNumberFormat="1" applyFont="1" applyAlignment="1">
      <alignment horizontal="center"/>
    </xf>
    <xf numFmtId="0" fontId="71" fillId="0" borderId="0" xfId="59" applyFont="1" applyBorder="1" applyAlignment="1">
      <alignment horizontal="center"/>
    </xf>
    <xf numFmtId="0" fontId="77" fillId="52" borderId="11" xfId="59" applyFont="1" applyFill="1" applyBorder="1" applyAlignment="1">
      <alignment vertical="center" wrapText="1"/>
    </xf>
    <xf numFmtId="0" fontId="77" fillId="52" borderId="11" xfId="59" applyFont="1" applyFill="1" applyBorder="1" applyAlignment="1">
      <alignment horizontal="left" vertical="center" wrapText="1"/>
    </xf>
    <xf numFmtId="0" fontId="77" fillId="52" borderId="77" xfId="59" applyFont="1" applyFill="1" applyBorder="1" applyAlignment="1">
      <alignment horizontal="left" vertical="center" wrapText="1"/>
    </xf>
    <xf numFmtId="0" fontId="77" fillId="52" borderId="72" xfId="59" applyFont="1" applyFill="1" applyBorder="1" applyAlignment="1">
      <alignment horizontal="left" vertical="center" wrapText="1"/>
    </xf>
    <xf numFmtId="0" fontId="77" fillId="49" borderId="11" xfId="59" applyFont="1" applyFill="1" applyBorder="1" applyAlignment="1">
      <alignment horizontal="left" vertical="center" wrapText="1"/>
    </xf>
    <xf numFmtId="0" fontId="77" fillId="49" borderId="11" xfId="59" applyFont="1" applyFill="1" applyBorder="1" applyAlignment="1">
      <alignment vertical="center" wrapText="1"/>
    </xf>
    <xf numFmtId="0" fontId="77" fillId="50" borderId="11" xfId="59" applyFont="1" applyFill="1" applyBorder="1" applyAlignment="1">
      <alignment vertical="center" wrapText="1"/>
    </xf>
    <xf numFmtId="169" fontId="71" fillId="0" borderId="0" xfId="36" applyNumberFormat="1" applyFont="1"/>
    <xf numFmtId="169" fontId="71" fillId="0" borderId="0" xfId="59" applyNumberFormat="1" applyFont="1"/>
    <xf numFmtId="3" fontId="71" fillId="0" borderId="0" xfId="59" applyNumberFormat="1" applyFont="1"/>
    <xf numFmtId="3" fontId="78" fillId="0" borderId="0" xfId="59" applyNumberFormat="1" applyFont="1"/>
    <xf numFmtId="0" fontId="79" fillId="0" borderId="0" xfId="59" applyFont="1" applyAlignment="1">
      <alignment vertical="center"/>
    </xf>
    <xf numFmtId="0" fontId="19" fillId="26" borderId="15" xfId="34" applyFill="1" applyBorder="1" applyAlignment="1" applyProtection="1">
      <alignment horizontal="right" vertical="center"/>
    </xf>
    <xf numFmtId="0" fontId="19" fillId="26" borderId="37" xfId="34" applyFill="1" applyBorder="1" applyAlignment="1" applyProtection="1">
      <alignment horizontal="right" vertical="center"/>
    </xf>
    <xf numFmtId="0" fontId="19" fillId="35" borderId="44" xfId="34" applyFill="1" applyBorder="1" applyAlignment="1" applyProtection="1">
      <alignment horizontal="right" vertical="center" wrapText="1"/>
    </xf>
    <xf numFmtId="0" fontId="71" fillId="0" borderId="0" xfId="59" applyFont="1" applyFill="1" applyAlignment="1">
      <alignment horizontal="center" vertical="center"/>
    </xf>
    <xf numFmtId="3" fontId="71" fillId="0" borderId="0" xfId="59" applyNumberFormat="1" applyFont="1" applyFill="1" applyAlignment="1">
      <alignment horizontal="center" vertical="center"/>
    </xf>
    <xf numFmtId="10" fontId="71" fillId="0" borderId="0" xfId="59" applyNumberFormat="1" applyFont="1" applyFill="1" applyAlignment="1">
      <alignment horizontal="center" vertical="center"/>
    </xf>
    <xf numFmtId="10" fontId="83" fillId="61" borderId="20" xfId="47" applyNumberFormat="1" applyFont="1" applyFill="1" applyBorder="1" applyAlignment="1">
      <alignment horizontal="center" vertical="center"/>
    </xf>
    <xf numFmtId="0" fontId="75" fillId="48" borderId="23" xfId="59" applyFont="1" applyFill="1" applyBorder="1" applyAlignment="1">
      <alignment horizontal="center" wrapText="1"/>
    </xf>
    <xf numFmtId="3" fontId="83" fillId="61" borderId="24" xfId="59" applyNumberFormat="1" applyFont="1" applyFill="1" applyBorder="1" applyAlignment="1">
      <alignment horizontal="center" vertical="center"/>
    </xf>
    <xf numFmtId="0" fontId="75" fillId="48" borderId="81" xfId="59" applyFont="1" applyFill="1" applyBorder="1" applyAlignment="1">
      <alignment horizontal="center" wrapText="1"/>
    </xf>
    <xf numFmtId="0" fontId="75" fillId="48" borderId="82" xfId="59" applyFont="1" applyFill="1" applyBorder="1" applyAlignment="1">
      <alignment horizontal="center" vertical="center" wrapText="1"/>
    </xf>
    <xf numFmtId="0" fontId="75" fillId="48" borderId="83" xfId="59" applyFont="1" applyFill="1" applyBorder="1" applyAlignment="1">
      <alignment horizontal="center" vertical="center" wrapText="1"/>
    </xf>
    <xf numFmtId="0" fontId="75" fillId="48" borderId="30" xfId="59" applyFont="1" applyFill="1" applyBorder="1" applyAlignment="1">
      <alignment horizontal="center" wrapText="1"/>
    </xf>
    <xf numFmtId="0" fontId="75" fillId="58" borderId="30" xfId="59" applyFont="1" applyFill="1" applyBorder="1" applyAlignment="1">
      <alignment horizontal="center" wrapText="1"/>
    </xf>
    <xf numFmtId="3" fontId="71" fillId="0" borderId="31" xfId="59" applyNumberFormat="1" applyFont="1" applyFill="1" applyBorder="1" applyAlignment="1">
      <alignment horizontal="center" vertical="center"/>
    </xf>
    <xf numFmtId="3" fontId="71" fillId="0" borderId="62" xfId="59" applyNumberFormat="1" applyFont="1" applyFill="1" applyBorder="1" applyAlignment="1">
      <alignment horizontal="center" vertical="center"/>
    </xf>
    <xf numFmtId="0" fontId="75" fillId="48" borderId="32" xfId="59" applyFont="1" applyFill="1" applyBorder="1" applyAlignment="1">
      <alignment horizontal="center" wrapText="1"/>
    </xf>
    <xf numFmtId="3" fontId="82" fillId="61" borderId="86" xfId="59" applyNumberFormat="1" applyFont="1" applyFill="1" applyBorder="1" applyAlignment="1">
      <alignment horizontal="center" vertical="center"/>
    </xf>
    <xf numFmtId="0" fontId="75" fillId="56" borderId="0" xfId="59" applyFont="1" applyFill="1" applyBorder="1" applyAlignment="1">
      <alignment horizontal="center" wrapText="1"/>
    </xf>
    <xf numFmtId="0" fontId="75" fillId="56" borderId="0" xfId="59" applyFont="1" applyFill="1" applyBorder="1" applyAlignment="1">
      <alignment horizontal="center" vertical="center" wrapText="1"/>
    </xf>
    <xf numFmtId="3" fontId="71" fillId="0" borderId="0" xfId="59" applyNumberFormat="1" applyFont="1" applyFill="1" applyBorder="1" applyAlignment="1">
      <alignment horizontal="center" vertical="center"/>
    </xf>
    <xf numFmtId="0" fontId="71" fillId="0" borderId="0" xfId="59" applyFont="1" applyBorder="1"/>
    <xf numFmtId="0" fontId="71" fillId="0" borderId="0" xfId="59" applyFont="1" applyBorder="1" applyAlignment="1">
      <alignment vertical="center"/>
    </xf>
    <xf numFmtId="3" fontId="71" fillId="61" borderId="75" xfId="59" applyNumberFormat="1" applyFont="1" applyFill="1" applyBorder="1" applyAlignment="1">
      <alignment horizontal="center" vertical="center"/>
    </xf>
    <xf numFmtId="3" fontId="78" fillId="52" borderId="31" xfId="59" applyNumberFormat="1" applyFont="1" applyFill="1" applyBorder="1" applyAlignment="1">
      <alignment horizontal="center" vertical="center"/>
    </xf>
    <xf numFmtId="3" fontId="78" fillId="49" borderId="31" xfId="59" applyNumberFormat="1" applyFont="1" applyFill="1" applyBorder="1" applyAlignment="1">
      <alignment horizontal="center" vertical="center"/>
    </xf>
    <xf numFmtId="3" fontId="78" fillId="50" borderId="31" xfId="59" applyNumberFormat="1" applyFont="1" applyFill="1" applyBorder="1" applyAlignment="1">
      <alignment horizontal="center" vertical="center"/>
    </xf>
    <xf numFmtId="3" fontId="83" fillId="61" borderId="31" xfId="59" applyNumberFormat="1" applyFont="1" applyFill="1" applyBorder="1" applyAlignment="1">
      <alignment horizontal="center" vertical="center"/>
    </xf>
    <xf numFmtId="3" fontId="83" fillId="61" borderId="62" xfId="59" applyNumberFormat="1" applyFont="1" applyFill="1" applyBorder="1" applyAlignment="1">
      <alignment horizontal="center" vertical="center"/>
    </xf>
    <xf numFmtId="3" fontId="83" fillId="61" borderId="86" xfId="59" applyNumberFormat="1" applyFont="1" applyFill="1" applyBorder="1" applyAlignment="1">
      <alignment horizontal="center" vertical="center"/>
    </xf>
    <xf numFmtId="3" fontId="28" fillId="21" borderId="0" xfId="0" applyNumberFormat="1" applyFont="1" applyFill="1" applyBorder="1" applyAlignment="1">
      <alignment horizontal="center" vertical="center"/>
    </xf>
    <xf numFmtId="3" fontId="28" fillId="21" borderId="17" xfId="0" applyNumberFormat="1" applyFont="1" applyFill="1" applyBorder="1" applyAlignment="1">
      <alignment horizontal="center" vertical="center"/>
    </xf>
    <xf numFmtId="3" fontId="29" fillId="26" borderId="13" xfId="0" applyNumberFormat="1" applyFont="1" applyFill="1" applyBorder="1" applyAlignment="1">
      <alignment horizontal="center" vertical="center"/>
    </xf>
    <xf numFmtId="3" fontId="29" fillId="26" borderId="19" xfId="0" applyNumberFormat="1" applyFont="1" applyFill="1" applyBorder="1" applyAlignment="1">
      <alignment horizontal="center" vertical="center"/>
    </xf>
    <xf numFmtId="0" fontId="5" fillId="46" borderId="13" xfId="0" applyFont="1" applyFill="1" applyBorder="1" applyAlignment="1">
      <alignment horizontal="center" vertical="center"/>
    </xf>
    <xf numFmtId="3" fontId="28" fillId="21" borderId="19" xfId="0" applyNumberFormat="1" applyFont="1" applyFill="1" applyBorder="1" applyAlignment="1">
      <alignment horizontal="center" vertical="center"/>
    </xf>
    <xf numFmtId="3" fontId="28" fillId="21" borderId="35" xfId="0" applyNumberFormat="1" applyFont="1" applyFill="1" applyBorder="1" applyAlignment="1">
      <alignment horizontal="center" vertical="center"/>
    </xf>
    <xf numFmtId="0" fontId="5" fillId="23" borderId="13" xfId="0" applyFont="1" applyFill="1" applyBorder="1" applyAlignment="1">
      <alignment horizontal="center" vertical="center"/>
    </xf>
    <xf numFmtId="3" fontId="29" fillId="26" borderId="0" xfId="0" applyNumberFormat="1" applyFont="1" applyFill="1" applyBorder="1" applyAlignment="1">
      <alignment horizontal="center" vertical="center"/>
    </xf>
    <xf numFmtId="3" fontId="84" fillId="62" borderId="71" xfId="0" applyNumberFormat="1" applyFont="1" applyFill="1" applyBorder="1"/>
    <xf numFmtId="0" fontId="85" fillId="21" borderId="0" xfId="0" applyFont="1" applyFill="1"/>
    <xf numFmtId="0" fontId="85" fillId="21" borderId="0" xfId="0" applyFont="1" applyFill="1" applyAlignment="1">
      <alignment horizontal="center"/>
    </xf>
    <xf numFmtId="0" fontId="85" fillId="21" borderId="0" xfId="0" applyFont="1" applyFill="1" applyAlignment="1">
      <alignment horizontal="justify" vertical="center"/>
    </xf>
    <xf numFmtId="0" fontId="85" fillId="22" borderId="0" xfId="0" applyFont="1" applyFill="1" applyBorder="1"/>
    <xf numFmtId="0" fontId="85" fillId="22" borderId="0" xfId="0" applyFont="1" applyFill="1" applyBorder="1" applyAlignment="1">
      <alignment horizontal="center"/>
    </xf>
    <xf numFmtId="0" fontId="68" fillId="22" borderId="15" xfId="0" applyFont="1" applyFill="1" applyBorder="1"/>
    <xf numFmtId="0" fontId="68" fillId="22" borderId="0" xfId="0" applyFont="1" applyFill="1" applyBorder="1"/>
    <xf numFmtId="0" fontId="44" fillId="45" borderId="15" xfId="0" applyFont="1" applyFill="1" applyBorder="1"/>
    <xf numFmtId="0" fontId="0" fillId="45" borderId="15" xfId="0" applyFill="1" applyBorder="1"/>
    <xf numFmtId="0" fontId="85" fillId="45" borderId="15" xfId="0" applyFont="1" applyFill="1" applyBorder="1"/>
    <xf numFmtId="0" fontId="3" fillId="21" borderId="0" xfId="0" applyFont="1" applyFill="1" applyAlignment="1">
      <alignment horizontal="center"/>
    </xf>
    <xf numFmtId="1" fontId="3" fillId="21" borderId="34" xfId="0" applyNumberFormat="1" applyFont="1" applyFill="1" applyBorder="1" applyAlignment="1">
      <alignment horizontal="center"/>
    </xf>
    <xf numFmtId="1" fontId="3" fillId="21" borderId="30" xfId="0" applyNumberFormat="1" applyFont="1" applyFill="1" applyBorder="1" applyAlignment="1">
      <alignment horizontal="center"/>
    </xf>
    <xf numFmtId="1" fontId="3" fillId="21" borderId="32" xfId="0" applyNumberFormat="1" applyFont="1" applyFill="1" applyBorder="1" applyAlignment="1">
      <alignment horizontal="center"/>
    </xf>
    <xf numFmtId="1" fontId="3" fillId="21" borderId="41" xfId="0" applyNumberFormat="1" applyFont="1" applyFill="1" applyBorder="1" applyAlignment="1">
      <alignment horizontal="center"/>
    </xf>
    <xf numFmtId="1" fontId="3" fillId="21" borderId="42" xfId="0" applyNumberFormat="1" applyFont="1" applyFill="1" applyBorder="1" applyAlignment="1">
      <alignment horizontal="center"/>
    </xf>
    <xf numFmtId="1" fontId="3" fillId="21" borderId="43" xfId="0" applyNumberFormat="1" applyFont="1" applyFill="1" applyBorder="1" applyAlignment="1">
      <alignment horizontal="center"/>
    </xf>
    <xf numFmtId="3" fontId="4" fillId="23" borderId="13" xfId="0" applyNumberFormat="1" applyFont="1" applyFill="1" applyBorder="1" applyAlignment="1">
      <alignment horizontal="center" vertical="center" wrapText="1"/>
    </xf>
    <xf numFmtId="0" fontId="3" fillId="42" borderId="78" xfId="0" applyFont="1" applyFill="1" applyBorder="1"/>
    <xf numFmtId="177" fontId="29" fillId="42" borderId="0" xfId="0" applyNumberFormat="1" applyFont="1" applyFill="1" applyBorder="1"/>
    <xf numFmtId="0" fontId="3" fillId="42" borderId="15" xfId="0" applyFont="1" applyFill="1" applyBorder="1" applyAlignment="1">
      <alignment horizontal="center"/>
    </xf>
    <xf numFmtId="15" fontId="85" fillId="42" borderId="0" xfId="0" applyNumberFormat="1" applyFont="1" applyFill="1" applyBorder="1"/>
    <xf numFmtId="0" fontId="3" fillId="22" borderId="0" xfId="0" applyFont="1" applyFill="1" applyAlignment="1">
      <alignment horizontal="center"/>
    </xf>
    <xf numFmtId="169" fontId="3" fillId="22" borderId="0" xfId="36" applyNumberFormat="1" applyFont="1" applyFill="1" applyAlignment="1">
      <alignment horizontal="center"/>
    </xf>
    <xf numFmtId="170" fontId="3" fillId="22" borderId="38" xfId="38" applyNumberFormat="1" applyFont="1" applyFill="1" applyBorder="1" applyAlignment="1">
      <alignment horizontal="center"/>
    </xf>
    <xf numFmtId="170" fontId="3" fillId="22" borderId="21" xfId="38" applyNumberFormat="1" applyFont="1" applyFill="1" applyBorder="1" applyAlignment="1">
      <alignment horizontal="center"/>
    </xf>
    <xf numFmtId="9" fontId="3" fillId="22" borderId="21" xfId="47" applyFont="1" applyFill="1" applyBorder="1" applyAlignment="1">
      <alignment horizontal="center"/>
    </xf>
    <xf numFmtId="3" fontId="3" fillId="22" borderId="21" xfId="0" applyNumberFormat="1" applyFont="1" applyFill="1" applyBorder="1" applyAlignment="1">
      <alignment horizontal="center"/>
    </xf>
    <xf numFmtId="169" fontId="3" fillId="22" borderId="21" xfId="36" applyNumberFormat="1" applyFont="1" applyFill="1" applyBorder="1" applyAlignment="1">
      <alignment horizontal="center"/>
    </xf>
    <xf numFmtId="0" fontId="3" fillId="22" borderId="21" xfId="0" applyFont="1" applyFill="1" applyBorder="1" applyAlignment="1">
      <alignment horizontal="center"/>
    </xf>
    <xf numFmtId="0" fontId="3" fillId="22" borderId="29" xfId="0" applyFont="1" applyFill="1" applyBorder="1" applyAlignment="1">
      <alignment horizontal="center"/>
    </xf>
    <xf numFmtId="3" fontId="3" fillId="22" borderId="38" xfId="0" applyNumberFormat="1" applyFont="1" applyFill="1" applyBorder="1" applyAlignment="1">
      <alignment horizontal="center"/>
    </xf>
    <xf numFmtId="3" fontId="3" fillId="22" borderId="29" xfId="0" applyNumberFormat="1" applyFont="1" applyFill="1" applyBorder="1" applyAlignment="1">
      <alignment horizontal="center"/>
    </xf>
    <xf numFmtId="3" fontId="87" fillId="21" borderId="48" xfId="0" applyNumberFormat="1" applyFont="1" applyFill="1" applyBorder="1" applyAlignment="1">
      <alignment horizontal="center"/>
    </xf>
    <xf numFmtId="0" fontId="3" fillId="40" borderId="0" xfId="0" applyFont="1" applyFill="1"/>
    <xf numFmtId="0" fontId="0" fillId="40" borderId="0" xfId="0" applyFill="1"/>
    <xf numFmtId="3" fontId="0" fillId="40" borderId="0" xfId="0" applyNumberFormat="1" applyFill="1"/>
    <xf numFmtId="0" fontId="3" fillId="0" borderId="10" xfId="0" applyFont="1" applyFill="1" applyBorder="1" applyAlignment="1">
      <alignment horizontal="center"/>
    </xf>
    <xf numFmtId="0" fontId="28" fillId="0" borderId="72" xfId="0" applyFont="1" applyBorder="1" applyAlignment="1">
      <alignment horizontal="center"/>
    </xf>
    <xf numFmtId="0" fontId="28" fillId="0" borderId="60" xfId="0" applyFont="1" applyBorder="1" applyAlignment="1">
      <alignment horizontal="center"/>
    </xf>
    <xf numFmtId="0" fontId="0" fillId="21" borderId="29" xfId="0" applyFill="1" applyBorder="1"/>
    <xf numFmtId="0" fontId="50" fillId="28" borderId="78" xfId="0" applyFont="1" applyFill="1" applyBorder="1" applyAlignment="1">
      <alignment horizontal="center"/>
    </xf>
    <xf numFmtId="0" fontId="38" fillId="0" borderId="81" xfId="0" applyFont="1" applyBorder="1"/>
    <xf numFmtId="0" fontId="38" fillId="0" borderId="30" xfId="0" applyFont="1" applyBorder="1"/>
    <xf numFmtId="0" fontId="38" fillId="0" borderId="32" xfId="0" applyFont="1" applyBorder="1"/>
    <xf numFmtId="0" fontId="38" fillId="0" borderId="50" xfId="0" applyFont="1" applyBorder="1"/>
    <xf numFmtId="3" fontId="38" fillId="0" borderId="50" xfId="0" applyNumberFormat="1" applyFont="1" applyBorder="1"/>
    <xf numFmtId="0" fontId="50" fillId="28" borderId="69" xfId="0" applyFont="1" applyFill="1" applyBorder="1"/>
    <xf numFmtId="0" fontId="38" fillId="0" borderId="81" xfId="0" applyFont="1" applyBorder="1" applyAlignment="1">
      <alignment vertical="top" wrapText="1"/>
    </xf>
    <xf numFmtId="0" fontId="7" fillId="0" borderId="81" xfId="0" applyFont="1" applyBorder="1" applyAlignment="1">
      <alignment vertical="top" wrapText="1"/>
    </xf>
    <xf numFmtId="0" fontId="7" fillId="0" borderId="30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38" fillId="0" borderId="30" xfId="0" applyFont="1" applyBorder="1" applyAlignment="1">
      <alignment vertical="top" wrapText="1"/>
    </xf>
    <xf numFmtId="3" fontId="0" fillId="32" borderId="91" xfId="0" applyNumberFormat="1" applyFill="1" applyBorder="1"/>
    <xf numFmtId="3" fontId="0" fillId="32" borderId="91" xfId="0" applyNumberFormat="1" applyFill="1" applyBorder="1" applyAlignment="1"/>
    <xf numFmtId="3" fontId="0" fillId="32" borderId="26" xfId="0" applyNumberFormat="1" applyFill="1" applyBorder="1"/>
    <xf numFmtId="0" fontId="38" fillId="0" borderId="36" xfId="0" applyFont="1" applyBorder="1"/>
    <xf numFmtId="0" fontId="55" fillId="30" borderId="75" xfId="0" applyFont="1" applyFill="1" applyBorder="1"/>
    <xf numFmtId="3" fontId="0" fillId="0" borderId="36" xfId="0" applyNumberFormat="1" applyFill="1" applyBorder="1"/>
    <xf numFmtId="3" fontId="0" fillId="0" borderId="36" xfId="0" applyNumberFormat="1" applyBorder="1"/>
    <xf numFmtId="3" fontId="0" fillId="41" borderId="36" xfId="0" applyNumberFormat="1" applyFill="1" applyBorder="1"/>
    <xf numFmtId="0" fontId="38" fillId="0" borderId="27" xfId="0" applyFont="1" applyBorder="1"/>
    <xf numFmtId="0" fontId="38" fillId="0" borderId="28" xfId="0" applyFont="1" applyBorder="1"/>
    <xf numFmtId="0" fontId="28" fillId="30" borderId="33" xfId="0" applyFont="1" applyFill="1" applyBorder="1"/>
    <xf numFmtId="3" fontId="0" fillId="41" borderId="28" xfId="0" applyNumberFormat="1" applyFill="1" applyBorder="1"/>
    <xf numFmtId="0" fontId="3" fillId="30" borderId="36" xfId="0" applyFont="1" applyFill="1" applyBorder="1"/>
    <xf numFmtId="0" fontId="3" fillId="30" borderId="22" xfId="0" applyFont="1" applyFill="1" applyBorder="1"/>
    <xf numFmtId="0" fontId="72" fillId="0" borderId="36" xfId="0" applyFont="1" applyBorder="1"/>
    <xf numFmtId="0" fontId="72" fillId="0" borderId="27" xfId="0" applyFont="1" applyBorder="1"/>
    <xf numFmtId="0" fontId="72" fillId="0" borderId="28" xfId="0" applyFont="1" applyBorder="1"/>
    <xf numFmtId="3" fontId="0" fillId="30" borderId="36" xfId="0" applyNumberFormat="1" applyFill="1" applyBorder="1"/>
    <xf numFmtId="0" fontId="55" fillId="30" borderId="33" xfId="0" applyFont="1" applyFill="1" applyBorder="1"/>
    <xf numFmtId="3" fontId="29" fillId="0" borderId="28" xfId="0" applyNumberFormat="1" applyFont="1" applyFill="1" applyBorder="1"/>
    <xf numFmtId="3" fontId="0" fillId="0" borderId="28" xfId="0" applyNumberFormat="1" applyBorder="1"/>
    <xf numFmtId="3" fontId="0" fillId="30" borderId="28" xfId="0" applyNumberFormat="1" applyFill="1" applyBorder="1"/>
    <xf numFmtId="3" fontId="29" fillId="0" borderId="36" xfId="0" applyNumberFormat="1" applyFont="1" applyFill="1" applyBorder="1"/>
    <xf numFmtId="3" fontId="29" fillId="32" borderId="29" xfId="0" applyNumberFormat="1" applyFont="1" applyFill="1" applyBorder="1"/>
    <xf numFmtId="3" fontId="0" fillId="32" borderId="37" xfId="0" applyNumberFormat="1" applyFill="1" applyBorder="1"/>
    <xf numFmtId="3" fontId="0" fillId="32" borderId="92" xfId="0" applyNumberFormat="1" applyFill="1" applyBorder="1"/>
    <xf numFmtId="3" fontId="29" fillId="0" borderId="36" xfId="0" applyNumberFormat="1" applyFont="1" applyBorder="1"/>
    <xf numFmtId="3" fontId="29" fillId="0" borderId="28" xfId="0" applyNumberFormat="1" applyFont="1" applyBorder="1"/>
    <xf numFmtId="0" fontId="3" fillId="40" borderId="15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24" borderId="0" xfId="0" applyFont="1" applyFill="1" applyAlignment="1">
      <alignment vertical="center"/>
    </xf>
    <xf numFmtId="0" fontId="3" fillId="26" borderId="38" xfId="0" applyFont="1" applyFill="1" applyBorder="1" applyAlignment="1">
      <alignment vertical="center"/>
    </xf>
    <xf numFmtId="0" fontId="28" fillId="51" borderId="44" xfId="0" applyFont="1" applyFill="1" applyBorder="1" applyAlignment="1">
      <alignment vertical="center"/>
    </xf>
    <xf numFmtId="1" fontId="28" fillId="51" borderId="19" xfId="0" applyNumberFormat="1" applyFont="1" applyFill="1" applyBorder="1" applyAlignment="1">
      <alignment vertical="center"/>
    </xf>
    <xf numFmtId="3" fontId="3" fillId="51" borderId="19" xfId="0" applyNumberFormat="1" applyFont="1" applyFill="1" applyBorder="1" applyAlignment="1">
      <alignment vertical="center"/>
    </xf>
    <xf numFmtId="0" fontId="3" fillId="51" borderId="19" xfId="0" applyFont="1" applyFill="1" applyBorder="1" applyAlignment="1">
      <alignment vertical="center"/>
    </xf>
    <xf numFmtId="3" fontId="28" fillId="51" borderId="19" xfId="0" applyNumberFormat="1" applyFont="1" applyFill="1" applyBorder="1" applyAlignment="1">
      <alignment vertical="center"/>
    </xf>
    <xf numFmtId="3" fontId="3" fillId="51" borderId="19" xfId="0" applyNumberFormat="1" applyFont="1" applyFill="1" applyBorder="1" applyAlignment="1">
      <alignment horizontal="center" vertical="center"/>
    </xf>
    <xf numFmtId="3" fontId="3" fillId="21" borderId="54" xfId="0" applyNumberFormat="1" applyFont="1" applyFill="1" applyBorder="1" applyAlignment="1">
      <alignment horizontal="center"/>
    </xf>
    <xf numFmtId="3" fontId="3" fillId="21" borderId="52" xfId="0" applyNumberFormat="1" applyFont="1" applyFill="1" applyBorder="1" applyAlignment="1">
      <alignment horizontal="center"/>
    </xf>
    <xf numFmtId="3" fontId="3" fillId="21" borderId="15" xfId="0" applyNumberFormat="1" applyFont="1" applyFill="1" applyBorder="1" applyAlignment="1">
      <alignment horizontal="center"/>
    </xf>
    <xf numFmtId="3" fontId="3" fillId="25" borderId="21" xfId="0" applyNumberFormat="1" applyFont="1" applyFill="1" applyBorder="1" applyAlignment="1">
      <alignment horizontal="center"/>
    </xf>
    <xf numFmtId="3" fontId="28" fillId="25" borderId="22" xfId="0" applyNumberFormat="1" applyFont="1" applyFill="1" applyBorder="1" applyAlignment="1">
      <alignment horizontal="center"/>
    </xf>
    <xf numFmtId="9" fontId="0" fillId="0" borderId="29" xfId="0" applyNumberFormat="1" applyBorder="1"/>
    <xf numFmtId="0" fontId="69" fillId="63" borderId="24" xfId="0" applyFont="1" applyFill="1" applyBorder="1" applyAlignment="1">
      <alignment horizontal="center" vertical="center"/>
    </xf>
    <xf numFmtId="0" fontId="3" fillId="51" borderId="58" xfId="0" applyFont="1" applyFill="1" applyBorder="1" applyAlignment="1">
      <alignment horizontal="center" vertical="center"/>
    </xf>
    <xf numFmtId="1" fontId="3" fillId="51" borderId="31" xfId="0" applyNumberFormat="1" applyFont="1" applyFill="1" applyBorder="1" applyAlignment="1">
      <alignment horizontal="center" vertical="center"/>
    </xf>
    <xf numFmtId="1" fontId="3" fillId="51" borderId="33" xfId="0" applyNumberFormat="1" applyFont="1" applyFill="1" applyBorder="1" applyAlignment="1">
      <alignment horizontal="center" vertical="center"/>
    </xf>
    <xf numFmtId="1" fontId="3" fillId="21" borderId="0" xfId="0" applyNumberFormat="1" applyFont="1" applyFill="1" applyAlignment="1">
      <alignment horizontal="center" vertical="center"/>
    </xf>
    <xf numFmtId="1" fontId="69" fillId="64" borderId="24" xfId="0" applyNumberFormat="1" applyFont="1" applyFill="1" applyBorder="1" applyAlignment="1">
      <alignment horizontal="center" vertical="center"/>
    </xf>
    <xf numFmtId="1" fontId="3" fillId="50" borderId="58" xfId="0" applyNumberFormat="1" applyFont="1" applyFill="1" applyBorder="1" applyAlignment="1">
      <alignment horizontal="center" vertical="center"/>
    </xf>
    <xf numFmtId="1" fontId="3" fillId="50" borderId="31" xfId="0" applyNumberFormat="1" applyFont="1" applyFill="1" applyBorder="1" applyAlignment="1">
      <alignment horizontal="center" vertical="center"/>
    </xf>
    <xf numFmtId="1" fontId="3" fillId="50" borderId="33" xfId="0" applyNumberFormat="1" applyFont="1" applyFill="1" applyBorder="1" applyAlignment="1">
      <alignment horizontal="center" vertical="center"/>
    </xf>
    <xf numFmtId="0" fontId="69" fillId="65" borderId="22" xfId="0" applyFont="1" applyFill="1" applyBorder="1" applyAlignment="1">
      <alignment horizontal="center" vertical="center"/>
    </xf>
    <xf numFmtId="0" fontId="0" fillId="66" borderId="26" xfId="0" applyFill="1" applyBorder="1" applyAlignment="1">
      <alignment horizontal="center"/>
    </xf>
    <xf numFmtId="0" fontId="0" fillId="66" borderId="27" xfId="0" applyFill="1" applyBorder="1" applyAlignment="1">
      <alignment horizontal="center"/>
    </xf>
    <xf numFmtId="0" fontId="3" fillId="66" borderId="28" xfId="0" applyFont="1" applyFill="1" applyBorder="1" applyAlignment="1">
      <alignment horizontal="center"/>
    </xf>
    <xf numFmtId="10" fontId="28" fillId="66" borderId="26" xfId="0" applyNumberFormat="1" applyFont="1" applyFill="1" applyBorder="1" applyAlignment="1">
      <alignment horizontal="center" vertical="center"/>
    </xf>
    <xf numFmtId="10" fontId="28" fillId="66" borderId="27" xfId="0" applyNumberFormat="1" applyFont="1" applyFill="1" applyBorder="1" applyAlignment="1">
      <alignment horizontal="center" vertical="center"/>
    </xf>
    <xf numFmtId="10" fontId="28" fillId="66" borderId="28" xfId="0" applyNumberFormat="1" applyFont="1" applyFill="1" applyBorder="1" applyAlignment="1">
      <alignment horizontal="center" vertical="center"/>
    </xf>
    <xf numFmtId="0" fontId="69" fillId="63" borderId="23" xfId="0" applyFont="1" applyFill="1" applyBorder="1" applyAlignment="1">
      <alignment horizontal="center" vertical="center"/>
    </xf>
    <xf numFmtId="174" fontId="28" fillId="51" borderId="34" xfId="0" applyNumberFormat="1" applyFont="1" applyFill="1" applyBorder="1" applyAlignment="1">
      <alignment horizontal="center" vertical="center"/>
    </xf>
    <xf numFmtId="174" fontId="28" fillId="51" borderId="30" xfId="0" applyNumberFormat="1" applyFont="1" applyFill="1" applyBorder="1" applyAlignment="1">
      <alignment horizontal="center" vertical="center"/>
    </xf>
    <xf numFmtId="174" fontId="28" fillId="51" borderId="32" xfId="0" applyNumberFormat="1" applyFont="1" applyFill="1" applyBorder="1" applyAlignment="1">
      <alignment horizontal="center" vertical="center"/>
    </xf>
    <xf numFmtId="0" fontId="69" fillId="64" borderId="23" xfId="0" applyFont="1" applyFill="1" applyBorder="1" applyAlignment="1">
      <alignment horizontal="center" vertical="center"/>
    </xf>
    <xf numFmtId="174" fontId="28" fillId="50" borderId="34" xfId="0" applyNumberFormat="1" applyFont="1" applyFill="1" applyBorder="1" applyAlignment="1">
      <alignment horizontal="center" vertical="center"/>
    </xf>
    <xf numFmtId="174" fontId="28" fillId="50" borderId="30" xfId="0" applyNumberFormat="1" applyFont="1" applyFill="1" applyBorder="1" applyAlignment="1">
      <alignment horizontal="center" vertical="center"/>
    </xf>
    <xf numFmtId="174" fontId="28" fillId="50" borderId="32" xfId="0" applyNumberFormat="1" applyFont="1" applyFill="1" applyBorder="1" applyAlignment="1">
      <alignment horizontal="center" vertical="center"/>
    </xf>
    <xf numFmtId="0" fontId="0" fillId="67" borderId="93" xfId="0" applyNumberFormat="1" applyFill="1" applyBorder="1" applyProtection="1">
      <protection locked="0"/>
    </xf>
    <xf numFmtId="49" fontId="0" fillId="67" borderId="93" xfId="0" applyNumberFormat="1" applyFill="1" applyBorder="1" applyProtection="1">
      <protection locked="0"/>
    </xf>
    <xf numFmtId="3" fontId="0" fillId="68" borderId="93" xfId="0" applyNumberFormat="1" applyFill="1" applyBorder="1" applyProtection="1">
      <protection locked="0"/>
    </xf>
    <xf numFmtId="41" fontId="55" fillId="26" borderId="21" xfId="36" applyNumberFormat="1" applyFont="1" applyFill="1" applyBorder="1"/>
    <xf numFmtId="167" fontId="8" fillId="0" borderId="27" xfId="36" applyNumberFormat="1" applyFont="1" applyFill="1" applyBorder="1" applyAlignment="1"/>
    <xf numFmtId="0" fontId="7" fillId="69" borderId="21" xfId="0" applyNumberFormat="1" applyFont="1" applyFill="1" applyBorder="1" applyAlignment="1">
      <alignment horizontal="left"/>
    </xf>
    <xf numFmtId="10" fontId="32" fillId="0" borderId="17" xfId="0" applyNumberFormat="1" applyFont="1" applyBorder="1" applyAlignment="1">
      <alignment horizontal="right"/>
    </xf>
    <xf numFmtId="10" fontId="32" fillId="54" borderId="79" xfId="0" applyNumberFormat="1" applyFont="1" applyFill="1" applyBorder="1" applyAlignment="1">
      <alignment horizontal="right"/>
    </xf>
    <xf numFmtId="167" fontId="0" fillId="0" borderId="0" xfId="0" applyNumberFormat="1"/>
    <xf numFmtId="174" fontId="68" fillId="0" borderId="0" xfId="47" applyNumberFormat="1" applyFont="1"/>
    <xf numFmtId="3" fontId="68" fillId="0" borderId="15" xfId="0" applyNumberFormat="1" applyFont="1" applyBorder="1" applyAlignment="1">
      <alignment vertical="center"/>
    </xf>
    <xf numFmtId="3" fontId="69" fillId="21" borderId="0" xfId="0" applyNumberFormat="1" applyFont="1" applyFill="1" applyBorder="1" applyAlignment="1">
      <alignment horizontal="center" vertical="center"/>
    </xf>
    <xf numFmtId="3" fontId="9" fillId="0" borderId="42" xfId="0" applyNumberFormat="1" applyFont="1" applyBorder="1"/>
    <xf numFmtId="172" fontId="9" fillId="0" borderId="42" xfId="0" applyNumberFormat="1" applyFont="1" applyBorder="1"/>
    <xf numFmtId="3" fontId="9" fillId="22" borderId="42" xfId="0" applyNumberFormat="1" applyFont="1" applyFill="1" applyBorder="1"/>
    <xf numFmtId="3" fontId="9" fillId="32" borderId="59" xfId="0" applyNumberFormat="1" applyFont="1" applyFill="1" applyBorder="1"/>
    <xf numFmtId="3" fontId="29" fillId="0" borderId="41" xfId="0" applyNumberFormat="1" applyFont="1" applyBorder="1"/>
    <xf numFmtId="3" fontId="29" fillId="0" borderId="42" xfId="0" applyNumberFormat="1" applyFont="1" applyBorder="1"/>
    <xf numFmtId="3" fontId="9" fillId="0" borderId="46" xfId="0" applyNumberFormat="1" applyFont="1" applyBorder="1"/>
    <xf numFmtId="3" fontId="9" fillId="0" borderId="46" xfId="0" applyNumberFormat="1" applyFont="1" applyBorder="1" applyAlignment="1">
      <alignment vertical="top" wrapText="1"/>
    </xf>
    <xf numFmtId="172" fontId="9" fillId="0" borderId="46" xfId="0" applyNumberFormat="1" applyFont="1" applyBorder="1"/>
    <xf numFmtId="3" fontId="0" fillId="22" borderId="46" xfId="0" applyNumberFormat="1" applyFill="1" applyBorder="1"/>
    <xf numFmtId="3" fontId="0" fillId="32" borderId="71" xfId="0" applyNumberFormat="1" applyFill="1" applyBorder="1"/>
    <xf numFmtId="3" fontId="29" fillId="0" borderId="94" xfId="0" applyNumberFormat="1" applyFont="1" applyBorder="1"/>
    <xf numFmtId="3" fontId="29" fillId="0" borderId="46" xfId="0" applyNumberFormat="1" applyFont="1" applyBorder="1"/>
    <xf numFmtId="3" fontId="39" fillId="32" borderId="26" xfId="0" applyNumberFormat="1" applyFont="1" applyFill="1" applyBorder="1" applyAlignment="1">
      <alignment horizontal="center" vertical="center" wrapText="1"/>
    </xf>
    <xf numFmtId="3" fontId="9" fillId="0" borderId="42" xfId="0" applyNumberFormat="1" applyFont="1" applyBorder="1" applyAlignment="1">
      <alignment vertical="top"/>
    </xf>
    <xf numFmtId="3" fontId="29" fillId="0" borderId="43" xfId="0" applyNumberFormat="1" applyFont="1" applyBorder="1"/>
    <xf numFmtId="3" fontId="29" fillId="0" borderId="47" xfId="0" applyNumberFormat="1" applyFont="1" applyBorder="1"/>
    <xf numFmtId="3" fontId="9" fillId="0" borderId="57" xfId="0" applyNumberFormat="1" applyFont="1" applyBorder="1"/>
    <xf numFmtId="172" fontId="9" fillId="0" borderId="57" xfId="0" applyNumberFormat="1" applyFont="1" applyBorder="1"/>
    <xf numFmtId="3" fontId="9" fillId="22" borderId="57" xfId="0" applyNumberFormat="1" applyFont="1" applyFill="1" applyBorder="1"/>
    <xf numFmtId="3" fontId="9" fillId="32" borderId="57" xfId="0" applyNumberFormat="1" applyFont="1" applyFill="1" applyBorder="1"/>
    <xf numFmtId="3" fontId="29" fillId="0" borderId="57" xfId="0" applyNumberFormat="1" applyFont="1" applyBorder="1"/>
    <xf numFmtId="3" fontId="3" fillId="0" borderId="27" xfId="0" applyNumberFormat="1" applyFont="1" applyBorder="1"/>
    <xf numFmtId="3" fontId="3" fillId="0" borderId="27" xfId="0" applyNumberFormat="1" applyFont="1" applyBorder="1" applyAlignment="1">
      <alignment horizontal="center" wrapText="1"/>
    </xf>
    <xf numFmtId="3" fontId="0" fillId="0" borderId="27" xfId="0" applyNumberFormat="1" applyBorder="1" applyAlignment="1">
      <alignment wrapText="1"/>
    </xf>
    <xf numFmtId="0" fontId="38" fillId="0" borderId="57" xfId="0" applyFont="1" applyBorder="1" applyAlignment="1">
      <alignment wrapText="1"/>
    </xf>
    <xf numFmtId="3" fontId="38" fillId="0" borderId="57" xfId="0" applyNumberFormat="1" applyFont="1" applyBorder="1" applyAlignment="1">
      <alignment wrapText="1"/>
    </xf>
    <xf numFmtId="0" fontId="38" fillId="0" borderId="57" xfId="0" applyFont="1" applyBorder="1" applyAlignment="1">
      <alignment vertical="center" wrapText="1"/>
    </xf>
    <xf numFmtId="0" fontId="38" fillId="0" borderId="57" xfId="0" applyFont="1" applyBorder="1" applyAlignment="1">
      <alignment horizontal="center" vertical="center" wrapText="1"/>
    </xf>
    <xf numFmtId="3" fontId="38" fillId="0" borderId="57" xfId="0" applyNumberFormat="1" applyFont="1" applyBorder="1" applyAlignment="1">
      <alignment horizontal="center" vertical="center" wrapText="1"/>
    </xf>
    <xf numFmtId="3" fontId="38" fillId="0" borderId="57" xfId="0" applyNumberFormat="1" applyFont="1" applyBorder="1" applyAlignment="1">
      <alignment vertical="center" wrapText="1"/>
    </xf>
    <xf numFmtId="0" fontId="38" fillId="0" borderId="82" xfId="0" applyFont="1" applyBorder="1" applyAlignment="1">
      <alignment horizontal="center" vertical="center"/>
    </xf>
    <xf numFmtId="3" fontId="38" fillId="0" borderId="82" xfId="0" applyNumberFormat="1" applyFont="1" applyBorder="1" applyAlignment="1">
      <alignment horizontal="center" vertical="center" wrapText="1"/>
    </xf>
    <xf numFmtId="3" fontId="38" fillId="41" borderId="40" xfId="0" applyNumberFormat="1" applyFont="1" applyFill="1" applyBorder="1" applyAlignment="1">
      <alignment horizontal="center" vertical="center"/>
    </xf>
    <xf numFmtId="3" fontId="38" fillId="41" borderId="62" xfId="0" applyNumberFormat="1" applyFont="1" applyFill="1" applyBorder="1" applyAlignment="1">
      <alignment horizontal="center" vertical="center" wrapText="1"/>
    </xf>
    <xf numFmtId="3" fontId="38" fillId="0" borderId="82" xfId="0" applyNumberFormat="1" applyFont="1" applyBorder="1" applyAlignment="1">
      <alignment horizontal="left" vertical="center" wrapText="1"/>
    </xf>
    <xf numFmtId="3" fontId="38" fillId="0" borderId="57" xfId="0" applyNumberFormat="1" applyFont="1" applyBorder="1" applyAlignment="1">
      <alignment horizontal="left" vertical="center" wrapText="1"/>
    </xf>
    <xf numFmtId="0" fontId="3" fillId="0" borderId="21" xfId="0" applyFont="1" applyFill="1" applyBorder="1" applyAlignment="1">
      <alignment vertical="center"/>
    </xf>
    <xf numFmtId="3" fontId="3" fillId="45" borderId="19" xfId="0" applyNumberFormat="1" applyFont="1" applyFill="1" applyBorder="1" applyAlignment="1">
      <alignment vertical="center"/>
    </xf>
    <xf numFmtId="3" fontId="3" fillId="45" borderId="0" xfId="0" applyNumberFormat="1" applyFont="1" applyFill="1" applyBorder="1" applyAlignment="1">
      <alignment vertical="center"/>
    </xf>
    <xf numFmtId="3" fontId="38" fillId="42" borderId="57" xfId="0" applyNumberFormat="1" applyFont="1" applyFill="1" applyBorder="1" applyAlignment="1">
      <alignment vertical="top" wrapText="1"/>
    </xf>
    <xf numFmtId="3" fontId="9" fillId="32" borderId="26" xfId="0" applyNumberFormat="1" applyFont="1" applyFill="1" applyBorder="1" applyAlignment="1">
      <alignment wrapText="1"/>
    </xf>
    <xf numFmtId="3" fontId="9" fillId="22" borderId="26" xfId="0" applyNumberFormat="1" applyFont="1" applyFill="1" applyBorder="1" applyAlignment="1">
      <alignment horizontal="center" vertical="center" wrapText="1"/>
    </xf>
    <xf numFmtId="3" fontId="3" fillId="0" borderId="27" xfId="0" applyNumberFormat="1" applyFont="1" applyBorder="1" applyAlignment="1">
      <alignment horizontal="center" vertical="center"/>
    </xf>
    <xf numFmtId="3" fontId="38" fillId="22" borderId="46" xfId="0" applyNumberFormat="1" applyFont="1" applyFill="1" applyBorder="1"/>
    <xf numFmtId="0" fontId="38" fillId="0" borderId="51" xfId="0" applyFont="1" applyBorder="1" applyAlignment="1">
      <alignment horizontal="center" vertical="center"/>
    </xf>
    <xf numFmtId="3" fontId="38" fillId="0" borderId="77" xfId="0" applyNumberFormat="1" applyFont="1" applyBorder="1" applyAlignment="1">
      <alignment horizontal="center" vertical="center" wrapText="1"/>
    </xf>
    <xf numFmtId="3" fontId="38" fillId="0" borderId="77" xfId="0" applyNumberFormat="1" applyFont="1" applyBorder="1" applyAlignment="1">
      <alignment wrapText="1"/>
    </xf>
    <xf numFmtId="0" fontId="0" fillId="42" borderId="57" xfId="0" applyFill="1" applyBorder="1"/>
    <xf numFmtId="3" fontId="0" fillId="42" borderId="57" xfId="0" applyNumberFormat="1" applyFill="1" applyBorder="1"/>
    <xf numFmtId="3" fontId="0" fillId="41" borderId="57" xfId="0" applyNumberFormat="1" applyFill="1" applyBorder="1"/>
    <xf numFmtId="0" fontId="9" fillId="4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/>
    </xf>
    <xf numFmtId="3" fontId="7" fillId="0" borderId="57" xfId="0" applyNumberFormat="1" applyFont="1" applyBorder="1" applyAlignment="1">
      <alignment horizontal="center" vertical="center" wrapText="1"/>
    </xf>
    <xf numFmtId="3" fontId="7" fillId="41" borderId="62" xfId="0" applyNumberFormat="1" applyFont="1" applyFill="1" applyBorder="1" applyAlignment="1">
      <alignment horizontal="center" vertical="center"/>
    </xf>
    <xf numFmtId="3" fontId="7" fillId="22" borderId="40" xfId="0" applyNumberFormat="1" applyFont="1" applyFill="1" applyBorder="1" applyAlignment="1">
      <alignment horizontal="center" vertical="center"/>
    </xf>
    <xf numFmtId="0" fontId="80" fillId="40" borderId="19" xfId="0" applyFont="1" applyFill="1" applyBorder="1" applyAlignment="1">
      <alignment vertical="center" wrapText="1"/>
    </xf>
    <xf numFmtId="0" fontId="0" fillId="42" borderId="21" xfId="0" applyFill="1" applyBorder="1"/>
    <xf numFmtId="49" fontId="6" fillId="0" borderId="0" xfId="60" applyNumberFormat="1" applyFont="1" applyFill="1" applyAlignment="1">
      <alignment horizontal="left"/>
    </xf>
    <xf numFmtId="0" fontId="29" fillId="39" borderId="0" xfId="0" applyNumberFormat="1" applyFont="1" applyFill="1" applyAlignment="1">
      <alignment vertical="center"/>
    </xf>
    <xf numFmtId="0" fontId="0" fillId="39" borderId="21" xfId="0" applyFill="1" applyBorder="1"/>
    <xf numFmtId="0" fontId="0" fillId="39" borderId="21" xfId="0" applyFill="1" applyBorder="1" applyAlignment="1">
      <alignment horizontal="center"/>
    </xf>
    <xf numFmtId="0" fontId="29" fillId="39" borderId="15" xfId="0" applyFont="1" applyFill="1" applyBorder="1" applyAlignment="1">
      <alignment horizontal="center" vertical="center" wrapText="1"/>
    </xf>
    <xf numFmtId="0" fontId="0" fillId="39" borderId="0" xfId="0" applyFill="1" applyBorder="1"/>
    <xf numFmtId="0" fontId="0" fillId="39" borderId="15" xfId="0" applyFill="1" applyBorder="1" applyAlignment="1">
      <alignment horizontal="center"/>
    </xf>
    <xf numFmtId="0" fontId="29" fillId="39" borderId="17" xfId="0" applyFont="1" applyFill="1" applyBorder="1" applyAlignment="1">
      <alignment horizontal="center" vertical="center"/>
    </xf>
    <xf numFmtId="0" fontId="29" fillId="39" borderId="0" xfId="0" applyFont="1" applyFill="1" applyBorder="1" applyAlignment="1">
      <alignment vertical="center"/>
    </xf>
    <xf numFmtId="3" fontId="29" fillId="39" borderId="0" xfId="0" applyNumberFormat="1" applyFont="1" applyFill="1" applyBorder="1" applyAlignment="1">
      <alignment vertical="center"/>
    </xf>
    <xf numFmtId="3" fontId="29" fillId="39" borderId="15" xfId="0" applyNumberFormat="1" applyFont="1" applyFill="1" applyBorder="1" applyAlignment="1">
      <alignment vertical="center"/>
    </xf>
    <xf numFmtId="3" fontId="29" fillId="39" borderId="17" xfId="0" applyNumberFormat="1" applyFont="1" applyFill="1" applyBorder="1" applyAlignment="1">
      <alignment vertical="center"/>
    </xf>
    <xf numFmtId="3" fontId="28" fillId="39" borderId="0" xfId="0" applyNumberFormat="1" applyFont="1" applyFill="1" applyBorder="1" applyAlignment="1">
      <alignment horizontal="center" vertical="center"/>
    </xf>
    <xf numFmtId="9" fontId="28" fillId="39" borderId="0" xfId="0" applyNumberFormat="1" applyFont="1" applyFill="1" applyBorder="1" applyAlignment="1">
      <alignment horizontal="center" vertical="center"/>
    </xf>
    <xf numFmtId="0" fontId="29" fillId="39" borderId="0" xfId="0" applyFont="1" applyFill="1" applyAlignment="1">
      <alignment vertical="center"/>
    </xf>
    <xf numFmtId="0" fontId="29" fillId="39" borderId="0" xfId="0" applyFont="1" applyFill="1"/>
    <xf numFmtId="3" fontId="29" fillId="39" borderId="0" xfId="0" applyNumberFormat="1" applyFont="1" applyFill="1"/>
    <xf numFmtId="0" fontId="9" fillId="39" borderId="0" xfId="0" applyFont="1" applyFill="1"/>
    <xf numFmtId="0" fontId="28" fillId="21" borderId="0" xfId="0" applyFont="1" applyFill="1" applyAlignment="1">
      <alignment horizontal="center"/>
    </xf>
    <xf numFmtId="0" fontId="54" fillId="31" borderId="0" xfId="0" applyFont="1" applyFill="1" applyAlignment="1">
      <alignment horizontal="center" vertical="center"/>
    </xf>
    <xf numFmtId="0" fontId="54" fillId="47" borderId="15" xfId="0" applyFont="1" applyFill="1" applyBorder="1" applyAlignment="1">
      <alignment horizontal="center" vertical="center"/>
    </xf>
    <xf numFmtId="0" fontId="54" fillId="47" borderId="0" xfId="0" applyFont="1" applyFill="1" applyAlignment="1">
      <alignment horizontal="center" vertical="center"/>
    </xf>
    <xf numFmtId="3" fontId="37" fillId="36" borderId="38" xfId="0" applyNumberFormat="1" applyFont="1" applyFill="1" applyBorder="1" applyAlignment="1">
      <alignment horizontal="center" vertical="center" wrapText="1"/>
    </xf>
    <xf numFmtId="3" fontId="59" fillId="36" borderId="29" xfId="0" applyNumberFormat="1" applyFont="1" applyFill="1" applyBorder="1" applyAlignment="1">
      <alignment horizontal="center" vertical="center" wrapText="1"/>
    </xf>
    <xf numFmtId="0" fontId="53" fillId="27" borderId="0" xfId="0" applyFont="1" applyFill="1" applyAlignment="1">
      <alignment horizontal="center"/>
    </xf>
    <xf numFmtId="0" fontId="59" fillId="36" borderId="38" xfId="0" applyFont="1" applyFill="1" applyBorder="1" applyAlignment="1">
      <alignment horizontal="center" vertical="center"/>
    </xf>
    <xf numFmtId="0" fontId="59" fillId="36" borderId="29" xfId="0" applyFont="1" applyFill="1" applyBorder="1" applyAlignment="1">
      <alignment horizontal="center" vertical="center"/>
    </xf>
    <xf numFmtId="0" fontId="37" fillId="36" borderId="38" xfId="0" applyNumberFormat="1" applyFont="1" applyFill="1" applyBorder="1" applyAlignment="1">
      <alignment horizontal="center" vertical="center" wrapText="1"/>
    </xf>
    <xf numFmtId="0" fontId="59" fillId="36" borderId="29" xfId="0" applyNumberFormat="1" applyFont="1" applyFill="1" applyBorder="1" applyAlignment="1">
      <alignment horizontal="center" vertical="center" wrapText="1"/>
    </xf>
    <xf numFmtId="9" fontId="59" fillId="36" borderId="38" xfId="0" applyNumberFormat="1" applyFont="1" applyFill="1" applyBorder="1" applyAlignment="1">
      <alignment horizontal="center" vertical="center" wrapText="1"/>
    </xf>
    <xf numFmtId="9" fontId="59" fillId="36" borderId="29" xfId="0" applyNumberFormat="1" applyFont="1" applyFill="1" applyBorder="1" applyAlignment="1">
      <alignment horizontal="center" vertical="center" wrapText="1"/>
    </xf>
    <xf numFmtId="0" fontId="76" fillId="61" borderId="40" xfId="59" applyFont="1" applyFill="1" applyBorder="1" applyAlignment="1">
      <alignment horizontal="center" vertical="center" wrapText="1"/>
    </xf>
    <xf numFmtId="0" fontId="76" fillId="61" borderId="58" xfId="59" applyFont="1" applyFill="1" applyBorder="1" applyAlignment="1">
      <alignment horizontal="center" vertical="center" wrapText="1"/>
    </xf>
    <xf numFmtId="0" fontId="74" fillId="31" borderId="0" xfId="0" applyFont="1" applyFill="1" applyAlignment="1">
      <alignment horizontal="center" vertical="center"/>
    </xf>
    <xf numFmtId="0" fontId="62" fillId="27" borderId="0" xfId="0" applyFont="1" applyFill="1" applyAlignment="1">
      <alignment horizontal="center"/>
    </xf>
    <xf numFmtId="0" fontId="75" fillId="48" borderId="11" xfId="59" applyFont="1" applyFill="1" applyBorder="1" applyAlignment="1">
      <alignment horizontal="center" vertical="center" wrapText="1"/>
    </xf>
    <xf numFmtId="0" fontId="75" fillId="48" borderId="52" xfId="59" applyFont="1" applyFill="1" applyBorder="1" applyAlignment="1">
      <alignment horizontal="center" vertical="center" wrapText="1"/>
    </xf>
    <xf numFmtId="0" fontId="74" fillId="57" borderId="88" xfId="59" applyFont="1" applyFill="1" applyBorder="1" applyAlignment="1">
      <alignment horizontal="center" vertical="center" textRotation="90" wrapText="1"/>
    </xf>
    <xf numFmtId="0" fontId="74" fillId="57" borderId="49" xfId="59" applyFont="1" applyFill="1" applyBorder="1" applyAlignment="1">
      <alignment horizontal="center" vertical="center" textRotation="90" wrapText="1"/>
    </xf>
    <xf numFmtId="0" fontId="74" fillId="57" borderId="34" xfId="59" applyFont="1" applyFill="1" applyBorder="1" applyAlignment="1">
      <alignment horizontal="center" vertical="center" textRotation="90" wrapText="1"/>
    </xf>
    <xf numFmtId="0" fontId="77" fillId="50" borderId="77" xfId="59" applyFont="1" applyFill="1" applyBorder="1" applyAlignment="1">
      <alignment horizontal="center" vertical="center" wrapText="1"/>
    </xf>
    <xf numFmtId="0" fontId="77" fillId="50" borderId="74" xfId="59" applyFont="1" applyFill="1" applyBorder="1" applyAlignment="1">
      <alignment horizontal="center" vertical="center" wrapText="1"/>
    </xf>
    <xf numFmtId="0" fontId="77" fillId="50" borderId="14" xfId="59" applyFont="1" applyFill="1" applyBorder="1" applyAlignment="1">
      <alignment horizontal="center" vertical="center" wrapText="1"/>
    </xf>
    <xf numFmtId="0" fontId="77" fillId="58" borderId="11" xfId="59" applyFont="1" applyFill="1" applyBorder="1" applyAlignment="1">
      <alignment horizontal="center" vertical="center" wrapText="1"/>
    </xf>
    <xf numFmtId="0" fontId="77" fillId="58" borderId="52" xfId="59" applyFont="1" applyFill="1" applyBorder="1" applyAlignment="1">
      <alignment horizontal="center" vertical="center" wrapText="1"/>
    </xf>
    <xf numFmtId="0" fontId="77" fillId="58" borderId="72" xfId="59" applyFont="1" applyFill="1" applyBorder="1" applyAlignment="1">
      <alignment horizontal="center" vertical="center" wrapText="1"/>
    </xf>
    <xf numFmtId="0" fontId="77" fillId="58" borderId="60" xfId="59" applyFont="1" applyFill="1" applyBorder="1" applyAlignment="1">
      <alignment horizontal="center" vertical="center" wrapText="1"/>
    </xf>
    <xf numFmtId="0" fontId="81" fillId="48" borderId="84" xfId="59" applyFont="1" applyFill="1" applyBorder="1" applyAlignment="1">
      <alignment horizontal="center" vertical="center" wrapText="1"/>
    </xf>
    <xf numFmtId="0" fontId="81" fillId="48" borderId="85" xfId="59" applyFont="1" applyFill="1" applyBorder="1" applyAlignment="1">
      <alignment horizontal="center" vertical="center" wrapText="1"/>
    </xf>
    <xf numFmtId="0" fontId="75" fillId="48" borderId="83" xfId="59" applyFont="1" applyFill="1" applyBorder="1" applyAlignment="1">
      <alignment horizontal="center" vertical="center" wrapText="1"/>
    </xf>
    <xf numFmtId="0" fontId="75" fillId="48" borderId="87" xfId="59" applyFont="1" applyFill="1" applyBorder="1" applyAlignment="1">
      <alignment horizontal="center" vertical="center" wrapText="1"/>
    </xf>
    <xf numFmtId="0" fontId="77" fillId="52" borderId="77" xfId="59" applyFont="1" applyFill="1" applyBorder="1" applyAlignment="1">
      <alignment horizontal="center" vertical="center" wrapText="1"/>
    </xf>
    <xf numFmtId="0" fontId="77" fillId="52" borderId="14" xfId="59" applyFont="1" applyFill="1" applyBorder="1" applyAlignment="1">
      <alignment horizontal="center" vertical="center" wrapText="1"/>
    </xf>
    <xf numFmtId="0" fontId="77" fillId="52" borderId="74" xfId="59" applyFont="1" applyFill="1" applyBorder="1" applyAlignment="1">
      <alignment horizontal="center" vertical="center" wrapText="1"/>
    </xf>
    <xf numFmtId="0" fontId="74" fillId="55" borderId="88" xfId="59" applyFont="1" applyFill="1" applyBorder="1" applyAlignment="1">
      <alignment horizontal="center" vertical="center" textRotation="90" wrapText="1"/>
    </xf>
    <xf numFmtId="0" fontId="74" fillId="55" borderId="49" xfId="59" applyFont="1" applyFill="1" applyBorder="1" applyAlignment="1">
      <alignment horizontal="center" vertical="center" textRotation="90" wrapText="1"/>
    </xf>
    <xf numFmtId="0" fontId="74" fillId="55" borderId="34" xfId="59" applyFont="1" applyFill="1" applyBorder="1" applyAlignment="1">
      <alignment horizontal="center" vertical="center" textRotation="90" wrapText="1"/>
    </xf>
    <xf numFmtId="0" fontId="77" fillId="49" borderId="77" xfId="59" applyFont="1" applyFill="1" applyBorder="1" applyAlignment="1">
      <alignment horizontal="center" vertical="center" wrapText="1"/>
    </xf>
    <xf numFmtId="0" fontId="77" fillId="49" borderId="14" xfId="59" applyFont="1" applyFill="1" applyBorder="1" applyAlignment="1">
      <alignment horizontal="center" vertical="center" wrapText="1"/>
    </xf>
    <xf numFmtId="0" fontId="77" fillId="49" borderId="74" xfId="59" applyFont="1" applyFill="1" applyBorder="1" applyAlignment="1">
      <alignment horizontal="center" vertical="center" wrapText="1"/>
    </xf>
    <xf numFmtId="0" fontId="74" fillId="59" borderId="88" xfId="59" applyFont="1" applyFill="1" applyBorder="1" applyAlignment="1">
      <alignment horizontal="center" vertical="center" textRotation="90" wrapText="1"/>
    </xf>
    <xf numFmtId="0" fontId="74" fillId="59" borderId="49" xfId="59" applyFont="1" applyFill="1" applyBorder="1" applyAlignment="1">
      <alignment horizontal="center" vertical="center" textRotation="90" wrapText="1"/>
    </xf>
    <xf numFmtId="0" fontId="74" fillId="59" borderId="34" xfId="59" applyFont="1" applyFill="1" applyBorder="1" applyAlignment="1">
      <alignment horizontal="center" vertical="center" textRotation="90" wrapText="1"/>
    </xf>
    <xf numFmtId="0" fontId="77" fillId="52" borderId="60" xfId="59" applyFont="1" applyFill="1" applyBorder="1" applyAlignment="1">
      <alignment horizontal="center" vertical="center" wrapText="1"/>
    </xf>
    <xf numFmtId="0" fontId="77" fillId="52" borderId="0" xfId="59" applyFont="1" applyFill="1" applyBorder="1" applyAlignment="1">
      <alignment horizontal="center" vertical="center" wrapText="1"/>
    </xf>
    <xf numFmtId="0" fontId="77" fillId="52" borderId="54" xfId="59" applyFont="1" applyFill="1" applyBorder="1" applyAlignment="1">
      <alignment horizontal="center" vertical="center" wrapText="1"/>
    </xf>
    <xf numFmtId="0" fontId="77" fillId="52" borderId="63" xfId="59" applyFont="1" applyFill="1" applyBorder="1" applyAlignment="1">
      <alignment horizontal="center" vertical="center" wrapText="1"/>
    </xf>
    <xf numFmtId="0" fontId="79" fillId="54" borderId="12" xfId="59" applyFont="1" applyFill="1" applyBorder="1" applyAlignment="1">
      <alignment horizontal="center"/>
    </xf>
    <xf numFmtId="0" fontId="79" fillId="54" borderId="13" xfId="59" applyFont="1" applyFill="1" applyBorder="1" applyAlignment="1">
      <alignment horizontal="center"/>
    </xf>
    <xf numFmtId="0" fontId="75" fillId="48" borderId="57" xfId="59" applyFont="1" applyFill="1" applyBorder="1" applyAlignment="1">
      <alignment horizontal="center" vertical="center" wrapText="1"/>
    </xf>
    <xf numFmtId="0" fontId="75" fillId="48" borderId="77" xfId="59" applyFont="1" applyFill="1" applyBorder="1" applyAlignment="1">
      <alignment horizontal="center" vertical="center" wrapText="1"/>
    </xf>
    <xf numFmtId="0" fontId="75" fillId="48" borderId="72" xfId="59" applyFont="1" applyFill="1" applyBorder="1" applyAlignment="1">
      <alignment horizontal="center" vertical="center" wrapText="1"/>
    </xf>
    <xf numFmtId="0" fontId="75" fillId="48" borderId="89" xfId="59" applyFont="1" applyFill="1" applyBorder="1" applyAlignment="1">
      <alignment horizontal="center" vertical="center" wrapText="1"/>
    </xf>
    <xf numFmtId="0" fontId="75" fillId="48" borderId="84" xfId="59" applyFont="1" applyFill="1" applyBorder="1" applyAlignment="1">
      <alignment horizontal="center" vertical="center" wrapText="1"/>
    </xf>
    <xf numFmtId="0" fontId="75" fillId="48" borderId="80" xfId="59" applyFont="1" applyFill="1" applyBorder="1" applyAlignment="1">
      <alignment horizontal="center" vertical="center" wrapText="1"/>
    </xf>
    <xf numFmtId="0" fontId="75" fillId="48" borderId="25" xfId="59" applyFont="1" applyFill="1" applyBorder="1" applyAlignment="1">
      <alignment horizontal="center" vertical="center" wrapText="1"/>
    </xf>
    <xf numFmtId="3" fontId="37" fillId="36" borderId="29" xfId="0" applyNumberFormat="1" applyFont="1" applyFill="1" applyBorder="1" applyAlignment="1">
      <alignment horizontal="center" vertical="center" wrapText="1"/>
    </xf>
    <xf numFmtId="0" fontId="43" fillId="37" borderId="0" xfId="0" applyFont="1" applyFill="1" applyBorder="1" applyAlignment="1">
      <alignment horizontal="center"/>
    </xf>
    <xf numFmtId="0" fontId="30" fillId="21" borderId="12" xfId="0" applyFont="1" applyFill="1" applyBorder="1" applyAlignment="1">
      <alignment horizontal="center"/>
    </xf>
    <xf numFmtId="0" fontId="30" fillId="21" borderId="13" xfId="0" applyFont="1" applyFill="1" applyBorder="1" applyAlignment="1">
      <alignment horizontal="center"/>
    </xf>
    <xf numFmtId="0" fontId="46" fillId="23" borderId="19" xfId="0" applyFont="1" applyFill="1" applyBorder="1" applyAlignment="1">
      <alignment horizontal="center"/>
    </xf>
    <xf numFmtId="0" fontId="46" fillId="2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22" borderId="19" xfId="0" applyFont="1" applyFill="1" applyBorder="1" applyAlignment="1">
      <alignment horizontal="center"/>
    </xf>
    <xf numFmtId="0" fontId="4" fillId="23" borderId="12" xfId="0" applyFont="1" applyFill="1" applyBorder="1" applyAlignment="1">
      <alignment horizontal="center"/>
    </xf>
    <xf numFmtId="0" fontId="4" fillId="23" borderId="13" xfId="0" applyFont="1" applyFill="1" applyBorder="1" applyAlignment="1">
      <alignment horizontal="center"/>
    </xf>
    <xf numFmtId="0" fontId="4" fillId="23" borderId="20" xfId="0" applyFont="1" applyFill="1" applyBorder="1" applyAlignment="1">
      <alignment horizontal="center"/>
    </xf>
    <xf numFmtId="0" fontId="28" fillId="21" borderId="39" xfId="0" applyFont="1" applyFill="1" applyBorder="1" applyAlignment="1">
      <alignment horizontal="center"/>
    </xf>
    <xf numFmtId="0" fontId="28" fillId="21" borderId="51" xfId="0" applyFont="1" applyFill="1" applyBorder="1" applyAlignment="1">
      <alignment horizontal="center"/>
    </xf>
    <xf numFmtId="0" fontId="28" fillId="21" borderId="40" xfId="0" applyFont="1" applyFill="1" applyBorder="1" applyAlignment="1">
      <alignment horizontal="center"/>
    </xf>
    <xf numFmtId="0" fontId="29" fillId="21" borderId="15" xfId="0" applyFont="1" applyFill="1" applyBorder="1" applyAlignment="1">
      <alignment horizontal="center" vertical="center"/>
    </xf>
    <xf numFmtId="0" fontId="29" fillId="21" borderId="0" xfId="0" applyFont="1" applyFill="1" applyBorder="1" applyAlignment="1">
      <alignment horizontal="center" vertical="center"/>
    </xf>
    <xf numFmtId="0" fontId="3" fillId="21" borderId="15" xfId="0" applyFont="1" applyFill="1" applyBorder="1" applyAlignment="1" applyProtection="1">
      <alignment horizontal="center" vertical="center"/>
    </xf>
    <xf numFmtId="0" fontId="3" fillId="21" borderId="0" xfId="0" applyFont="1" applyFill="1" applyBorder="1" applyAlignment="1" applyProtection="1">
      <alignment horizontal="center" vertical="center"/>
    </xf>
    <xf numFmtId="0" fontId="3" fillId="21" borderId="15" xfId="0" applyFont="1" applyFill="1" applyBorder="1" applyAlignment="1">
      <alignment horizontal="center" vertical="center"/>
    </xf>
    <xf numFmtId="0" fontId="3" fillId="39" borderId="15" xfId="0" applyFont="1" applyFill="1" applyBorder="1" applyAlignment="1">
      <alignment horizontal="center" vertical="center"/>
    </xf>
    <xf numFmtId="0" fontId="29" fillId="39" borderId="0" xfId="0" applyFont="1" applyFill="1" applyBorder="1" applyAlignment="1">
      <alignment horizontal="center" vertical="center"/>
    </xf>
    <xf numFmtId="0" fontId="29" fillId="21" borderId="0" xfId="0" applyFont="1" applyFill="1" applyBorder="1" applyAlignment="1" applyProtection="1">
      <alignment horizontal="center" vertical="center"/>
    </xf>
    <xf numFmtId="0" fontId="28" fillId="22" borderId="44" xfId="0" applyFont="1" applyFill="1" applyBorder="1" applyAlignment="1">
      <alignment horizontal="center" vertical="center" wrapText="1"/>
    </xf>
    <xf numFmtId="0" fontId="28" fillId="22" borderId="19" xfId="0" applyFont="1" applyFill="1" applyBorder="1" applyAlignment="1">
      <alignment horizontal="center" vertical="center" wrapText="1"/>
    </xf>
    <xf numFmtId="0" fontId="28" fillId="22" borderId="35" xfId="0" applyFont="1" applyFill="1" applyBorder="1" applyAlignment="1">
      <alignment horizontal="center" vertical="center" wrapText="1"/>
    </xf>
    <xf numFmtId="0" fontId="28" fillId="22" borderId="37" xfId="0" applyFont="1" applyFill="1" applyBorder="1" applyAlignment="1">
      <alignment horizontal="center" vertical="center" wrapText="1"/>
    </xf>
    <xf numFmtId="0" fontId="28" fillId="22" borderId="78" xfId="0" applyFont="1" applyFill="1" applyBorder="1" applyAlignment="1">
      <alignment horizontal="center" vertical="center" wrapText="1"/>
    </xf>
    <xf numFmtId="0" fontId="28" fillId="22" borderId="79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 wrapText="1"/>
    </xf>
    <xf numFmtId="0" fontId="4" fillId="23" borderId="19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47" borderId="19" xfId="0" applyFont="1" applyFill="1" applyBorder="1" applyAlignment="1">
      <alignment horizontal="center" vertical="center" wrapText="1"/>
    </xf>
    <xf numFmtId="0" fontId="4" fillId="47" borderId="0" xfId="0" applyFont="1" applyFill="1" applyBorder="1" applyAlignment="1">
      <alignment horizontal="center" vertical="center" wrapText="1"/>
    </xf>
    <xf numFmtId="0" fontId="28" fillId="26" borderId="13" xfId="0" applyFont="1" applyFill="1" applyBorder="1" applyAlignment="1">
      <alignment horizontal="center" vertical="center"/>
    </xf>
    <xf numFmtId="0" fontId="4" fillId="44" borderId="13" xfId="0" applyFont="1" applyFill="1" applyBorder="1" applyAlignment="1">
      <alignment horizontal="center" vertical="center" wrapText="1"/>
    </xf>
    <xf numFmtId="0" fontId="4" fillId="23" borderId="19" xfId="0" applyFont="1" applyFill="1" applyBorder="1" applyAlignment="1">
      <alignment horizontal="center" vertical="center" wrapText="1"/>
    </xf>
    <xf numFmtId="0" fontId="28" fillId="26" borderId="12" xfId="0" applyFont="1" applyFill="1" applyBorder="1" applyAlignment="1">
      <alignment horizontal="center" vertical="center"/>
    </xf>
    <xf numFmtId="0" fontId="28" fillId="26" borderId="20" xfId="0" applyFont="1" applyFill="1" applyBorder="1" applyAlignment="1">
      <alignment horizontal="center" vertical="center"/>
    </xf>
    <xf numFmtId="0" fontId="28" fillId="51" borderId="12" xfId="0" applyFont="1" applyFill="1" applyBorder="1" applyAlignment="1">
      <alignment horizontal="center" vertical="center"/>
    </xf>
    <xf numFmtId="0" fontId="28" fillId="51" borderId="13" xfId="0" applyFont="1" applyFill="1" applyBorder="1" applyAlignment="1">
      <alignment horizontal="center" vertical="center"/>
    </xf>
    <xf numFmtId="0" fontId="28" fillId="51" borderId="20" xfId="0" applyFont="1" applyFill="1" applyBorder="1" applyAlignment="1">
      <alignment horizontal="center" vertical="center"/>
    </xf>
    <xf numFmtId="49" fontId="28" fillId="26" borderId="38" xfId="0" applyNumberFormat="1" applyFont="1" applyFill="1" applyBorder="1" applyAlignment="1">
      <alignment horizontal="center" vertical="center"/>
    </xf>
    <xf numFmtId="49" fontId="28" fillId="26" borderId="21" xfId="0" applyNumberFormat="1" applyFont="1" applyFill="1" applyBorder="1" applyAlignment="1">
      <alignment horizontal="center" vertical="center"/>
    </xf>
    <xf numFmtId="49" fontId="28" fillId="26" borderId="29" xfId="0" applyNumberFormat="1" applyFont="1" applyFill="1" applyBorder="1" applyAlignment="1">
      <alignment horizontal="center" vertical="center"/>
    </xf>
    <xf numFmtId="0" fontId="28" fillId="47" borderId="38" xfId="0" applyFont="1" applyFill="1" applyBorder="1" applyAlignment="1">
      <alignment horizontal="center" vertical="center" wrapText="1"/>
    </xf>
    <xf numFmtId="0" fontId="28" fillId="47" borderId="21" xfId="0" applyFont="1" applyFill="1" applyBorder="1" applyAlignment="1">
      <alignment horizontal="center" vertical="center" wrapText="1"/>
    </xf>
    <xf numFmtId="0" fontId="28" fillId="47" borderId="29" xfId="0" applyFont="1" applyFill="1" applyBorder="1" applyAlignment="1">
      <alignment horizontal="center" vertical="center" wrapText="1"/>
    </xf>
    <xf numFmtId="0" fontId="4" fillId="27" borderId="19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 wrapText="1"/>
    </xf>
    <xf numFmtId="0" fontId="4" fillId="40" borderId="19" xfId="0" applyFont="1" applyFill="1" applyBorder="1" applyAlignment="1">
      <alignment horizontal="center" vertical="center" wrapText="1"/>
    </xf>
    <xf numFmtId="0" fontId="69" fillId="43" borderId="38" xfId="0" applyFont="1" applyFill="1" applyBorder="1" applyAlignment="1">
      <alignment horizontal="center" vertical="center"/>
    </xf>
    <xf numFmtId="0" fontId="69" fillId="43" borderId="21" xfId="0" applyFont="1" applyFill="1" applyBorder="1" applyAlignment="1">
      <alignment horizontal="center" vertical="center"/>
    </xf>
    <xf numFmtId="0" fontId="69" fillId="43" borderId="29" xfId="0" applyFont="1" applyFill="1" applyBorder="1" applyAlignment="1">
      <alignment horizontal="center" vertical="center"/>
    </xf>
    <xf numFmtId="0" fontId="4" fillId="43" borderId="38" xfId="0" applyFont="1" applyFill="1" applyBorder="1" applyAlignment="1">
      <alignment horizontal="center" vertical="center" wrapText="1"/>
    </xf>
    <xf numFmtId="0" fontId="4" fillId="43" borderId="21" xfId="0" applyFont="1" applyFill="1" applyBorder="1" applyAlignment="1">
      <alignment horizontal="center" vertical="center" wrapText="1"/>
    </xf>
    <xf numFmtId="0" fontId="4" fillId="43" borderId="29" xfId="0" applyFont="1" applyFill="1" applyBorder="1" applyAlignment="1">
      <alignment horizontal="center" vertical="center" wrapText="1"/>
    </xf>
    <xf numFmtId="0" fontId="69" fillId="43" borderId="17" xfId="0" applyFont="1" applyFill="1" applyBorder="1" applyAlignment="1">
      <alignment horizontal="center" vertical="center"/>
    </xf>
    <xf numFmtId="0" fontId="69" fillId="43" borderId="79" xfId="0" applyFont="1" applyFill="1" applyBorder="1" applyAlignment="1">
      <alignment horizontal="center" vertical="center"/>
    </xf>
    <xf numFmtId="0" fontId="73" fillId="50" borderId="44" xfId="0" applyFont="1" applyFill="1" applyBorder="1" applyAlignment="1">
      <alignment horizontal="left"/>
    </xf>
    <xf numFmtId="0" fontId="73" fillId="50" borderId="19" xfId="0" applyFont="1" applyFill="1" applyBorder="1" applyAlignment="1">
      <alignment horizontal="left"/>
    </xf>
    <xf numFmtId="0" fontId="86" fillId="22" borderId="12" xfId="0" applyFont="1" applyFill="1" applyBorder="1" applyAlignment="1">
      <alignment horizontal="center"/>
    </xf>
    <xf numFmtId="0" fontId="86" fillId="22" borderId="20" xfId="0" applyFont="1" applyFill="1" applyBorder="1" applyAlignment="1">
      <alignment horizontal="center"/>
    </xf>
    <xf numFmtId="0" fontId="67" fillId="41" borderId="0" xfId="0" applyFont="1" applyFill="1" applyAlignment="1">
      <alignment vertical="top" wrapText="1"/>
    </xf>
    <xf numFmtId="0" fontId="33" fillId="35" borderId="12" xfId="0" applyFont="1" applyFill="1" applyBorder="1" applyAlignment="1">
      <alignment horizontal="center" vertical="center"/>
    </xf>
    <xf numFmtId="0" fontId="33" fillId="35" borderId="13" xfId="0" applyFont="1" applyFill="1" applyBorder="1" applyAlignment="1">
      <alignment horizontal="center" vertical="center"/>
    </xf>
    <xf numFmtId="0" fontId="33" fillId="35" borderId="20" xfId="0" applyFont="1" applyFill="1" applyBorder="1" applyAlignment="1">
      <alignment horizontal="center" vertical="center"/>
    </xf>
    <xf numFmtId="0" fontId="60" fillId="33" borderId="0" xfId="0" applyFont="1" applyFill="1" applyAlignment="1">
      <alignment horizontal="center" vertical="center"/>
    </xf>
    <xf numFmtId="0" fontId="60" fillId="30" borderId="0" xfId="0" applyFont="1" applyFill="1" applyAlignment="1">
      <alignment horizontal="center" vertical="center"/>
    </xf>
    <xf numFmtId="0" fontId="32" fillId="39" borderId="43" xfId="0" applyFont="1" applyFill="1" applyBorder="1" applyAlignment="1">
      <alignment horizontal="center"/>
    </xf>
    <xf numFmtId="0" fontId="32" fillId="39" borderId="47" xfId="0" applyFont="1" applyFill="1" applyBorder="1" applyAlignment="1">
      <alignment horizontal="center"/>
    </xf>
    <xf numFmtId="0" fontId="34" fillId="21" borderId="0" xfId="0" applyFont="1" applyFill="1" applyBorder="1" applyAlignment="1">
      <alignment horizontal="right"/>
    </xf>
    <xf numFmtId="0" fontId="37" fillId="28" borderId="12" xfId="0" applyFont="1" applyFill="1" applyBorder="1" applyAlignment="1">
      <alignment horizontal="center" vertical="center" wrapText="1"/>
    </xf>
    <xf numFmtId="0" fontId="37" fillId="28" borderId="13" xfId="0" applyFont="1" applyFill="1" applyBorder="1" applyAlignment="1">
      <alignment horizontal="center" vertical="center" wrapText="1"/>
    </xf>
    <xf numFmtId="0" fontId="37" fillId="28" borderId="20" xfId="0" applyFont="1" applyFill="1" applyBorder="1" applyAlignment="1">
      <alignment horizontal="center" vertical="center" wrapText="1"/>
    </xf>
    <xf numFmtId="0" fontId="31" fillId="21" borderId="0" xfId="0" applyFont="1" applyFill="1" applyAlignment="1">
      <alignment horizontal="center"/>
    </xf>
    <xf numFmtId="0" fontId="31" fillId="40" borderId="0" xfId="0" applyFont="1" applyFill="1" applyAlignment="1">
      <alignment horizontal="center"/>
    </xf>
    <xf numFmtId="0" fontId="34" fillId="24" borderId="0" xfId="0" applyFont="1" applyFill="1" applyBorder="1" applyAlignment="1">
      <alignment horizontal="right"/>
    </xf>
    <xf numFmtId="0" fontId="31" fillId="24" borderId="0" xfId="0" applyFont="1" applyFill="1" applyBorder="1" applyAlignment="1">
      <alignment horizontal="center"/>
    </xf>
    <xf numFmtId="0" fontId="31" fillId="22" borderId="11" xfId="0" applyFont="1" applyFill="1" applyBorder="1" applyAlignment="1">
      <alignment horizontal="center"/>
    </xf>
    <xf numFmtId="0" fontId="31" fillId="22" borderId="52" xfId="0" applyFont="1" applyFill="1" applyBorder="1" applyAlignment="1">
      <alignment horizontal="center"/>
    </xf>
    <xf numFmtId="0" fontId="31" fillId="22" borderId="61" xfId="0" applyFont="1" applyFill="1" applyBorder="1" applyAlignment="1">
      <alignment horizontal="center"/>
    </xf>
    <xf numFmtId="0" fontId="63" fillId="34" borderId="16" xfId="0" applyFont="1" applyFill="1" applyBorder="1" applyAlignment="1">
      <alignment horizontal="center" vertical="center"/>
    </xf>
    <xf numFmtId="0" fontId="63" fillId="34" borderId="44" xfId="0" applyFont="1" applyFill="1" applyBorder="1" applyAlignment="1">
      <alignment horizontal="center" vertical="center"/>
    </xf>
    <xf numFmtId="0" fontId="63" fillId="34" borderId="19" xfId="0" applyFont="1" applyFill="1" applyBorder="1" applyAlignment="1">
      <alignment horizontal="center" vertical="center"/>
    </xf>
    <xf numFmtId="0" fontId="63" fillId="34" borderId="35" xfId="0" applyFont="1" applyFill="1" applyBorder="1" applyAlignment="1">
      <alignment horizontal="center" vertical="center"/>
    </xf>
    <xf numFmtId="0" fontId="61" fillId="21" borderId="0" xfId="0" applyFont="1" applyFill="1" applyAlignment="1">
      <alignment horizontal="center"/>
    </xf>
    <xf numFmtId="0" fontId="34" fillId="45" borderId="0" xfId="0" applyFont="1" applyFill="1" applyBorder="1" applyAlignment="1">
      <alignment horizontal="right"/>
    </xf>
    <xf numFmtId="0" fontId="37" fillId="45" borderId="0" xfId="0" applyFont="1" applyFill="1" applyBorder="1" applyAlignment="1">
      <alignment horizontal="center" vertical="center"/>
    </xf>
    <xf numFmtId="0" fontId="32" fillId="45" borderId="0" xfId="0" applyFont="1" applyFill="1" applyBorder="1" applyAlignment="1">
      <alignment horizontal="center"/>
    </xf>
    <xf numFmtId="0" fontId="33" fillId="45" borderId="23" xfId="0" applyFont="1" applyFill="1" applyBorder="1" applyAlignment="1">
      <alignment horizontal="center"/>
    </xf>
    <xf numFmtId="0" fontId="33" fillId="45" borderId="25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/>
    </xf>
    <xf numFmtId="0" fontId="31" fillId="39" borderId="11" xfId="0" applyFont="1" applyFill="1" applyBorder="1" applyAlignment="1">
      <alignment horizontal="center"/>
    </xf>
    <xf numFmtId="0" fontId="31" fillId="39" borderId="52" xfId="0" applyFont="1" applyFill="1" applyBorder="1" applyAlignment="1">
      <alignment horizontal="center"/>
    </xf>
    <xf numFmtId="0" fontId="31" fillId="39" borderId="61" xfId="0" applyFont="1" applyFill="1" applyBorder="1" applyAlignment="1">
      <alignment horizontal="center"/>
    </xf>
    <xf numFmtId="0" fontId="87" fillId="21" borderId="0" xfId="0" applyFont="1" applyFill="1" applyBorder="1" applyAlignment="1">
      <alignment horizontal="left"/>
    </xf>
    <xf numFmtId="0" fontId="87" fillId="21" borderId="68" xfId="0" applyFont="1" applyFill="1" applyBorder="1" applyAlignment="1">
      <alignment horizontal="left"/>
    </xf>
    <xf numFmtId="0" fontId="28" fillId="32" borderId="69" xfId="0" applyFont="1" applyFill="1" applyBorder="1" applyAlignment="1">
      <alignment horizontal="center"/>
    </xf>
    <xf numFmtId="0" fontId="28" fillId="32" borderId="33" xfId="0" applyFont="1" applyFill="1" applyBorder="1" applyAlignment="1">
      <alignment horizontal="center"/>
    </xf>
    <xf numFmtId="3" fontId="50" fillId="28" borderId="38" xfId="0" applyNumberFormat="1" applyFont="1" applyFill="1" applyBorder="1" applyAlignment="1">
      <alignment horizontal="center" vertical="center" wrapText="1"/>
    </xf>
    <xf numFmtId="3" fontId="50" fillId="28" borderId="29" xfId="0" applyNumberFormat="1" applyFont="1" applyFill="1" applyBorder="1" applyAlignment="1">
      <alignment horizontal="center" vertical="center" wrapText="1"/>
    </xf>
    <xf numFmtId="0" fontId="28" fillId="32" borderId="59" xfId="0" applyFont="1" applyFill="1" applyBorder="1" applyAlignment="1">
      <alignment horizontal="center"/>
    </xf>
    <xf numFmtId="0" fontId="28" fillId="32" borderId="46" xfId="0" applyFont="1" applyFill="1" applyBorder="1" applyAlignment="1">
      <alignment horizontal="center"/>
    </xf>
    <xf numFmtId="0" fontId="28" fillId="32" borderId="15" xfId="0" applyFont="1" applyFill="1" applyBorder="1" applyAlignment="1">
      <alignment horizontal="center"/>
    </xf>
    <xf numFmtId="0" fontId="62" fillId="40" borderId="0" xfId="0" applyFont="1" applyFill="1" applyAlignment="1">
      <alignment horizontal="center"/>
    </xf>
    <xf numFmtId="0" fontId="62" fillId="21" borderId="0" xfId="0" applyFont="1" applyFill="1" applyAlignment="1">
      <alignment horizontal="center"/>
    </xf>
    <xf numFmtId="0" fontId="62" fillId="21" borderId="16" xfId="0" applyFont="1" applyFill="1" applyBorder="1" applyAlignment="1">
      <alignment horizontal="center"/>
    </xf>
    <xf numFmtId="0" fontId="50" fillId="28" borderId="51" xfId="0" applyFont="1" applyFill="1" applyBorder="1" applyAlignment="1">
      <alignment horizontal="center" vertical="center" wrapText="1"/>
    </xf>
    <xf numFmtId="0" fontId="50" fillId="28" borderId="14" xfId="0" applyFont="1" applyFill="1" applyBorder="1" applyAlignment="1">
      <alignment horizontal="center" vertical="center" wrapText="1"/>
    </xf>
    <xf numFmtId="0" fontId="50" fillId="28" borderId="40" xfId="0" applyFont="1" applyFill="1" applyBorder="1" applyAlignment="1">
      <alignment horizontal="center" vertical="center" wrapText="1"/>
    </xf>
    <xf numFmtId="0" fontId="50" fillId="28" borderId="70" xfId="0" applyFont="1" applyFill="1" applyBorder="1" applyAlignment="1">
      <alignment horizontal="center" vertical="center" wrapText="1"/>
    </xf>
    <xf numFmtId="3" fontId="50" fillId="28" borderId="38" xfId="0" applyNumberFormat="1" applyFont="1" applyFill="1" applyBorder="1" applyAlignment="1">
      <alignment horizontal="center" wrapText="1"/>
    </xf>
    <xf numFmtId="3" fontId="50" fillId="28" borderId="29" xfId="0" applyNumberFormat="1" applyFont="1" applyFill="1" applyBorder="1" applyAlignment="1">
      <alignment horizontal="center" wrapText="1"/>
    </xf>
    <xf numFmtId="0" fontId="28" fillId="32" borderId="59" xfId="0" applyFont="1" applyFill="1" applyBorder="1" applyAlignment="1">
      <alignment horizontal="center" vertical="center" wrapText="1"/>
    </xf>
    <xf numFmtId="0" fontId="28" fillId="32" borderId="71" xfId="0" applyFont="1" applyFill="1" applyBorder="1" applyAlignment="1">
      <alignment horizontal="center" vertical="center" wrapText="1"/>
    </xf>
    <xf numFmtId="0" fontId="28" fillId="32" borderId="37" xfId="0" applyFont="1" applyFill="1" applyBorder="1" applyAlignment="1">
      <alignment horizontal="center"/>
    </xf>
    <xf numFmtId="0" fontId="28" fillId="32" borderId="79" xfId="0" applyFont="1" applyFill="1" applyBorder="1" applyAlignment="1">
      <alignment horizontal="center"/>
    </xf>
    <xf numFmtId="0" fontId="28" fillId="32" borderId="47" xfId="0" applyFont="1" applyFill="1" applyBorder="1" applyAlignment="1">
      <alignment horizontal="center"/>
    </xf>
    <xf numFmtId="0" fontId="0" fillId="30" borderId="0" xfId="0" applyFill="1" applyBorder="1" applyAlignment="1">
      <alignment horizontal="center"/>
    </xf>
    <xf numFmtId="0" fontId="28" fillId="32" borderId="71" xfId="0" applyFont="1" applyFill="1" applyBorder="1" applyAlignment="1">
      <alignment horizontal="center"/>
    </xf>
    <xf numFmtId="0" fontId="64" fillId="38" borderId="12" xfId="0" applyFont="1" applyFill="1" applyBorder="1" applyAlignment="1">
      <alignment horizontal="center"/>
    </xf>
    <xf numFmtId="0" fontId="64" fillId="38" borderId="13" xfId="0" applyFont="1" applyFill="1" applyBorder="1" applyAlignment="1">
      <alignment horizontal="center"/>
    </xf>
    <xf numFmtId="0" fontId="64" fillId="38" borderId="20" xfId="0" applyFont="1" applyFill="1" applyBorder="1" applyAlignment="1">
      <alignment horizontal="center"/>
    </xf>
    <xf numFmtId="0" fontId="50" fillId="28" borderId="38" xfId="0" applyFont="1" applyFill="1" applyBorder="1" applyAlignment="1">
      <alignment horizontal="center" vertical="center" wrapText="1"/>
    </xf>
    <xf numFmtId="0" fontId="50" fillId="28" borderId="21" xfId="0" applyFont="1" applyFill="1" applyBorder="1" applyAlignment="1">
      <alignment horizontal="center" vertical="center" wrapText="1"/>
    </xf>
    <xf numFmtId="0" fontId="62" fillId="21" borderId="0" xfId="0" applyNumberFormat="1" applyFont="1" applyFill="1" applyAlignment="1">
      <alignment horizontal="center"/>
    </xf>
    <xf numFmtId="0" fontId="49" fillId="34" borderId="51" xfId="0" applyFont="1" applyFill="1" applyBorder="1" applyAlignment="1">
      <alignment horizontal="center" vertical="center" wrapText="1"/>
    </xf>
    <xf numFmtId="0" fontId="49" fillId="34" borderId="14" xfId="0" applyFont="1" applyFill="1" applyBorder="1" applyAlignment="1">
      <alignment horizontal="center" vertical="center" wrapText="1"/>
    </xf>
    <xf numFmtId="0" fontId="50" fillId="28" borderId="39" xfId="0" applyFont="1" applyFill="1" applyBorder="1" applyAlignment="1">
      <alignment horizontal="center" vertical="center" wrapText="1"/>
    </xf>
    <xf numFmtId="0" fontId="50" fillId="28" borderId="49" xfId="0" applyFont="1" applyFill="1" applyBorder="1" applyAlignment="1">
      <alignment horizontal="center" vertical="center" wrapText="1"/>
    </xf>
    <xf numFmtId="0" fontId="62" fillId="40" borderId="0" xfId="0" applyNumberFormat="1" applyFont="1" applyFill="1" applyAlignment="1">
      <alignment horizontal="center"/>
    </xf>
    <xf numFmtId="0" fontId="49" fillId="34" borderId="40" xfId="0" applyFont="1" applyFill="1" applyBorder="1" applyAlignment="1">
      <alignment horizontal="center" vertical="center" wrapText="1"/>
    </xf>
    <xf numFmtId="0" fontId="49" fillId="34" borderId="70" xfId="0" applyFont="1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horizontal="center"/>
    </xf>
    <xf numFmtId="0" fontId="50" fillId="28" borderId="78" xfId="0" applyFont="1" applyFill="1" applyBorder="1" applyAlignment="1">
      <alignment horizontal="center"/>
    </xf>
    <xf numFmtId="0" fontId="50" fillId="28" borderId="90" xfId="0" applyFont="1" applyFill="1" applyBorder="1" applyAlignment="1">
      <alignment horizontal="center"/>
    </xf>
    <xf numFmtId="0" fontId="49" fillId="34" borderId="39" xfId="0" applyFont="1" applyFill="1" applyBorder="1" applyAlignment="1">
      <alignment horizontal="center" vertical="center" wrapText="1"/>
    </xf>
    <xf numFmtId="0" fontId="49" fillId="34" borderId="49" xfId="0" applyFont="1" applyFill="1" applyBorder="1" applyAlignment="1">
      <alignment horizontal="center" vertical="center" wrapText="1"/>
    </xf>
    <xf numFmtId="0" fontId="50" fillId="29" borderId="39" xfId="0" applyFont="1" applyFill="1" applyBorder="1" applyAlignment="1">
      <alignment horizontal="center" vertical="center" wrapText="1"/>
    </xf>
    <xf numFmtId="0" fontId="50" fillId="29" borderId="49" xfId="0" applyFont="1" applyFill="1" applyBorder="1" applyAlignment="1">
      <alignment horizontal="center" vertical="center" wrapText="1"/>
    </xf>
    <xf numFmtId="0" fontId="30" fillId="21" borderId="16" xfId="0" applyFont="1" applyFill="1" applyBorder="1" applyAlignment="1">
      <alignment horizontal="center"/>
    </xf>
    <xf numFmtId="0" fontId="50" fillId="28" borderId="12" xfId="0" applyFont="1" applyFill="1" applyBorder="1" applyAlignment="1">
      <alignment horizontal="center" vertical="center" wrapText="1"/>
    </xf>
    <xf numFmtId="0" fontId="50" fillId="28" borderId="13" xfId="0" applyFont="1" applyFill="1" applyBorder="1" applyAlignment="1">
      <alignment horizontal="center" vertical="center" wrapText="1"/>
    </xf>
    <xf numFmtId="0" fontId="50" fillId="28" borderId="20" xfId="0" applyFont="1" applyFill="1" applyBorder="1" applyAlignment="1">
      <alignment horizontal="center" vertical="center" wrapText="1"/>
    </xf>
    <xf numFmtId="0" fontId="50" fillId="28" borderId="67" xfId="0" applyFont="1" applyFill="1" applyBorder="1" applyAlignment="1">
      <alignment horizontal="center"/>
    </xf>
    <xf numFmtId="0" fontId="50" fillId="28" borderId="54" xfId="0" applyFont="1" applyFill="1" applyBorder="1" applyAlignment="1">
      <alignment horizontal="center"/>
    </xf>
    <xf numFmtId="0" fontId="50" fillId="28" borderId="66" xfId="0" applyFont="1" applyFill="1" applyBorder="1" applyAlignment="1">
      <alignment horizontal="center"/>
    </xf>
    <xf numFmtId="0" fontId="50" fillId="62" borderId="12" xfId="0" applyFont="1" applyFill="1" applyBorder="1" applyAlignment="1">
      <alignment horizontal="center" vertical="center" wrapText="1"/>
    </xf>
    <xf numFmtId="0" fontId="50" fillId="62" borderId="13" xfId="0" applyFont="1" applyFill="1" applyBorder="1" applyAlignment="1">
      <alignment horizontal="center" vertical="center" wrapText="1"/>
    </xf>
    <xf numFmtId="0" fontId="50" fillId="62" borderId="20" xfId="0" applyFont="1" applyFill="1" applyBorder="1" applyAlignment="1">
      <alignment horizontal="center" vertical="center" wrapText="1"/>
    </xf>
    <xf numFmtId="168" fontId="62" fillId="21" borderId="0" xfId="37" applyNumberFormat="1" applyFont="1" applyFill="1" applyAlignment="1">
      <alignment horizontal="center"/>
    </xf>
    <xf numFmtId="0" fontId="50" fillId="28" borderId="76" xfId="0" applyFont="1" applyFill="1" applyBorder="1" applyAlignment="1">
      <alignment horizontal="center" vertical="center" wrapText="1"/>
    </xf>
    <xf numFmtId="0" fontId="50" fillId="28" borderId="10" xfId="0" applyFont="1" applyFill="1" applyBorder="1" applyAlignment="1">
      <alignment horizontal="center" vertical="center" wrapText="1"/>
    </xf>
    <xf numFmtId="0" fontId="50" fillId="28" borderId="58" xfId="0" applyFont="1" applyFill="1" applyBorder="1" applyAlignment="1">
      <alignment horizontal="center" vertical="center" wrapText="1"/>
    </xf>
    <xf numFmtId="168" fontId="62" fillId="40" borderId="0" xfId="37" applyNumberFormat="1" applyFont="1" applyFill="1" applyAlignment="1">
      <alignment horizontal="center"/>
    </xf>
    <xf numFmtId="0" fontId="50" fillId="28" borderId="29" xfId="0" applyFont="1" applyFill="1" applyBorder="1" applyAlignment="1">
      <alignment horizontal="center" vertical="center" wrapText="1"/>
    </xf>
    <xf numFmtId="0" fontId="4" fillId="28" borderId="51" xfId="0" applyFont="1" applyFill="1" applyBorder="1" applyAlignment="1">
      <alignment horizontal="center" vertical="center" wrapText="1"/>
    </xf>
    <xf numFmtId="0" fontId="48" fillId="28" borderId="14" xfId="0" applyFont="1" applyFill="1" applyBorder="1" applyAlignment="1">
      <alignment horizontal="center" vertical="center" wrapText="1"/>
    </xf>
    <xf numFmtId="0" fontId="48" fillId="28" borderId="51" xfId="0" applyFont="1" applyFill="1" applyBorder="1" applyAlignment="1">
      <alignment horizontal="center" vertical="center" wrapText="1"/>
    </xf>
    <xf numFmtId="3" fontId="65" fillId="28" borderId="38" xfId="0" applyNumberFormat="1" applyFont="1" applyFill="1" applyBorder="1" applyAlignment="1">
      <alignment horizontal="center" vertical="center" wrapText="1"/>
    </xf>
    <xf numFmtId="3" fontId="65" fillId="28" borderId="29" xfId="0" applyNumberFormat="1" applyFont="1" applyFill="1" applyBorder="1" applyAlignment="1">
      <alignment horizontal="center" vertical="center" wrapText="1"/>
    </xf>
    <xf numFmtId="0" fontId="64" fillId="28" borderId="38" xfId="0" applyFont="1" applyFill="1" applyBorder="1" applyAlignment="1">
      <alignment horizontal="center" vertical="center" wrapText="1"/>
    </xf>
    <xf numFmtId="0" fontId="64" fillId="28" borderId="21" xfId="0" applyFont="1" applyFill="1" applyBorder="1" applyAlignment="1">
      <alignment horizontal="center" vertical="center" wrapText="1"/>
    </xf>
    <xf numFmtId="0" fontId="28" fillId="32" borderId="45" xfId="0" applyFont="1" applyFill="1" applyBorder="1" applyAlignment="1">
      <alignment horizontal="center"/>
    </xf>
    <xf numFmtId="0" fontId="54" fillId="31" borderId="0" xfId="0" applyFont="1" applyFill="1" applyAlignment="1">
      <alignment horizontal="right" vertical="center"/>
    </xf>
    <xf numFmtId="0" fontId="37" fillId="36" borderId="38" xfId="0" applyFont="1" applyFill="1" applyBorder="1" applyAlignment="1">
      <alignment horizontal="center" vertical="center"/>
    </xf>
    <xf numFmtId="0" fontId="37" fillId="36" borderId="29" xfId="0" applyFont="1" applyFill="1" applyBorder="1" applyAlignment="1">
      <alignment horizontal="center" vertical="center"/>
    </xf>
    <xf numFmtId="3" fontId="0" fillId="39" borderId="26" xfId="0" applyNumberFormat="1" applyFill="1" applyBorder="1" applyAlignment="1"/>
    <xf numFmtId="3" fontId="0" fillId="39" borderId="27" xfId="0" applyNumberFormat="1" applyFill="1" applyBorder="1"/>
    <xf numFmtId="3" fontId="0" fillId="39" borderId="91" xfId="0" applyNumberFormat="1" applyFill="1" applyBorder="1"/>
    <xf numFmtId="3" fontId="0" fillId="39" borderId="36" xfId="0" applyNumberFormat="1" applyFill="1" applyBorder="1"/>
    <xf numFmtId="3" fontId="0" fillId="39" borderId="28" xfId="0" applyNumberFormat="1" applyFill="1" applyBorder="1"/>
    <xf numFmtId="3" fontId="0" fillId="39" borderId="29" xfId="0" applyNumberFormat="1" applyFill="1" applyBorder="1"/>
  </cellXfs>
  <cellStyles count="62">
    <cellStyle name="Buena" xfId="1" builtinId="26" customBuiltin="1"/>
    <cellStyle name="Cálculo" xfId="2" builtinId="22" customBuiltin="1"/>
    <cellStyle name="Celda de comprobación" xfId="3" builtinId="23" customBuiltin="1"/>
    <cellStyle name="Celda vinculada" xfId="4" builtinId="24" customBuiltin="1"/>
    <cellStyle name="Encabezado 1" xfId="50" builtinId="16" customBuiltin="1"/>
    <cellStyle name="Encabezado 4" xfId="5" builtinId="19" customBuiltin="1"/>
    <cellStyle name="Énfasis 1" xfId="6"/>
    <cellStyle name="Énfasis 2" xfId="7"/>
    <cellStyle name="Énfasis 3" xfId="8"/>
    <cellStyle name="Énfasis1" xfId="9" builtinId="29" customBuiltin="1"/>
    <cellStyle name="Énfasis1 - 20%" xfId="10"/>
    <cellStyle name="Énfasis1 - 40%" xfId="11"/>
    <cellStyle name="Énfasis1 - 60%" xfId="12"/>
    <cellStyle name="Énfasis2" xfId="13" builtinId="33" customBuiltin="1"/>
    <cellStyle name="Énfasis2 - 20%" xfId="14"/>
    <cellStyle name="Énfasis2 - 40%" xfId="15"/>
    <cellStyle name="Énfasis2 - 60%" xfId="16"/>
    <cellStyle name="Énfasis3" xfId="17" builtinId="37" customBuiltin="1"/>
    <cellStyle name="Énfasis3 - 20%" xfId="18"/>
    <cellStyle name="Énfasis3 - 40%" xfId="19"/>
    <cellStyle name="Énfasis3 - 60%" xfId="20"/>
    <cellStyle name="Énfasis4" xfId="21" builtinId="41" customBuiltin="1"/>
    <cellStyle name="Énfasis4 - 20%" xfId="22"/>
    <cellStyle name="Énfasis4 - 40%" xfId="23"/>
    <cellStyle name="Énfasis4 - 60%" xfId="24"/>
    <cellStyle name="Énfasis5" xfId="25" builtinId="45" customBuiltin="1"/>
    <cellStyle name="Énfasis5 - 20%" xfId="26"/>
    <cellStyle name="Énfasis5 - 40%" xfId="27"/>
    <cellStyle name="Énfasis5 - 60%" xfId="28"/>
    <cellStyle name="Énfasis6" xfId="29" builtinId="49" customBuiltin="1"/>
    <cellStyle name="Énfasis6 - 20%" xfId="30"/>
    <cellStyle name="Énfasis6 - 40%" xfId="31"/>
    <cellStyle name="Énfasis6 - 60%" xfId="32"/>
    <cellStyle name="Entrada" xfId="33" builtinId="20" customBuiltin="1"/>
    <cellStyle name="Hipervínculo" xfId="34" builtinId="8"/>
    <cellStyle name="Incorrecto" xfId="35" builtinId="27" customBuiltin="1"/>
    <cellStyle name="Millares" xfId="36" builtinId="3"/>
    <cellStyle name="Millares_AFILIACIONES" xfId="37"/>
    <cellStyle name="Moneda" xfId="38" builtinId="4"/>
    <cellStyle name="Neutral" xfId="39" builtinId="28" customBuiltin="1"/>
    <cellStyle name="Normal" xfId="0" builtinId="0"/>
    <cellStyle name="Normal 2" xfId="57"/>
    <cellStyle name="Normal 2 2" xfId="58"/>
    <cellStyle name="Normal 2 3" xfId="61"/>
    <cellStyle name="Normal 3" xfId="40"/>
    <cellStyle name="Normal 3 2" xfId="60"/>
    <cellStyle name="Normal 4" xfId="59"/>
    <cellStyle name="Normal 5" xfId="55"/>
    <cellStyle name="Normal 6" xfId="56"/>
    <cellStyle name="Notas" xfId="41" builtinId="10" customBuiltin="1"/>
    <cellStyle name="Notas 2" xfId="42"/>
    <cellStyle name="Notas 3" xfId="43"/>
    <cellStyle name="Notas 4" xfId="44"/>
    <cellStyle name="Notas 5" xfId="45"/>
    <cellStyle name="Notas 6" xfId="46"/>
    <cellStyle name="Porcentaje" xfId="47" builtinId="5"/>
    <cellStyle name="Salida" xfId="48" builtinId="21" customBuiltin="1"/>
    <cellStyle name="Texto de advertencia" xfId="49" builtinId="11" customBuiltin="1"/>
    <cellStyle name="Título 2" xfId="51" builtinId="17" customBuiltin="1"/>
    <cellStyle name="Título 3" xfId="52" builtinId="18" customBuiltin="1"/>
    <cellStyle name="Título de hoja" xfId="53"/>
    <cellStyle name="Total" xfId="54" builtinId="25" customBuiltin="1"/>
  </cellStyles>
  <dxfs count="13">
    <dxf>
      <fill>
        <patternFill>
          <bgColor rgb="FFE26B0A"/>
        </patternFill>
      </fill>
    </dxf>
    <dxf>
      <fill>
        <patternFill>
          <bgColor rgb="FFE26B0A"/>
        </patternFill>
      </fill>
    </dxf>
    <dxf>
      <fill>
        <patternFill>
          <bgColor rgb="FFE26B0A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3366FF"/>
      <color rgb="FF31859B"/>
      <color rgb="FFFFCCFF"/>
      <color rgb="FF0000CC"/>
      <color rgb="FF0694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69902912621352E-2"/>
          <c:y val="7.1641791044776124E-2"/>
          <c:w val="0.8970873786407767"/>
          <c:h val="0.8"/>
        </c:manualLayout>
      </c:layout>
      <c:barChart>
        <c:barDir val="col"/>
        <c:grouping val="clustered"/>
        <c:varyColors val="0"/>
        <c:ser>
          <c:idx val="0"/>
          <c:order val="0"/>
          <c:tx>
            <c:v>Evolución Histórica Periodo I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ALUMNOS!$C$22:$G$22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ALUMNOS!$C$21:$G$21</c:f>
              <c:numCache>
                <c:formatCode>General</c:formatCode>
                <c:ptCount val="5"/>
                <c:pt idx="0">
                  <c:v>60</c:v>
                </c:pt>
                <c:pt idx="1">
                  <c:v>85</c:v>
                </c:pt>
                <c:pt idx="2">
                  <c:v>82</c:v>
                </c:pt>
                <c:pt idx="3">
                  <c:v>59</c:v>
                </c:pt>
                <c:pt idx="4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53-4CC6-8AFB-89D093DC2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42096"/>
        <c:axId val="311843216"/>
      </c:barChart>
      <c:catAx>
        <c:axId val="31184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184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1184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118420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105263157894732E-2"/>
          <c:y val="0.28662509524624069"/>
          <c:w val="0.81842105263157894"/>
          <c:h val="0.35031956085651639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0.51057634989439593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C8-4FA8-A957-3A10C191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74137776"/>
        <c:axId val="774143936"/>
      </c:barChart>
      <c:catAx>
        <c:axId val="774137776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43936"/>
        <c:crosses val="autoZero"/>
        <c:auto val="1"/>
        <c:lblAlgn val="ctr"/>
        <c:lblOffset val="100"/>
        <c:tickMarkSkip val="1"/>
        <c:noMultiLvlLbl val="0"/>
      </c:catAx>
      <c:valAx>
        <c:axId val="774143936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37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31658608579163"/>
          <c:y val="0.13430338751515708"/>
          <c:w val="0.72110552763819091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8020987406153582E-2"/>
                  <c:y val="-2.1115127166674599E-2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734-4239-9C03-E871A5AF5760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1695641.3471712032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34-4239-9C03-E871A5AF5760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1515670946839124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734-4239-9C03-E871A5AF5760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34-4239-9C03-E871A5AF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645441104"/>
        <c:axId val="645440544"/>
      </c:barChart>
      <c:catAx>
        <c:axId val="6454411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645440544"/>
        <c:crosses val="autoZero"/>
        <c:auto val="1"/>
        <c:lblAlgn val="ctr"/>
        <c:lblOffset val="100"/>
        <c:tickMarkSkip val="1"/>
        <c:noMultiLvlLbl val="0"/>
      </c:catAx>
      <c:valAx>
        <c:axId val="645440544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45441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23410296738"/>
          <c:y val="8.1967213114754092E-2"/>
          <c:w val="0.49456609234547022"/>
          <c:h val="0.77049180327868849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87-4141-B823-702B2DA02544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1357678.7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887-4141-B823-702B2DA02544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767331.90415379521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887-4141-B823-702B2DA02544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887-4141-B823-702B2DA0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45435504"/>
        <c:axId val="645439984"/>
      </c:barChart>
      <c:catAx>
        <c:axId val="6454355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645439984"/>
        <c:crosses val="autoZero"/>
        <c:auto val="1"/>
        <c:lblAlgn val="ctr"/>
        <c:lblOffset val="100"/>
        <c:tickMarkSkip val="1"/>
        <c:noMultiLvlLbl val="0"/>
      </c:catAx>
      <c:valAx>
        <c:axId val="64543998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454355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7612456747404839"/>
          <c:y val="0.22302158273381295"/>
          <c:w val="0.26470588235294112"/>
          <c:h val="0.489208633093525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663731133800304"/>
          <c:y val="9.7473096008249674E-2"/>
          <c:w val="0.54260208494360662"/>
          <c:h val="0.7111925893935253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0080"/>
                </a:gs>
                <a:gs pos="100000">
                  <a:srgbClr val="00008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NOMINA!$H$119</c:f>
              <c:numCache>
                <c:formatCode>#,##0</c:formatCode>
                <c:ptCount val="1"/>
                <c:pt idx="0">
                  <c:v>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DC-47C6-8225-4D57800273F1}"/>
            </c:ext>
          </c:extLst>
        </c:ser>
        <c:ser>
          <c:idx val="1"/>
          <c:order val="1"/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NOMINA!$I$119</c:f>
              <c:numCache>
                <c:formatCode>#,##0</c:formatCode>
                <c:ptCount val="1"/>
                <c:pt idx="0">
                  <c:v>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DC-47C6-8225-4D578002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296303152"/>
        <c:axId val="296304272"/>
      </c:barChart>
      <c:catAx>
        <c:axId val="29630315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6304272"/>
        <c:crosses val="autoZero"/>
        <c:auto val="1"/>
        <c:lblAlgn val="ctr"/>
        <c:lblOffset val="100"/>
        <c:tickMarkSkip val="1"/>
        <c:noMultiLvlLbl val="0"/>
      </c:catAx>
      <c:valAx>
        <c:axId val="296304272"/>
        <c:scaling>
          <c:orientation val="minMax"/>
          <c:min val="0"/>
        </c:scaling>
        <c:delete val="0"/>
        <c:axPos val="l"/>
        <c:numFmt formatCode="_ * #,##0_ ;_ * \-#,##0_ ;_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303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8654708520179366E-2"/>
          <c:y val="0.85559718392601636"/>
          <c:w val="0.7309431164153809"/>
          <c:h val="0.129964277930962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5863501.0699999984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D1-4710-9A7D-02D17782B33C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4167859.7228287952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D1-4710-9A7D-02D17782B33C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2128010.6041537952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D1-4710-9A7D-02D17782B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96303712"/>
        <c:axId val="296300352"/>
      </c:barChart>
      <c:catAx>
        <c:axId val="296303712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96300352"/>
        <c:crosses val="autoZero"/>
        <c:auto val="1"/>
        <c:lblAlgn val="ctr"/>
        <c:lblOffset val="100"/>
        <c:tickMarkSkip val="1"/>
        <c:noMultiLvlLbl val="0"/>
      </c:catAx>
      <c:valAx>
        <c:axId val="296300352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9630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666790674833845E-2"/>
          <c:y val="0.30833584257684388"/>
          <c:w val="0.65904884495692884"/>
          <c:h val="0.2416686333710398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0.51057634989439593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81-47C8-9ABA-FE7E4A46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50342208"/>
        <c:axId val="1350343888"/>
      </c:barChart>
      <c:catAx>
        <c:axId val="1350342208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343888"/>
        <c:crosses val="autoZero"/>
        <c:auto val="1"/>
        <c:lblAlgn val="ctr"/>
        <c:lblOffset val="100"/>
        <c:tickMarkSkip val="1"/>
        <c:noMultiLvlLbl val="0"/>
      </c:catAx>
      <c:valAx>
        <c:axId val="1350343888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35034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3840445269017"/>
          <c:y val="0.12650639620904383"/>
          <c:w val="0.58256029684601118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0862393643795949E-2"/>
                  <c:y val="-2.1115127166674599E-2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38B-46A1-B153-ACD9121CF16A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1695641.3471712032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38B-46A1-B153-ACD9121CF16A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2.420174534460251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38B-46A1-B153-ACD9121CF16A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38B-46A1-B153-ACD9121C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350338848"/>
        <c:axId val="1350338288"/>
      </c:barChart>
      <c:catAx>
        <c:axId val="1350338848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350338288"/>
        <c:crosses val="autoZero"/>
        <c:auto val="1"/>
        <c:lblAlgn val="ctr"/>
        <c:lblOffset val="100"/>
        <c:tickMarkSkip val="1"/>
        <c:noMultiLvlLbl val="0"/>
      </c:catAx>
      <c:valAx>
        <c:axId val="1350338288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35033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0452403393024E-2"/>
          <c:y val="9.7015102129310957E-2"/>
          <c:w val="0.17813383600377003"/>
          <c:h val="0.746270016379315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89-4A1E-984C-4C3124690CA1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1357678.7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689-4A1E-984C-4C3124690CA1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767331.90415379521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689-4A1E-984C-4C3124690CA1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689-4A1E-984C-4C312469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37979744"/>
        <c:axId val="237978064"/>
      </c:barChart>
      <c:catAx>
        <c:axId val="23797974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237978064"/>
        <c:crosses val="autoZero"/>
        <c:auto val="1"/>
        <c:lblAlgn val="ctr"/>
        <c:lblOffset val="100"/>
        <c:tickMarkSkip val="1"/>
        <c:noMultiLvlLbl val="0"/>
      </c:catAx>
      <c:valAx>
        <c:axId val="2379780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379797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394910461828465"/>
          <c:y val="0.17537352607043522"/>
          <c:w val="0.12346842601319508"/>
          <c:h val="0.555971324479962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689839572192515"/>
          <c:y val="0.22519125937660159"/>
          <c:w val="0.3235294117647059"/>
          <c:h val="0.4618329217723524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802-4D14-A607-F4F7AF6AF4AC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802-4D14-A607-F4F7AF6AF4AC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802-4D14-A607-F4F7AF6AF4A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'Base 3'!$A$18:$A$20</c:f>
              <c:strCache>
                <c:ptCount val="3"/>
                <c:pt idx="0">
                  <c:v>Honorarios Catedra</c:v>
                </c:pt>
                <c:pt idx="1">
                  <c:v>Convenios</c:v>
                </c:pt>
                <c:pt idx="2">
                  <c:v>Otros Honorarios</c:v>
                </c:pt>
              </c:strCache>
            </c:strRef>
          </c:cat>
          <c:val>
            <c:numRef>
              <c:f>'Base 3'!$B$18:$B$20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802-4D14-A607-F4F7AF6A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251336898395721"/>
          <c:y val="0.76336038147903262"/>
          <c:w val="0.69786096256684493"/>
          <c:h val="0.1450385686522008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1195482302189"/>
          <c:y val="0.15370602427665664"/>
          <c:w val="0.69978858350951378"/>
          <c:h val="0.69927783655258069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5863501.0699999984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1B-42E8-86C0-B7E4F17E84BE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4167859.7228287952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A1B-42E8-86C0-B7E4F17E84BE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2128010.6041537952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A1B-42E8-86C0-B7E4F17E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833607904"/>
        <c:axId val="818246704"/>
      </c:barChart>
      <c:catAx>
        <c:axId val="8336079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18246704"/>
        <c:crosses val="autoZero"/>
        <c:auto val="1"/>
        <c:lblAlgn val="ctr"/>
        <c:lblOffset val="100"/>
        <c:tickMarkSkip val="1"/>
        <c:noMultiLvlLbl val="0"/>
      </c:catAx>
      <c:valAx>
        <c:axId val="818246704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33607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08406034793659"/>
          <c:y val="0.82400172148758266"/>
          <c:w val="0.77291545020522423"/>
          <c:h val="0.174545454545454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080814949148504E-2"/>
          <c:y val="0.10650887573964497"/>
          <c:w val="0.94345793323557181"/>
          <c:h val="0.7899408284023669"/>
        </c:manualLayout>
      </c:layout>
      <c:barChart>
        <c:barDir val="col"/>
        <c:grouping val="clustered"/>
        <c:varyColors val="0"/>
        <c:ser>
          <c:idx val="0"/>
          <c:order val="0"/>
          <c:tx>
            <c:v>Evolución Histórica Periodo I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cat>
            <c:numRef>
              <c:f>ALUMNOS!$O$22:$S$22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ALUMNOS!$O$21:$S$21</c:f>
              <c:numCache>
                <c:formatCode>General</c:formatCode>
                <c:ptCount val="5"/>
                <c:pt idx="0">
                  <c:v>66</c:v>
                </c:pt>
                <c:pt idx="1">
                  <c:v>62</c:v>
                </c:pt>
                <c:pt idx="2">
                  <c:v>77</c:v>
                </c:pt>
                <c:pt idx="3">
                  <c:v>71</c:v>
                </c:pt>
                <c:pt idx="4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A-4960-A792-E4A7DADD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4131616"/>
        <c:axId val="774136656"/>
      </c:barChart>
      <c:catAx>
        <c:axId val="77413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36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1366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31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650452610577967E-2"/>
          <c:y val="0.29299454180726825"/>
          <c:w val="0.40534308460262025"/>
          <c:h val="0.34395011429548883"/>
        </c:manualLayout>
      </c:layout>
      <c:barChart>
        <c:barDir val="bar"/>
        <c:grouping val="clustered"/>
        <c:varyColors val="0"/>
        <c:ser>
          <c:idx val="0"/>
          <c:order val="0"/>
          <c:tx>
            <c:v>Gastos de Personal / Gastos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3'!$B$8</c:f>
              <c:numCache>
                <c:formatCode>0%</c:formatCode>
                <c:ptCount val="1"/>
                <c:pt idx="0">
                  <c:v>0.51057634989439593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0B-44DA-A921-7A2BA4F6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18248944"/>
        <c:axId val="818249504"/>
      </c:barChart>
      <c:catAx>
        <c:axId val="818248944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18249504"/>
        <c:crosses val="autoZero"/>
        <c:auto val="1"/>
        <c:lblAlgn val="ctr"/>
        <c:lblOffset val="100"/>
        <c:tickMarkSkip val="1"/>
        <c:noMultiLvlLbl val="0"/>
      </c:catAx>
      <c:valAx>
        <c:axId val="818249504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182489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3740458015267"/>
          <c:y val="0.12650639620904383"/>
          <c:w val="0.5782442748091603"/>
          <c:h val="0.77711071956984057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6.2542198221543777E-2"/>
                  <c:y val="0.65851907210172389"/>
                </c:manualLayout>
              </c:layout>
              <c:numFmt formatCode="_ \$\ * #,##0_ ;_ \$\ * \-#,##0_ ;_ \$\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5A2-4C99-9147-02D65D3B465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1695641.3471712032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A2-4C99-9147-02D65D3B4653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9.8279422687068296E-2"/>
                  <c:y val="2.70777856748658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5A2-4C99-9147-02D65D3B465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A2-4C99-9147-02D65D3B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818252304"/>
        <c:axId val="818252864"/>
      </c:barChart>
      <c:catAx>
        <c:axId val="8182523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18252864"/>
        <c:crosses val="autoZero"/>
        <c:auto val="1"/>
        <c:lblAlgn val="ctr"/>
        <c:lblOffset val="100"/>
        <c:tickMarkSkip val="1"/>
        <c:noMultiLvlLbl val="0"/>
      </c:catAx>
      <c:valAx>
        <c:axId val="818252864"/>
        <c:scaling>
          <c:orientation val="minMax"/>
        </c:scaling>
        <c:delete val="0"/>
        <c:axPos val="l"/>
        <c:numFmt formatCode="_ \$\ * #,##0.00_ ;_ \$\ * \-#,##0.0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18252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5520401230646864"/>
          <c:y val="0.23049725210983249"/>
          <c:w val="0.28959308009699353"/>
          <c:h val="0.453902281077823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3366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F82-4FF7-8308-C994F1B7D7C3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F82-4FF7-8308-C994F1B7D7C3}"/>
              </c:ext>
            </c:extLst>
          </c:dPt>
          <c:dPt>
            <c:idx val="2"/>
            <c:bubble3D val="0"/>
            <c:spPr>
              <a:solidFill>
                <a:srgbClr val="00FF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F82-4FF7-8308-C994F1B7D7C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'Base 3'!$A$18:$A$20</c:f>
              <c:strCache>
                <c:ptCount val="3"/>
                <c:pt idx="0">
                  <c:v>Honorarios Catedra</c:v>
                </c:pt>
                <c:pt idx="1">
                  <c:v>Convenios</c:v>
                </c:pt>
                <c:pt idx="2">
                  <c:v>Otros Honorarios</c:v>
                </c:pt>
              </c:strCache>
            </c:strRef>
          </c:cat>
          <c:val>
            <c:numRef>
              <c:f>'Base 3'!$B$18:$B$20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F82-4FF7-8308-C994F1B7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3981924205175709"/>
          <c:y val="0.76950615215651241"/>
          <c:w val="0.59049845013717173"/>
          <c:h val="0.134752145343534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382864958195898E-2"/>
          <c:y val="9.8039591144267552E-2"/>
          <c:w val="0.20405601935799292"/>
          <c:h val="0.84314048384070095"/>
        </c:manualLayout>
      </c:layout>
      <c:barChart>
        <c:barDir val="col"/>
        <c:grouping val="percentStacked"/>
        <c:varyColors val="0"/>
        <c:ser>
          <c:idx val="0"/>
          <c:order val="0"/>
          <c:tx>
            <c:v>Sueldos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val="3366FF">
                      <a:gamma/>
                      <a:shade val="46275"/>
                      <a:invGamma/>
                    </a:srgbClr>
                  </a:gs>
                  <a:gs pos="5000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126-4FAD-B1A4-CAC42B2E607D}"/>
              </c:ext>
            </c:extLst>
          </c:dPt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3'!$B$13</c:f>
              <c:numCache>
                <c:formatCode>_-* #,##0\ _€_-;\-* #,##0\ _€_-;_-* "-"??\ _€_-;_-@_-</c:formatCode>
                <c:ptCount val="1"/>
                <c:pt idx="0">
                  <c:v>1357678.7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6-4FAD-B1A4-CAC42B2E607D}"/>
            </c:ext>
          </c:extLst>
        </c:ser>
        <c:ser>
          <c:idx val="1"/>
          <c:order val="1"/>
          <c:tx>
            <c:v>Carga Prestacional</c:v>
          </c:tx>
          <c:spPr>
            <a:gradFill rotWithShape="0">
              <a:gsLst>
                <a:gs pos="0">
                  <a:srgbClr val="FF0000"/>
                </a:gs>
                <a:gs pos="50000">
                  <a:srgbClr val="FF9900"/>
                </a:gs>
                <a:gs pos="100000">
                  <a:srgbClr val="FF0000"/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3'!$B$11</c:f>
              <c:numCache>
                <c:formatCode>_-* #,##0\ _€_-;\-* #,##0\ _€_-;_-* "-"??\ _€_-;_-@_-</c:formatCode>
                <c:ptCount val="1"/>
                <c:pt idx="0">
                  <c:v>767331.90415379521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6-4FAD-B1A4-CAC42B2E607D}"/>
            </c:ext>
          </c:extLst>
        </c:ser>
        <c:ser>
          <c:idx val="2"/>
          <c:order val="2"/>
          <c:tx>
            <c:v>Honorarios</c:v>
          </c:tx>
          <c:spPr>
            <a:gradFill rotWithShape="0">
              <a:gsLst>
                <a:gs pos="0">
                  <a:srgbClr val="99CCFF">
                    <a:gamma/>
                    <a:shade val="46275"/>
                    <a:invGamma/>
                  </a:srgbClr>
                </a:gs>
                <a:gs pos="50000">
                  <a:srgbClr val="99CCFF"/>
                </a:gs>
                <a:gs pos="100000">
                  <a:srgbClr val="99CC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3'!$B$12</c:f>
              <c:numCache>
                <c:formatCode>_-* #,##0\ _€_-;\-* #,##0\ _€_-;_-* "-"??\ _€_-;_-@_-</c:formatCode>
                <c:ptCount val="1"/>
                <c:pt idx="0">
                  <c:v>3000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126-4FAD-B1A4-CAC42B2E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73203104"/>
        <c:axId val="873203664"/>
      </c:barChart>
      <c:catAx>
        <c:axId val="8732031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73203664"/>
        <c:crosses val="autoZero"/>
        <c:auto val="1"/>
        <c:lblAlgn val="ctr"/>
        <c:lblOffset val="100"/>
        <c:tickMarkSkip val="1"/>
        <c:noMultiLvlLbl val="0"/>
      </c:catAx>
      <c:valAx>
        <c:axId val="87320366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873203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841598222275446"/>
          <c:y val="0.21960866656373837"/>
          <c:w val="0.22306743976394583"/>
          <c:h val="0.670829676824748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5535197513155"/>
          <c:y val="0.28662509524624069"/>
          <c:w val="0.77655955442835123"/>
          <c:h val="0.37579734710062668"/>
        </c:manualLayout>
      </c:layout>
      <c:barChart>
        <c:barDir val="bar"/>
        <c:grouping val="clustered"/>
        <c:varyColors val="0"/>
        <c:ser>
          <c:idx val="0"/>
          <c:order val="0"/>
          <c:tx>
            <c:v>Ingresos por Matricula/ Ingresos Totales</c:v>
          </c:tx>
          <c:spPr>
            <a:solidFill>
              <a:srgbClr val="3366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 3'!$B$16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5D-474D-995B-6435E64F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74129936"/>
        <c:axId val="774133856"/>
      </c:barChart>
      <c:catAx>
        <c:axId val="774129936"/>
        <c:scaling>
          <c:orientation val="minMax"/>
        </c:scaling>
        <c:delete val="0"/>
        <c:axPos val="l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33856"/>
        <c:crosses val="autoZero"/>
        <c:auto val="1"/>
        <c:lblAlgn val="ctr"/>
        <c:lblOffset val="100"/>
        <c:tickMarkSkip val="1"/>
        <c:noMultiLvlLbl val="0"/>
      </c:catAx>
      <c:valAx>
        <c:axId val="774133856"/>
        <c:scaling>
          <c:orientation val="minMax"/>
          <c:max val="1"/>
          <c:min val="0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77412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46862439933415"/>
          <c:y val="0.10606099839088538"/>
          <c:w val="0.6309757324925801"/>
          <c:h val="0.71969963193815079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5863501.0699999984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4-4012-928B-F3685F183AB7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4167859.7228287952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4-4012-928B-F3685F18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774127136"/>
        <c:axId val="774128816"/>
      </c:barChart>
      <c:catAx>
        <c:axId val="7741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28816"/>
        <c:crosses val="autoZero"/>
        <c:auto val="1"/>
        <c:lblAlgn val="ctr"/>
        <c:lblOffset val="100"/>
        <c:tickMarkSkip val="1"/>
        <c:noMultiLvlLbl val="0"/>
      </c:catAx>
      <c:valAx>
        <c:axId val="774128816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77412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678796364603564"/>
          <c:y val="0.82954863596595885"/>
          <c:w val="0.59655891961879526"/>
          <c:h val="0.15909130676847216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69483400606113"/>
          <c:y val="0.12820593077630946"/>
          <c:w val="0.63772548320178468"/>
          <c:h val="0.7756458811966721"/>
        </c:manualLayout>
      </c:layout>
      <c:barChart>
        <c:barDir val="col"/>
        <c:grouping val="clustered"/>
        <c:varyColors val="0"/>
        <c:ser>
          <c:idx val="0"/>
          <c:order val="0"/>
          <c:tx>
            <c:v>Rendimiento+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3.7078618967343165E-2"/>
                  <c:y val="0.65097043970794244"/>
                </c:manualLayout>
              </c:layout>
              <c:numFmt formatCode="_ * #,##0_ ;_ * \-#,##0_ ;_ * &quot;-&quot;??_ ;_ @_ 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CO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64F-49FF-97CD-FD6226A6C9BC}"/>
                </c:ext>
                <c:ext xmlns:c15="http://schemas.microsoft.com/office/drawing/2012/chart" uri="{CE6537A1-D6FC-4f65-9D91-7224C49458BB}"/>
              </c:extLst>
            </c:dLbl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3'!$B$9</c:f>
              <c:numCache>
                <c:formatCode>#,##0</c:formatCode>
                <c:ptCount val="1"/>
                <c:pt idx="0">
                  <c:v>1695641.3471712032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4F-49FF-97CD-FD6226A6C9BC}"/>
            </c:ext>
          </c:extLst>
        </c:ser>
        <c:ser>
          <c:idx val="1"/>
          <c:order val="1"/>
          <c:tx>
            <c:v>Rendimiento -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-8.9493788628021834E-2"/>
                  <c:y val="2.08973643927672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64F-49FF-97CD-FD6226A6C9BC}"/>
                </c:ext>
                <c:ext xmlns:c15="http://schemas.microsoft.com/office/drawing/2012/chart" uri="{CE6537A1-D6FC-4f65-9D91-7224C49458BB}"/>
              </c:extLst>
            </c:dLbl>
            <c:numFmt formatCode="_-* #,##0\ _€_-;\-* #,##0\ _€_-;_-* &quot;-&quot;??\ _€_-;_-@_-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3'!$B$10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4F-49FF-97CD-FD6226A6C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774155696"/>
        <c:axId val="774156256"/>
      </c:barChart>
      <c:catAx>
        <c:axId val="77415569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56256"/>
        <c:crosses val="autoZero"/>
        <c:auto val="1"/>
        <c:lblAlgn val="ctr"/>
        <c:lblOffset val="100"/>
        <c:tickMarkSkip val="1"/>
        <c:noMultiLvlLbl val="0"/>
      </c:catAx>
      <c:valAx>
        <c:axId val="774156256"/>
        <c:scaling>
          <c:orientation val="minMax"/>
        </c:scaling>
        <c:delete val="0"/>
        <c:axPos val="l"/>
        <c:numFmt formatCode="_-* #,##0\ _€_-;\-* #,##0\ _€_-;_-* &quot;-&quot;??\ _€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556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304375747681458"/>
          <c:y val="9.4890680048685644E-2"/>
          <c:w val="0.53913100705991746"/>
          <c:h val="0.71897938344581047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 Pronóstico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MAT.!$E$37</c:f>
              <c:numCache>
                <c:formatCode>#,##0</c:formatCode>
                <c:ptCount val="1"/>
                <c:pt idx="0">
                  <c:v>3034814020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13-4E25-BF38-0E0D043DB100}"/>
            </c:ext>
          </c:extLst>
        </c:ser>
        <c:ser>
          <c:idx val="1"/>
          <c:order val="1"/>
          <c:tx>
            <c:v>Ingreso Propuesta Facultad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MAT.!$I$37</c:f>
              <c:numCache>
                <c:formatCode>#,##0</c:formatCode>
                <c:ptCount val="1"/>
                <c:pt idx="0">
                  <c:v>2895773580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13-4E25-BF38-0E0D043D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774152896"/>
        <c:axId val="774141136"/>
      </c:barChart>
      <c:catAx>
        <c:axId val="77415289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41136"/>
        <c:crosses val="autoZero"/>
        <c:auto val="1"/>
        <c:lblAlgn val="ctr"/>
        <c:lblOffset val="100"/>
        <c:tickMarkSkip val="1"/>
        <c:noMultiLvlLbl val="0"/>
      </c:catAx>
      <c:valAx>
        <c:axId val="774141136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528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4782645616768873E-2"/>
                <c:y val="9.4890680048685644E-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0362341663813763"/>
          <c:y val="0.84671686112228661"/>
          <c:w val="0.68478306516033327"/>
          <c:h val="0.131387244477651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139566837262486"/>
          <c:y val="0.10000036169112302"/>
          <c:w val="0.52093082409477665"/>
          <c:h val="0.71111368313687473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 Pronóstico</c:v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MAT.!$E$53</c:f>
              <c:numCache>
                <c:formatCode>#,##0</c:formatCode>
                <c:ptCount val="1"/>
                <c:pt idx="0">
                  <c:v>2958023180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4A-4E1D-A55D-7260D8966A2E}"/>
            </c:ext>
          </c:extLst>
        </c:ser>
        <c:ser>
          <c:idx val="1"/>
          <c:order val="1"/>
          <c:tx>
            <c:v>Ingreso Propuesta Facultad</c:v>
          </c:tx>
          <c:spPr>
            <a:gradFill rotWithShape="0">
              <a:gsLst>
                <a:gs pos="0">
                  <a:srgbClr val="3366FF"/>
                </a:gs>
                <a:gs pos="100000">
                  <a:srgbClr val="3366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MAT.!$I$53</c:f>
              <c:numCache>
                <c:formatCode>#,##0</c:formatCode>
                <c:ptCount val="1"/>
                <c:pt idx="0">
                  <c:v>2882182940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4A-4E1D-A55D-7260D8966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0"/>
        <c:axId val="774149536"/>
        <c:axId val="774154576"/>
      </c:barChart>
      <c:catAx>
        <c:axId val="7741495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54576"/>
        <c:crosses val="autoZero"/>
        <c:auto val="1"/>
        <c:lblAlgn val="ctr"/>
        <c:lblOffset val="100"/>
        <c:tickMarkSkip val="1"/>
        <c:noMultiLvlLbl val="0"/>
      </c:catAx>
      <c:valAx>
        <c:axId val="774154576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4953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7209344578198328E-2"/>
                <c:y val="0.10000036169112302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7371661039712734E-2"/>
          <c:y val="0.82963274035190049"/>
          <c:w val="0.74169865685146308"/>
          <c:h val="0.133333722173617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429623840003621"/>
          <c:y val="7.4792344929915988E-2"/>
          <c:w val="0.48484932885146648"/>
          <c:h val="0.797785012585770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FD1-45A9-8B19-A5CA66B4BFA8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3366FF"/>
                  </a:gs>
                  <a:gs pos="100000">
                    <a:srgbClr val="3366FF">
                      <a:gamma/>
                      <a:shade val="46275"/>
                      <a:invGamma/>
                    </a:srgbClr>
                  </a:gs>
                </a:gsLst>
                <a:lin ang="5400000" scaled="1"/>
              </a:gra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FD1-45A9-8B19-A5CA66B4BFA8}"/>
              </c:ext>
            </c:extLst>
          </c:dPt>
          <c:dLbls>
            <c:dLbl>
              <c:idx val="0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FFD1-45A9-8B19-A5CA66B4BF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/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FD1-45A9-8B19-A5CA66B4BFA8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MAT.!$O$23:$P$23</c:f>
              <c:strCache>
                <c:ptCount val="2"/>
                <c:pt idx="0">
                  <c:v>Pronóstico</c:v>
                </c:pt>
                <c:pt idx="1">
                  <c:v>Facultad</c:v>
                </c:pt>
              </c:strCache>
            </c:strRef>
          </c:cat>
          <c:val>
            <c:numRef>
              <c:f>MAT.!$O$37:$P$37</c:f>
              <c:numCache>
                <c:formatCode>#,##0</c:formatCode>
                <c:ptCount val="2"/>
                <c:pt idx="0">
                  <c:v>5992837200</c:v>
                </c:pt>
                <c:pt idx="1">
                  <c:v>5777956520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FD1-45A9-8B19-A5CA66B4B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74146176"/>
        <c:axId val="774146736"/>
      </c:barChart>
      <c:catAx>
        <c:axId val="7741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77414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4146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774146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916513860425"/>
          <c:y val="0.13265887607569837"/>
          <c:w val="0.74489870146952875"/>
          <c:h val="0.71641921572414247"/>
        </c:manualLayout>
      </c:layout>
      <c:barChart>
        <c:barDir val="col"/>
        <c:grouping val="clustered"/>
        <c:varyColors val="0"/>
        <c:ser>
          <c:idx val="0"/>
          <c:order val="0"/>
          <c:tx>
            <c:v>Ingresos Totales</c:v>
          </c:tx>
          <c:spPr>
            <a:gradFill rotWithShape="0">
              <a:gsLst>
                <a:gs pos="0">
                  <a:srgbClr val="00FF00"/>
                </a:gs>
                <a:gs pos="100000">
                  <a:srgbClr val="00FF00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3'!$B$5</c:f>
              <c:numCache>
                <c:formatCode>_-* #,##0\ _€_-;\-* #,##0\ _€_-;_-* "-"??\ _€_-;_-@_-</c:formatCode>
                <c:ptCount val="1"/>
                <c:pt idx="0">
                  <c:v>5863501.0699999984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EC-436F-A3D6-1609093A74FB}"/>
            </c:ext>
          </c:extLst>
        </c:ser>
        <c:ser>
          <c:idx val="1"/>
          <c:order val="1"/>
          <c:tx>
            <c:v>Gastos Totales</c:v>
          </c:tx>
          <c:spPr>
            <a:gradFill rotWithShape="0">
              <a:gsLst>
                <a:gs pos="0">
                  <a:srgbClr val="FF0000"/>
                </a:gs>
                <a:gs pos="100000">
                  <a:srgbClr val="FF6600"/>
                </a:gs>
              </a:gsLst>
              <a:lin ang="5400000" scaled="1"/>
            </a:gra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3'!$B$6</c:f>
              <c:numCache>
                <c:formatCode>"$"\ #,##0</c:formatCode>
                <c:ptCount val="1"/>
                <c:pt idx="0">
                  <c:v>4167859.7228287952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EC-436F-A3D6-1609093A74FB}"/>
            </c:ext>
          </c:extLst>
        </c:ser>
        <c:ser>
          <c:idx val="2"/>
          <c:order val="2"/>
          <c:tx>
            <c:v>Gastos de Personal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numFmt formatCode="_ \$\ * #,##0_ ;_ \$\ * \-#,##0_ ;_ \$\ * &quot;-&quot;??_ ;_ @_ 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 3'!$B$7</c:f>
              <c:numCache>
                <c:formatCode>"$"\ #,##0</c:formatCode>
                <c:ptCount val="1"/>
                <c:pt idx="0">
                  <c:v>2128010.6041537952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CEC-436F-A3D6-1609093A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-20"/>
        <c:axId val="774141696"/>
        <c:axId val="774147296"/>
      </c:barChart>
      <c:catAx>
        <c:axId val="77414169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774147296"/>
        <c:crosses val="autoZero"/>
        <c:auto val="1"/>
        <c:lblAlgn val="ctr"/>
        <c:lblOffset val="100"/>
        <c:tickMarkSkip val="1"/>
        <c:noMultiLvlLbl val="0"/>
      </c:catAx>
      <c:valAx>
        <c:axId val="774147296"/>
        <c:scaling>
          <c:orientation val="minMax"/>
          <c:min val="0"/>
        </c:scaling>
        <c:delete val="0"/>
        <c:axPos val="l"/>
        <c:numFmt formatCode="_ \$\ * #,##0_ ;_ \$\ * \-#,##0_ ;_ \$\ * &quot;-&quot;??_ ;_ @_ 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741416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2219959266802444E-2"/>
          <c:y val="0.83209111920711398"/>
          <c:w val="0.97963340122199594"/>
          <c:h val="0.156716809652524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5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MENU!A1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hyperlink" Target="#MENU!A1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hyperlink" Target="#MENU!A1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hyperlink" Target="#MENU!A1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2155458</xdr:colOff>
      <xdr:row>0</xdr:row>
      <xdr:rowOff>0</xdr:rowOff>
    </xdr:from>
    <xdr:to>
      <xdr:col>2</xdr:col>
      <xdr:colOff>7319803</xdr:colOff>
      <xdr:row>4</xdr:row>
      <xdr:rowOff>133422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4250958" y="0"/>
          <a:ext cx="5164345" cy="775106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INSTRUCTIVO</a:t>
          </a:r>
          <a:r>
            <a:rPr lang="es-ES" sz="1500" b="1" i="0" strike="noStrike" baseline="0">
              <a:solidFill>
                <a:srgbClr val="FFFFFF"/>
              </a:solidFill>
              <a:latin typeface="Tahoma"/>
              <a:cs typeface="Tahoma"/>
            </a:rPr>
            <a:t>                                             </a:t>
          </a: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ELABORACION PRESUPUESTO  2018</a:t>
          </a: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    </a:t>
          </a:r>
        </a:p>
        <a:p>
          <a:pPr algn="ctr" rtl="1">
            <a:defRPr sz="1000"/>
          </a:pPr>
          <a:r>
            <a:rPr lang="es-ES" sz="1500" b="1" i="0" strike="noStrike">
              <a:solidFill>
                <a:srgbClr val="FFFFFF"/>
              </a:solidFill>
              <a:latin typeface="Tahoma"/>
              <a:cs typeface="Tahoma"/>
            </a:rPr>
            <a:t> </a:t>
          </a: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s-ES" sz="1500" b="1" i="0" strike="noStrike">
            <a:solidFill>
              <a:srgbClr val="FFFFFF"/>
            </a:solidFill>
            <a:latin typeface="Tahoma"/>
            <a:cs typeface="Tahoma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2</xdr:col>
          <xdr:colOff>1495425</xdr:colOff>
          <xdr:row>5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16</xdr:col>
      <xdr:colOff>457200</xdr:colOff>
      <xdr:row>10</xdr:row>
      <xdr:rowOff>130968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592175" y="196215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161925</xdr:colOff>
      <xdr:row>8</xdr:row>
      <xdr:rowOff>0</xdr:rowOff>
    </xdr:from>
    <xdr:to>
      <xdr:col>16</xdr:col>
      <xdr:colOff>342900</xdr:colOff>
      <xdr:row>10</xdr:row>
      <xdr:rowOff>11906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754100" y="20669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8</xdr:row>
      <xdr:rowOff>0</xdr:rowOff>
    </xdr:from>
    <xdr:to>
      <xdr:col>16</xdr:col>
      <xdr:colOff>457200</xdr:colOff>
      <xdr:row>10</xdr:row>
      <xdr:rowOff>130968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487400" y="1600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133350</xdr:colOff>
      <xdr:row>8</xdr:row>
      <xdr:rowOff>0</xdr:rowOff>
    </xdr:from>
    <xdr:to>
      <xdr:col>16</xdr:col>
      <xdr:colOff>314325</xdr:colOff>
      <xdr:row>10</xdr:row>
      <xdr:rowOff>30956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620750" y="1724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4</xdr:row>
      <xdr:rowOff>28575</xdr:rowOff>
    </xdr:from>
    <xdr:to>
      <xdr:col>16</xdr:col>
      <xdr:colOff>0</xdr:colOff>
      <xdr:row>7</xdr:row>
      <xdr:rowOff>159543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13096875" y="9620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409575</xdr:colOff>
      <xdr:row>4</xdr:row>
      <xdr:rowOff>142875</xdr:rowOff>
    </xdr:from>
    <xdr:to>
      <xdr:col>15</xdr:col>
      <xdr:colOff>590550</xdr:colOff>
      <xdr:row>7</xdr:row>
      <xdr:rowOff>50006</xdr:rowOff>
    </xdr:to>
    <xdr:sp macro="" textlink="">
      <xdr:nvSpPr>
        <xdr:cNvPr id="4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201650" y="10763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6</xdr:row>
      <xdr:rowOff>304800</xdr:rowOff>
    </xdr:from>
    <xdr:to>
      <xdr:col>14</xdr:col>
      <xdr:colOff>752475</xdr:colOff>
      <xdr:row>8</xdr:row>
      <xdr:rowOff>102393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992225" y="15621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447675</xdr:colOff>
      <xdr:row>7</xdr:row>
      <xdr:rowOff>9525</xdr:rowOff>
    </xdr:from>
    <xdr:to>
      <xdr:col>14</xdr:col>
      <xdr:colOff>628650</xdr:colOff>
      <xdr:row>8</xdr:row>
      <xdr:rowOff>2381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144625" y="16859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28575</xdr:rowOff>
    </xdr:from>
    <xdr:to>
      <xdr:col>16</xdr:col>
      <xdr:colOff>0</xdr:colOff>
      <xdr:row>9</xdr:row>
      <xdr:rowOff>26193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2944475" y="18764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428625</xdr:colOff>
      <xdr:row>7</xdr:row>
      <xdr:rowOff>142875</xdr:rowOff>
    </xdr:from>
    <xdr:to>
      <xdr:col>15</xdr:col>
      <xdr:colOff>609600</xdr:colOff>
      <xdr:row>8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068300" y="19907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7</xdr:row>
      <xdr:rowOff>28575</xdr:rowOff>
    </xdr:from>
    <xdr:to>
      <xdr:col>16</xdr:col>
      <xdr:colOff>0</xdr:colOff>
      <xdr:row>9</xdr:row>
      <xdr:rowOff>26193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2944475" y="18764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428625</xdr:colOff>
      <xdr:row>7</xdr:row>
      <xdr:rowOff>142875</xdr:rowOff>
    </xdr:from>
    <xdr:to>
      <xdr:col>15</xdr:col>
      <xdr:colOff>609600</xdr:colOff>
      <xdr:row>8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068300" y="19907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137583</xdr:colOff>
      <xdr:row>6</xdr:row>
      <xdr:rowOff>359833</xdr:rowOff>
    </xdr:from>
    <xdr:to>
      <xdr:col>32</xdr:col>
      <xdr:colOff>594783</xdr:colOff>
      <xdr:row>8</xdr:row>
      <xdr:rowOff>223043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23590250" y="1598083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31</xdr:col>
      <xdr:colOff>243416</xdr:colOff>
      <xdr:row>7</xdr:row>
      <xdr:rowOff>52916</xdr:rowOff>
    </xdr:from>
    <xdr:to>
      <xdr:col>32</xdr:col>
      <xdr:colOff>424391</xdr:colOff>
      <xdr:row>8</xdr:row>
      <xdr:rowOff>83872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23696083" y="1682749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66675</xdr:rowOff>
    </xdr:from>
    <xdr:to>
      <xdr:col>16</xdr:col>
      <xdr:colOff>600075</xdr:colOff>
      <xdr:row>3</xdr:row>
      <xdr:rowOff>83343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973300" y="666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257175</xdr:colOff>
      <xdr:row>1</xdr:row>
      <xdr:rowOff>38100</xdr:rowOff>
    </xdr:from>
    <xdr:to>
      <xdr:col>16</xdr:col>
      <xdr:colOff>485775</xdr:colOff>
      <xdr:row>2</xdr:row>
      <xdr:rowOff>221456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5135225" y="200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0</xdr:row>
      <xdr:rowOff>123825</xdr:rowOff>
    </xdr:from>
    <xdr:to>
      <xdr:col>15</xdr:col>
      <xdr:colOff>581025</xdr:colOff>
      <xdr:row>3</xdr:row>
      <xdr:rowOff>140493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411200" y="12382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14</xdr:col>
      <xdr:colOff>238125</xdr:colOff>
      <xdr:row>1</xdr:row>
      <xdr:rowOff>66675</xdr:rowOff>
    </xdr:from>
    <xdr:to>
      <xdr:col>15</xdr:col>
      <xdr:colOff>466725</xdr:colOff>
      <xdr:row>3</xdr:row>
      <xdr:rowOff>21431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573125" y="2286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76200</xdr:rowOff>
    </xdr:from>
    <xdr:to>
      <xdr:col>14</xdr:col>
      <xdr:colOff>514350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15402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161925</xdr:colOff>
      <xdr:row>1</xdr:row>
      <xdr:rowOff>19050</xdr:rowOff>
    </xdr:from>
    <xdr:to>
      <xdr:col>14</xdr:col>
      <xdr:colOff>390525</xdr:colOff>
      <xdr:row>2</xdr:row>
      <xdr:rowOff>202406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306425" y="18097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103119</xdr:colOff>
      <xdr:row>0</xdr:row>
      <xdr:rowOff>0</xdr:rowOff>
    </xdr:from>
    <xdr:to>
      <xdr:col>1</xdr:col>
      <xdr:colOff>2320374</xdr:colOff>
      <xdr:row>0</xdr:row>
      <xdr:rowOff>676275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19" y="0"/>
          <a:ext cx="2322030" cy="676275"/>
        </a:xfrm>
        <a:prstGeom prst="rect">
          <a:avLst/>
        </a:prstGeom>
      </xdr:spPr>
    </xdr:pic>
    <xdr:clientData/>
  </xdr:twoCellAnchor>
  <xdr:twoCellAnchor>
    <xdr:from>
      <xdr:col>9</xdr:col>
      <xdr:colOff>1374913</xdr:colOff>
      <xdr:row>0</xdr:row>
      <xdr:rowOff>496957</xdr:rowOff>
    </xdr:from>
    <xdr:to>
      <xdr:col>9</xdr:col>
      <xdr:colOff>2219741</xdr:colOff>
      <xdr:row>1</xdr:row>
      <xdr:rowOff>156897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9177130" y="496957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1374913</xdr:colOff>
      <xdr:row>0</xdr:row>
      <xdr:rowOff>579783</xdr:rowOff>
    </xdr:from>
    <xdr:to>
      <xdr:col>9</xdr:col>
      <xdr:colOff>2153479</xdr:colOff>
      <xdr:row>1</xdr:row>
      <xdr:rowOff>120039</xdr:rowOff>
    </xdr:to>
    <xdr:sp macro="" textlink="">
      <xdr:nvSpPr>
        <xdr:cNvPr id="7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9177130" y="579783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0</xdr:row>
      <xdr:rowOff>76200</xdr:rowOff>
    </xdr:from>
    <xdr:to>
      <xdr:col>14</xdr:col>
      <xdr:colOff>295275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11592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666750</xdr:colOff>
      <xdr:row>1</xdr:row>
      <xdr:rowOff>38100</xdr:rowOff>
    </xdr:from>
    <xdr:to>
      <xdr:col>14</xdr:col>
      <xdr:colOff>180975</xdr:colOff>
      <xdr:row>2</xdr:row>
      <xdr:rowOff>221456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277850" y="2000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0</xdr:row>
      <xdr:rowOff>76200</xdr:rowOff>
    </xdr:from>
    <xdr:to>
      <xdr:col>15</xdr:col>
      <xdr:colOff>323850</xdr:colOff>
      <xdr:row>3</xdr:row>
      <xdr:rowOff>92868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020675" y="7620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685800</xdr:colOff>
      <xdr:row>1</xdr:row>
      <xdr:rowOff>19050</xdr:rowOff>
    </xdr:from>
    <xdr:to>
      <xdr:col>15</xdr:col>
      <xdr:colOff>200025</xdr:colOff>
      <xdr:row>2</xdr:row>
      <xdr:rowOff>202406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173075" y="18097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0</xdr:row>
      <xdr:rowOff>66675</xdr:rowOff>
    </xdr:from>
    <xdr:to>
      <xdr:col>14</xdr:col>
      <xdr:colOff>400050</xdr:colOff>
      <xdr:row>3</xdr:row>
      <xdr:rowOff>83343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3287375" y="666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104775</xdr:colOff>
      <xdr:row>0</xdr:row>
      <xdr:rowOff>152400</xdr:rowOff>
    </xdr:from>
    <xdr:to>
      <xdr:col>14</xdr:col>
      <xdr:colOff>257175</xdr:colOff>
      <xdr:row>2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3420725" y="1524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0</xdr:row>
      <xdr:rowOff>57150</xdr:rowOff>
    </xdr:from>
    <xdr:to>
      <xdr:col>16</xdr:col>
      <xdr:colOff>676275</xdr:colOff>
      <xdr:row>3</xdr:row>
      <xdr:rowOff>73818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230350" y="57150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361950</xdr:colOff>
      <xdr:row>0</xdr:row>
      <xdr:rowOff>152400</xdr:rowOff>
    </xdr:from>
    <xdr:to>
      <xdr:col>16</xdr:col>
      <xdr:colOff>590550</xdr:colOff>
      <xdr:row>2</xdr:row>
      <xdr:rowOff>173831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420850" y="1524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0</xdr:row>
      <xdr:rowOff>142875</xdr:rowOff>
    </xdr:from>
    <xdr:to>
      <xdr:col>16</xdr:col>
      <xdr:colOff>762000</xdr:colOff>
      <xdr:row>3</xdr:row>
      <xdr:rowOff>159543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4706600" y="1428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504825</xdr:colOff>
      <xdr:row>1</xdr:row>
      <xdr:rowOff>104775</xdr:rowOff>
    </xdr:from>
    <xdr:to>
      <xdr:col>16</xdr:col>
      <xdr:colOff>657225</xdr:colOff>
      <xdr:row>3</xdr:row>
      <xdr:rowOff>59531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4878050" y="266700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16</xdr:col>
      <xdr:colOff>457200</xdr:colOff>
      <xdr:row>6</xdr:row>
      <xdr:rowOff>45243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>
          <a:off x="10086975" y="676275"/>
          <a:ext cx="1219200" cy="635793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66675</xdr:colOff>
      <xdr:row>3</xdr:row>
      <xdr:rowOff>95250</xdr:rowOff>
    </xdr:from>
    <xdr:to>
      <xdr:col>16</xdr:col>
      <xdr:colOff>247650</xdr:colOff>
      <xdr:row>5</xdr:row>
      <xdr:rowOff>88106</xdr:rowOff>
    </xdr:to>
    <xdr:sp macro="" textlink="">
      <xdr:nvSpPr>
        <xdr:cNvPr id="3" name="AutoShape 30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0153650" y="771525"/>
          <a:ext cx="942975" cy="411956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1374913</xdr:colOff>
      <xdr:row>0</xdr:row>
      <xdr:rowOff>496957</xdr:rowOff>
    </xdr:from>
    <xdr:to>
      <xdr:col>3</xdr:col>
      <xdr:colOff>2219741</xdr:colOff>
      <xdr:row>1</xdr:row>
      <xdr:rowOff>156897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6185038" y="496957"/>
          <a:ext cx="844828" cy="2695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1374913</xdr:colOff>
      <xdr:row>0</xdr:row>
      <xdr:rowOff>579783</xdr:rowOff>
    </xdr:from>
    <xdr:to>
      <xdr:col>3</xdr:col>
      <xdr:colOff>2153479</xdr:colOff>
      <xdr:row>1</xdr:row>
      <xdr:rowOff>120039</xdr:rowOff>
    </xdr:to>
    <xdr:sp macro="" textlink="">
      <xdr:nvSpPr>
        <xdr:cNvPr id="4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6185038" y="579783"/>
          <a:ext cx="778566" cy="1498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74544</xdr:colOff>
      <xdr:row>0</xdr:row>
      <xdr:rowOff>0</xdr:rowOff>
    </xdr:from>
    <xdr:to>
      <xdr:col>1</xdr:col>
      <xdr:colOff>2318303</xdr:colOff>
      <xdr:row>0</xdr:row>
      <xdr:rowOff>753716</xdr:rowOff>
    </xdr:to>
    <xdr:pic>
      <xdr:nvPicPr>
        <xdr:cNvPr id="5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19" y="0"/>
          <a:ext cx="2319959" cy="753716"/>
        </a:xfrm>
        <a:prstGeom prst="rect">
          <a:avLst/>
        </a:prstGeom>
      </xdr:spPr>
    </xdr:pic>
    <xdr:clientData/>
  </xdr:twoCellAnchor>
  <xdr:twoCellAnchor>
    <xdr:from>
      <xdr:col>3</xdr:col>
      <xdr:colOff>1374913</xdr:colOff>
      <xdr:row>0</xdr:row>
      <xdr:rowOff>496957</xdr:rowOff>
    </xdr:from>
    <xdr:to>
      <xdr:col>3</xdr:col>
      <xdr:colOff>2219741</xdr:colOff>
      <xdr:row>1</xdr:row>
      <xdr:rowOff>156897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6042163" y="496957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1374913</xdr:colOff>
      <xdr:row>0</xdr:row>
      <xdr:rowOff>579783</xdr:rowOff>
    </xdr:from>
    <xdr:to>
      <xdr:col>3</xdr:col>
      <xdr:colOff>2153479</xdr:colOff>
      <xdr:row>1</xdr:row>
      <xdr:rowOff>120039</xdr:rowOff>
    </xdr:to>
    <xdr:sp macro="" textlink="">
      <xdr:nvSpPr>
        <xdr:cNvPr id="7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6042163" y="579783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173935</xdr:colOff>
      <xdr:row>0</xdr:row>
      <xdr:rowOff>49695</xdr:rowOff>
    </xdr:from>
    <xdr:to>
      <xdr:col>3</xdr:col>
      <xdr:colOff>206652</xdr:colOff>
      <xdr:row>1</xdr:row>
      <xdr:rowOff>95250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935" y="49695"/>
          <a:ext cx="2318717" cy="369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0</xdr:rowOff>
    </xdr:from>
    <xdr:to>
      <xdr:col>1</xdr:col>
      <xdr:colOff>2590800</xdr:colOff>
      <xdr:row>1</xdr:row>
      <xdr:rowOff>14419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4" y="0"/>
          <a:ext cx="2630556" cy="77641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6</xdr:row>
      <xdr:rowOff>0</xdr:rowOff>
    </xdr:from>
    <xdr:to>
      <xdr:col>7</xdr:col>
      <xdr:colOff>314325</xdr:colOff>
      <xdr:row>9</xdr:row>
      <xdr:rowOff>22363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1601450" y="1657350"/>
          <a:ext cx="1247775" cy="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140804</xdr:colOff>
      <xdr:row>6</xdr:row>
      <xdr:rowOff>57978</xdr:rowOff>
    </xdr:from>
    <xdr:to>
      <xdr:col>7</xdr:col>
      <xdr:colOff>217004</xdr:colOff>
      <xdr:row>7</xdr:row>
      <xdr:rowOff>120926</xdr:rowOff>
    </xdr:to>
    <xdr:sp macro="" textlink="">
      <xdr:nvSpPr>
        <xdr:cNvPr id="4" name="AutoShape 3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11742254" y="1657350"/>
          <a:ext cx="1009650" cy="0"/>
        </a:xfrm>
        <a:prstGeom prst="leftArrow">
          <a:avLst>
            <a:gd name="adj1" fmla="val 50000"/>
            <a:gd name="adj2" fmla="val 91667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1428750</xdr:colOff>
      <xdr:row>0</xdr:row>
      <xdr:rowOff>323850</xdr:rowOff>
    </xdr:from>
    <xdr:to>
      <xdr:col>5</xdr:col>
      <xdr:colOff>2273578</xdr:colOff>
      <xdr:row>0</xdr:row>
      <xdr:rowOff>745790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7620000" y="323850"/>
          <a:ext cx="844828" cy="42194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1428750</xdr:colOff>
      <xdr:row>0</xdr:row>
      <xdr:rowOff>390525</xdr:rowOff>
    </xdr:from>
    <xdr:to>
      <xdr:col>5</xdr:col>
      <xdr:colOff>2207316</xdr:colOff>
      <xdr:row>0</xdr:row>
      <xdr:rowOff>692781</xdr:rowOff>
    </xdr:to>
    <xdr:sp macro="" textlink="">
      <xdr:nvSpPr>
        <xdr:cNvPr id="6" name="AutoShape 4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7620000" y="390525"/>
          <a:ext cx="778566" cy="302256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5</xdr:row>
      <xdr:rowOff>28575</xdr:rowOff>
    </xdr:from>
    <xdr:to>
      <xdr:col>22</xdr:col>
      <xdr:colOff>47625</xdr:colOff>
      <xdr:row>8</xdr:row>
      <xdr:rowOff>142875</xdr:rowOff>
    </xdr:to>
    <xdr:sp macro="" textlink="">
      <xdr:nvSpPr>
        <xdr:cNvPr id="5093241" name="AutoShape 2"/>
        <xdr:cNvSpPr>
          <a:spLocks noChangeArrowheads="1"/>
        </xdr:cNvSpPr>
      </xdr:nvSpPr>
      <xdr:spPr bwMode="auto">
        <a:xfrm>
          <a:off x="12868275" y="1333500"/>
          <a:ext cx="1228725" cy="600075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20</xdr:col>
      <xdr:colOff>457200</xdr:colOff>
      <xdr:row>5</xdr:row>
      <xdr:rowOff>142875</xdr:rowOff>
    </xdr:from>
    <xdr:to>
      <xdr:col>21</xdr:col>
      <xdr:colOff>647700</xdr:colOff>
      <xdr:row>8</xdr:row>
      <xdr:rowOff>38100</xdr:rowOff>
    </xdr:to>
    <xdr:sp macro="" textlink="">
      <xdr:nvSpPr>
        <xdr:cNvPr id="5093242" name="AutoShape 4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2982575" y="1447800"/>
          <a:ext cx="952500" cy="381000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23133</xdr:colOff>
      <xdr:row>21</xdr:row>
      <xdr:rowOff>59872</xdr:rowOff>
    </xdr:from>
    <xdr:to>
      <xdr:col>8</xdr:col>
      <xdr:colOff>99333</xdr:colOff>
      <xdr:row>39</xdr:row>
      <xdr:rowOff>59872</xdr:rowOff>
    </xdr:to>
    <xdr:graphicFrame macro="">
      <xdr:nvGraphicFramePr>
        <xdr:cNvPr id="509324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19</xdr:row>
      <xdr:rowOff>19050</xdr:rowOff>
    </xdr:from>
    <xdr:to>
      <xdr:col>21</xdr:col>
      <xdr:colOff>76200</xdr:colOff>
      <xdr:row>38</xdr:row>
      <xdr:rowOff>152400</xdr:rowOff>
    </xdr:to>
    <xdr:graphicFrame macro="">
      <xdr:nvGraphicFramePr>
        <xdr:cNvPr id="509324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</xdr:colOff>
      <xdr:row>18</xdr:row>
      <xdr:rowOff>38100</xdr:rowOff>
    </xdr:from>
    <xdr:to>
      <xdr:col>5</xdr:col>
      <xdr:colOff>131560</xdr:colOff>
      <xdr:row>19</xdr:row>
      <xdr:rowOff>40143</xdr:rowOff>
    </xdr:to>
    <xdr:sp macro="" textlink="">
      <xdr:nvSpPr>
        <xdr:cNvPr id="5133" name="Rectangle 13"/>
        <xdr:cNvSpPr>
          <a:spLocks noChangeArrowheads="1"/>
        </xdr:cNvSpPr>
      </xdr:nvSpPr>
      <xdr:spPr bwMode="auto">
        <a:xfrm>
          <a:off x="2171700" y="3867150"/>
          <a:ext cx="9810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Haga click acá</a:t>
          </a:r>
        </a:p>
      </xdr:txBody>
    </xdr:sp>
    <xdr:clientData/>
  </xdr:twoCellAnchor>
  <xdr:twoCellAnchor>
    <xdr:from>
      <xdr:col>15</xdr:col>
      <xdr:colOff>76200</xdr:colOff>
      <xdr:row>18</xdr:row>
      <xdr:rowOff>9525</xdr:rowOff>
    </xdr:from>
    <xdr:to>
      <xdr:col>17</xdr:col>
      <xdr:colOff>38100</xdr:colOff>
      <xdr:row>19</xdr:row>
      <xdr:rowOff>19050</xdr:rowOff>
    </xdr:to>
    <xdr:sp macro="" textlink="">
      <xdr:nvSpPr>
        <xdr:cNvPr id="5134" name="Rectangle 14"/>
        <xdr:cNvSpPr>
          <a:spLocks noChangeArrowheads="1"/>
        </xdr:cNvSpPr>
      </xdr:nvSpPr>
      <xdr:spPr bwMode="auto">
        <a:xfrm>
          <a:off x="9763125" y="3838575"/>
          <a:ext cx="981075" cy="1714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Haga click acá</a:t>
          </a:r>
        </a:p>
      </xdr:txBody>
    </xdr:sp>
    <xdr:clientData/>
  </xdr:twoCellAnchor>
  <xdr:twoCellAnchor>
    <xdr:from>
      <xdr:col>3</xdr:col>
      <xdr:colOff>238125</xdr:colOff>
      <xdr:row>17</xdr:row>
      <xdr:rowOff>28575</xdr:rowOff>
    </xdr:from>
    <xdr:to>
      <xdr:col>3</xdr:col>
      <xdr:colOff>733425</xdr:colOff>
      <xdr:row>18</xdr:row>
      <xdr:rowOff>19050</xdr:rowOff>
    </xdr:to>
    <xdr:sp macro="" textlink="">
      <xdr:nvSpPr>
        <xdr:cNvPr id="5093247" name="AutoShape 15"/>
        <xdr:cNvSpPr>
          <a:spLocks noChangeArrowheads="1"/>
        </xdr:cNvSpPr>
      </xdr:nvSpPr>
      <xdr:spPr bwMode="auto">
        <a:xfrm>
          <a:off x="1838325" y="3695700"/>
          <a:ext cx="495300" cy="1524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190500</xdr:colOff>
      <xdr:row>17</xdr:row>
      <xdr:rowOff>38100</xdr:rowOff>
    </xdr:from>
    <xdr:to>
      <xdr:col>15</xdr:col>
      <xdr:colOff>685800</xdr:colOff>
      <xdr:row>18</xdr:row>
      <xdr:rowOff>28575</xdr:rowOff>
    </xdr:to>
    <xdr:sp macro="" textlink="">
      <xdr:nvSpPr>
        <xdr:cNvPr id="5093248" name="AutoShape 16"/>
        <xdr:cNvSpPr>
          <a:spLocks noChangeArrowheads="1"/>
        </xdr:cNvSpPr>
      </xdr:nvSpPr>
      <xdr:spPr bwMode="auto">
        <a:xfrm>
          <a:off x="9410700" y="3705225"/>
          <a:ext cx="495300" cy="152400"/>
        </a:xfrm>
        <a:prstGeom prst="leftArrow">
          <a:avLst>
            <a:gd name="adj1" fmla="val 50000"/>
            <a:gd name="adj2" fmla="val 81250"/>
          </a:avLst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112395</xdr:rowOff>
    </xdr:from>
    <xdr:to>
      <xdr:col>6</xdr:col>
      <xdr:colOff>339109</xdr:colOff>
      <xdr:row>2</xdr:row>
      <xdr:rowOff>93588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219075" y="114300"/>
          <a:ext cx="4095750" cy="2952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9525</xdr:colOff>
      <xdr:row>0</xdr:row>
      <xdr:rowOff>104775</xdr:rowOff>
    </xdr:from>
    <xdr:to>
      <xdr:col>6</xdr:col>
      <xdr:colOff>333375</xdr:colOff>
      <xdr:row>18</xdr:row>
      <xdr:rowOff>123825</xdr:rowOff>
    </xdr:to>
    <xdr:sp macro="" textlink="">
      <xdr:nvSpPr>
        <xdr:cNvPr id="6516576" name="AutoShape 7"/>
        <xdr:cNvSpPr>
          <a:spLocks noChangeArrowheads="1"/>
        </xdr:cNvSpPr>
      </xdr:nvSpPr>
      <xdr:spPr bwMode="auto">
        <a:xfrm>
          <a:off x="200025" y="104775"/>
          <a:ext cx="4114800" cy="29337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453390</xdr:colOff>
      <xdr:row>0</xdr:row>
      <xdr:rowOff>112395</xdr:rowOff>
    </xdr:from>
    <xdr:to>
      <xdr:col>10</xdr:col>
      <xdr:colOff>169575</xdr:colOff>
      <xdr:row>2</xdr:row>
      <xdr:rowOff>19122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4429125" y="114300"/>
          <a:ext cx="2676525" cy="2286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6</xdr:col>
      <xdr:colOff>390525</xdr:colOff>
      <xdr:row>10</xdr:row>
      <xdr:rowOff>104775</xdr:rowOff>
    </xdr:from>
    <xdr:to>
      <xdr:col>10</xdr:col>
      <xdr:colOff>28575</xdr:colOff>
      <xdr:row>19</xdr:row>
      <xdr:rowOff>142875</xdr:rowOff>
    </xdr:to>
    <xdr:graphicFrame macro="">
      <xdr:nvGraphicFramePr>
        <xdr:cNvPr id="651657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453390</xdr:colOff>
      <xdr:row>12</xdr:row>
      <xdr:rowOff>19050</xdr:rowOff>
    </xdr:from>
    <xdr:to>
      <xdr:col>10</xdr:col>
      <xdr:colOff>179099</xdr:colOff>
      <xdr:row>13</xdr:row>
      <xdr:rowOff>58037</xdr:rowOff>
    </xdr:to>
    <xdr:sp macro="" textlink="">
      <xdr:nvSpPr>
        <xdr:cNvPr id="6156" name="Rectangle 12"/>
        <xdr:cNvSpPr>
          <a:spLocks noChangeArrowheads="1"/>
        </xdr:cNvSpPr>
      </xdr:nvSpPr>
      <xdr:spPr bwMode="auto">
        <a:xfrm>
          <a:off x="4438650" y="1952625"/>
          <a:ext cx="267652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INGRESOS POR MATRICULA / INGRESOS TOTALES</a:t>
          </a:r>
        </a:p>
      </xdr:txBody>
    </xdr:sp>
    <xdr:clientData/>
  </xdr:twoCellAnchor>
  <xdr:twoCellAnchor>
    <xdr:from>
      <xdr:col>0</xdr:col>
      <xdr:colOff>161925</xdr:colOff>
      <xdr:row>2</xdr:row>
      <xdr:rowOff>142875</xdr:rowOff>
    </xdr:from>
    <xdr:to>
      <xdr:col>7</xdr:col>
      <xdr:colOff>247650</xdr:colOff>
      <xdr:row>18</xdr:row>
      <xdr:rowOff>66675</xdr:rowOff>
    </xdr:to>
    <xdr:graphicFrame macro="">
      <xdr:nvGraphicFramePr>
        <xdr:cNvPr id="651658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</xdr:row>
      <xdr:rowOff>38100</xdr:rowOff>
    </xdr:from>
    <xdr:to>
      <xdr:col>10</xdr:col>
      <xdr:colOff>676275</xdr:colOff>
      <xdr:row>11</xdr:row>
      <xdr:rowOff>66675</xdr:rowOff>
    </xdr:to>
    <xdr:graphicFrame macro="">
      <xdr:nvGraphicFramePr>
        <xdr:cNvPr id="651658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190500</xdr:colOff>
      <xdr:row>2</xdr:row>
      <xdr:rowOff>66675</xdr:rowOff>
    </xdr:from>
    <xdr:to>
      <xdr:col>13</xdr:col>
      <xdr:colOff>0</xdr:colOff>
      <xdr:row>18</xdr:row>
      <xdr:rowOff>85725</xdr:rowOff>
    </xdr:to>
    <xdr:graphicFrame macro="">
      <xdr:nvGraphicFramePr>
        <xdr:cNvPr id="651658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219075</xdr:colOff>
      <xdr:row>2</xdr:row>
      <xdr:rowOff>104775</xdr:rowOff>
    </xdr:from>
    <xdr:to>
      <xdr:col>17</xdr:col>
      <xdr:colOff>371475</xdr:colOff>
      <xdr:row>18</xdr:row>
      <xdr:rowOff>85725</xdr:rowOff>
    </xdr:to>
    <xdr:graphicFrame macro="">
      <xdr:nvGraphicFramePr>
        <xdr:cNvPr id="651658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310515</xdr:colOff>
      <xdr:row>0</xdr:row>
      <xdr:rowOff>76200</xdr:rowOff>
    </xdr:from>
    <xdr:to>
      <xdr:col>13</xdr:col>
      <xdr:colOff>121</xdr:colOff>
      <xdr:row>2</xdr:row>
      <xdr:rowOff>28575</xdr:rowOff>
    </xdr:to>
    <xdr:sp macro="" textlink="">
      <xdr:nvSpPr>
        <xdr:cNvPr id="6164" name="Rectangle 20"/>
        <xdr:cNvSpPr>
          <a:spLocks noChangeArrowheads="1"/>
        </xdr:cNvSpPr>
      </xdr:nvSpPr>
      <xdr:spPr bwMode="auto">
        <a:xfrm>
          <a:off x="7239000" y="76200"/>
          <a:ext cx="4276725" cy="2762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Periodo I</a:t>
          </a:r>
        </a:p>
      </xdr:txBody>
    </xdr:sp>
    <xdr:clientData/>
  </xdr:twoCellAnchor>
  <xdr:twoCellAnchor>
    <xdr:from>
      <xdr:col>12</xdr:col>
      <xdr:colOff>93345</xdr:colOff>
      <xdr:row>0</xdr:row>
      <xdr:rowOff>76200</xdr:rowOff>
    </xdr:from>
    <xdr:to>
      <xdr:col>16</xdr:col>
      <xdr:colOff>729614</xdr:colOff>
      <xdr:row>2</xdr:row>
      <xdr:rowOff>28575</xdr:rowOff>
    </xdr:to>
    <xdr:sp macro="" textlink="">
      <xdr:nvSpPr>
        <xdr:cNvPr id="6165" name="Rectangle 21"/>
        <xdr:cNvSpPr>
          <a:spLocks noChangeArrowheads="1"/>
        </xdr:cNvSpPr>
      </xdr:nvSpPr>
      <xdr:spPr bwMode="auto">
        <a:xfrm>
          <a:off x="11506200" y="76200"/>
          <a:ext cx="3543300" cy="2762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          Periodo II</a:t>
          </a:r>
        </a:p>
      </xdr:txBody>
    </xdr:sp>
    <xdr:clientData/>
  </xdr:twoCellAnchor>
  <xdr:twoCellAnchor>
    <xdr:from>
      <xdr:col>10</xdr:col>
      <xdr:colOff>304800</xdr:colOff>
      <xdr:row>0</xdr:row>
      <xdr:rowOff>85725</xdr:rowOff>
    </xdr:from>
    <xdr:to>
      <xdr:col>16</xdr:col>
      <xdr:colOff>733425</xdr:colOff>
      <xdr:row>18</xdr:row>
      <xdr:rowOff>123825</xdr:rowOff>
    </xdr:to>
    <xdr:sp macro="" textlink="">
      <xdr:nvSpPr>
        <xdr:cNvPr id="6516586" name="AutoShape 19"/>
        <xdr:cNvSpPr>
          <a:spLocks noChangeArrowheads="1"/>
        </xdr:cNvSpPr>
      </xdr:nvSpPr>
      <xdr:spPr bwMode="auto">
        <a:xfrm>
          <a:off x="7248525" y="85725"/>
          <a:ext cx="7800975" cy="2952750"/>
        </a:xfrm>
        <a:prstGeom prst="roundRect">
          <a:avLst>
            <a:gd name="adj" fmla="val 42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47625</xdr:colOff>
      <xdr:row>0</xdr:row>
      <xdr:rowOff>104775</xdr:rowOff>
    </xdr:from>
    <xdr:to>
      <xdr:col>12</xdr:col>
      <xdr:colOff>47625</xdr:colOff>
      <xdr:row>18</xdr:row>
      <xdr:rowOff>142875</xdr:rowOff>
    </xdr:to>
    <xdr:sp macro="" textlink="">
      <xdr:nvSpPr>
        <xdr:cNvPr id="6516587" name="Line 22"/>
        <xdr:cNvSpPr>
          <a:spLocks noChangeShapeType="1"/>
        </xdr:cNvSpPr>
      </xdr:nvSpPr>
      <xdr:spPr bwMode="auto">
        <a:xfrm flipH="1">
          <a:off x="11468100" y="104775"/>
          <a:ext cx="0" cy="29527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457200</xdr:colOff>
      <xdr:row>0</xdr:row>
      <xdr:rowOff>104775</xdr:rowOff>
    </xdr:from>
    <xdr:to>
      <xdr:col>10</xdr:col>
      <xdr:colOff>171450</xdr:colOff>
      <xdr:row>18</xdr:row>
      <xdr:rowOff>123825</xdr:rowOff>
    </xdr:to>
    <xdr:sp macro="" textlink="">
      <xdr:nvSpPr>
        <xdr:cNvPr id="6516588" name="AutoShape 10"/>
        <xdr:cNvSpPr>
          <a:spLocks noChangeArrowheads="1"/>
        </xdr:cNvSpPr>
      </xdr:nvSpPr>
      <xdr:spPr bwMode="auto">
        <a:xfrm>
          <a:off x="4438650" y="104775"/>
          <a:ext cx="267652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2238375</xdr:colOff>
      <xdr:row>55</xdr:row>
      <xdr:rowOff>0</xdr:rowOff>
    </xdr:from>
    <xdr:to>
      <xdr:col>11</xdr:col>
      <xdr:colOff>3638550</xdr:colOff>
      <xdr:row>58</xdr:row>
      <xdr:rowOff>47625</xdr:rowOff>
    </xdr:to>
    <xdr:sp macro="" textlink="">
      <xdr:nvSpPr>
        <xdr:cNvPr id="6516589" name="AutoShape 23"/>
        <xdr:cNvSpPr>
          <a:spLocks noChangeArrowheads="1"/>
        </xdr:cNvSpPr>
      </xdr:nvSpPr>
      <xdr:spPr bwMode="auto">
        <a:xfrm>
          <a:off x="9944100" y="9286875"/>
          <a:ext cx="1400175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2428875</xdr:colOff>
      <xdr:row>55</xdr:row>
      <xdr:rowOff>66675</xdr:rowOff>
    </xdr:from>
    <xdr:to>
      <xdr:col>11</xdr:col>
      <xdr:colOff>3371850</xdr:colOff>
      <xdr:row>57</xdr:row>
      <xdr:rowOff>123825</xdr:rowOff>
    </xdr:to>
    <xdr:sp macro="" textlink="">
      <xdr:nvSpPr>
        <xdr:cNvPr id="6516590" name="AutoShape 2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0134600" y="9353550"/>
          <a:ext cx="942975" cy="485775"/>
        </a:xfrm>
        <a:prstGeom prst="leftArrow">
          <a:avLst>
            <a:gd name="adj1" fmla="val 50000"/>
            <a:gd name="adj2" fmla="val 48529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200025</xdr:colOff>
      <xdr:row>38</xdr:row>
      <xdr:rowOff>47625</xdr:rowOff>
    </xdr:from>
    <xdr:to>
      <xdr:col>19</xdr:col>
      <xdr:colOff>95250</xdr:colOff>
      <xdr:row>58</xdr:row>
      <xdr:rowOff>66675</xdr:rowOff>
    </xdr:to>
    <xdr:graphicFrame macro="">
      <xdr:nvGraphicFramePr>
        <xdr:cNvPr id="6516591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261937</xdr:colOff>
      <xdr:row>26</xdr:row>
      <xdr:rowOff>142875</xdr:rowOff>
    </xdr:from>
    <xdr:to>
      <xdr:col>19</xdr:col>
      <xdr:colOff>728662</xdr:colOff>
      <xdr:row>30</xdr:row>
      <xdr:rowOff>80282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16287750" y="4643438"/>
          <a:ext cx="1228725" cy="604157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18</xdr:col>
      <xdr:colOff>321468</xdr:colOff>
      <xdr:row>27</xdr:row>
      <xdr:rowOff>71438</xdr:rowOff>
    </xdr:from>
    <xdr:to>
      <xdr:col>19</xdr:col>
      <xdr:colOff>511968</xdr:colOff>
      <xdr:row>29</xdr:row>
      <xdr:rowOff>123145</xdr:rowOff>
    </xdr:to>
    <xdr:sp macro="" textlink="">
      <xdr:nvSpPr>
        <xdr:cNvPr id="21" name="AutoShape 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6347281" y="4738688"/>
          <a:ext cx="952500" cy="385082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4</xdr:col>
      <xdr:colOff>790575</xdr:colOff>
      <xdr:row>16</xdr:row>
      <xdr:rowOff>333375</xdr:rowOff>
    </xdr:to>
    <xdr:graphicFrame macro="">
      <xdr:nvGraphicFramePr>
        <xdr:cNvPr id="659634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690561</xdr:colOff>
      <xdr:row>10</xdr:row>
      <xdr:rowOff>73818</xdr:rowOff>
    </xdr:from>
    <xdr:to>
      <xdr:col>26</xdr:col>
      <xdr:colOff>392907</xdr:colOff>
      <xdr:row>16</xdr:row>
      <xdr:rowOff>702468</xdr:rowOff>
    </xdr:to>
    <xdr:graphicFrame macro="">
      <xdr:nvGraphicFramePr>
        <xdr:cNvPr id="659634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916781</xdr:colOff>
      <xdr:row>1</xdr:row>
      <xdr:rowOff>142875</xdr:rowOff>
    </xdr:from>
    <xdr:to>
      <xdr:col>26</xdr:col>
      <xdr:colOff>59531</xdr:colOff>
      <xdr:row>11</xdr:row>
      <xdr:rowOff>104775</xdr:rowOff>
    </xdr:to>
    <xdr:graphicFrame macro="">
      <xdr:nvGraphicFramePr>
        <xdr:cNvPr id="659634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96520</xdr:rowOff>
    </xdr:from>
    <xdr:to>
      <xdr:col>4</xdr:col>
      <xdr:colOff>772112</xdr:colOff>
      <xdr:row>2</xdr:row>
      <xdr:rowOff>121920</xdr:rowOff>
    </xdr:to>
    <xdr:sp macro="" textlink="">
      <xdr:nvSpPr>
        <xdr:cNvPr id="2077" name="Rectangle 29"/>
        <xdr:cNvSpPr>
          <a:spLocks noChangeArrowheads="1"/>
        </xdr:cNvSpPr>
      </xdr:nvSpPr>
      <xdr:spPr bwMode="auto">
        <a:xfrm>
          <a:off x="241300" y="88900"/>
          <a:ext cx="4435475" cy="3556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0</xdr:colOff>
      <xdr:row>0</xdr:row>
      <xdr:rowOff>57150</xdr:rowOff>
    </xdr:from>
    <xdr:to>
      <xdr:col>4</xdr:col>
      <xdr:colOff>742950</xdr:colOff>
      <xdr:row>16</xdr:row>
      <xdr:rowOff>400050</xdr:rowOff>
    </xdr:to>
    <xdr:sp macro="" textlink="">
      <xdr:nvSpPr>
        <xdr:cNvPr id="6596350" name="AutoShape 30"/>
        <xdr:cNvSpPr>
          <a:spLocks noChangeArrowheads="1"/>
        </xdr:cNvSpPr>
      </xdr:nvSpPr>
      <xdr:spPr bwMode="auto">
        <a:xfrm>
          <a:off x="219075" y="57150"/>
          <a:ext cx="4410075" cy="29337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906780</xdr:colOff>
      <xdr:row>0</xdr:row>
      <xdr:rowOff>66675</xdr:rowOff>
    </xdr:from>
    <xdr:to>
      <xdr:col>26</xdr:col>
      <xdr:colOff>0</xdr:colOff>
      <xdr:row>1</xdr:row>
      <xdr:rowOff>150430</xdr:rowOff>
    </xdr:to>
    <xdr:sp macro="" textlink="">
      <xdr:nvSpPr>
        <xdr:cNvPr id="2079" name="Rectangle 31"/>
        <xdr:cNvSpPr>
          <a:spLocks noChangeArrowheads="1"/>
        </xdr:cNvSpPr>
      </xdr:nvSpPr>
      <xdr:spPr bwMode="auto">
        <a:xfrm>
          <a:off x="4931093" y="66675"/>
          <a:ext cx="9987438" cy="250443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  <a:p>
          <a:pPr algn="ctr" rtl="1">
            <a:defRPr sz="1000"/>
          </a:pPr>
          <a:endParaRPr lang="es-ES" sz="1100" b="1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899160</xdr:colOff>
      <xdr:row>12</xdr:row>
      <xdr:rowOff>19050</xdr:rowOff>
    </xdr:from>
    <xdr:to>
      <xdr:col>26</xdr:col>
      <xdr:colOff>0</xdr:colOff>
      <xdr:row>13</xdr:row>
      <xdr:rowOff>76200</xdr:rowOff>
    </xdr:to>
    <xdr:sp macro="" textlink="">
      <xdr:nvSpPr>
        <xdr:cNvPr id="2080" name="Rectangle 32"/>
        <xdr:cNvSpPr>
          <a:spLocks noChangeArrowheads="1"/>
        </xdr:cNvSpPr>
      </xdr:nvSpPr>
      <xdr:spPr bwMode="auto">
        <a:xfrm>
          <a:off x="4923473" y="2019300"/>
          <a:ext cx="9995058" cy="223838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TOTALESz</a:t>
          </a:r>
        </a:p>
      </xdr:txBody>
    </xdr:sp>
    <xdr:clientData/>
  </xdr:twoCellAnchor>
  <xdr:twoCellAnchor>
    <xdr:from>
      <xdr:col>4</xdr:col>
      <xdr:colOff>904875</xdr:colOff>
      <xdr:row>0</xdr:row>
      <xdr:rowOff>66675</xdr:rowOff>
    </xdr:from>
    <xdr:to>
      <xdr:col>26</xdr:col>
      <xdr:colOff>0</xdr:colOff>
      <xdr:row>16</xdr:row>
      <xdr:rowOff>409575</xdr:rowOff>
    </xdr:to>
    <xdr:sp macro="" textlink="">
      <xdr:nvSpPr>
        <xdr:cNvPr id="6596353" name="AutoShape 33"/>
        <xdr:cNvSpPr>
          <a:spLocks noChangeArrowheads="1"/>
        </xdr:cNvSpPr>
      </xdr:nvSpPr>
      <xdr:spPr bwMode="auto">
        <a:xfrm>
          <a:off x="4791075" y="66675"/>
          <a:ext cx="1971675" cy="2933700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0</xdr:colOff>
      <xdr:row>1</xdr:row>
      <xdr:rowOff>152400</xdr:rowOff>
    </xdr:from>
    <xdr:to>
      <xdr:col>42</xdr:col>
      <xdr:colOff>1276350</xdr:colOff>
      <xdr:row>16</xdr:row>
      <xdr:rowOff>371475</xdr:rowOff>
    </xdr:to>
    <xdr:graphicFrame macro="">
      <xdr:nvGraphicFramePr>
        <xdr:cNvPr id="6596354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0</xdr:row>
      <xdr:rowOff>57150</xdr:rowOff>
    </xdr:from>
    <xdr:to>
      <xdr:col>42</xdr:col>
      <xdr:colOff>657225</xdr:colOff>
      <xdr:row>16</xdr:row>
      <xdr:rowOff>400050</xdr:rowOff>
    </xdr:to>
    <xdr:sp macro="" textlink="">
      <xdr:nvSpPr>
        <xdr:cNvPr id="6596355" name="AutoShape 36"/>
        <xdr:cNvSpPr>
          <a:spLocks noChangeArrowheads="1"/>
        </xdr:cNvSpPr>
      </xdr:nvSpPr>
      <xdr:spPr bwMode="auto">
        <a:xfrm>
          <a:off x="6762750" y="57150"/>
          <a:ext cx="488632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0</xdr:colOff>
      <xdr:row>0</xdr:row>
      <xdr:rowOff>57150</xdr:rowOff>
    </xdr:from>
    <xdr:to>
      <xdr:col>42</xdr:col>
      <xdr:colOff>662896</xdr:colOff>
      <xdr:row>2</xdr:row>
      <xdr:rowOff>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8686800" y="57150"/>
          <a:ext cx="4629150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42</xdr:col>
      <xdr:colOff>695325</xdr:colOff>
      <xdr:row>2</xdr:row>
      <xdr:rowOff>9525</xdr:rowOff>
    </xdr:from>
    <xdr:to>
      <xdr:col>44</xdr:col>
      <xdr:colOff>23813</xdr:colOff>
      <xdr:row>16</xdr:row>
      <xdr:rowOff>381000</xdr:rowOff>
    </xdr:to>
    <xdr:graphicFrame macro="">
      <xdr:nvGraphicFramePr>
        <xdr:cNvPr id="6596357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752476</xdr:colOff>
      <xdr:row>0</xdr:row>
      <xdr:rowOff>66675</xdr:rowOff>
    </xdr:from>
    <xdr:to>
      <xdr:col>44</xdr:col>
      <xdr:colOff>23814</xdr:colOff>
      <xdr:row>16</xdr:row>
      <xdr:rowOff>409575</xdr:rowOff>
    </xdr:to>
    <xdr:sp macro="" textlink="">
      <xdr:nvSpPr>
        <xdr:cNvPr id="6596358" name="AutoShape 45"/>
        <xdr:cNvSpPr>
          <a:spLocks noChangeArrowheads="1"/>
        </xdr:cNvSpPr>
      </xdr:nvSpPr>
      <xdr:spPr bwMode="auto">
        <a:xfrm>
          <a:off x="19540539" y="66675"/>
          <a:ext cx="4545806" cy="30099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42</xdr:col>
      <xdr:colOff>765810</xdr:colOff>
      <xdr:row>0</xdr:row>
      <xdr:rowOff>66675</xdr:rowOff>
    </xdr:from>
    <xdr:to>
      <xdr:col>44</xdr:col>
      <xdr:colOff>11907</xdr:colOff>
      <xdr:row>2</xdr:row>
      <xdr:rowOff>0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19553873" y="66675"/>
          <a:ext cx="4520565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HORAS TOTALES POR PERIODO</a:t>
          </a:r>
        </a:p>
      </xdr:txBody>
    </xdr:sp>
    <xdr:clientData/>
  </xdr:twoCellAnchor>
  <xdr:twoCellAnchor>
    <xdr:from>
      <xdr:col>44</xdr:col>
      <xdr:colOff>0</xdr:colOff>
      <xdr:row>27</xdr:row>
      <xdr:rowOff>0</xdr:rowOff>
    </xdr:from>
    <xdr:to>
      <xdr:col>45</xdr:col>
      <xdr:colOff>466725</xdr:colOff>
      <xdr:row>30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23622000" y="5262563"/>
          <a:ext cx="1228725" cy="604157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119063</xdr:colOff>
      <xdr:row>27</xdr:row>
      <xdr:rowOff>71438</xdr:rowOff>
    </xdr:from>
    <xdr:to>
      <xdr:col>45</xdr:col>
      <xdr:colOff>309563</xdr:colOff>
      <xdr:row>29</xdr:row>
      <xdr:rowOff>123145</xdr:rowOff>
    </xdr:to>
    <xdr:sp macro="" textlink="">
      <xdr:nvSpPr>
        <xdr:cNvPr id="18" name="AutoShape 4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23741063" y="5334001"/>
          <a:ext cx="952500" cy="385082"/>
        </a:xfrm>
        <a:prstGeom prst="leftArrow">
          <a:avLst>
            <a:gd name="adj1" fmla="val 50000"/>
            <a:gd name="adj2" fmla="val 62500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47625</xdr:rowOff>
    </xdr:from>
    <xdr:to>
      <xdr:col>4</xdr:col>
      <xdr:colOff>142875</xdr:colOff>
      <xdr:row>16</xdr:row>
      <xdr:rowOff>333375</xdr:rowOff>
    </xdr:to>
    <xdr:graphicFrame macro="">
      <xdr:nvGraphicFramePr>
        <xdr:cNvPr id="643579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207282</xdr:colOff>
      <xdr:row>11</xdr:row>
      <xdr:rowOff>40368</xdr:rowOff>
    </xdr:from>
    <xdr:to>
      <xdr:col>10</xdr:col>
      <xdr:colOff>378732</xdr:colOff>
      <xdr:row>18</xdr:row>
      <xdr:rowOff>40368</xdr:rowOff>
    </xdr:to>
    <xdr:graphicFrame macro="">
      <xdr:nvGraphicFramePr>
        <xdr:cNvPr id="64357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161925</xdr:colOff>
      <xdr:row>2</xdr:row>
      <xdr:rowOff>38100</xdr:rowOff>
    </xdr:from>
    <xdr:to>
      <xdr:col>10</xdr:col>
      <xdr:colOff>466725</xdr:colOff>
      <xdr:row>12</xdr:row>
      <xdr:rowOff>0</xdr:rowOff>
    </xdr:to>
    <xdr:graphicFrame macro="">
      <xdr:nvGraphicFramePr>
        <xdr:cNvPr id="64357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0</xdr:row>
      <xdr:rowOff>57150</xdr:rowOff>
    </xdr:from>
    <xdr:to>
      <xdr:col>4</xdr:col>
      <xdr:colOff>26673</xdr:colOff>
      <xdr:row>2</xdr:row>
      <xdr:rowOff>36383</xdr:rowOff>
    </xdr:to>
    <xdr:sp macro="" textlink="">
      <xdr:nvSpPr>
        <xdr:cNvPr id="7173" name="Rectangle 5"/>
        <xdr:cNvSpPr>
          <a:spLocks noChangeArrowheads="1"/>
        </xdr:cNvSpPr>
      </xdr:nvSpPr>
      <xdr:spPr bwMode="auto">
        <a:xfrm>
          <a:off x="133350" y="57150"/>
          <a:ext cx="4572000" cy="2952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1</xdr:col>
      <xdr:colOff>180975</xdr:colOff>
      <xdr:row>0</xdr:row>
      <xdr:rowOff>66675</xdr:rowOff>
    </xdr:from>
    <xdr:to>
      <xdr:col>4</xdr:col>
      <xdr:colOff>38100</xdr:colOff>
      <xdr:row>16</xdr:row>
      <xdr:rowOff>409575</xdr:rowOff>
    </xdr:to>
    <xdr:sp macro="" textlink="">
      <xdr:nvSpPr>
        <xdr:cNvPr id="6435797" name="AutoShape 6"/>
        <xdr:cNvSpPr>
          <a:spLocks noChangeArrowheads="1"/>
        </xdr:cNvSpPr>
      </xdr:nvSpPr>
      <xdr:spPr bwMode="auto">
        <a:xfrm>
          <a:off x="228600" y="66675"/>
          <a:ext cx="4533900" cy="2695575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160020</xdr:colOff>
      <xdr:row>0</xdr:row>
      <xdr:rowOff>66675</xdr:rowOff>
    </xdr:from>
    <xdr:to>
      <xdr:col>9</xdr:col>
      <xdr:colOff>9527</xdr:colOff>
      <xdr:row>1</xdr:row>
      <xdr:rowOff>150666</xdr:rowOff>
    </xdr:to>
    <xdr:sp macro="" textlink="">
      <xdr:nvSpPr>
        <xdr:cNvPr id="7175" name="Rectangle 7"/>
        <xdr:cNvSpPr>
          <a:spLocks noChangeArrowheads="1"/>
        </xdr:cNvSpPr>
      </xdr:nvSpPr>
      <xdr:spPr bwMode="auto">
        <a:xfrm>
          <a:off x="4848225" y="66675"/>
          <a:ext cx="3914775" cy="24765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4</xdr:col>
      <xdr:colOff>160020</xdr:colOff>
      <xdr:row>12</xdr:row>
      <xdr:rowOff>9525</xdr:rowOff>
    </xdr:from>
    <xdr:to>
      <xdr:col>9</xdr:col>
      <xdr:colOff>28584</xdr:colOff>
      <xdr:row>13</xdr:row>
      <xdr:rowOff>76679</xdr:rowOff>
    </xdr:to>
    <xdr:sp macro="" textlink="">
      <xdr:nvSpPr>
        <xdr:cNvPr id="7176" name="Rectangle 8"/>
        <xdr:cNvSpPr>
          <a:spLocks noChangeArrowheads="1"/>
        </xdr:cNvSpPr>
      </xdr:nvSpPr>
      <xdr:spPr bwMode="auto">
        <a:xfrm>
          <a:off x="4848225" y="1962150"/>
          <a:ext cx="393382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</a:t>
          </a:r>
        </a:p>
      </xdr:txBody>
    </xdr:sp>
    <xdr:clientData/>
  </xdr:twoCellAnchor>
  <xdr:twoCellAnchor>
    <xdr:from>
      <xdr:col>4</xdr:col>
      <xdr:colOff>161925</xdr:colOff>
      <xdr:row>0</xdr:row>
      <xdr:rowOff>66675</xdr:rowOff>
    </xdr:from>
    <xdr:to>
      <xdr:col>9</xdr:col>
      <xdr:colOff>9525</xdr:colOff>
      <xdr:row>16</xdr:row>
      <xdr:rowOff>409575</xdr:rowOff>
    </xdr:to>
    <xdr:sp macro="" textlink="">
      <xdr:nvSpPr>
        <xdr:cNvPr id="6435800" name="AutoShape 9"/>
        <xdr:cNvSpPr>
          <a:spLocks noChangeArrowheads="1"/>
        </xdr:cNvSpPr>
      </xdr:nvSpPr>
      <xdr:spPr bwMode="auto">
        <a:xfrm>
          <a:off x="4886325" y="66675"/>
          <a:ext cx="3914775" cy="2695575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161925</xdr:colOff>
      <xdr:row>2</xdr:row>
      <xdr:rowOff>0</xdr:rowOff>
    </xdr:from>
    <xdr:to>
      <xdr:col>22</xdr:col>
      <xdr:colOff>457200</xdr:colOff>
      <xdr:row>17</xdr:row>
      <xdr:rowOff>114300</xdr:rowOff>
    </xdr:to>
    <xdr:graphicFrame macro="">
      <xdr:nvGraphicFramePr>
        <xdr:cNvPr id="643580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0</xdr:row>
      <xdr:rowOff>76200</xdr:rowOff>
    </xdr:from>
    <xdr:to>
      <xdr:col>13</xdr:col>
      <xdr:colOff>558200</xdr:colOff>
      <xdr:row>2</xdr:row>
      <xdr:rowOff>26719</xdr:rowOff>
    </xdr:to>
    <xdr:sp macro="" textlink="">
      <xdr:nvSpPr>
        <xdr:cNvPr id="7180" name="Rectangle 12"/>
        <xdr:cNvSpPr>
          <a:spLocks noChangeArrowheads="1"/>
        </xdr:cNvSpPr>
      </xdr:nvSpPr>
      <xdr:spPr bwMode="auto">
        <a:xfrm>
          <a:off x="8896350" y="76200"/>
          <a:ext cx="3467100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9</xdr:col>
      <xdr:colOff>123825</xdr:colOff>
      <xdr:row>0</xdr:row>
      <xdr:rowOff>76200</xdr:rowOff>
    </xdr:from>
    <xdr:to>
      <xdr:col>13</xdr:col>
      <xdr:colOff>542925</xdr:colOff>
      <xdr:row>16</xdr:row>
      <xdr:rowOff>419100</xdr:rowOff>
    </xdr:to>
    <xdr:sp macro="" textlink="">
      <xdr:nvSpPr>
        <xdr:cNvPr id="6435803" name="AutoShape 11"/>
        <xdr:cNvSpPr>
          <a:spLocks noChangeArrowheads="1"/>
        </xdr:cNvSpPr>
      </xdr:nvSpPr>
      <xdr:spPr bwMode="auto">
        <a:xfrm>
          <a:off x="8915400" y="76200"/>
          <a:ext cx="3467100" cy="268605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638175</xdr:colOff>
      <xdr:row>0</xdr:row>
      <xdr:rowOff>47625</xdr:rowOff>
    </xdr:from>
    <xdr:to>
      <xdr:col>17</xdr:col>
      <xdr:colOff>228600</xdr:colOff>
      <xdr:row>16</xdr:row>
      <xdr:rowOff>390525</xdr:rowOff>
    </xdr:to>
    <xdr:sp macro="" textlink="">
      <xdr:nvSpPr>
        <xdr:cNvPr id="6435804" name="AutoShape 14"/>
        <xdr:cNvSpPr>
          <a:spLocks noChangeArrowheads="1"/>
        </xdr:cNvSpPr>
      </xdr:nvSpPr>
      <xdr:spPr bwMode="auto">
        <a:xfrm>
          <a:off x="12477750" y="47625"/>
          <a:ext cx="2543175" cy="2714625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634365</xdr:colOff>
      <xdr:row>0</xdr:row>
      <xdr:rowOff>66675</xdr:rowOff>
    </xdr:from>
    <xdr:to>
      <xdr:col>17</xdr:col>
      <xdr:colOff>217174</xdr:colOff>
      <xdr:row>2</xdr:row>
      <xdr:rowOff>0</xdr:rowOff>
    </xdr:to>
    <xdr:sp macro="" textlink="">
      <xdr:nvSpPr>
        <xdr:cNvPr id="7183" name="Rectangle 15"/>
        <xdr:cNvSpPr>
          <a:spLocks noChangeArrowheads="1"/>
        </xdr:cNvSpPr>
      </xdr:nvSpPr>
      <xdr:spPr bwMode="auto">
        <a:xfrm>
          <a:off x="12439650" y="66675"/>
          <a:ext cx="2628900" cy="2571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DISTRIBUCIÓN DE HONORARIOS</a:t>
          </a:r>
        </a:p>
      </xdr:txBody>
    </xdr:sp>
    <xdr:clientData/>
  </xdr:twoCellAnchor>
  <xdr:twoCellAnchor>
    <xdr:from>
      <xdr:col>13</xdr:col>
      <xdr:colOff>114300</xdr:colOff>
      <xdr:row>1</xdr:row>
      <xdr:rowOff>104775</xdr:rowOff>
    </xdr:from>
    <xdr:to>
      <xdr:col>17</xdr:col>
      <xdr:colOff>723900</xdr:colOff>
      <xdr:row>16</xdr:row>
      <xdr:rowOff>361950</xdr:rowOff>
    </xdr:to>
    <xdr:graphicFrame macro="">
      <xdr:nvGraphicFramePr>
        <xdr:cNvPr id="6435806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352425</xdr:colOff>
      <xdr:row>20</xdr:row>
      <xdr:rowOff>9525</xdr:rowOff>
    </xdr:from>
    <xdr:to>
      <xdr:col>11</xdr:col>
      <xdr:colOff>47625</xdr:colOff>
      <xdr:row>23</xdr:row>
      <xdr:rowOff>133350</xdr:rowOff>
    </xdr:to>
    <xdr:sp macro="" textlink="">
      <xdr:nvSpPr>
        <xdr:cNvPr id="6435807" name="AutoShape 18"/>
        <xdr:cNvSpPr>
          <a:spLocks noChangeArrowheads="1"/>
        </xdr:cNvSpPr>
      </xdr:nvSpPr>
      <xdr:spPr bwMode="auto">
        <a:xfrm>
          <a:off x="9144000" y="3295650"/>
          <a:ext cx="1219200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447675</xdr:colOff>
      <xdr:row>20</xdr:row>
      <xdr:rowOff>47625</xdr:rowOff>
    </xdr:from>
    <xdr:to>
      <xdr:col>10</xdr:col>
      <xdr:colOff>628650</xdr:colOff>
      <xdr:row>23</xdr:row>
      <xdr:rowOff>76200</xdr:rowOff>
    </xdr:to>
    <xdr:sp macro="" textlink="">
      <xdr:nvSpPr>
        <xdr:cNvPr id="6435808" name="AutoShape 19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9239250" y="3333750"/>
          <a:ext cx="942975" cy="552450"/>
        </a:xfrm>
        <a:prstGeom prst="leftArrow">
          <a:avLst>
            <a:gd name="adj1" fmla="val 50000"/>
            <a:gd name="adj2" fmla="val 42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352425</xdr:colOff>
      <xdr:row>20</xdr:row>
      <xdr:rowOff>9525</xdr:rowOff>
    </xdr:from>
    <xdr:to>
      <xdr:col>11</xdr:col>
      <xdr:colOff>47625</xdr:colOff>
      <xdr:row>23</xdr:row>
      <xdr:rowOff>133350</xdr:rowOff>
    </xdr:to>
    <xdr:sp macro="" textlink="">
      <xdr:nvSpPr>
        <xdr:cNvPr id="6435809" name="AutoShape 18"/>
        <xdr:cNvSpPr>
          <a:spLocks noChangeArrowheads="1"/>
        </xdr:cNvSpPr>
      </xdr:nvSpPr>
      <xdr:spPr bwMode="auto">
        <a:xfrm>
          <a:off x="9144000" y="3295650"/>
          <a:ext cx="1219200" cy="647700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447675</xdr:colOff>
      <xdr:row>20</xdr:row>
      <xdr:rowOff>47625</xdr:rowOff>
    </xdr:from>
    <xdr:to>
      <xdr:col>10</xdr:col>
      <xdr:colOff>628650</xdr:colOff>
      <xdr:row>23</xdr:row>
      <xdr:rowOff>76200</xdr:rowOff>
    </xdr:to>
    <xdr:sp macro="" textlink="">
      <xdr:nvSpPr>
        <xdr:cNvPr id="6435810" name="AutoShape 19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9239250" y="3333750"/>
          <a:ext cx="942975" cy="552450"/>
        </a:xfrm>
        <a:prstGeom prst="leftArrow">
          <a:avLst>
            <a:gd name="adj1" fmla="val 50000"/>
            <a:gd name="adj2" fmla="val 42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386</xdr:row>
      <xdr:rowOff>104775</xdr:rowOff>
    </xdr:from>
    <xdr:to>
      <xdr:col>5</xdr:col>
      <xdr:colOff>628650</xdr:colOff>
      <xdr:row>386</xdr:row>
      <xdr:rowOff>104775</xdr:rowOff>
    </xdr:to>
    <xdr:sp macro="" textlink="">
      <xdr:nvSpPr>
        <xdr:cNvPr id="7365089" name="Line 1"/>
        <xdr:cNvSpPr>
          <a:spLocks noChangeShapeType="1"/>
        </xdr:cNvSpPr>
      </xdr:nvSpPr>
      <xdr:spPr bwMode="auto">
        <a:xfrm>
          <a:off x="8734425" y="75352275"/>
          <a:ext cx="18859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386</xdr:row>
      <xdr:rowOff>95250</xdr:rowOff>
    </xdr:from>
    <xdr:to>
      <xdr:col>8</xdr:col>
      <xdr:colOff>0</xdr:colOff>
      <xdr:row>386</xdr:row>
      <xdr:rowOff>95250</xdr:rowOff>
    </xdr:to>
    <xdr:sp macro="" textlink="">
      <xdr:nvSpPr>
        <xdr:cNvPr id="7365090" name="Line 2"/>
        <xdr:cNvSpPr>
          <a:spLocks noChangeShapeType="1"/>
        </xdr:cNvSpPr>
      </xdr:nvSpPr>
      <xdr:spPr bwMode="auto">
        <a:xfrm>
          <a:off x="12592050" y="75342750"/>
          <a:ext cx="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104775</xdr:colOff>
      <xdr:row>386</xdr:row>
      <xdr:rowOff>104775</xdr:rowOff>
    </xdr:from>
    <xdr:to>
      <xdr:col>13</xdr:col>
      <xdr:colOff>628650</xdr:colOff>
      <xdr:row>386</xdr:row>
      <xdr:rowOff>104775</xdr:rowOff>
    </xdr:to>
    <xdr:sp macro="" textlink="">
      <xdr:nvSpPr>
        <xdr:cNvPr id="7365091" name="Line 3"/>
        <xdr:cNvSpPr>
          <a:spLocks noChangeShapeType="1"/>
        </xdr:cNvSpPr>
      </xdr:nvSpPr>
      <xdr:spPr bwMode="auto">
        <a:xfrm>
          <a:off x="16487775" y="75352275"/>
          <a:ext cx="1400175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104775</xdr:colOff>
      <xdr:row>386</xdr:row>
      <xdr:rowOff>104775</xdr:rowOff>
    </xdr:from>
    <xdr:to>
      <xdr:col>21</xdr:col>
      <xdr:colOff>628650</xdr:colOff>
      <xdr:row>386</xdr:row>
      <xdr:rowOff>104775</xdr:rowOff>
    </xdr:to>
    <xdr:sp macro="" textlink="">
      <xdr:nvSpPr>
        <xdr:cNvPr id="7365092" name="Line 4"/>
        <xdr:cNvSpPr>
          <a:spLocks noChangeShapeType="1"/>
        </xdr:cNvSpPr>
      </xdr:nvSpPr>
      <xdr:spPr bwMode="auto">
        <a:xfrm>
          <a:off x="2629852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104775</xdr:colOff>
      <xdr:row>386</xdr:row>
      <xdr:rowOff>104775</xdr:rowOff>
    </xdr:from>
    <xdr:to>
      <xdr:col>29</xdr:col>
      <xdr:colOff>628650</xdr:colOff>
      <xdr:row>386</xdr:row>
      <xdr:rowOff>104775</xdr:rowOff>
    </xdr:to>
    <xdr:sp macro="" textlink="">
      <xdr:nvSpPr>
        <xdr:cNvPr id="7365093" name="Line 5"/>
        <xdr:cNvSpPr>
          <a:spLocks noChangeShapeType="1"/>
        </xdr:cNvSpPr>
      </xdr:nvSpPr>
      <xdr:spPr bwMode="auto">
        <a:xfrm>
          <a:off x="3607117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104775</xdr:colOff>
      <xdr:row>386</xdr:row>
      <xdr:rowOff>104775</xdr:rowOff>
    </xdr:from>
    <xdr:to>
      <xdr:col>37</xdr:col>
      <xdr:colOff>628650</xdr:colOff>
      <xdr:row>386</xdr:row>
      <xdr:rowOff>104775</xdr:rowOff>
    </xdr:to>
    <xdr:sp macro="" textlink="">
      <xdr:nvSpPr>
        <xdr:cNvPr id="7365094" name="Line 6"/>
        <xdr:cNvSpPr>
          <a:spLocks noChangeShapeType="1"/>
        </xdr:cNvSpPr>
      </xdr:nvSpPr>
      <xdr:spPr bwMode="auto">
        <a:xfrm>
          <a:off x="4584382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104775</xdr:colOff>
      <xdr:row>386</xdr:row>
      <xdr:rowOff>104775</xdr:rowOff>
    </xdr:from>
    <xdr:to>
      <xdr:col>45</xdr:col>
      <xdr:colOff>628650</xdr:colOff>
      <xdr:row>386</xdr:row>
      <xdr:rowOff>104775</xdr:rowOff>
    </xdr:to>
    <xdr:sp macro="" textlink="">
      <xdr:nvSpPr>
        <xdr:cNvPr id="7365095" name="Line 7"/>
        <xdr:cNvSpPr>
          <a:spLocks noChangeShapeType="1"/>
        </xdr:cNvSpPr>
      </xdr:nvSpPr>
      <xdr:spPr bwMode="auto">
        <a:xfrm>
          <a:off x="55616475" y="75352275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123826</xdr:rowOff>
    </xdr:from>
    <xdr:to>
      <xdr:col>1</xdr:col>
      <xdr:colOff>1023937</xdr:colOff>
      <xdr:row>16</xdr:row>
      <xdr:rowOff>142875</xdr:rowOff>
    </xdr:to>
    <xdr:graphicFrame macro="">
      <xdr:nvGraphicFramePr>
        <xdr:cNvPr id="736509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10</xdr:row>
      <xdr:rowOff>85725</xdr:rowOff>
    </xdr:from>
    <xdr:to>
      <xdr:col>8</xdr:col>
      <xdr:colOff>609600</xdr:colOff>
      <xdr:row>17</xdr:row>
      <xdr:rowOff>85725</xdr:rowOff>
    </xdr:to>
    <xdr:graphicFrame macro="">
      <xdr:nvGraphicFramePr>
        <xdr:cNvPr id="736509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2</xdr:row>
      <xdr:rowOff>38100</xdr:rowOff>
    </xdr:from>
    <xdr:to>
      <xdr:col>4</xdr:col>
      <xdr:colOff>1447800</xdr:colOff>
      <xdr:row>12</xdr:row>
      <xdr:rowOff>0</xdr:rowOff>
    </xdr:to>
    <xdr:graphicFrame macro="">
      <xdr:nvGraphicFramePr>
        <xdr:cNvPr id="736509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107950</xdr:rowOff>
    </xdr:from>
    <xdr:to>
      <xdr:col>1</xdr:col>
      <xdr:colOff>784812</xdr:colOff>
      <xdr:row>2</xdr:row>
      <xdr:rowOff>79375</xdr:rowOff>
    </xdr:to>
    <xdr:sp macro="" textlink="">
      <xdr:nvSpPr>
        <xdr:cNvPr id="51211" name="Rectangle 11"/>
        <xdr:cNvSpPr>
          <a:spLocks noChangeArrowheads="1"/>
        </xdr:cNvSpPr>
      </xdr:nvSpPr>
      <xdr:spPr bwMode="auto">
        <a:xfrm>
          <a:off x="50800" y="107950"/>
          <a:ext cx="4006850" cy="30162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INFORMACIÓN FINANCIERA GENERAL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1152525</xdr:colOff>
      <xdr:row>16</xdr:row>
      <xdr:rowOff>457200</xdr:rowOff>
    </xdr:to>
    <xdr:sp macro="" textlink="">
      <xdr:nvSpPr>
        <xdr:cNvPr id="7365100" name="AutoShape 12"/>
        <xdr:cNvSpPr>
          <a:spLocks noChangeArrowheads="1"/>
        </xdr:cNvSpPr>
      </xdr:nvSpPr>
      <xdr:spPr bwMode="auto">
        <a:xfrm>
          <a:off x="47625" y="0"/>
          <a:ext cx="4667250" cy="3048000"/>
        </a:xfrm>
        <a:prstGeom prst="roundRect">
          <a:avLst>
            <a:gd name="adj" fmla="val 1176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114300</xdr:colOff>
      <xdr:row>0</xdr:row>
      <xdr:rowOff>66675</xdr:rowOff>
    </xdr:from>
    <xdr:to>
      <xdr:col>4</xdr:col>
      <xdr:colOff>651534</xdr:colOff>
      <xdr:row>1</xdr:row>
      <xdr:rowOff>150430</xdr:rowOff>
    </xdr:to>
    <xdr:sp macro="" textlink="">
      <xdr:nvSpPr>
        <xdr:cNvPr id="51213" name="Rectangle 13"/>
        <xdr:cNvSpPr>
          <a:spLocks noChangeArrowheads="1"/>
        </xdr:cNvSpPr>
      </xdr:nvSpPr>
      <xdr:spPr bwMode="auto">
        <a:xfrm>
          <a:off x="4210050" y="66675"/>
          <a:ext cx="4276725" cy="24765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EXCEDENTE</a:t>
          </a:r>
        </a:p>
      </xdr:txBody>
    </xdr:sp>
    <xdr:clientData/>
  </xdr:twoCellAnchor>
  <xdr:twoCellAnchor>
    <xdr:from>
      <xdr:col>2</xdr:col>
      <xdr:colOff>114300</xdr:colOff>
      <xdr:row>12</xdr:row>
      <xdr:rowOff>19050</xdr:rowOff>
    </xdr:from>
    <xdr:to>
      <xdr:col>4</xdr:col>
      <xdr:colOff>662939</xdr:colOff>
      <xdr:row>13</xdr:row>
      <xdr:rowOff>76200</xdr:rowOff>
    </xdr:to>
    <xdr:sp macro="" textlink="">
      <xdr:nvSpPr>
        <xdr:cNvPr id="51214" name="Rectangle 14"/>
        <xdr:cNvSpPr>
          <a:spLocks noChangeArrowheads="1"/>
        </xdr:cNvSpPr>
      </xdr:nvSpPr>
      <xdr:spPr bwMode="auto">
        <a:xfrm>
          <a:off x="4210050" y="1962150"/>
          <a:ext cx="4295775" cy="2190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GASTOS DE PERSONAL / GASTOS TOTALES</a:t>
          </a:r>
        </a:p>
      </xdr:txBody>
    </xdr:sp>
    <xdr:clientData/>
  </xdr:twoCellAnchor>
  <xdr:twoCellAnchor>
    <xdr:from>
      <xdr:col>2</xdr:col>
      <xdr:colOff>114300</xdr:colOff>
      <xdr:row>0</xdr:row>
      <xdr:rowOff>66675</xdr:rowOff>
    </xdr:from>
    <xdr:to>
      <xdr:col>4</xdr:col>
      <xdr:colOff>647700</xdr:colOff>
      <xdr:row>16</xdr:row>
      <xdr:rowOff>409575</xdr:rowOff>
    </xdr:to>
    <xdr:sp macro="" textlink="">
      <xdr:nvSpPr>
        <xdr:cNvPr id="7365103" name="AutoShape 15"/>
        <xdr:cNvSpPr>
          <a:spLocks noChangeArrowheads="1"/>
        </xdr:cNvSpPr>
      </xdr:nvSpPr>
      <xdr:spPr bwMode="auto">
        <a:xfrm>
          <a:off x="5000625" y="66675"/>
          <a:ext cx="4276725" cy="2933700"/>
        </a:xfrm>
        <a:prstGeom prst="roundRect">
          <a:avLst>
            <a:gd name="adj" fmla="val 1278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723900</xdr:colOff>
      <xdr:row>0</xdr:row>
      <xdr:rowOff>66675</xdr:rowOff>
    </xdr:from>
    <xdr:to>
      <xdr:col>8</xdr:col>
      <xdr:colOff>409575</xdr:colOff>
      <xdr:row>16</xdr:row>
      <xdr:rowOff>409575</xdr:rowOff>
    </xdr:to>
    <xdr:sp macro="" textlink="">
      <xdr:nvSpPr>
        <xdr:cNvPr id="7365104" name="AutoShape 17"/>
        <xdr:cNvSpPr>
          <a:spLocks noChangeArrowheads="1"/>
        </xdr:cNvSpPr>
      </xdr:nvSpPr>
      <xdr:spPr bwMode="auto">
        <a:xfrm>
          <a:off x="9353550" y="66675"/>
          <a:ext cx="3648075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729615</xdr:colOff>
      <xdr:row>0</xdr:row>
      <xdr:rowOff>66675</xdr:rowOff>
    </xdr:from>
    <xdr:to>
      <xdr:col>8</xdr:col>
      <xdr:colOff>417177</xdr:colOff>
      <xdr:row>2</xdr:row>
      <xdr:rowOff>1938</xdr:rowOff>
    </xdr:to>
    <xdr:sp macro="" textlink="">
      <xdr:nvSpPr>
        <xdr:cNvPr id="51218" name="Rectangle 18"/>
        <xdr:cNvSpPr>
          <a:spLocks noChangeArrowheads="1"/>
        </xdr:cNvSpPr>
      </xdr:nvSpPr>
      <xdr:spPr bwMode="auto">
        <a:xfrm>
          <a:off x="8572500" y="66675"/>
          <a:ext cx="3648075" cy="266700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ESTRUCTURA GASTOS PERSONAL</a:t>
          </a:r>
        </a:p>
      </xdr:txBody>
    </xdr:sp>
    <xdr:clientData/>
  </xdr:twoCellAnchor>
  <xdr:twoCellAnchor>
    <xdr:from>
      <xdr:col>8</xdr:col>
      <xdr:colOff>485775</xdr:colOff>
      <xdr:row>0</xdr:row>
      <xdr:rowOff>76200</xdr:rowOff>
    </xdr:from>
    <xdr:to>
      <xdr:col>11</xdr:col>
      <xdr:colOff>904875</xdr:colOff>
      <xdr:row>16</xdr:row>
      <xdr:rowOff>419100</xdr:rowOff>
    </xdr:to>
    <xdr:sp macro="" textlink="">
      <xdr:nvSpPr>
        <xdr:cNvPr id="7365106" name="AutoShape 19"/>
        <xdr:cNvSpPr>
          <a:spLocks noChangeArrowheads="1"/>
        </xdr:cNvSpPr>
      </xdr:nvSpPr>
      <xdr:spPr bwMode="auto">
        <a:xfrm>
          <a:off x="13077825" y="76200"/>
          <a:ext cx="2895600" cy="2933700"/>
        </a:xfrm>
        <a:prstGeom prst="roundRect">
          <a:avLst>
            <a:gd name="adj" fmla="val 1963"/>
          </a:avLst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466725</xdr:colOff>
      <xdr:row>2</xdr:row>
      <xdr:rowOff>9525</xdr:rowOff>
    </xdr:from>
    <xdr:to>
      <xdr:col>12</xdr:col>
      <xdr:colOff>342900</xdr:colOff>
      <xdr:row>16</xdr:row>
      <xdr:rowOff>428625</xdr:rowOff>
    </xdr:to>
    <xdr:graphicFrame macro="">
      <xdr:nvGraphicFramePr>
        <xdr:cNvPr id="736510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491490</xdr:colOff>
      <xdr:row>0</xdr:row>
      <xdr:rowOff>76200</xdr:rowOff>
    </xdr:from>
    <xdr:to>
      <xdr:col>11</xdr:col>
      <xdr:colOff>916321</xdr:colOff>
      <xdr:row>2</xdr:row>
      <xdr:rowOff>1991</xdr:rowOff>
    </xdr:to>
    <xdr:sp macro="" textlink="">
      <xdr:nvSpPr>
        <xdr:cNvPr id="51225" name="Rectangle 25"/>
        <xdr:cNvSpPr>
          <a:spLocks noChangeArrowheads="1"/>
        </xdr:cNvSpPr>
      </xdr:nvSpPr>
      <xdr:spPr bwMode="auto">
        <a:xfrm>
          <a:off x="12296775" y="76200"/>
          <a:ext cx="2886075" cy="257175"/>
        </a:xfrm>
        <a:prstGeom prst="rect">
          <a:avLst/>
        </a:prstGeom>
        <a:solidFill>
          <a:srgbClr val="000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1">
            <a:defRPr sz="1000"/>
          </a:pPr>
          <a:r>
            <a:rPr lang="es-ES" sz="1100" b="1" i="0" strike="noStrike">
              <a:solidFill>
                <a:srgbClr val="FFFFFF"/>
              </a:solidFill>
              <a:latin typeface="Arial"/>
              <a:cs typeface="Arial"/>
            </a:rPr>
            <a:t>DISTRIBUCIÓN DE HONORARIOS</a:t>
          </a:r>
        </a:p>
      </xdr:txBody>
    </xdr:sp>
    <xdr:clientData/>
  </xdr:twoCellAnchor>
  <xdr:twoCellAnchor>
    <xdr:from>
      <xdr:col>4</xdr:col>
      <xdr:colOff>609600</xdr:colOff>
      <xdr:row>2</xdr:row>
      <xdr:rowOff>38100</xdr:rowOff>
    </xdr:from>
    <xdr:to>
      <xdr:col>12</xdr:col>
      <xdr:colOff>371475</xdr:colOff>
      <xdr:row>16</xdr:row>
      <xdr:rowOff>200025</xdr:rowOff>
    </xdr:to>
    <xdr:graphicFrame macro="">
      <xdr:nvGraphicFramePr>
        <xdr:cNvPr id="7365109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409575</xdr:colOff>
      <xdr:row>20</xdr:row>
      <xdr:rowOff>38100</xdr:rowOff>
    </xdr:from>
    <xdr:to>
      <xdr:col>9</xdr:col>
      <xdr:colOff>142875</xdr:colOff>
      <xdr:row>23</xdr:row>
      <xdr:rowOff>152400</xdr:rowOff>
    </xdr:to>
    <xdr:sp macro="" textlink="">
      <xdr:nvSpPr>
        <xdr:cNvPr id="7365110" name="AutoShape 29"/>
        <xdr:cNvSpPr>
          <a:spLocks noChangeArrowheads="1"/>
        </xdr:cNvSpPr>
      </xdr:nvSpPr>
      <xdr:spPr bwMode="auto">
        <a:xfrm>
          <a:off x="12446794" y="3752850"/>
          <a:ext cx="1221581" cy="697706"/>
        </a:xfrm>
        <a:prstGeom prst="roundRect">
          <a:avLst>
            <a:gd name="adj" fmla="val 16667"/>
          </a:avLst>
        </a:prstGeom>
        <a:solidFill>
          <a:srgbClr val="3366FF"/>
        </a:solidFill>
        <a:ln>
          <a:noFill/>
        </a:ln>
        <a:effectLst>
          <a:prstShdw prst="shdw17" dist="102391" dir="1784693">
            <a:srgbClr val="1F3D99"/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485775</xdr:colOff>
      <xdr:row>20</xdr:row>
      <xdr:rowOff>85725</xdr:rowOff>
    </xdr:from>
    <xdr:to>
      <xdr:col>8</xdr:col>
      <xdr:colOff>885825</xdr:colOff>
      <xdr:row>23</xdr:row>
      <xdr:rowOff>104775</xdr:rowOff>
    </xdr:to>
    <xdr:sp macro="" textlink="">
      <xdr:nvSpPr>
        <xdr:cNvPr id="7365111" name="AutoShape 30">
          <a:hlinkClick xmlns:r="http://schemas.openxmlformats.org/officeDocument/2006/relationships" r:id="rId6"/>
        </xdr:cNvPr>
        <xdr:cNvSpPr>
          <a:spLocks noChangeArrowheads="1"/>
        </xdr:cNvSpPr>
      </xdr:nvSpPr>
      <xdr:spPr bwMode="auto">
        <a:xfrm>
          <a:off x="12534900" y="3724275"/>
          <a:ext cx="942975" cy="609600"/>
        </a:xfrm>
        <a:prstGeom prst="leftArrow">
          <a:avLst>
            <a:gd name="adj1" fmla="val 50000"/>
            <a:gd name="adj2" fmla="val 38672"/>
          </a:avLst>
        </a:prstGeom>
        <a:solidFill>
          <a:srgbClr val="FFFFFF"/>
        </a:solidFill>
        <a:ln w="12700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104775</xdr:colOff>
      <xdr:row>61</xdr:row>
      <xdr:rowOff>104775</xdr:rowOff>
    </xdr:from>
    <xdr:to>
      <xdr:col>2</xdr:col>
      <xdr:colOff>628650</xdr:colOff>
      <xdr:row>61</xdr:row>
      <xdr:rowOff>104775</xdr:rowOff>
    </xdr:to>
    <xdr:sp macro="" textlink="">
      <xdr:nvSpPr>
        <xdr:cNvPr id="7365112" name="Line 1"/>
        <xdr:cNvSpPr>
          <a:spLocks noChangeShapeType="1"/>
        </xdr:cNvSpPr>
      </xdr:nvSpPr>
      <xdr:spPr bwMode="auto">
        <a:xfrm>
          <a:off x="3667125" y="10172700"/>
          <a:ext cx="18478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61</xdr:row>
      <xdr:rowOff>95250</xdr:rowOff>
    </xdr:from>
    <xdr:to>
      <xdr:col>8</xdr:col>
      <xdr:colOff>0</xdr:colOff>
      <xdr:row>61</xdr:row>
      <xdr:rowOff>95250</xdr:rowOff>
    </xdr:to>
    <xdr:sp macro="" textlink="">
      <xdr:nvSpPr>
        <xdr:cNvPr id="7365113" name="Line 2"/>
        <xdr:cNvSpPr>
          <a:spLocks noChangeShapeType="1"/>
        </xdr:cNvSpPr>
      </xdr:nvSpPr>
      <xdr:spPr bwMode="auto">
        <a:xfrm>
          <a:off x="12592050" y="10163175"/>
          <a:ext cx="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104775</xdr:colOff>
      <xdr:row>61</xdr:row>
      <xdr:rowOff>104775</xdr:rowOff>
    </xdr:from>
    <xdr:to>
      <xdr:col>21</xdr:col>
      <xdr:colOff>628650</xdr:colOff>
      <xdr:row>61</xdr:row>
      <xdr:rowOff>104775</xdr:rowOff>
    </xdr:to>
    <xdr:sp macro="" textlink="">
      <xdr:nvSpPr>
        <xdr:cNvPr id="7365115" name="Line 4"/>
        <xdr:cNvSpPr>
          <a:spLocks noChangeShapeType="1"/>
        </xdr:cNvSpPr>
      </xdr:nvSpPr>
      <xdr:spPr bwMode="auto">
        <a:xfrm>
          <a:off x="2629852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104775</xdr:colOff>
      <xdr:row>61</xdr:row>
      <xdr:rowOff>104775</xdr:rowOff>
    </xdr:from>
    <xdr:to>
      <xdr:col>29</xdr:col>
      <xdr:colOff>628650</xdr:colOff>
      <xdr:row>61</xdr:row>
      <xdr:rowOff>104775</xdr:rowOff>
    </xdr:to>
    <xdr:sp macro="" textlink="">
      <xdr:nvSpPr>
        <xdr:cNvPr id="7365116" name="Line 5"/>
        <xdr:cNvSpPr>
          <a:spLocks noChangeShapeType="1"/>
        </xdr:cNvSpPr>
      </xdr:nvSpPr>
      <xdr:spPr bwMode="auto">
        <a:xfrm>
          <a:off x="3607117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104775</xdr:colOff>
      <xdr:row>61</xdr:row>
      <xdr:rowOff>104775</xdr:rowOff>
    </xdr:from>
    <xdr:to>
      <xdr:col>37</xdr:col>
      <xdr:colOff>628650</xdr:colOff>
      <xdr:row>61</xdr:row>
      <xdr:rowOff>104775</xdr:rowOff>
    </xdr:to>
    <xdr:sp macro="" textlink="">
      <xdr:nvSpPr>
        <xdr:cNvPr id="7365117" name="Line 6"/>
        <xdr:cNvSpPr>
          <a:spLocks noChangeShapeType="1"/>
        </xdr:cNvSpPr>
      </xdr:nvSpPr>
      <xdr:spPr bwMode="auto">
        <a:xfrm>
          <a:off x="4584382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44</xdr:col>
      <xdr:colOff>104775</xdr:colOff>
      <xdr:row>61</xdr:row>
      <xdr:rowOff>104775</xdr:rowOff>
    </xdr:from>
    <xdr:to>
      <xdr:col>45</xdr:col>
      <xdr:colOff>628650</xdr:colOff>
      <xdr:row>61</xdr:row>
      <xdr:rowOff>104775</xdr:rowOff>
    </xdr:to>
    <xdr:sp macro="" textlink="">
      <xdr:nvSpPr>
        <xdr:cNvPr id="7365118" name="Line 7"/>
        <xdr:cNvSpPr>
          <a:spLocks noChangeShapeType="1"/>
        </xdr:cNvSpPr>
      </xdr:nvSpPr>
      <xdr:spPr bwMode="auto">
        <a:xfrm>
          <a:off x="55616475" y="10172700"/>
          <a:ext cx="1390650" cy="0"/>
        </a:xfrm>
        <a:prstGeom prst="line">
          <a:avLst/>
        </a:prstGeom>
        <a:noFill/>
        <a:ln w="19050">
          <a:solidFill>
            <a:srgbClr val="0000FF"/>
          </a:solidFill>
          <a:round/>
          <a:headEnd/>
          <a:tailEnd type="triangle" w="sm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conyudy\Desktop\PRESUPUESTO%20DEFINITIVO%202017\HERRAMIENTAS%20ENVIADA%20POR%20LOS%20PROGRAMAS\CIENCIAS%20ECON&#211;MICAS\ADMON%20EMPRES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SUMEN"/>
      <sheetName val="PRESUPUESTO"/>
      <sheetName val="PTO - PDI"/>
      <sheetName val="PTO + EC"/>
      <sheetName val="ALUMNOS"/>
      <sheetName val="MAT."/>
      <sheetName val="NOMINA"/>
      <sheetName val="BASE"/>
      <sheetName val="HONORARIOS"/>
      <sheetName val="CONVENIOS"/>
      <sheetName val="ASESOR.Y.CONSULT."/>
      <sheetName val="PROY INVEST."/>
      <sheetName val="P.PROY.SOCIAL"/>
      <sheetName val="GEST.REC.HUM."/>
      <sheetName val="OTRAS ACTIV."/>
      <sheetName val="ADICIONALES PD"/>
      <sheetName val="SALIDAS"/>
      <sheetName val="BIBLIOTECA"/>
      <sheetName val="AFILIACIONES"/>
      <sheetName val="IMPRESOS.PUBLIC"/>
      <sheetName val="MANTEN.EQUIP."/>
      <sheetName val="INVER.EQUIPO.COMP"/>
      <sheetName val="INVER.OTROS.EQUIPOS"/>
      <sheetName val="INVER.MUEBLES"/>
      <sheetName val="ADECUAC.LOCATIVAS"/>
      <sheetName val="Base 3"/>
      <sheetName val="Hoja2"/>
      <sheetName val="EDUC.CONT."/>
      <sheetName val="PPTO"/>
      <sheetName val="EJEC"/>
    </sheetNames>
    <sheetDataSet>
      <sheetData sheetId="0"/>
      <sheetData sheetId="1"/>
      <sheetData sheetId="2">
        <row r="89">
          <cell r="A89">
            <v>5125100000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O6" t="str">
            <v>TOTAL    2017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0</v>
          </cell>
        </row>
        <row r="10">
          <cell r="O10">
            <v>0</v>
          </cell>
        </row>
        <row r="11">
          <cell r="O11">
            <v>0</v>
          </cell>
        </row>
        <row r="12">
          <cell r="O12">
            <v>0</v>
          </cell>
        </row>
        <row r="13">
          <cell r="O13">
            <v>0</v>
          </cell>
        </row>
        <row r="14">
          <cell r="O14">
            <v>0</v>
          </cell>
        </row>
        <row r="15">
          <cell r="O15">
            <v>0</v>
          </cell>
        </row>
        <row r="16">
          <cell r="O16">
            <v>0</v>
          </cell>
        </row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A23" t="str">
            <v>TOTAL EGRESOS</v>
          </cell>
          <cell r="O23">
            <v>0</v>
          </cell>
        </row>
        <row r="24">
          <cell r="A24">
            <v>0</v>
          </cell>
        </row>
        <row r="25">
          <cell r="A25" t="str">
            <v>INSTRUCTIVO: FAVOR DILIGENCIAR LOS ESPACIOS EN BLANCO Y  COLOCAR EL NOMBRE DEL PROYECTO EN LA CASILLA " ACTIVIDAD O EVENTO"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pageSetUpPr fitToPage="1"/>
  </sheetPr>
  <dimension ref="A1:F37"/>
  <sheetViews>
    <sheetView zoomScale="95" workbookViewId="0">
      <selection activeCell="E20" sqref="E20"/>
    </sheetView>
  </sheetViews>
  <sheetFormatPr baseColWidth="10" defaultRowHeight="12.75" x14ac:dyDescent="0.2"/>
  <cols>
    <col min="1" max="1" width="1.7109375" style="5" customWidth="1"/>
    <col min="2" max="2" width="29.7109375" style="70" bestFit="1" customWidth="1"/>
    <col min="3" max="3" width="110.42578125" style="70" customWidth="1"/>
    <col min="4" max="4" width="3" style="70" customWidth="1"/>
    <col min="5" max="16384" width="11.42578125" style="70"/>
  </cols>
  <sheetData>
    <row r="1" spans="1:6" x14ac:dyDescent="0.2">
      <c r="B1" s="71"/>
      <c r="C1" s="71"/>
      <c r="D1" s="5"/>
      <c r="E1" s="5"/>
      <c r="F1" s="5"/>
    </row>
    <row r="2" spans="1:6" x14ac:dyDescent="0.2">
      <c r="B2" s="71"/>
      <c r="C2" s="71"/>
      <c r="D2" s="5"/>
      <c r="E2" s="5"/>
      <c r="F2" s="5"/>
    </row>
    <row r="3" spans="1:6" x14ac:dyDescent="0.2">
      <c r="B3" s="71"/>
      <c r="C3" s="71"/>
      <c r="D3" s="5"/>
      <c r="E3" s="5"/>
      <c r="F3" s="5"/>
    </row>
    <row r="4" spans="1:6" x14ac:dyDescent="0.2">
      <c r="B4" s="71"/>
      <c r="C4" s="71"/>
      <c r="D4" s="5"/>
      <c r="E4" s="5"/>
      <c r="F4" s="5"/>
    </row>
    <row r="5" spans="1:6" x14ac:dyDescent="0.2">
      <c r="B5" s="71"/>
      <c r="C5" s="71"/>
      <c r="D5" s="5"/>
      <c r="E5" s="5"/>
      <c r="F5" s="5"/>
    </row>
    <row r="6" spans="1:6" s="171" customFormat="1" x14ac:dyDescent="0.2">
      <c r="A6" s="5"/>
      <c r="B6" s="5"/>
      <c r="C6" s="5"/>
      <c r="D6" s="5"/>
      <c r="E6" s="5"/>
      <c r="F6" s="5"/>
    </row>
    <row r="7" spans="1:6" s="171" customFormat="1" ht="13.5" thickBot="1" x14ac:dyDescent="0.25">
      <c r="A7" s="5"/>
      <c r="B7" s="5"/>
      <c r="C7" s="5"/>
      <c r="D7" s="5"/>
      <c r="E7" s="5"/>
      <c r="F7" s="5"/>
    </row>
    <row r="8" spans="1:6" ht="21" thickBot="1" x14ac:dyDescent="0.35">
      <c r="B8" s="72" t="s">
        <v>241</v>
      </c>
      <c r="C8" s="73"/>
      <c r="D8" s="5"/>
      <c r="E8" s="5"/>
      <c r="F8" s="5"/>
    </row>
    <row r="9" spans="1:6" s="74" customFormat="1" ht="45.6" customHeight="1" thickBot="1" x14ac:dyDescent="0.25">
      <c r="A9" s="170"/>
      <c r="B9" s="256" t="s">
        <v>138</v>
      </c>
      <c r="C9" s="460" t="s">
        <v>819</v>
      </c>
      <c r="D9" s="170"/>
      <c r="E9" s="170"/>
      <c r="F9" s="170"/>
    </row>
    <row r="10" spans="1:6" s="74" customFormat="1" ht="19.5" customHeight="1" thickBot="1" x14ac:dyDescent="0.25">
      <c r="A10" s="170"/>
      <c r="B10" s="785" t="s">
        <v>786</v>
      </c>
      <c r="C10" s="460" t="s">
        <v>812</v>
      </c>
      <c r="D10" s="170"/>
      <c r="E10" s="170"/>
      <c r="F10" s="170"/>
    </row>
    <row r="11" spans="1:6" s="74" customFormat="1" ht="29.25" customHeight="1" thickBot="1" x14ac:dyDescent="0.25">
      <c r="A11" s="170"/>
      <c r="B11" s="785" t="s">
        <v>787</v>
      </c>
      <c r="C11" s="460" t="s">
        <v>813</v>
      </c>
      <c r="D11" s="170"/>
      <c r="E11" s="170"/>
      <c r="F11" s="170"/>
    </row>
    <row r="12" spans="1:6" s="74" customFormat="1" ht="24.95" customHeight="1" thickBot="1" x14ac:dyDescent="0.25">
      <c r="A12" s="170"/>
      <c r="B12" s="256" t="s">
        <v>242</v>
      </c>
      <c r="C12" s="460" t="s">
        <v>818</v>
      </c>
      <c r="D12" s="170"/>
      <c r="E12" s="170"/>
      <c r="F12" s="170"/>
    </row>
    <row r="13" spans="1:6" s="74" customFormat="1" ht="24.95" customHeight="1" thickBot="1" x14ac:dyDescent="0.25">
      <c r="A13" s="170"/>
      <c r="B13" s="564" t="s">
        <v>243</v>
      </c>
      <c r="C13" s="466" t="s">
        <v>604</v>
      </c>
      <c r="D13" s="170"/>
      <c r="E13" s="170"/>
      <c r="F13" s="170"/>
    </row>
    <row r="14" spans="1:6" s="74" customFormat="1" ht="159.75" customHeight="1" thickBot="1" x14ac:dyDescent="0.25">
      <c r="A14" s="170"/>
      <c r="B14" s="565" t="s">
        <v>282</v>
      </c>
      <c r="C14" s="466" t="s">
        <v>792</v>
      </c>
      <c r="D14" s="170"/>
      <c r="E14" s="170"/>
      <c r="F14" s="170"/>
    </row>
    <row r="15" spans="1:6" s="74" customFormat="1" ht="24.95" customHeight="1" thickBot="1" x14ac:dyDescent="0.25">
      <c r="A15" s="170"/>
      <c r="B15" s="257" t="s">
        <v>83</v>
      </c>
      <c r="C15" s="466" t="s">
        <v>793</v>
      </c>
      <c r="D15" s="170"/>
      <c r="E15" s="170"/>
      <c r="F15" s="170"/>
    </row>
    <row r="16" spans="1:6" s="74" customFormat="1" ht="24.95" customHeight="1" thickBot="1" x14ac:dyDescent="0.25">
      <c r="A16" s="170"/>
      <c r="B16" s="257" t="s">
        <v>280</v>
      </c>
      <c r="C16" s="466" t="s">
        <v>618</v>
      </c>
      <c r="D16" s="170"/>
      <c r="E16" s="170"/>
      <c r="F16" s="170"/>
    </row>
    <row r="17" spans="1:6" s="74" customFormat="1" ht="24.95" customHeight="1" thickBot="1" x14ac:dyDescent="0.25">
      <c r="A17" s="170"/>
      <c r="B17" s="783" t="s">
        <v>619</v>
      </c>
      <c r="C17" s="466" t="s">
        <v>814</v>
      </c>
      <c r="D17" s="170"/>
      <c r="E17" s="170"/>
      <c r="F17" s="170"/>
    </row>
    <row r="18" spans="1:6" s="74" customFormat="1" ht="24.95" customHeight="1" thickBot="1" x14ac:dyDescent="0.25">
      <c r="A18" s="170"/>
      <c r="B18" s="784" t="s">
        <v>620</v>
      </c>
      <c r="C18" s="502" t="s">
        <v>815</v>
      </c>
      <c r="D18" s="170"/>
      <c r="E18" s="170"/>
      <c r="F18" s="170"/>
    </row>
    <row r="19" spans="1:6" s="74" customFormat="1" ht="24.95" customHeight="1" thickBot="1" x14ac:dyDescent="0.25">
      <c r="A19" s="170"/>
      <c r="B19" s="784" t="s">
        <v>621</v>
      </c>
      <c r="C19" s="502" t="s">
        <v>788</v>
      </c>
      <c r="D19" s="170"/>
      <c r="E19" s="170"/>
      <c r="F19" s="170"/>
    </row>
    <row r="20" spans="1:6" s="74" customFormat="1" ht="24.95" customHeight="1" thickBot="1" x14ac:dyDescent="0.25">
      <c r="A20" s="170"/>
      <c r="B20" s="784" t="s">
        <v>610</v>
      </c>
      <c r="C20" s="502" t="s">
        <v>789</v>
      </c>
      <c r="D20" s="170"/>
      <c r="E20" s="170"/>
      <c r="F20" s="170"/>
    </row>
    <row r="21" spans="1:6" s="74" customFormat="1" ht="26.25" customHeight="1" thickBot="1" x14ac:dyDescent="0.25">
      <c r="A21" s="170"/>
      <c r="B21" s="784" t="s">
        <v>791</v>
      </c>
      <c r="C21" s="502" t="s">
        <v>790</v>
      </c>
      <c r="D21" s="170"/>
      <c r="E21" s="170"/>
      <c r="F21" s="170"/>
    </row>
    <row r="22" spans="1:6" x14ac:dyDescent="0.2">
      <c r="B22" s="5"/>
      <c r="C22" s="5"/>
      <c r="D22" s="5"/>
      <c r="E22" s="5"/>
      <c r="F22" s="5"/>
    </row>
    <row r="23" spans="1:6" ht="13.5" thickBot="1" x14ac:dyDescent="0.25">
      <c r="B23" s="1032" t="s">
        <v>616</v>
      </c>
      <c r="C23" s="1032"/>
      <c r="D23" s="5"/>
      <c r="E23" s="5"/>
      <c r="F23" s="5"/>
    </row>
    <row r="24" spans="1:6" x14ac:dyDescent="0.2">
      <c r="B24" s="261" t="s">
        <v>622</v>
      </c>
      <c r="C24" s="263"/>
      <c r="D24" s="5"/>
      <c r="E24" s="5"/>
      <c r="F24" s="5"/>
    </row>
    <row r="25" spans="1:6" x14ac:dyDescent="0.2">
      <c r="B25" s="260" t="s">
        <v>623</v>
      </c>
      <c r="C25" s="259"/>
      <c r="D25" s="5"/>
      <c r="E25" s="5"/>
      <c r="F25" s="5"/>
    </row>
    <row r="26" spans="1:6" x14ac:dyDescent="0.2">
      <c r="B26" s="260" t="s">
        <v>621</v>
      </c>
      <c r="C26" s="259"/>
      <c r="D26" s="5"/>
      <c r="E26" s="5"/>
      <c r="F26" s="5"/>
    </row>
    <row r="27" spans="1:6" x14ac:dyDescent="0.2">
      <c r="B27" s="260" t="s">
        <v>530</v>
      </c>
      <c r="C27" s="259"/>
      <c r="D27" s="5"/>
      <c r="E27" s="5"/>
      <c r="F27" s="5"/>
    </row>
    <row r="28" spans="1:6" x14ac:dyDescent="0.2">
      <c r="B28" s="260" t="s">
        <v>93</v>
      </c>
      <c r="C28" s="259"/>
      <c r="D28" s="5"/>
      <c r="E28" s="5"/>
      <c r="F28" s="5"/>
    </row>
    <row r="29" spans="1:6" x14ac:dyDescent="0.2">
      <c r="B29" s="258" t="s">
        <v>244</v>
      </c>
      <c r="C29" s="259"/>
      <c r="D29" s="5"/>
      <c r="E29" s="5"/>
      <c r="F29" s="5"/>
    </row>
    <row r="30" spans="1:6" x14ac:dyDescent="0.2">
      <c r="B30" s="260" t="s">
        <v>234</v>
      </c>
      <c r="C30" s="264"/>
      <c r="D30" s="5"/>
      <c r="E30" s="5"/>
      <c r="F30" s="5"/>
    </row>
    <row r="31" spans="1:6" x14ac:dyDescent="0.2">
      <c r="B31" s="260" t="s">
        <v>493</v>
      </c>
      <c r="C31" s="264"/>
      <c r="D31" s="5"/>
      <c r="E31" s="5"/>
      <c r="F31" s="5"/>
    </row>
    <row r="32" spans="1:6" x14ac:dyDescent="0.2">
      <c r="B32" s="260" t="s">
        <v>245</v>
      </c>
      <c r="C32" s="264"/>
      <c r="D32" s="5"/>
      <c r="E32" s="5"/>
      <c r="F32" s="5"/>
    </row>
    <row r="33" spans="2:6" x14ac:dyDescent="0.2">
      <c r="B33" s="258" t="s">
        <v>246</v>
      </c>
      <c r="C33" s="259"/>
      <c r="D33" s="5"/>
      <c r="E33" s="5"/>
      <c r="F33" s="5"/>
    </row>
    <row r="34" spans="2:6" x14ac:dyDescent="0.2">
      <c r="B34" s="260" t="s">
        <v>247</v>
      </c>
      <c r="C34" s="264"/>
      <c r="D34" s="5"/>
      <c r="E34" s="5"/>
      <c r="F34" s="5"/>
    </row>
    <row r="35" spans="2:6" ht="13.5" thickBot="1" x14ac:dyDescent="0.25">
      <c r="B35" s="262" t="s">
        <v>248</v>
      </c>
      <c r="C35" s="265"/>
      <c r="D35" s="5"/>
      <c r="E35" s="5"/>
      <c r="F35" s="5"/>
    </row>
    <row r="36" spans="2:6" x14ac:dyDescent="0.2">
      <c r="B36" s="5"/>
      <c r="C36" s="5"/>
      <c r="D36" s="5"/>
      <c r="E36" s="5"/>
      <c r="F36" s="5"/>
    </row>
    <row r="37" spans="2:6" x14ac:dyDescent="0.2">
      <c r="B37" s="5"/>
      <c r="C37" s="5"/>
      <c r="D37" s="5"/>
      <c r="E37" s="5"/>
      <c r="F37" s="5"/>
    </row>
  </sheetData>
  <mergeCells count="1">
    <mergeCell ref="B23:C23"/>
  </mergeCells>
  <phoneticPr fontId="27" type="noConversion"/>
  <hyperlinks>
    <hyperlink ref="B29:C29" location="AFILIACIONES!A1" display="Afiliaciones"/>
    <hyperlink ref="B33:C33" location="INVER.OTROS.EQUIPOS!A1" display="Inversión otros equipos"/>
    <hyperlink ref="B9" location="PRESUPUESTO!A1" display="Presupuesto"/>
    <hyperlink ref="B12" location="ALUMNOS!A1" display="Alumnos"/>
    <hyperlink ref="B13" location="MAT.!A1" display="Matrículas"/>
    <hyperlink ref="B15" location="HONORARIOS!A1" display="Honorarios"/>
    <hyperlink ref="B16" location="CONVENIOS!A1" display="Convenios"/>
    <hyperlink ref="B17" location="EDUC.CONT.!A1" display="Educacion Continuada"/>
    <hyperlink ref="B24" location="'PROY INVEST.'!A1" display="Proyectos de Investigacion"/>
    <hyperlink ref="B25" location="P.PROY.SOCIAL!A1" display="Proyectos con Proyeccion social"/>
    <hyperlink ref="B26" location="GEST.REC.HUM.!A1" display="Gastion del Recurso Humano"/>
    <hyperlink ref="B28" location="BIBLIOTECA!A1" display="Biblioteca"/>
    <hyperlink ref="B30" location="IMPRESOS.PUBLIC!A1" display="Impresos y Publicaciones"/>
    <hyperlink ref="B32" location="INVER.EQUIPO.COMP!A1" display="Inversión equipos cómputo"/>
    <hyperlink ref="B34" location="INVER.MUEBLES!A1" display="Inversión muebles y enseres"/>
    <hyperlink ref="B35" location="ADECUAC.LOCATIVAS!A1" display="Adecuaciones locativas"/>
    <hyperlink ref="B31" location="MANTEN.EQUIP.!A1" display="Mantenimiento de Equipo"/>
    <hyperlink ref="B18" location="ASESOR.Y.CONSULT.!A1" display="Asesorias y consultorias"/>
    <hyperlink ref="B20" location="'OTRAS ACTIV.'!A1" display="Otras Actividades/Eventos"/>
    <hyperlink ref="B14" location="NOMINA!A1" display="Nómina "/>
    <hyperlink ref="B19" location="GEST.REC.HUM.!Área_de_impresión" display="Gestión del Recurso Humano"/>
    <hyperlink ref="B27" location="SALIDAS!A1" display="Salidas de Campo"/>
    <hyperlink ref="B10" location="'PTO - PDI'!A1" display="PTO - PDI"/>
    <hyperlink ref="B11" location="'PTO + EC'!A1" display="PTO + EC"/>
    <hyperlink ref="B21" location="'ADICIONALES PD'!A1" display="Adicionales PD"/>
  </hyperlinks>
  <printOptions horizontalCentered="1" verticalCentered="1"/>
  <pageMargins left="0.15748031496062992" right="0.15748031496062992" top="0.98425196850393704" bottom="0.98425196850393704" header="0" footer="0"/>
  <pageSetup scale="8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shapeId="4097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2</xdr:col>
                <xdr:colOff>1495425</xdr:colOff>
                <xdr:row>5</xdr:row>
                <xdr:rowOff>9525</xdr:rowOff>
              </to>
            </anchor>
          </objectPr>
        </oleObject>
      </mc:Choice>
      <mc:Fallback>
        <oleObject shapeId="4097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K192"/>
  <sheetViews>
    <sheetView zoomScale="80" zoomScaleNormal="80" workbookViewId="0">
      <pane xSplit="2" ySplit="26" topLeftCell="C27" activePane="bottomRight" state="frozen"/>
      <selection activeCell="K44" sqref="K44"/>
      <selection pane="topRight" activeCell="K44" sqref="K44"/>
      <selection pane="bottomLeft" activeCell="K44" sqref="K44"/>
      <selection pane="bottomRight" activeCell="F109" sqref="F109"/>
    </sheetView>
  </sheetViews>
  <sheetFormatPr baseColWidth="10" defaultRowHeight="12.75" outlineLevelRow="1" x14ac:dyDescent="0.2"/>
  <cols>
    <col min="1" max="1" width="0.7109375" style="103" customWidth="1"/>
    <col min="2" max="2" width="11.85546875" style="103" customWidth="1"/>
    <col min="3" max="3" width="24" style="103" bestFit="1" customWidth="1"/>
    <col min="4" max="4" width="34.28515625" style="103" customWidth="1"/>
    <col min="5" max="5" width="14.85546875" style="103" customWidth="1"/>
    <col min="6" max="6" width="15.7109375" style="116" customWidth="1"/>
    <col min="7" max="7" width="15.7109375" style="103" customWidth="1"/>
    <col min="8" max="8" width="4" style="105" customWidth="1"/>
    <col min="9" max="16" width="11.42578125" style="103"/>
    <col min="17" max="17" width="10" style="103" customWidth="1"/>
    <col min="18" max="18" width="11.42578125" style="103"/>
    <col min="19" max="16384" width="11.42578125" style="151"/>
  </cols>
  <sheetData>
    <row r="1" spans="1:89" s="132" customFormat="1" hidden="1" outlineLevel="1" x14ac:dyDescent="0.2">
      <c r="A1" s="75"/>
      <c r="B1" s="76"/>
      <c r="C1" s="76"/>
      <c r="D1" s="76"/>
      <c r="E1" s="76"/>
      <c r="F1" s="77"/>
      <c r="G1" s="78"/>
      <c r="H1" s="79"/>
      <c r="I1" s="76"/>
      <c r="J1" s="76"/>
      <c r="K1" s="76"/>
      <c r="L1" s="76"/>
      <c r="M1" s="76"/>
      <c r="N1" s="76"/>
      <c r="O1" s="76"/>
      <c r="P1" s="80"/>
      <c r="Q1" s="80"/>
      <c r="R1" s="80"/>
      <c r="S1" s="131"/>
      <c r="U1" s="133"/>
      <c r="V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4"/>
    </row>
    <row r="2" spans="1:89" s="141" customFormat="1" hidden="1" outlineLevel="1" x14ac:dyDescent="0.2">
      <c r="A2" s="81"/>
      <c r="B2" s="82"/>
      <c r="C2" s="82"/>
      <c r="D2" s="82"/>
      <c r="E2" s="83"/>
      <c r="F2" s="84"/>
      <c r="G2" s="85"/>
      <c r="H2" s="86"/>
      <c r="I2" s="82"/>
      <c r="J2" s="82"/>
      <c r="K2" s="82"/>
      <c r="L2" s="87"/>
      <c r="M2" s="87"/>
      <c r="N2" s="87"/>
      <c r="O2" s="82"/>
      <c r="P2" s="88"/>
      <c r="Q2" s="88"/>
      <c r="R2" s="88"/>
      <c r="S2" s="135"/>
      <c r="T2" s="136"/>
      <c r="U2" s="136"/>
      <c r="V2" s="137"/>
      <c r="W2" s="138"/>
      <c r="X2" s="137"/>
      <c r="Y2" s="137"/>
      <c r="Z2" s="137"/>
      <c r="AA2" s="137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40"/>
      <c r="CD2" s="142"/>
      <c r="CE2" s="142"/>
      <c r="CF2" s="142"/>
      <c r="CG2" s="142"/>
      <c r="CH2" s="142"/>
      <c r="CI2" s="142"/>
      <c r="CJ2" s="142"/>
      <c r="CK2" s="142"/>
    </row>
    <row r="3" spans="1:89" s="141" customFormat="1" hidden="1" outlineLevel="1" x14ac:dyDescent="0.2">
      <c r="A3" s="81"/>
      <c r="B3" s="82"/>
      <c r="C3" s="82"/>
      <c r="D3" s="82"/>
      <c r="E3" s="83"/>
      <c r="F3" s="84"/>
      <c r="G3" s="85"/>
      <c r="H3" s="86"/>
      <c r="I3" s="82"/>
      <c r="J3" s="82"/>
      <c r="K3" s="82"/>
      <c r="L3" s="87"/>
      <c r="M3" s="87"/>
      <c r="N3" s="87"/>
      <c r="O3" s="82"/>
      <c r="P3" s="88"/>
      <c r="Q3" s="88"/>
      <c r="R3" s="88"/>
      <c r="S3" s="135"/>
      <c r="T3" s="136"/>
      <c r="U3" s="136"/>
      <c r="V3" s="137"/>
      <c r="W3" s="138"/>
      <c r="X3" s="137"/>
      <c r="Y3" s="137"/>
      <c r="Z3" s="137"/>
      <c r="AA3" s="137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40"/>
      <c r="CD3" s="142"/>
      <c r="CE3" s="142"/>
      <c r="CF3" s="142"/>
      <c r="CG3" s="142"/>
      <c r="CH3" s="142"/>
      <c r="CI3" s="142"/>
      <c r="CJ3" s="142"/>
      <c r="CK3" s="142"/>
    </row>
    <row r="4" spans="1:89" s="141" customFormat="1" hidden="1" outlineLevel="1" x14ac:dyDescent="0.2">
      <c r="A4" s="81"/>
      <c r="B4" s="82"/>
      <c r="C4" s="82"/>
      <c r="D4" s="82"/>
      <c r="E4" s="83"/>
      <c r="F4" s="84"/>
      <c r="G4" s="85"/>
      <c r="H4" s="82"/>
      <c r="I4" s="82"/>
      <c r="J4" s="82"/>
      <c r="K4" s="82"/>
      <c r="L4" s="87"/>
      <c r="M4" s="87"/>
      <c r="N4" s="87"/>
      <c r="O4" s="82"/>
      <c r="P4" s="88"/>
      <c r="Q4" s="88"/>
      <c r="R4" s="88"/>
      <c r="S4" s="135"/>
      <c r="T4" s="136"/>
      <c r="U4" s="136"/>
      <c r="V4" s="137"/>
      <c r="W4" s="138"/>
      <c r="X4" s="137"/>
      <c r="Y4" s="137"/>
      <c r="Z4" s="137"/>
      <c r="AA4" s="137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39"/>
      <c r="AM4" s="140"/>
      <c r="CD4" s="142"/>
      <c r="CE4" s="142"/>
      <c r="CF4" s="142"/>
      <c r="CG4" s="142"/>
      <c r="CH4" s="142"/>
      <c r="CI4" s="142"/>
      <c r="CJ4" s="142"/>
      <c r="CK4" s="142"/>
    </row>
    <row r="5" spans="1:89" s="141" customFormat="1" hidden="1" outlineLevel="1" x14ac:dyDescent="0.2">
      <c r="A5" s="81"/>
      <c r="B5" s="82"/>
      <c r="C5" s="82"/>
      <c r="D5" s="82"/>
      <c r="E5" s="83"/>
      <c r="F5" s="84"/>
      <c r="G5" s="85"/>
      <c r="H5" s="82"/>
      <c r="I5" s="82"/>
      <c r="J5" s="82"/>
      <c r="K5" s="82"/>
      <c r="L5" s="87"/>
      <c r="M5" s="87"/>
      <c r="N5" s="87"/>
      <c r="O5" s="82"/>
      <c r="P5" s="88"/>
      <c r="Q5" s="88"/>
      <c r="R5" s="88"/>
      <c r="S5" s="135"/>
      <c r="T5" s="136"/>
      <c r="U5" s="136"/>
      <c r="V5" s="137"/>
      <c r="W5" s="138"/>
      <c r="X5" s="137"/>
      <c r="Y5" s="137"/>
      <c r="Z5" s="137"/>
      <c r="AA5" s="137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40"/>
      <c r="CD5" s="142"/>
      <c r="CE5" s="142"/>
      <c r="CF5" s="142"/>
      <c r="CG5" s="142"/>
      <c r="CH5" s="142"/>
      <c r="CI5" s="142"/>
      <c r="CJ5" s="142"/>
      <c r="CK5" s="142"/>
    </row>
    <row r="6" spans="1:89" s="141" customFormat="1" hidden="1" outlineLevel="1" x14ac:dyDescent="0.2">
      <c r="A6" s="81"/>
      <c r="B6" s="82"/>
      <c r="C6" s="82"/>
      <c r="D6" s="82"/>
      <c r="E6" s="83"/>
      <c r="F6" s="84"/>
      <c r="G6" s="85"/>
      <c r="H6" s="82"/>
      <c r="I6" s="82"/>
      <c r="J6" s="82"/>
      <c r="K6" s="82"/>
      <c r="L6" s="87"/>
      <c r="M6" s="87"/>
      <c r="N6" s="87"/>
      <c r="O6" s="82"/>
      <c r="P6" s="89"/>
      <c r="Q6" s="88"/>
      <c r="R6" s="88"/>
      <c r="S6" s="135"/>
      <c r="T6" s="136"/>
      <c r="U6" s="136"/>
      <c r="V6" s="137"/>
      <c r="W6" s="138"/>
      <c r="X6" s="137"/>
      <c r="Y6" s="137"/>
      <c r="Z6" s="137"/>
      <c r="AA6" s="137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39"/>
      <c r="AM6" s="140"/>
      <c r="CD6" s="142"/>
      <c r="CE6" s="142"/>
      <c r="CF6" s="142"/>
      <c r="CG6" s="142"/>
      <c r="CH6" s="142"/>
      <c r="CI6" s="142"/>
      <c r="CJ6" s="142"/>
      <c r="CK6" s="142"/>
    </row>
    <row r="7" spans="1:89" s="141" customFormat="1" hidden="1" outlineLevel="1" x14ac:dyDescent="0.2">
      <c r="A7" s="81"/>
      <c r="B7" s="82"/>
      <c r="C7" s="82"/>
      <c r="D7" s="82"/>
      <c r="E7" s="83"/>
      <c r="F7" s="84"/>
      <c r="G7" s="85"/>
      <c r="H7" s="82"/>
      <c r="I7" s="82"/>
      <c r="J7" s="82"/>
      <c r="K7" s="82"/>
      <c r="L7" s="87"/>
      <c r="M7" s="87"/>
      <c r="N7" s="87"/>
      <c r="O7" s="82"/>
      <c r="P7" s="88"/>
      <c r="Q7" s="88"/>
      <c r="R7" s="88"/>
      <c r="S7" s="135"/>
      <c r="T7" s="136"/>
      <c r="U7" s="136"/>
      <c r="V7" s="137"/>
      <c r="W7" s="138"/>
      <c r="X7" s="137"/>
      <c r="Y7" s="137"/>
      <c r="Z7" s="137"/>
      <c r="AA7" s="137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40"/>
      <c r="CD7" s="142"/>
      <c r="CE7" s="142"/>
      <c r="CF7" s="142"/>
      <c r="CG7" s="142"/>
      <c r="CH7" s="142"/>
      <c r="CI7" s="142"/>
      <c r="CJ7" s="142"/>
      <c r="CK7" s="142"/>
    </row>
    <row r="8" spans="1:89" s="141" customFormat="1" hidden="1" outlineLevel="1" x14ac:dyDescent="0.2">
      <c r="A8" s="81"/>
      <c r="B8" s="82"/>
      <c r="C8" s="82"/>
      <c r="D8" s="82"/>
      <c r="E8" s="83"/>
      <c r="F8" s="84"/>
      <c r="G8" s="85"/>
      <c r="H8" s="82"/>
      <c r="I8" s="82"/>
      <c r="J8" s="82"/>
      <c r="K8" s="82"/>
      <c r="L8" s="87"/>
      <c r="M8" s="87"/>
      <c r="N8" s="87"/>
      <c r="O8" s="82"/>
      <c r="P8" s="88"/>
      <c r="Q8" s="88"/>
      <c r="R8" s="88"/>
      <c r="S8" s="135"/>
      <c r="T8" s="136"/>
      <c r="U8" s="136"/>
      <c r="V8" s="137"/>
      <c r="W8" s="138"/>
      <c r="X8" s="137"/>
      <c r="Y8" s="137"/>
      <c r="Z8" s="137"/>
      <c r="AA8" s="137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40"/>
      <c r="CD8" s="142"/>
      <c r="CE8" s="142"/>
      <c r="CF8" s="142"/>
      <c r="CG8" s="142"/>
      <c r="CH8" s="142"/>
      <c r="CI8" s="142"/>
      <c r="CJ8" s="142"/>
      <c r="CK8" s="142"/>
    </row>
    <row r="9" spans="1:89" s="141" customFormat="1" hidden="1" outlineLevel="1" x14ac:dyDescent="0.2">
      <c r="A9" s="81"/>
      <c r="B9" s="82"/>
      <c r="C9" s="82"/>
      <c r="D9" s="82"/>
      <c r="E9" s="83"/>
      <c r="F9" s="84"/>
      <c r="G9" s="85"/>
      <c r="H9" s="82"/>
      <c r="I9" s="82"/>
      <c r="J9" s="82"/>
      <c r="K9" s="82"/>
      <c r="L9" s="87"/>
      <c r="M9" s="87"/>
      <c r="N9" s="87"/>
      <c r="O9" s="82"/>
      <c r="P9" s="88"/>
      <c r="Q9" s="88"/>
      <c r="R9" s="88"/>
      <c r="S9" s="135"/>
      <c r="T9" s="136"/>
      <c r="U9" s="136"/>
      <c r="V9" s="137"/>
      <c r="W9" s="138"/>
      <c r="X9" s="137"/>
      <c r="Y9" s="137"/>
      <c r="Z9" s="137"/>
      <c r="AA9" s="137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40"/>
      <c r="CD9" s="142"/>
      <c r="CE9" s="142"/>
      <c r="CF9" s="142"/>
      <c r="CG9" s="142"/>
      <c r="CH9" s="142"/>
      <c r="CI9" s="142"/>
      <c r="CJ9" s="142"/>
      <c r="CK9" s="142"/>
    </row>
    <row r="10" spans="1:89" s="141" customFormat="1" hidden="1" outlineLevel="1" x14ac:dyDescent="0.2">
      <c r="A10" s="81"/>
      <c r="B10" s="82"/>
      <c r="C10" s="82"/>
      <c r="D10" s="82"/>
      <c r="E10" s="83"/>
      <c r="F10" s="84"/>
      <c r="G10" s="85"/>
      <c r="H10" s="82"/>
      <c r="I10" s="82"/>
      <c r="J10" s="82"/>
      <c r="K10" s="82"/>
      <c r="L10" s="87"/>
      <c r="M10" s="87"/>
      <c r="N10" s="87"/>
      <c r="O10" s="82"/>
      <c r="P10" s="88"/>
      <c r="Q10" s="88"/>
      <c r="R10" s="88"/>
      <c r="S10" s="135"/>
      <c r="T10" s="136"/>
      <c r="U10" s="136"/>
      <c r="V10" s="137"/>
      <c r="W10" s="138"/>
      <c r="X10" s="137"/>
      <c r="Y10" s="137"/>
      <c r="Z10" s="137"/>
      <c r="AA10" s="137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40"/>
      <c r="CD10" s="142"/>
      <c r="CE10" s="142"/>
      <c r="CF10" s="142"/>
      <c r="CG10" s="142"/>
      <c r="CH10" s="142"/>
      <c r="CI10" s="142"/>
      <c r="CJ10" s="142"/>
      <c r="CK10" s="142"/>
    </row>
    <row r="11" spans="1:89" s="141" customFormat="1" hidden="1" outlineLevel="1" x14ac:dyDescent="0.2">
      <c r="A11" s="81"/>
      <c r="B11" s="82"/>
      <c r="C11" s="82"/>
      <c r="D11" s="82"/>
      <c r="E11" s="83"/>
      <c r="F11" s="84"/>
      <c r="G11" s="85"/>
      <c r="H11" s="82"/>
      <c r="I11" s="82"/>
      <c r="J11" s="82"/>
      <c r="K11" s="82"/>
      <c r="L11" s="87"/>
      <c r="M11" s="87"/>
      <c r="N11" s="87"/>
      <c r="O11" s="82"/>
      <c r="P11" s="88"/>
      <c r="Q11" s="88"/>
      <c r="R11" s="88"/>
      <c r="S11" s="135"/>
      <c r="T11" s="136"/>
      <c r="U11" s="136"/>
      <c r="V11" s="137"/>
      <c r="W11" s="138"/>
      <c r="X11" s="137"/>
      <c r="Y11" s="137"/>
      <c r="Z11" s="137"/>
      <c r="AA11" s="137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40"/>
      <c r="CD11" s="142"/>
      <c r="CE11" s="142"/>
      <c r="CF11" s="142"/>
      <c r="CG11" s="142"/>
      <c r="CH11" s="142"/>
      <c r="CI11" s="142"/>
      <c r="CJ11" s="142"/>
      <c r="CK11" s="142"/>
    </row>
    <row r="12" spans="1:89" s="141" customFormat="1" hidden="1" outlineLevel="1" x14ac:dyDescent="0.2">
      <c r="A12" s="81"/>
      <c r="B12" s="82"/>
      <c r="C12" s="82"/>
      <c r="D12" s="82"/>
      <c r="E12" s="83"/>
      <c r="F12" s="84"/>
      <c r="G12" s="85"/>
      <c r="H12" s="82"/>
      <c r="I12" s="82"/>
      <c r="J12" s="82"/>
      <c r="K12" s="82"/>
      <c r="L12" s="87"/>
      <c r="M12" s="87"/>
      <c r="N12" s="87"/>
      <c r="O12" s="82"/>
      <c r="P12" s="88"/>
      <c r="Q12" s="88"/>
      <c r="R12" s="88"/>
      <c r="S12" s="135"/>
      <c r="T12" s="136"/>
      <c r="U12" s="136"/>
      <c r="V12" s="137"/>
      <c r="W12" s="138"/>
      <c r="X12" s="137"/>
      <c r="Y12" s="137"/>
      <c r="Z12" s="137"/>
      <c r="AA12" s="137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40"/>
      <c r="CD12" s="142"/>
      <c r="CE12" s="142"/>
      <c r="CF12" s="142"/>
      <c r="CG12" s="142"/>
      <c r="CH12" s="142"/>
      <c r="CI12" s="142"/>
      <c r="CJ12" s="142"/>
      <c r="CK12" s="142"/>
    </row>
    <row r="13" spans="1:89" s="141" customFormat="1" hidden="1" outlineLevel="1" x14ac:dyDescent="0.2">
      <c r="A13" s="81"/>
      <c r="B13" s="82"/>
      <c r="C13" s="82"/>
      <c r="D13" s="82"/>
      <c r="E13" s="83"/>
      <c r="F13" s="84"/>
      <c r="G13" s="85"/>
      <c r="H13" s="82"/>
      <c r="I13" s="82"/>
      <c r="J13" s="82"/>
      <c r="K13" s="82"/>
      <c r="L13" s="87"/>
      <c r="M13" s="87"/>
      <c r="N13" s="87"/>
      <c r="O13" s="82"/>
      <c r="P13" s="88"/>
      <c r="Q13" s="88"/>
      <c r="R13" s="88"/>
      <c r="S13" s="135"/>
      <c r="T13" s="136"/>
      <c r="U13" s="136"/>
      <c r="V13" s="137"/>
      <c r="W13" s="138"/>
      <c r="X13" s="137"/>
      <c r="Y13" s="137"/>
      <c r="Z13" s="137"/>
      <c r="AA13" s="137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40"/>
      <c r="CD13" s="142"/>
      <c r="CE13" s="142"/>
      <c r="CF13" s="142"/>
      <c r="CG13" s="142"/>
      <c r="CH13" s="142"/>
      <c r="CI13" s="142"/>
      <c r="CJ13" s="142"/>
      <c r="CK13" s="142"/>
    </row>
    <row r="14" spans="1:89" s="141" customFormat="1" hidden="1" outlineLevel="1" x14ac:dyDescent="0.2">
      <c r="A14" s="81"/>
      <c r="B14" s="82"/>
      <c r="C14" s="82"/>
      <c r="D14" s="82"/>
      <c r="E14" s="83"/>
      <c r="F14" s="84"/>
      <c r="G14" s="85"/>
      <c r="H14" s="82"/>
      <c r="I14" s="82"/>
      <c r="J14" s="82"/>
      <c r="K14" s="82"/>
      <c r="L14" s="87"/>
      <c r="M14" s="87"/>
      <c r="N14" s="87"/>
      <c r="O14" s="82"/>
      <c r="P14" s="88"/>
      <c r="Q14" s="88"/>
      <c r="R14" s="88"/>
      <c r="S14" s="135"/>
      <c r="T14" s="136"/>
      <c r="U14" s="136"/>
      <c r="V14" s="137"/>
      <c r="W14" s="138"/>
      <c r="X14" s="137"/>
      <c r="Y14" s="137"/>
      <c r="Z14" s="137"/>
      <c r="AA14" s="137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40"/>
      <c r="CD14" s="142"/>
      <c r="CE14" s="142"/>
      <c r="CF14" s="142"/>
      <c r="CG14" s="142"/>
      <c r="CH14" s="142"/>
      <c r="CI14" s="142"/>
      <c r="CJ14" s="142"/>
      <c r="CK14" s="142"/>
    </row>
    <row r="15" spans="1:89" s="141" customFormat="1" hidden="1" outlineLevel="1" x14ac:dyDescent="0.2">
      <c r="A15" s="81"/>
      <c r="B15" s="82"/>
      <c r="C15" s="82"/>
      <c r="D15" s="82"/>
      <c r="E15" s="83"/>
      <c r="F15" s="84"/>
      <c r="G15" s="85"/>
      <c r="H15" s="82"/>
      <c r="I15" s="82"/>
      <c r="J15" s="82"/>
      <c r="K15" s="82"/>
      <c r="L15" s="87"/>
      <c r="M15" s="87"/>
      <c r="N15" s="87"/>
      <c r="O15" s="82"/>
      <c r="P15" s="88"/>
      <c r="Q15" s="88"/>
      <c r="R15" s="88"/>
      <c r="S15" s="135"/>
      <c r="T15" s="136"/>
      <c r="U15" s="136"/>
      <c r="V15" s="137"/>
      <c r="W15" s="138"/>
      <c r="X15" s="137"/>
      <c r="Y15" s="137"/>
      <c r="Z15" s="137"/>
      <c r="AA15" s="137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40"/>
      <c r="CD15" s="142"/>
      <c r="CE15" s="142"/>
      <c r="CF15" s="142"/>
      <c r="CG15" s="142"/>
      <c r="CH15" s="142"/>
      <c r="CI15" s="142"/>
      <c r="CJ15" s="142"/>
      <c r="CK15" s="142"/>
    </row>
    <row r="16" spans="1:89" s="141" customFormat="1" hidden="1" outlineLevel="1" x14ac:dyDescent="0.2">
      <c r="A16" s="81"/>
      <c r="B16" s="82"/>
      <c r="C16" s="89"/>
      <c r="D16" s="82"/>
      <c r="E16" s="83"/>
      <c r="F16" s="90"/>
      <c r="G16" s="85"/>
      <c r="H16" s="82"/>
      <c r="I16" s="82"/>
      <c r="J16" s="82"/>
      <c r="K16" s="82"/>
      <c r="L16" s="87"/>
      <c r="M16" s="87"/>
      <c r="N16" s="87"/>
      <c r="O16" s="82"/>
      <c r="P16" s="88"/>
      <c r="Q16" s="88"/>
      <c r="R16" s="88"/>
      <c r="S16" s="135"/>
      <c r="T16" s="136"/>
      <c r="U16" s="136"/>
      <c r="V16" s="137"/>
      <c r="W16" s="138"/>
      <c r="X16" s="137"/>
      <c r="Y16" s="137"/>
      <c r="Z16" s="137"/>
      <c r="AA16" s="137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40"/>
      <c r="CD16" s="142"/>
      <c r="CE16" s="142"/>
      <c r="CF16" s="142"/>
      <c r="CG16" s="142"/>
      <c r="CH16" s="142"/>
      <c r="CI16" s="142"/>
      <c r="CJ16" s="142"/>
      <c r="CK16" s="142"/>
    </row>
    <row r="17" spans="1:89" s="149" customFormat="1" ht="13.5" hidden="1" outlineLevel="1" thickBot="1" x14ac:dyDescent="0.25">
      <c r="A17" s="91"/>
      <c r="B17" s="92"/>
      <c r="C17" s="92"/>
      <c r="D17" s="92"/>
      <c r="E17" s="93"/>
      <c r="F17" s="94"/>
      <c r="G17" s="95"/>
      <c r="H17" s="92"/>
      <c r="I17" s="92"/>
      <c r="J17" s="92"/>
      <c r="K17" s="92"/>
      <c r="L17" s="96"/>
      <c r="M17" s="96"/>
      <c r="N17" s="96"/>
      <c r="O17" s="92"/>
      <c r="P17" s="97"/>
      <c r="Q17" s="97"/>
      <c r="R17" s="97"/>
      <c r="S17" s="143"/>
      <c r="T17" s="144"/>
      <c r="U17" s="144"/>
      <c r="V17" s="145"/>
      <c r="W17" s="146"/>
      <c r="X17" s="145"/>
      <c r="Y17" s="145"/>
      <c r="Z17" s="145"/>
      <c r="AA17" s="145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8"/>
      <c r="CD17" s="150"/>
      <c r="CE17" s="150"/>
      <c r="CF17" s="150"/>
      <c r="CG17" s="150"/>
      <c r="CH17" s="150"/>
      <c r="CI17" s="150"/>
      <c r="CJ17" s="150"/>
      <c r="CK17" s="150"/>
    </row>
    <row r="18" spans="1:89" collapsed="1" x14ac:dyDescent="0.2">
      <c r="A18" s="5"/>
      <c r="B18" s="5"/>
      <c r="C18" s="5"/>
      <c r="D18" s="5"/>
      <c r="E18" s="5"/>
      <c r="F18" s="5"/>
      <c r="G18" s="5"/>
      <c r="H18" s="5"/>
    </row>
    <row r="19" spans="1:89" ht="14.25" x14ac:dyDescent="0.2">
      <c r="A19" s="5"/>
      <c r="B19" s="5"/>
      <c r="C19" s="1165" t="s">
        <v>221</v>
      </c>
      <c r="D19" s="1165"/>
      <c r="E19" s="1165"/>
      <c r="F19" s="1165"/>
      <c r="G19" s="1165"/>
      <c r="H19" s="104"/>
    </row>
    <row r="20" spans="1:89" ht="14.25" x14ac:dyDescent="0.2">
      <c r="A20" s="5"/>
      <c r="B20" s="5"/>
      <c r="C20" s="1165" t="s">
        <v>222</v>
      </c>
      <c r="D20" s="1165"/>
      <c r="E20" s="1165"/>
      <c r="F20" s="1165"/>
      <c r="G20" s="1165"/>
      <c r="H20" s="104"/>
    </row>
    <row r="21" spans="1:89" ht="14.25" x14ac:dyDescent="0.2">
      <c r="A21" s="5"/>
      <c r="B21" s="5"/>
      <c r="C21" s="1165" t="s">
        <v>223</v>
      </c>
      <c r="D21" s="1165"/>
      <c r="E21" s="1165"/>
      <c r="F21" s="1165"/>
      <c r="G21" s="1165"/>
      <c r="H21" s="104"/>
    </row>
    <row r="22" spans="1:89" ht="13.5" customHeight="1" x14ac:dyDescent="0.2">
      <c r="A22" s="5"/>
      <c r="B22" s="5"/>
      <c r="C22" s="1165">
        <v>2018</v>
      </c>
      <c r="D22" s="1165"/>
      <c r="E22" s="1165"/>
      <c r="F22" s="1165"/>
      <c r="G22" s="1165"/>
      <c r="H22" s="104"/>
    </row>
    <row r="23" spans="1:89" ht="13.5" customHeight="1" thickBot="1" x14ac:dyDescent="0.25">
      <c r="A23" s="5"/>
      <c r="B23" s="5"/>
      <c r="C23" s="1166" t="str">
        <f>+PRESUPUESTO!B2</f>
        <v>ADMINISTRACION DE EMPRESAS</v>
      </c>
      <c r="D23" s="1166"/>
      <c r="E23" s="1166"/>
      <c r="F23" s="1166"/>
      <c r="G23" s="1166"/>
      <c r="H23" s="104"/>
    </row>
    <row r="24" spans="1:89" ht="17.25" customHeight="1" thickBot="1" x14ac:dyDescent="0.25">
      <c r="A24" s="5"/>
      <c r="B24" s="1162" t="s">
        <v>630</v>
      </c>
      <c r="C24" s="1163"/>
      <c r="D24" s="1163"/>
      <c r="E24" s="1163"/>
      <c r="F24" s="1163"/>
      <c r="G24" s="1164"/>
    </row>
    <row r="25" spans="1:89" s="152" customFormat="1" ht="39" customHeight="1" thickBot="1" x14ac:dyDescent="0.25">
      <c r="A25" s="5"/>
      <c r="B25" s="186" t="s">
        <v>419</v>
      </c>
      <c r="C25" s="106" t="s">
        <v>224</v>
      </c>
      <c r="D25" s="107" t="s">
        <v>225</v>
      </c>
      <c r="E25" s="513" t="s">
        <v>500</v>
      </c>
      <c r="F25" s="108" t="s">
        <v>226</v>
      </c>
      <c r="G25" s="109" t="s">
        <v>227</v>
      </c>
      <c r="H25" s="110"/>
      <c r="I25" s="1158" t="s">
        <v>169</v>
      </c>
      <c r="J25" s="1158"/>
      <c r="K25" s="1158"/>
      <c r="L25" s="1158"/>
      <c r="M25" s="111"/>
      <c r="N25" s="111"/>
      <c r="O25" s="111"/>
      <c r="P25" s="111"/>
      <c r="Q25" s="111"/>
      <c r="R25" s="111"/>
    </row>
    <row r="26" spans="1:89" s="152" customFormat="1" ht="18.75" customHeight="1" thickBot="1" x14ac:dyDescent="0.25">
      <c r="A26" s="5"/>
      <c r="B26" s="1154" t="s">
        <v>624</v>
      </c>
      <c r="C26" s="1155"/>
      <c r="D26" s="1155"/>
      <c r="E26" s="1155"/>
      <c r="F26" s="1155"/>
      <c r="G26" s="1156"/>
      <c r="H26" s="110"/>
      <c r="I26" s="1157" t="s">
        <v>433</v>
      </c>
      <c r="J26" s="1157"/>
      <c r="K26" s="1157"/>
      <c r="L26" s="1157"/>
      <c r="M26" s="111"/>
      <c r="N26" s="111"/>
      <c r="O26" s="111"/>
      <c r="P26" s="111"/>
      <c r="Q26" s="111"/>
      <c r="R26" s="111"/>
    </row>
    <row r="27" spans="1:89" ht="15.95" customHeight="1" x14ac:dyDescent="0.2">
      <c r="A27" s="5"/>
      <c r="B27" s="229"/>
      <c r="C27" s="187" t="s">
        <v>169</v>
      </c>
      <c r="D27" s="100" t="s">
        <v>169</v>
      </c>
      <c r="E27" s="516">
        <v>0</v>
      </c>
      <c r="F27" s="230">
        <f>MROUND($L$29*$M$26,1000)</f>
        <v>0</v>
      </c>
      <c r="G27" s="112">
        <f t="shared" ref="G27:G63" si="0">E27*F27</f>
        <v>0</v>
      </c>
      <c r="H27" s="113"/>
      <c r="I27" s="232" t="s">
        <v>635</v>
      </c>
      <c r="J27" s="232"/>
      <c r="K27" s="232"/>
      <c r="L27" s="232"/>
    </row>
    <row r="28" spans="1:89" ht="15.95" customHeight="1" x14ac:dyDescent="0.2">
      <c r="A28" s="5"/>
      <c r="B28" s="229"/>
      <c r="C28" s="188" t="s">
        <v>169</v>
      </c>
      <c r="D28" s="101" t="s">
        <v>169</v>
      </c>
      <c r="E28" s="517">
        <v>0</v>
      </c>
      <c r="F28" s="230">
        <v>0</v>
      </c>
      <c r="G28" s="114">
        <f t="shared" si="0"/>
        <v>0</v>
      </c>
      <c r="H28" s="113"/>
      <c r="I28" s="232" t="s">
        <v>434</v>
      </c>
      <c r="J28" s="232"/>
      <c r="K28" s="232"/>
      <c r="L28" s="232"/>
    </row>
    <row r="29" spans="1:89" ht="15.95" customHeight="1" x14ac:dyDescent="0.2">
      <c r="A29" s="5"/>
      <c r="B29" s="229"/>
      <c r="C29" s="189"/>
      <c r="D29" s="101"/>
      <c r="E29" s="510">
        <v>0</v>
      </c>
      <c r="F29" s="230">
        <v>0</v>
      </c>
      <c r="G29" s="114">
        <f t="shared" si="0"/>
        <v>0</v>
      </c>
      <c r="H29" s="113"/>
      <c r="I29" s="231" t="s">
        <v>808</v>
      </c>
      <c r="J29" s="231"/>
      <c r="K29" s="231"/>
      <c r="L29" s="231">
        <v>0</v>
      </c>
    </row>
    <row r="30" spans="1:89" ht="15.95" customHeight="1" x14ac:dyDescent="0.2">
      <c r="A30" s="5"/>
      <c r="B30" s="229"/>
      <c r="C30" s="188"/>
      <c r="D30" s="101"/>
      <c r="E30" s="510">
        <v>0</v>
      </c>
      <c r="F30" s="230">
        <v>0</v>
      </c>
      <c r="G30" s="114">
        <f t="shared" si="0"/>
        <v>0</v>
      </c>
      <c r="H30" s="113"/>
      <c r="I30" s="1153" t="s">
        <v>169</v>
      </c>
      <c r="J30" s="1153"/>
      <c r="K30" s="1153"/>
      <c r="L30" s="1153"/>
    </row>
    <row r="31" spans="1:89" ht="15.95" customHeight="1" x14ac:dyDescent="0.2">
      <c r="A31" s="5"/>
      <c r="B31" s="229"/>
      <c r="C31" s="188"/>
      <c r="D31" s="102"/>
      <c r="E31" s="510">
        <v>0</v>
      </c>
      <c r="F31" s="230">
        <v>0</v>
      </c>
      <c r="G31" s="114">
        <f t="shared" si="0"/>
        <v>0</v>
      </c>
      <c r="H31" s="113"/>
      <c r="I31" s="1153"/>
      <c r="J31" s="1153"/>
      <c r="K31" s="1153"/>
      <c r="L31" s="1153"/>
    </row>
    <row r="32" spans="1:89" ht="15.95" customHeight="1" x14ac:dyDescent="0.2">
      <c r="A32" s="5"/>
      <c r="B32" s="229"/>
      <c r="C32" s="188"/>
      <c r="D32" s="102"/>
      <c r="E32" s="510">
        <v>0</v>
      </c>
      <c r="F32" s="230">
        <v>0</v>
      </c>
      <c r="G32" s="114">
        <f t="shared" ref="G32:G42" si="1">E32*F32</f>
        <v>0</v>
      </c>
      <c r="H32" s="113"/>
      <c r="I32" s="1153"/>
      <c r="J32" s="1153"/>
      <c r="K32" s="1153"/>
      <c r="L32" s="1153"/>
    </row>
    <row r="33" spans="1:12" ht="15.95" customHeight="1" x14ac:dyDescent="0.2">
      <c r="A33" s="5"/>
      <c r="B33" s="229"/>
      <c r="C33" s="188"/>
      <c r="D33" s="102"/>
      <c r="E33" s="510">
        <v>0</v>
      </c>
      <c r="F33" s="230">
        <v>0</v>
      </c>
      <c r="G33" s="114">
        <f t="shared" si="1"/>
        <v>0</v>
      </c>
      <c r="H33" s="113"/>
      <c r="I33" s="1153"/>
      <c r="J33" s="1153"/>
      <c r="K33" s="1153"/>
      <c r="L33" s="1153"/>
    </row>
    <row r="34" spans="1:12" ht="15.95" customHeight="1" x14ac:dyDescent="0.2">
      <c r="A34" s="5"/>
      <c r="B34" s="229"/>
      <c r="C34" s="188"/>
      <c r="D34" s="102"/>
      <c r="E34" s="510">
        <v>0</v>
      </c>
      <c r="F34" s="230">
        <v>0</v>
      </c>
      <c r="G34" s="114">
        <f t="shared" si="1"/>
        <v>0</v>
      </c>
      <c r="H34" s="113"/>
      <c r="I34" s="1153"/>
      <c r="J34" s="1153"/>
      <c r="K34" s="1153"/>
      <c r="L34" s="1153"/>
    </row>
    <row r="35" spans="1:12" ht="15.95" customHeight="1" x14ac:dyDescent="0.2">
      <c r="A35" s="5"/>
      <c r="B35" s="229"/>
      <c r="C35" s="188"/>
      <c r="D35" s="102"/>
      <c r="E35" s="510">
        <v>0</v>
      </c>
      <c r="F35" s="230">
        <v>0</v>
      </c>
      <c r="G35" s="114">
        <f t="shared" si="1"/>
        <v>0</v>
      </c>
      <c r="H35" s="113"/>
      <c r="I35" s="1153"/>
      <c r="J35" s="1153"/>
      <c r="K35" s="1153"/>
      <c r="L35" s="1153"/>
    </row>
    <row r="36" spans="1:12" ht="15.95" customHeight="1" x14ac:dyDescent="0.2">
      <c r="A36" s="5"/>
      <c r="B36" s="229"/>
      <c r="C36" s="188"/>
      <c r="D36" s="102"/>
      <c r="E36" s="510">
        <v>0</v>
      </c>
      <c r="F36" s="230">
        <v>0</v>
      </c>
      <c r="G36" s="114">
        <f t="shared" si="1"/>
        <v>0</v>
      </c>
      <c r="H36" s="113"/>
      <c r="I36" s="1153"/>
      <c r="J36" s="1153"/>
      <c r="K36" s="1153"/>
      <c r="L36" s="1153"/>
    </row>
    <row r="37" spans="1:12" ht="15.95" customHeight="1" x14ac:dyDescent="0.2">
      <c r="A37" s="5"/>
      <c r="B37" s="229"/>
      <c r="C37" s="188"/>
      <c r="D37" s="102"/>
      <c r="E37" s="510">
        <v>0</v>
      </c>
      <c r="F37" s="230">
        <v>0</v>
      </c>
      <c r="G37" s="114">
        <f t="shared" si="1"/>
        <v>0</v>
      </c>
      <c r="H37" s="113"/>
      <c r="I37" s="1153"/>
      <c r="J37" s="1153"/>
      <c r="K37" s="1153"/>
      <c r="L37" s="1153"/>
    </row>
    <row r="38" spans="1:12" ht="15.95" customHeight="1" x14ac:dyDescent="0.2">
      <c r="A38" s="5"/>
      <c r="B38" s="229"/>
      <c r="C38" s="188"/>
      <c r="D38" s="102"/>
      <c r="E38" s="510">
        <v>0</v>
      </c>
      <c r="F38" s="230">
        <v>0</v>
      </c>
      <c r="G38" s="114">
        <f t="shared" si="1"/>
        <v>0</v>
      </c>
      <c r="H38" s="113"/>
      <c r="I38" s="1153"/>
      <c r="J38" s="1153"/>
      <c r="K38" s="1153"/>
      <c r="L38" s="1153"/>
    </row>
    <row r="39" spans="1:12" ht="15.95" customHeight="1" x14ac:dyDescent="0.2">
      <c r="A39" s="5"/>
      <c r="B39" s="229"/>
      <c r="C39" s="188"/>
      <c r="D39" s="102"/>
      <c r="E39" s="510">
        <v>0</v>
      </c>
      <c r="F39" s="230">
        <v>0</v>
      </c>
      <c r="G39" s="114">
        <f t="shared" si="1"/>
        <v>0</v>
      </c>
      <c r="H39" s="113"/>
      <c r="I39" s="1153"/>
      <c r="J39" s="1153"/>
      <c r="K39" s="1153"/>
      <c r="L39" s="1153"/>
    </row>
    <row r="40" spans="1:12" ht="15.95" customHeight="1" x14ac:dyDescent="0.2">
      <c r="A40" s="5"/>
      <c r="B40" s="229"/>
      <c r="C40" s="188"/>
      <c r="D40" s="102"/>
      <c r="E40" s="510">
        <v>0</v>
      </c>
      <c r="F40" s="230">
        <v>0</v>
      </c>
      <c r="G40" s="114">
        <f t="shared" si="1"/>
        <v>0</v>
      </c>
      <c r="H40" s="113"/>
      <c r="I40" s="1153"/>
      <c r="J40" s="1153"/>
      <c r="K40" s="1153"/>
      <c r="L40" s="1153"/>
    </row>
    <row r="41" spans="1:12" ht="15.95" customHeight="1" x14ac:dyDescent="0.2">
      <c r="A41" s="5"/>
      <c r="B41" s="229"/>
      <c r="C41" s="188"/>
      <c r="D41" s="102"/>
      <c r="E41" s="510">
        <v>0</v>
      </c>
      <c r="F41" s="230">
        <v>0</v>
      </c>
      <c r="G41" s="114">
        <f t="shared" si="1"/>
        <v>0</v>
      </c>
      <c r="H41" s="113"/>
      <c r="I41" s="1153"/>
      <c r="J41" s="1153"/>
      <c r="K41" s="1153"/>
      <c r="L41" s="1153"/>
    </row>
    <row r="42" spans="1:12" ht="15.95" customHeight="1" x14ac:dyDescent="0.2">
      <c r="A42" s="5"/>
      <c r="B42" s="229"/>
      <c r="C42" s="188"/>
      <c r="D42" s="102"/>
      <c r="E42" s="510">
        <v>0</v>
      </c>
      <c r="F42" s="230">
        <v>0</v>
      </c>
      <c r="G42" s="114">
        <f t="shared" si="1"/>
        <v>0</v>
      </c>
      <c r="H42" s="113"/>
      <c r="I42" s="1153"/>
      <c r="J42" s="1153"/>
      <c r="K42" s="1153"/>
      <c r="L42" s="1153"/>
    </row>
    <row r="43" spans="1:12" ht="15.95" customHeight="1" x14ac:dyDescent="0.2">
      <c r="A43" s="5"/>
      <c r="B43" s="229"/>
      <c r="C43" s="188"/>
      <c r="D43" s="102"/>
      <c r="E43" s="510"/>
      <c r="F43" s="98"/>
      <c r="G43" s="114">
        <f t="shared" si="0"/>
        <v>0</v>
      </c>
      <c r="H43" s="113"/>
      <c r="I43" s="1153"/>
      <c r="J43" s="1153"/>
      <c r="K43" s="1153"/>
      <c r="L43" s="1153"/>
    </row>
    <row r="44" spans="1:12" ht="15.95" customHeight="1" x14ac:dyDescent="0.2">
      <c r="A44" s="5"/>
      <c r="B44" s="229"/>
      <c r="C44" s="188"/>
      <c r="D44" s="102"/>
      <c r="E44" s="510"/>
      <c r="F44" s="98"/>
      <c r="G44" s="114">
        <f t="shared" ref="G44:G51" si="2">E44*F44</f>
        <v>0</v>
      </c>
      <c r="H44" s="113"/>
      <c r="I44" s="1153"/>
      <c r="J44" s="1153"/>
      <c r="K44" s="1153"/>
      <c r="L44" s="1153"/>
    </row>
    <row r="45" spans="1:12" ht="15.95" customHeight="1" x14ac:dyDescent="0.2">
      <c r="A45" s="5"/>
      <c r="B45" s="229"/>
      <c r="C45" s="188"/>
      <c r="D45" s="102"/>
      <c r="E45" s="510"/>
      <c r="F45" s="98"/>
      <c r="G45" s="114">
        <f t="shared" si="2"/>
        <v>0</v>
      </c>
      <c r="H45" s="113"/>
      <c r="I45" s="1153"/>
      <c r="J45" s="1153"/>
      <c r="K45" s="1153"/>
      <c r="L45" s="1153"/>
    </row>
    <row r="46" spans="1:12" ht="15.95" customHeight="1" x14ac:dyDescent="0.2">
      <c r="A46" s="5"/>
      <c r="B46" s="229"/>
      <c r="C46" s="188"/>
      <c r="D46" s="102"/>
      <c r="E46" s="510"/>
      <c r="F46" s="98"/>
      <c r="G46" s="114">
        <f t="shared" si="2"/>
        <v>0</v>
      </c>
      <c r="H46" s="113"/>
      <c r="I46" s="1153"/>
      <c r="J46" s="1153"/>
      <c r="K46" s="1153"/>
      <c r="L46" s="1153"/>
    </row>
    <row r="47" spans="1:12" ht="15.95" customHeight="1" x14ac:dyDescent="0.2">
      <c r="A47" s="5"/>
      <c r="B47" s="229"/>
      <c r="C47" s="188"/>
      <c r="D47" s="102"/>
      <c r="E47" s="510"/>
      <c r="F47" s="98"/>
      <c r="G47" s="114">
        <f t="shared" si="2"/>
        <v>0</v>
      </c>
      <c r="H47" s="113"/>
      <c r="I47" s="1153"/>
      <c r="J47" s="1153"/>
      <c r="K47" s="1153"/>
      <c r="L47" s="1153"/>
    </row>
    <row r="48" spans="1:12" ht="15.95" customHeight="1" x14ac:dyDescent="0.2">
      <c r="A48" s="5"/>
      <c r="B48" s="229"/>
      <c r="C48" s="188"/>
      <c r="D48" s="102"/>
      <c r="E48" s="510"/>
      <c r="F48" s="98"/>
      <c r="G48" s="114">
        <f t="shared" si="2"/>
        <v>0</v>
      </c>
      <c r="H48" s="113"/>
      <c r="I48" s="1153"/>
      <c r="J48" s="1153"/>
      <c r="K48" s="1153"/>
      <c r="L48" s="1153"/>
    </row>
    <row r="49" spans="1:12" ht="15.95" customHeight="1" x14ac:dyDescent="0.2">
      <c r="A49" s="5"/>
      <c r="B49" s="229"/>
      <c r="C49" s="188"/>
      <c r="D49" s="102"/>
      <c r="E49" s="510"/>
      <c r="F49" s="98"/>
      <c r="G49" s="114">
        <f t="shared" si="2"/>
        <v>0</v>
      </c>
      <c r="H49" s="113"/>
      <c r="I49" s="1153"/>
      <c r="J49" s="1153"/>
      <c r="K49" s="1153"/>
      <c r="L49" s="1153"/>
    </row>
    <row r="50" spans="1:12" ht="15.95" customHeight="1" x14ac:dyDescent="0.2">
      <c r="A50" s="5"/>
      <c r="B50" s="229"/>
      <c r="C50" s="188"/>
      <c r="D50" s="102"/>
      <c r="E50" s="510"/>
      <c r="F50" s="98"/>
      <c r="G50" s="114">
        <f t="shared" si="2"/>
        <v>0</v>
      </c>
      <c r="H50" s="113"/>
      <c r="I50" s="1153"/>
      <c r="J50" s="1153"/>
      <c r="K50" s="1153"/>
      <c r="L50" s="1153"/>
    </row>
    <row r="51" spans="1:12" ht="15.95" customHeight="1" x14ac:dyDescent="0.2">
      <c r="A51" s="5"/>
      <c r="B51" s="229"/>
      <c r="C51" s="188"/>
      <c r="D51" s="102"/>
      <c r="E51" s="510"/>
      <c r="F51" s="98"/>
      <c r="G51" s="114">
        <f t="shared" si="2"/>
        <v>0</v>
      </c>
      <c r="H51" s="113"/>
      <c r="I51" s="1153"/>
      <c r="J51" s="1153"/>
      <c r="K51" s="1153"/>
      <c r="L51" s="1153"/>
    </row>
    <row r="52" spans="1:12" ht="15.95" customHeight="1" x14ac:dyDescent="0.2">
      <c r="A52" s="5"/>
      <c r="B52" s="229"/>
      <c r="C52" s="188"/>
      <c r="D52" s="101"/>
      <c r="E52" s="510"/>
      <c r="F52" s="98"/>
      <c r="G52" s="114">
        <f t="shared" si="0"/>
        <v>0</v>
      </c>
      <c r="H52" s="113"/>
      <c r="I52" s="1153"/>
      <c r="J52" s="1153"/>
      <c r="K52" s="1153"/>
      <c r="L52" s="1153"/>
    </row>
    <row r="53" spans="1:12" ht="15.95" customHeight="1" x14ac:dyDescent="0.2">
      <c r="A53" s="5"/>
      <c r="B53" s="229"/>
      <c r="C53" s="188"/>
      <c r="D53" s="102"/>
      <c r="E53" s="510"/>
      <c r="F53" s="98"/>
      <c r="G53" s="114">
        <f t="shared" si="0"/>
        <v>0</v>
      </c>
      <c r="H53" s="113"/>
      <c r="I53" s="231"/>
      <c r="J53" s="231"/>
      <c r="K53" s="231"/>
      <c r="L53" s="231"/>
    </row>
    <row r="54" spans="1:12" ht="15.95" customHeight="1" x14ac:dyDescent="0.2">
      <c r="A54" s="5"/>
      <c r="B54" s="229"/>
      <c r="C54" s="188"/>
      <c r="D54" s="102"/>
      <c r="E54" s="510"/>
      <c r="F54" s="98"/>
      <c r="G54" s="114">
        <f t="shared" si="0"/>
        <v>0</v>
      </c>
      <c r="H54" s="113"/>
      <c r="I54" s="231"/>
      <c r="J54" s="231"/>
      <c r="K54" s="231"/>
      <c r="L54" s="231"/>
    </row>
    <row r="55" spans="1:12" ht="15.95" customHeight="1" x14ac:dyDescent="0.2">
      <c r="A55" s="5"/>
      <c r="B55" s="229"/>
      <c r="C55" s="188"/>
      <c r="D55" s="102"/>
      <c r="E55" s="510"/>
      <c r="F55" s="98"/>
      <c r="G55" s="114">
        <f t="shared" si="0"/>
        <v>0</v>
      </c>
      <c r="H55" s="113"/>
    </row>
    <row r="56" spans="1:12" ht="15.95" customHeight="1" x14ac:dyDescent="0.2">
      <c r="A56" s="5"/>
      <c r="B56" s="229"/>
      <c r="C56" s="188"/>
      <c r="D56" s="102"/>
      <c r="E56" s="510"/>
      <c r="F56" s="98"/>
      <c r="G56" s="114">
        <f t="shared" si="0"/>
        <v>0</v>
      </c>
      <c r="H56" s="113"/>
    </row>
    <row r="57" spans="1:12" ht="15.95" customHeight="1" x14ac:dyDescent="0.2">
      <c r="A57" s="5"/>
      <c r="B57" s="229"/>
      <c r="C57" s="188"/>
      <c r="D57" s="102"/>
      <c r="E57" s="510"/>
      <c r="F57" s="98"/>
      <c r="G57" s="114">
        <f t="shared" si="0"/>
        <v>0</v>
      </c>
      <c r="H57" s="113"/>
    </row>
    <row r="58" spans="1:12" ht="15.95" customHeight="1" x14ac:dyDescent="0.2">
      <c r="A58" s="5"/>
      <c r="B58" s="229"/>
      <c r="C58" s="188"/>
      <c r="D58" s="102"/>
      <c r="E58" s="510"/>
      <c r="F58" s="98"/>
      <c r="G58" s="114">
        <f t="shared" si="0"/>
        <v>0</v>
      </c>
      <c r="H58" s="113"/>
    </row>
    <row r="59" spans="1:12" ht="15.95" customHeight="1" x14ac:dyDescent="0.2">
      <c r="A59" s="5"/>
      <c r="B59" s="229"/>
      <c r="C59" s="188"/>
      <c r="D59" s="102"/>
      <c r="E59" s="510"/>
      <c r="F59" s="98"/>
      <c r="G59" s="114">
        <f t="shared" si="0"/>
        <v>0</v>
      </c>
      <c r="H59" s="113"/>
    </row>
    <row r="60" spans="1:12" ht="15.95" customHeight="1" x14ac:dyDescent="0.2">
      <c r="A60" s="5"/>
      <c r="B60" s="229"/>
      <c r="C60" s="189"/>
      <c r="D60" s="102"/>
      <c r="E60" s="510"/>
      <c r="F60" s="98"/>
      <c r="G60" s="114">
        <f t="shared" si="0"/>
        <v>0</v>
      </c>
      <c r="H60" s="113"/>
    </row>
    <row r="61" spans="1:12" ht="15.95" customHeight="1" x14ac:dyDescent="0.2">
      <c r="A61" s="5"/>
      <c r="B61" s="229"/>
      <c r="C61" s="188"/>
      <c r="D61" s="102"/>
      <c r="E61" s="510"/>
      <c r="F61" s="98"/>
      <c r="G61" s="114">
        <f t="shared" si="0"/>
        <v>0</v>
      </c>
      <c r="H61" s="113"/>
    </row>
    <row r="62" spans="1:12" ht="15.95" customHeight="1" x14ac:dyDescent="0.2">
      <c r="A62" s="5"/>
      <c r="B62" s="229"/>
      <c r="C62" s="189"/>
      <c r="D62" s="102"/>
      <c r="E62" s="510"/>
      <c r="F62" s="98"/>
      <c r="G62" s="114">
        <f t="shared" si="0"/>
        <v>0</v>
      </c>
      <c r="H62" s="113"/>
    </row>
    <row r="63" spans="1:12" ht="15.95" customHeight="1" x14ac:dyDescent="0.2">
      <c r="A63" s="5"/>
      <c r="B63" s="229"/>
      <c r="C63" s="189"/>
      <c r="D63" s="102"/>
      <c r="E63" s="510"/>
      <c r="F63" s="98"/>
      <c r="G63" s="114">
        <f t="shared" si="0"/>
        <v>0</v>
      </c>
      <c r="H63" s="113"/>
    </row>
    <row r="64" spans="1:12" ht="15.95" customHeight="1" thickBot="1" x14ac:dyDescent="0.25">
      <c r="A64" s="5"/>
      <c r="B64" s="310">
        <v>5110350100</v>
      </c>
      <c r="C64" s="1159" t="s">
        <v>625</v>
      </c>
      <c r="D64" s="1160"/>
      <c r="E64" s="512">
        <f>SUM(E27:E63)</f>
        <v>0</v>
      </c>
      <c r="F64" s="311"/>
      <c r="G64" s="312">
        <f>SUM(G27:G63)</f>
        <v>0</v>
      </c>
      <c r="H64" s="113"/>
    </row>
    <row r="65" spans="1:8" ht="15.95" customHeight="1" thickBot="1" x14ac:dyDescent="0.25">
      <c r="A65" s="5"/>
      <c r="B65" s="1154" t="s">
        <v>626</v>
      </c>
      <c r="C65" s="1155"/>
      <c r="D65" s="1155"/>
      <c r="E65" s="1155"/>
      <c r="F65" s="1155"/>
      <c r="G65" s="1156"/>
      <c r="H65" s="113"/>
    </row>
    <row r="66" spans="1:8" ht="15.95" customHeight="1" x14ac:dyDescent="0.2">
      <c r="A66" s="5"/>
      <c r="B66" s="229"/>
      <c r="C66" s="187" t="s">
        <v>169</v>
      </c>
      <c r="D66" s="100" t="s">
        <v>169</v>
      </c>
      <c r="E66" s="516">
        <v>0</v>
      </c>
      <c r="F66" s="230">
        <f>MROUND($L$29*$M$26,1000)</f>
        <v>0</v>
      </c>
      <c r="G66" s="114">
        <f t="shared" ref="G66:G101" si="3">E66*F66</f>
        <v>0</v>
      </c>
      <c r="H66" s="113"/>
    </row>
    <row r="67" spans="1:8" ht="15.95" customHeight="1" x14ac:dyDescent="0.2">
      <c r="A67" s="5"/>
      <c r="B67" s="229"/>
      <c r="C67" s="188" t="s">
        <v>169</v>
      </c>
      <c r="D67" s="101" t="s">
        <v>169</v>
      </c>
      <c r="E67" s="517">
        <v>0</v>
      </c>
      <c r="F67" s="230">
        <v>0</v>
      </c>
      <c r="G67" s="114">
        <f t="shared" si="3"/>
        <v>0</v>
      </c>
      <c r="H67" s="113"/>
    </row>
    <row r="68" spans="1:8" ht="15.95" customHeight="1" x14ac:dyDescent="0.2">
      <c r="A68" s="5"/>
      <c r="B68" s="229"/>
      <c r="C68" s="189"/>
      <c r="D68" s="101"/>
      <c r="E68" s="510">
        <v>0</v>
      </c>
      <c r="F68" s="230">
        <v>0</v>
      </c>
      <c r="G68" s="114">
        <f t="shared" si="3"/>
        <v>0</v>
      </c>
      <c r="H68" s="113"/>
    </row>
    <row r="69" spans="1:8" ht="15.95" customHeight="1" x14ac:dyDescent="0.2">
      <c r="A69" s="5"/>
      <c r="B69" s="229"/>
      <c r="C69" s="188"/>
      <c r="D69" s="101"/>
      <c r="E69" s="510">
        <v>0</v>
      </c>
      <c r="F69" s="230">
        <v>0</v>
      </c>
      <c r="G69" s="114">
        <f t="shared" si="3"/>
        <v>0</v>
      </c>
      <c r="H69" s="113"/>
    </row>
    <row r="70" spans="1:8" ht="15.95" customHeight="1" x14ac:dyDescent="0.2">
      <c r="A70" s="5"/>
      <c r="B70" s="229"/>
      <c r="C70" s="188"/>
      <c r="D70" s="101"/>
      <c r="E70" s="510">
        <v>0</v>
      </c>
      <c r="F70" s="230">
        <v>0</v>
      </c>
      <c r="G70" s="114">
        <f t="shared" si="3"/>
        <v>0</v>
      </c>
      <c r="H70" s="113"/>
    </row>
    <row r="71" spans="1:8" ht="15.95" customHeight="1" x14ac:dyDescent="0.2">
      <c r="A71" s="5"/>
      <c r="B71" s="229"/>
      <c r="C71" s="188"/>
      <c r="D71" s="101"/>
      <c r="E71" s="510">
        <v>0</v>
      </c>
      <c r="F71" s="230">
        <v>0</v>
      </c>
      <c r="G71" s="114">
        <f t="shared" ref="G71:G80" si="4">E71*F71</f>
        <v>0</v>
      </c>
      <c r="H71" s="113"/>
    </row>
    <row r="72" spans="1:8" ht="15.95" customHeight="1" x14ac:dyDescent="0.2">
      <c r="A72" s="5"/>
      <c r="B72" s="229"/>
      <c r="C72" s="188"/>
      <c r="D72" s="101"/>
      <c r="E72" s="510">
        <v>0</v>
      </c>
      <c r="F72" s="230">
        <v>0</v>
      </c>
      <c r="G72" s="114">
        <f t="shared" si="4"/>
        <v>0</v>
      </c>
      <c r="H72" s="113"/>
    </row>
    <row r="73" spans="1:8" ht="15.95" customHeight="1" x14ac:dyDescent="0.2">
      <c r="A73" s="5"/>
      <c r="B73" s="229"/>
      <c r="C73" s="188"/>
      <c r="D73" s="101"/>
      <c r="E73" s="510">
        <v>0</v>
      </c>
      <c r="F73" s="230">
        <v>0</v>
      </c>
      <c r="G73" s="114">
        <f t="shared" si="4"/>
        <v>0</v>
      </c>
      <c r="H73" s="113"/>
    </row>
    <row r="74" spans="1:8" ht="15.95" customHeight="1" x14ac:dyDescent="0.2">
      <c r="A74" s="5"/>
      <c r="B74" s="229"/>
      <c r="C74" s="188"/>
      <c r="D74" s="101"/>
      <c r="E74" s="510">
        <v>0</v>
      </c>
      <c r="F74" s="230">
        <v>0</v>
      </c>
      <c r="G74" s="114">
        <f t="shared" si="4"/>
        <v>0</v>
      </c>
      <c r="H74" s="113"/>
    </row>
    <row r="75" spans="1:8" ht="15.95" customHeight="1" x14ac:dyDescent="0.2">
      <c r="A75" s="5"/>
      <c r="B75" s="229"/>
      <c r="C75" s="188"/>
      <c r="D75" s="101"/>
      <c r="E75" s="510">
        <v>0</v>
      </c>
      <c r="F75" s="230">
        <v>0</v>
      </c>
      <c r="G75" s="114">
        <f t="shared" si="4"/>
        <v>0</v>
      </c>
      <c r="H75" s="113"/>
    </row>
    <row r="76" spans="1:8" ht="15.95" customHeight="1" x14ac:dyDescent="0.2">
      <c r="A76" s="5"/>
      <c r="B76" s="229"/>
      <c r="C76" s="188"/>
      <c r="D76" s="101"/>
      <c r="E76" s="510">
        <v>0</v>
      </c>
      <c r="F76" s="230">
        <v>0</v>
      </c>
      <c r="G76" s="114">
        <f t="shared" si="4"/>
        <v>0</v>
      </c>
      <c r="H76" s="113"/>
    </row>
    <row r="77" spans="1:8" ht="15.95" customHeight="1" x14ac:dyDescent="0.2">
      <c r="A77" s="5"/>
      <c r="B77" s="229"/>
      <c r="C77" s="188"/>
      <c r="D77" s="101"/>
      <c r="E77" s="510">
        <v>0</v>
      </c>
      <c r="F77" s="230">
        <v>0</v>
      </c>
      <c r="G77" s="114">
        <f t="shared" si="4"/>
        <v>0</v>
      </c>
      <c r="H77" s="113"/>
    </row>
    <row r="78" spans="1:8" ht="15.95" customHeight="1" x14ac:dyDescent="0.2">
      <c r="A78" s="5"/>
      <c r="B78" s="229"/>
      <c r="C78" s="188"/>
      <c r="D78" s="101"/>
      <c r="E78" s="510">
        <v>0</v>
      </c>
      <c r="F78" s="230">
        <v>0</v>
      </c>
      <c r="G78" s="114">
        <f t="shared" si="4"/>
        <v>0</v>
      </c>
      <c r="H78" s="113"/>
    </row>
    <row r="79" spans="1:8" ht="15.95" customHeight="1" x14ac:dyDescent="0.2">
      <c r="A79" s="5"/>
      <c r="B79" s="229"/>
      <c r="C79" s="188"/>
      <c r="D79" s="101"/>
      <c r="E79" s="510">
        <v>0</v>
      </c>
      <c r="F79" s="230">
        <v>0</v>
      </c>
      <c r="G79" s="114">
        <f t="shared" si="4"/>
        <v>0</v>
      </c>
      <c r="H79" s="113"/>
    </row>
    <row r="80" spans="1:8" ht="15.95" customHeight="1" x14ac:dyDescent="0.2">
      <c r="A80" s="5"/>
      <c r="B80" s="229"/>
      <c r="C80" s="188"/>
      <c r="D80" s="101"/>
      <c r="E80" s="510">
        <v>0</v>
      </c>
      <c r="F80" s="230">
        <v>0</v>
      </c>
      <c r="G80" s="114">
        <f t="shared" si="4"/>
        <v>0</v>
      </c>
      <c r="H80" s="113"/>
    </row>
    <row r="81" spans="1:8" ht="15.95" customHeight="1" x14ac:dyDescent="0.2">
      <c r="A81" s="5"/>
      <c r="B81" s="229"/>
      <c r="C81" s="188"/>
      <c r="D81" s="101"/>
      <c r="E81" s="510"/>
      <c r="F81" s="98"/>
      <c r="G81" s="114">
        <f t="shared" si="3"/>
        <v>0</v>
      </c>
      <c r="H81" s="113"/>
    </row>
    <row r="82" spans="1:8" ht="15.95" customHeight="1" x14ac:dyDescent="0.2">
      <c r="A82" s="5"/>
      <c r="B82" s="229"/>
      <c r="C82" s="188"/>
      <c r="D82" s="101"/>
      <c r="E82" s="510"/>
      <c r="F82" s="98"/>
      <c r="G82" s="114">
        <f t="shared" si="3"/>
        <v>0</v>
      </c>
      <c r="H82" s="113"/>
    </row>
    <row r="83" spans="1:8" ht="15.95" customHeight="1" x14ac:dyDescent="0.2">
      <c r="A83" s="5"/>
      <c r="B83" s="229"/>
      <c r="C83" s="188"/>
      <c r="D83" s="101"/>
      <c r="E83" s="510"/>
      <c r="F83" s="98"/>
      <c r="G83" s="114">
        <f t="shared" si="3"/>
        <v>0</v>
      </c>
      <c r="H83" s="113"/>
    </row>
    <row r="84" spans="1:8" ht="15.95" customHeight="1" x14ac:dyDescent="0.2">
      <c r="A84" s="5"/>
      <c r="B84" s="229"/>
      <c r="C84" s="188"/>
      <c r="D84" s="101"/>
      <c r="E84" s="510"/>
      <c r="F84" s="98"/>
      <c r="G84" s="114">
        <f t="shared" si="3"/>
        <v>0</v>
      </c>
      <c r="H84" s="113"/>
    </row>
    <row r="85" spans="1:8" ht="15.95" customHeight="1" x14ac:dyDescent="0.2">
      <c r="A85" s="5"/>
      <c r="B85" s="229"/>
      <c r="C85" s="188"/>
      <c r="D85" s="101"/>
      <c r="E85" s="510"/>
      <c r="F85" s="98"/>
      <c r="G85" s="114">
        <f t="shared" si="3"/>
        <v>0</v>
      </c>
      <c r="H85" s="113"/>
    </row>
    <row r="86" spans="1:8" ht="15.95" customHeight="1" x14ac:dyDescent="0.2">
      <c r="A86" s="5"/>
      <c r="B86" s="229"/>
      <c r="C86" s="188"/>
      <c r="D86" s="101"/>
      <c r="E86" s="510"/>
      <c r="F86" s="98"/>
      <c r="G86" s="114">
        <f t="shared" si="3"/>
        <v>0</v>
      </c>
      <c r="H86" s="113"/>
    </row>
    <row r="87" spans="1:8" ht="15.95" customHeight="1" x14ac:dyDescent="0.2">
      <c r="A87" s="5"/>
      <c r="B87" s="229"/>
      <c r="C87" s="188"/>
      <c r="D87" s="101"/>
      <c r="E87" s="510"/>
      <c r="F87" s="98"/>
      <c r="G87" s="114">
        <f t="shared" si="3"/>
        <v>0</v>
      </c>
      <c r="H87" s="113"/>
    </row>
    <row r="88" spans="1:8" ht="15.95" customHeight="1" x14ac:dyDescent="0.2">
      <c r="A88" s="5"/>
      <c r="B88" s="229"/>
      <c r="C88" s="188"/>
      <c r="D88" s="101"/>
      <c r="E88" s="510"/>
      <c r="F88" s="98"/>
      <c r="G88" s="114">
        <f t="shared" si="3"/>
        <v>0</v>
      </c>
      <c r="H88" s="113"/>
    </row>
    <row r="89" spans="1:8" ht="15.95" customHeight="1" x14ac:dyDescent="0.2">
      <c r="A89" s="5"/>
      <c r="B89" s="229"/>
      <c r="C89" s="188"/>
      <c r="D89" s="101"/>
      <c r="E89" s="510"/>
      <c r="F89" s="98"/>
      <c r="G89" s="114">
        <f t="shared" si="3"/>
        <v>0</v>
      </c>
      <c r="H89" s="113"/>
    </row>
    <row r="90" spans="1:8" ht="15.95" customHeight="1" x14ac:dyDescent="0.2">
      <c r="A90" s="5"/>
      <c r="B90" s="229"/>
      <c r="C90" s="188"/>
      <c r="D90" s="101"/>
      <c r="E90" s="510"/>
      <c r="F90" s="98"/>
      <c r="G90" s="114">
        <f t="shared" si="3"/>
        <v>0</v>
      </c>
      <c r="H90" s="113"/>
    </row>
    <row r="91" spans="1:8" ht="15.95" customHeight="1" x14ac:dyDescent="0.2">
      <c r="A91" s="5"/>
      <c r="B91" s="229"/>
      <c r="C91" s="188"/>
      <c r="D91" s="101"/>
      <c r="E91" s="510"/>
      <c r="F91" s="98"/>
      <c r="G91" s="114">
        <f t="shared" si="3"/>
        <v>0</v>
      </c>
      <c r="H91" s="113"/>
    </row>
    <row r="92" spans="1:8" ht="15.95" customHeight="1" x14ac:dyDescent="0.2">
      <c r="A92" s="5"/>
      <c r="B92" s="229"/>
      <c r="C92" s="188"/>
      <c r="D92" s="101"/>
      <c r="E92" s="510"/>
      <c r="F92" s="98"/>
      <c r="G92" s="114">
        <f t="shared" si="3"/>
        <v>0</v>
      </c>
      <c r="H92" s="113"/>
    </row>
    <row r="93" spans="1:8" ht="15.95" customHeight="1" x14ac:dyDescent="0.2">
      <c r="A93" s="5"/>
      <c r="B93" s="229"/>
      <c r="C93" s="188"/>
      <c r="D93" s="101"/>
      <c r="E93" s="510"/>
      <c r="F93" s="98"/>
      <c r="G93" s="114">
        <f t="shared" si="3"/>
        <v>0</v>
      </c>
      <c r="H93" s="113"/>
    </row>
    <row r="94" spans="1:8" ht="15.95" customHeight="1" x14ac:dyDescent="0.2">
      <c r="A94" s="5"/>
      <c r="B94" s="229"/>
      <c r="C94" s="188"/>
      <c r="D94" s="101"/>
      <c r="E94" s="510"/>
      <c r="F94" s="98"/>
      <c r="G94" s="114">
        <f t="shared" si="3"/>
        <v>0</v>
      </c>
      <c r="H94" s="113"/>
    </row>
    <row r="95" spans="1:8" ht="15.95" customHeight="1" x14ac:dyDescent="0.2">
      <c r="A95" s="5"/>
      <c r="B95" s="229"/>
      <c r="C95" s="188"/>
      <c r="D95" s="101"/>
      <c r="E95" s="510"/>
      <c r="F95" s="98"/>
      <c r="G95" s="114">
        <f t="shared" si="3"/>
        <v>0</v>
      </c>
      <c r="H95" s="113"/>
    </row>
    <row r="96" spans="1:8" ht="15.95" customHeight="1" x14ac:dyDescent="0.2">
      <c r="A96" s="5"/>
      <c r="B96" s="229"/>
      <c r="C96" s="188"/>
      <c r="D96" s="101"/>
      <c r="E96" s="510"/>
      <c r="F96" s="98"/>
      <c r="G96" s="114">
        <f t="shared" si="3"/>
        <v>0</v>
      </c>
      <c r="H96" s="113"/>
    </row>
    <row r="97" spans="1:18" ht="15.95" customHeight="1" x14ac:dyDescent="0.2">
      <c r="A97" s="5"/>
      <c r="B97" s="229"/>
      <c r="C97" s="188"/>
      <c r="D97" s="101"/>
      <c r="E97" s="510"/>
      <c r="F97" s="98"/>
      <c r="G97" s="114">
        <f t="shared" si="3"/>
        <v>0</v>
      </c>
      <c r="H97" s="113"/>
    </row>
    <row r="98" spans="1:18" ht="15.95" customHeight="1" x14ac:dyDescent="0.2">
      <c r="A98" s="5"/>
      <c r="B98" s="229"/>
      <c r="C98" s="188"/>
      <c r="D98" s="101"/>
      <c r="E98" s="510"/>
      <c r="F98" s="98"/>
      <c r="G98" s="114">
        <f t="shared" si="3"/>
        <v>0</v>
      </c>
      <c r="H98" s="113"/>
    </row>
    <row r="99" spans="1:18" ht="15.95" customHeight="1" x14ac:dyDescent="0.2">
      <c r="A99" s="5"/>
      <c r="B99" s="229"/>
      <c r="C99" s="188"/>
      <c r="D99" s="101"/>
      <c r="E99" s="510"/>
      <c r="F99" s="98"/>
      <c r="G99" s="114">
        <f t="shared" si="3"/>
        <v>0</v>
      </c>
      <c r="H99" s="113"/>
    </row>
    <row r="100" spans="1:18" ht="15.95" customHeight="1" x14ac:dyDescent="0.2">
      <c r="A100" s="5"/>
      <c r="B100" s="229"/>
      <c r="C100" s="188"/>
      <c r="D100" s="101"/>
      <c r="E100" s="510"/>
      <c r="F100" s="98"/>
      <c r="G100" s="114">
        <f t="shared" si="3"/>
        <v>0</v>
      </c>
      <c r="H100" s="113"/>
    </row>
    <row r="101" spans="1:18" ht="15.95" customHeight="1" x14ac:dyDescent="0.2">
      <c r="A101" s="5"/>
      <c r="B101" s="229"/>
      <c r="C101" s="188"/>
      <c r="D101" s="101"/>
      <c r="E101" s="510"/>
      <c r="F101" s="98"/>
      <c r="G101" s="114">
        <f t="shared" si="3"/>
        <v>0</v>
      </c>
      <c r="H101" s="113"/>
    </row>
    <row r="102" spans="1:18" ht="15.95" customHeight="1" thickBot="1" x14ac:dyDescent="0.25">
      <c r="A102" s="5"/>
      <c r="B102" s="310">
        <v>5110350100</v>
      </c>
      <c r="C102" s="1159" t="s">
        <v>627</v>
      </c>
      <c r="D102" s="1160"/>
      <c r="E102" s="512">
        <f>SUM(E66:E101)</f>
        <v>0</v>
      </c>
      <c r="F102" s="311"/>
      <c r="G102" s="312">
        <f>SUM(G66:G101)</f>
        <v>0</v>
      </c>
      <c r="H102" s="113"/>
    </row>
    <row r="103" spans="1:18" ht="6" customHeight="1" thickBot="1" x14ac:dyDescent="0.25">
      <c r="A103" s="5"/>
      <c r="B103" s="5"/>
    </row>
    <row r="104" spans="1:18" ht="14.25" thickBot="1" x14ac:dyDescent="0.25">
      <c r="A104" s="5"/>
      <c r="B104" s="5"/>
      <c r="D104" s="1161" t="s">
        <v>43</v>
      </c>
      <c r="E104" s="1161"/>
      <c r="F104" s="117"/>
      <c r="G104" s="118">
        <f>+G64+G102</f>
        <v>0</v>
      </c>
      <c r="H104" s="119"/>
    </row>
    <row r="105" spans="1:18" ht="13.5" thickBot="1" x14ac:dyDescent="0.25">
      <c r="A105" s="5"/>
      <c r="B105" s="5"/>
    </row>
    <row r="106" spans="1:18" ht="18.75" customHeight="1" thickBot="1" x14ac:dyDescent="0.25">
      <c r="A106" s="5"/>
      <c r="B106" s="1162" t="s">
        <v>631</v>
      </c>
      <c r="C106" s="1163"/>
      <c r="D106" s="1163"/>
      <c r="E106" s="1163"/>
      <c r="F106" s="1163"/>
      <c r="G106" s="1164"/>
    </row>
    <row r="107" spans="1:18" s="152" customFormat="1" ht="39" customHeight="1" thickBot="1" x14ac:dyDescent="0.25">
      <c r="A107" s="5"/>
      <c r="B107" s="186" t="s">
        <v>419</v>
      </c>
      <c r="C107" s="106" t="s">
        <v>229</v>
      </c>
      <c r="D107" s="106" t="s">
        <v>230</v>
      </c>
      <c r="E107" s="513" t="s">
        <v>500</v>
      </c>
      <c r="F107" s="120" t="s">
        <v>226</v>
      </c>
      <c r="G107" s="109" t="s">
        <v>227</v>
      </c>
      <c r="H107" s="110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</row>
    <row r="108" spans="1:18" ht="13.5" thickBot="1" x14ac:dyDescent="0.25">
      <c r="A108" s="5"/>
      <c r="B108" s="1154" t="s">
        <v>624</v>
      </c>
      <c r="C108" s="1155"/>
      <c r="D108" s="1155"/>
      <c r="E108" s="1155"/>
      <c r="F108" s="1155"/>
      <c r="G108" s="1156"/>
    </row>
    <row r="109" spans="1:18" ht="18" x14ac:dyDescent="0.2">
      <c r="A109" s="5"/>
      <c r="B109" s="229"/>
      <c r="C109" s="187"/>
      <c r="D109" s="548" t="s">
        <v>169</v>
      </c>
      <c r="E109" s="511">
        <v>0</v>
      </c>
      <c r="F109" s="98">
        <f>MROUND($L$112*$M$26,1000)</f>
        <v>0</v>
      </c>
      <c r="G109" s="114">
        <f t="shared" ref="G109:G117" si="5">E109*F109</f>
        <v>0</v>
      </c>
      <c r="I109" s="1157" t="s">
        <v>433</v>
      </c>
      <c r="J109" s="1157"/>
      <c r="K109" s="1157"/>
      <c r="L109" s="1157"/>
    </row>
    <row r="110" spans="1:18" x14ac:dyDescent="0.2">
      <c r="A110" s="5"/>
      <c r="B110" s="229"/>
      <c r="C110" s="187"/>
      <c r="D110" s="101" t="s">
        <v>169</v>
      </c>
      <c r="E110" s="511">
        <v>0</v>
      </c>
      <c r="F110" s="98">
        <v>0</v>
      </c>
      <c r="G110" s="114">
        <f t="shared" si="5"/>
        <v>0</v>
      </c>
      <c r="I110" s="232" t="s">
        <v>435</v>
      </c>
      <c r="J110" s="232"/>
      <c r="K110" s="232"/>
      <c r="L110" s="232"/>
    </row>
    <row r="111" spans="1:18" x14ac:dyDescent="0.2">
      <c r="A111" s="5"/>
      <c r="B111" s="229"/>
      <c r="C111" s="188"/>
      <c r="D111" s="101" t="s">
        <v>169</v>
      </c>
      <c r="E111" s="511">
        <v>0</v>
      </c>
      <c r="F111" s="98">
        <v>0</v>
      </c>
      <c r="G111" s="114">
        <f t="shared" si="5"/>
        <v>0</v>
      </c>
      <c r="I111" s="232" t="s">
        <v>200</v>
      </c>
      <c r="J111" s="232"/>
      <c r="K111" s="232"/>
      <c r="L111" s="232"/>
    </row>
    <row r="112" spans="1:18" x14ac:dyDescent="0.2">
      <c r="A112" s="5"/>
      <c r="B112" s="229"/>
      <c r="C112" s="188"/>
      <c r="D112" s="101" t="s">
        <v>169</v>
      </c>
      <c r="E112" s="511">
        <v>0</v>
      </c>
      <c r="F112" s="98">
        <v>0</v>
      </c>
      <c r="G112" s="114">
        <f t="shared" si="5"/>
        <v>0</v>
      </c>
      <c r="I112" s="103" t="s">
        <v>808</v>
      </c>
    </row>
    <row r="113" spans="1:7" x14ac:dyDescent="0.2">
      <c r="A113" s="5"/>
      <c r="B113" s="229"/>
      <c r="C113" s="188"/>
      <c r="D113" s="101"/>
      <c r="E113" s="511">
        <v>0</v>
      </c>
      <c r="F113" s="98">
        <v>0</v>
      </c>
      <c r="G113" s="114">
        <f t="shared" si="5"/>
        <v>0</v>
      </c>
    </row>
    <row r="114" spans="1:7" x14ac:dyDescent="0.2">
      <c r="A114" s="5"/>
      <c r="B114" s="229"/>
      <c r="C114" s="188"/>
      <c r="D114" s="101"/>
      <c r="E114" s="511">
        <v>0</v>
      </c>
      <c r="F114" s="98">
        <v>0</v>
      </c>
      <c r="G114" s="114">
        <f t="shared" si="5"/>
        <v>0</v>
      </c>
    </row>
    <row r="115" spans="1:7" x14ac:dyDescent="0.2">
      <c r="A115" s="5"/>
      <c r="B115" s="229"/>
      <c r="C115" s="188"/>
      <c r="D115" s="101"/>
      <c r="E115" s="511">
        <v>0</v>
      </c>
      <c r="F115" s="98">
        <v>0</v>
      </c>
      <c r="G115" s="114">
        <f t="shared" si="5"/>
        <v>0</v>
      </c>
    </row>
    <row r="116" spans="1:7" x14ac:dyDescent="0.2">
      <c r="A116" s="5"/>
      <c r="B116" s="229"/>
      <c r="C116" s="188"/>
      <c r="D116" s="101"/>
      <c r="E116" s="511">
        <v>0</v>
      </c>
      <c r="F116" s="98">
        <v>0</v>
      </c>
      <c r="G116" s="114">
        <f t="shared" si="5"/>
        <v>0</v>
      </c>
    </row>
    <row r="117" spans="1:7" ht="13.5" thickBot="1" x14ac:dyDescent="0.25">
      <c r="A117" s="5"/>
      <c r="B117" s="229"/>
      <c r="C117" s="188"/>
      <c r="D117" s="549"/>
      <c r="E117" s="511">
        <v>0</v>
      </c>
      <c r="F117" s="98">
        <v>0</v>
      </c>
      <c r="G117" s="114">
        <f t="shared" si="5"/>
        <v>0</v>
      </c>
    </row>
    <row r="118" spans="1:7" ht="13.5" thickBot="1" x14ac:dyDescent="0.25">
      <c r="A118" s="5"/>
      <c r="B118" s="310">
        <v>5110950000</v>
      </c>
      <c r="C118" s="1159" t="s">
        <v>625</v>
      </c>
      <c r="D118" s="1160"/>
      <c r="E118" s="512">
        <f>SUM(E109:E117)</f>
        <v>0</v>
      </c>
      <c r="F118" s="311"/>
      <c r="G118" s="738">
        <f>SUM(G109:G117)</f>
        <v>0</v>
      </c>
    </row>
    <row r="119" spans="1:7" ht="13.5" thickBot="1" x14ac:dyDescent="0.25">
      <c r="A119" s="5"/>
      <c r="B119" s="1154" t="s">
        <v>626</v>
      </c>
      <c r="C119" s="1155"/>
      <c r="D119" s="1155"/>
      <c r="E119" s="1155"/>
      <c r="F119" s="1155"/>
      <c r="G119" s="1156"/>
    </row>
    <row r="120" spans="1:7" x14ac:dyDescent="0.2">
      <c r="A120" s="5"/>
      <c r="B120" s="229"/>
      <c r="C120" s="188"/>
      <c r="D120" s="548" t="s">
        <v>169</v>
      </c>
      <c r="E120" s="511">
        <v>0</v>
      </c>
      <c r="F120" s="98">
        <f>MROUND($L$112*$M$26,1000)</f>
        <v>0</v>
      </c>
      <c r="G120" s="114">
        <f t="shared" ref="G120:G128" si="6">E120*F120</f>
        <v>0</v>
      </c>
    </row>
    <row r="121" spans="1:7" x14ac:dyDescent="0.2">
      <c r="A121" s="5"/>
      <c r="B121" s="229"/>
      <c r="C121" s="188"/>
      <c r="D121" s="101" t="s">
        <v>169</v>
      </c>
      <c r="E121" s="511">
        <v>0</v>
      </c>
      <c r="F121" s="98">
        <v>0</v>
      </c>
      <c r="G121" s="114">
        <f t="shared" si="6"/>
        <v>0</v>
      </c>
    </row>
    <row r="122" spans="1:7" x14ac:dyDescent="0.2">
      <c r="A122" s="5"/>
      <c r="B122" s="229"/>
      <c r="C122" s="188"/>
      <c r="D122" s="101" t="s">
        <v>169</v>
      </c>
      <c r="E122" s="511">
        <v>0</v>
      </c>
      <c r="F122" s="98">
        <v>0</v>
      </c>
      <c r="G122" s="114">
        <f t="shared" si="6"/>
        <v>0</v>
      </c>
    </row>
    <row r="123" spans="1:7" x14ac:dyDescent="0.2">
      <c r="A123" s="5"/>
      <c r="B123" s="229"/>
      <c r="C123" s="188"/>
      <c r="D123" s="101" t="s">
        <v>169</v>
      </c>
      <c r="E123" s="511">
        <v>0</v>
      </c>
      <c r="F123" s="98">
        <v>0</v>
      </c>
      <c r="G123" s="114">
        <f t="shared" si="6"/>
        <v>0</v>
      </c>
    </row>
    <row r="124" spans="1:7" x14ac:dyDescent="0.2">
      <c r="A124" s="5"/>
      <c r="B124" s="229"/>
      <c r="C124" s="188"/>
      <c r="D124" s="101"/>
      <c r="E124" s="511">
        <v>0</v>
      </c>
      <c r="F124" s="98">
        <v>0</v>
      </c>
      <c r="G124" s="114">
        <f t="shared" si="6"/>
        <v>0</v>
      </c>
    </row>
    <row r="125" spans="1:7" x14ac:dyDescent="0.2">
      <c r="A125" s="5"/>
      <c r="B125" s="229"/>
      <c r="C125" s="188"/>
      <c r="D125" s="101"/>
      <c r="E125" s="511">
        <v>0</v>
      </c>
      <c r="F125" s="98">
        <v>0</v>
      </c>
      <c r="G125" s="114">
        <f t="shared" si="6"/>
        <v>0</v>
      </c>
    </row>
    <row r="126" spans="1:7" x14ac:dyDescent="0.2">
      <c r="A126" s="5"/>
      <c r="B126" s="229"/>
      <c r="C126" s="188"/>
      <c r="D126" s="101"/>
      <c r="E126" s="511">
        <v>0</v>
      </c>
      <c r="F126" s="98">
        <v>0</v>
      </c>
      <c r="G126" s="114">
        <f t="shared" si="6"/>
        <v>0</v>
      </c>
    </row>
    <row r="127" spans="1:7" x14ac:dyDescent="0.2">
      <c r="A127" s="5"/>
      <c r="B127" s="229"/>
      <c r="C127" s="188"/>
      <c r="D127" s="101"/>
      <c r="E127" s="511">
        <v>0</v>
      </c>
      <c r="F127" s="98">
        <v>0</v>
      </c>
      <c r="G127" s="114">
        <f t="shared" si="6"/>
        <v>0</v>
      </c>
    </row>
    <row r="128" spans="1:7" ht="13.5" thickBot="1" x14ac:dyDescent="0.25">
      <c r="A128" s="5"/>
      <c r="B128" s="229"/>
      <c r="C128" s="190"/>
      <c r="D128" s="549"/>
      <c r="E128" s="515">
        <v>0</v>
      </c>
      <c r="F128" s="99">
        <v>0</v>
      </c>
      <c r="G128" s="115">
        <f t="shared" si="6"/>
        <v>0</v>
      </c>
    </row>
    <row r="129" spans="1:8" ht="13.5" thickBot="1" x14ac:dyDescent="0.25">
      <c r="A129" s="5"/>
      <c r="B129" s="310">
        <v>5110950000</v>
      </c>
      <c r="C129" s="1159" t="s">
        <v>627</v>
      </c>
      <c r="D129" s="1160"/>
      <c r="E129" s="512">
        <f>SUM(E120:E128)</f>
        <v>0</v>
      </c>
      <c r="F129" s="311"/>
      <c r="G129" s="738">
        <f>SUM(G120:G128)</f>
        <v>0</v>
      </c>
    </row>
    <row r="130" spans="1:8" ht="12.75" customHeight="1" thickBot="1" x14ac:dyDescent="0.25">
      <c r="A130" s="5"/>
      <c r="B130" s="5"/>
    </row>
    <row r="131" spans="1:8" ht="14.25" thickBot="1" x14ac:dyDescent="0.25">
      <c r="A131" s="5"/>
      <c r="B131" s="5"/>
      <c r="D131" s="1161" t="s">
        <v>231</v>
      </c>
      <c r="E131" s="1161"/>
      <c r="F131" s="117"/>
      <c r="G131" s="118">
        <f>+G118+G129</f>
        <v>0</v>
      </c>
      <c r="H131" s="119"/>
    </row>
    <row r="132" spans="1:8" x14ac:dyDescent="0.2">
      <c r="A132" s="5"/>
      <c r="B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121"/>
      <c r="F184" s="122"/>
      <c r="G184" s="121"/>
      <c r="H184" s="5"/>
    </row>
    <row r="185" spans="1:8" x14ac:dyDescent="0.2">
      <c r="A185" s="5"/>
      <c r="B185" s="5"/>
      <c r="C185" s="5"/>
      <c r="D185" s="5"/>
      <c r="E185" s="121"/>
      <c r="F185" s="122"/>
      <c r="G185" s="121"/>
      <c r="H185" s="5"/>
    </row>
    <row r="186" spans="1:8" x14ac:dyDescent="0.2">
      <c r="A186" s="5"/>
      <c r="B186" s="5"/>
      <c r="C186" s="5"/>
      <c r="D186" s="5"/>
      <c r="E186" s="123"/>
      <c r="F186" s="124"/>
      <c r="G186" s="123"/>
      <c r="H186" s="5"/>
    </row>
    <row r="187" spans="1:8" x14ac:dyDescent="0.2">
      <c r="A187" s="5"/>
      <c r="B187" s="5"/>
      <c r="C187" s="5"/>
      <c r="D187" s="5"/>
      <c r="E187" s="123"/>
      <c r="F187" s="124"/>
      <c r="G187" s="123"/>
      <c r="H187" s="5"/>
    </row>
    <row r="188" spans="1:8" x14ac:dyDescent="0.2">
      <c r="A188" s="5"/>
      <c r="B188" s="5"/>
      <c r="C188" s="5"/>
      <c r="D188" s="5"/>
      <c r="E188" s="123"/>
      <c r="F188" s="124"/>
      <c r="G188" s="123"/>
      <c r="H188" s="5"/>
    </row>
    <row r="189" spans="1:8" ht="15" x14ac:dyDescent="0.2">
      <c r="A189" s="5"/>
      <c r="B189" s="5"/>
      <c r="C189" s="5"/>
      <c r="D189" s="5"/>
      <c r="E189" s="123" t="s">
        <v>228</v>
      </c>
      <c r="F189" s="124"/>
      <c r="G189" s="125" t="e">
        <v>#REF!</v>
      </c>
      <c r="H189" s="5"/>
    </row>
    <row r="190" spans="1:8" x14ac:dyDescent="0.2">
      <c r="A190" s="5"/>
      <c r="B190" s="5"/>
      <c r="C190" s="5"/>
      <c r="D190" s="5"/>
      <c r="E190" s="123"/>
      <c r="F190" s="124"/>
      <c r="G190" s="123"/>
      <c r="H190" s="5"/>
    </row>
    <row r="191" spans="1:8" ht="15" x14ac:dyDescent="0.2">
      <c r="A191" s="5"/>
      <c r="B191" s="5"/>
      <c r="C191" s="5"/>
      <c r="D191" s="5"/>
      <c r="E191" s="514" t="s">
        <v>232</v>
      </c>
      <c r="F191" s="126"/>
      <c r="G191" s="125" t="e">
        <v>#REF!</v>
      </c>
      <c r="H191" s="5"/>
    </row>
    <row r="192" spans="1:8" x14ac:dyDescent="0.2">
      <c r="A192" s="5"/>
      <c r="B192" s="5"/>
      <c r="C192" s="5"/>
      <c r="D192" s="5"/>
      <c r="E192" s="123"/>
      <c r="F192" s="124"/>
      <c r="G192" s="123"/>
      <c r="H192" s="5"/>
    </row>
  </sheetData>
  <protectedRanges>
    <protectedRange sqref="C66:F102 C27:F64 C109:F118 C120:F129 G118 G129" name="Rango4_1"/>
    <protectedRange sqref="C66:F102 C27:F64 C118:G118 C129:G129" name="Rango8_1"/>
    <protectedRange sqref="C120:F128 C109:F117" name="Rango9_1"/>
    <protectedRange sqref="C66:F102 C27:F64 C109:F118 C120:F129 G118 G129" name="Rango4_2"/>
    <protectedRange sqref="C66:F102 C27:F64 C118:G118 C129:G129" name="Rango8_2"/>
    <protectedRange sqref="C120:F128 C109:F117" name="Rango9_2"/>
  </protectedRanges>
  <mergeCells count="21">
    <mergeCell ref="D131:E131"/>
    <mergeCell ref="C19:G19"/>
    <mergeCell ref="C20:G20"/>
    <mergeCell ref="B24:G24"/>
    <mergeCell ref="C23:G23"/>
    <mergeCell ref="C21:G21"/>
    <mergeCell ref="C22:G22"/>
    <mergeCell ref="C102:D102"/>
    <mergeCell ref="C129:D129"/>
    <mergeCell ref="I30:L52"/>
    <mergeCell ref="B119:G119"/>
    <mergeCell ref="I109:L109"/>
    <mergeCell ref="I25:L25"/>
    <mergeCell ref="B26:G26"/>
    <mergeCell ref="B65:G65"/>
    <mergeCell ref="I26:L26"/>
    <mergeCell ref="C64:D64"/>
    <mergeCell ref="D104:E104"/>
    <mergeCell ref="B106:G106"/>
    <mergeCell ref="B108:G108"/>
    <mergeCell ref="C118:D118"/>
  </mergeCells>
  <phoneticPr fontId="27" type="noConversion"/>
  <dataValidations disablePrompts="1" count="1">
    <dataValidation type="list" allowBlank="1" showInputMessage="1" showErrorMessage="1" sqref="I2:I17">
      <formula1>$CD$2:$CD$18</formula1>
    </dataValidation>
  </dataValidations>
  <pageMargins left="0.23" right="0.16" top="0.17" bottom="0.16" header="0" footer="0"/>
  <pageSetup paperSize="9" scale="6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BASE!$F$3:$F$4</xm:f>
          </x14:formula1>
          <xm:sqref>B109:B118 B27:B64 B66:B102 B120:B129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FF00"/>
  </sheetPr>
  <dimension ref="A1:CJ421"/>
  <sheetViews>
    <sheetView showGridLines="0" zoomScale="80" zoomScaleNormal="80" workbookViewId="0">
      <selection activeCell="G71" sqref="G71"/>
    </sheetView>
  </sheetViews>
  <sheetFormatPr baseColWidth="10" defaultRowHeight="12.75" outlineLevelRow="1" x14ac:dyDescent="0.2"/>
  <cols>
    <col min="1" max="1" width="40.5703125" style="604" customWidth="1"/>
    <col min="2" max="2" width="19.85546875" style="604" customWidth="1"/>
    <col min="3" max="3" width="28.28515625" style="604" customWidth="1"/>
    <col min="4" max="4" width="27.85546875" style="604" customWidth="1"/>
    <col min="5" max="5" width="20.42578125" style="604" customWidth="1"/>
    <col min="6" max="6" width="16.28515625" style="615" customWidth="1"/>
    <col min="7" max="7" width="14.5703125" style="604" customWidth="1"/>
    <col min="8" max="8" width="8.140625" style="105" customWidth="1"/>
    <col min="9" max="9" width="14.140625" style="103" customWidth="1"/>
    <col min="10" max="10" width="10.42578125" style="103" customWidth="1"/>
    <col min="11" max="11" width="12.5703125" style="103" customWidth="1"/>
    <col min="12" max="12" width="19.7109375" style="103" customWidth="1"/>
    <col min="13" max="13" width="13.140625" style="151" customWidth="1"/>
    <col min="14" max="14" width="14" style="151" customWidth="1"/>
    <col min="15" max="15" width="15.42578125" style="151" customWidth="1"/>
    <col min="16" max="16" width="11.42578125" style="151"/>
    <col min="17" max="17" width="30.5703125" style="151" customWidth="1"/>
    <col min="18" max="18" width="10.85546875" style="151" customWidth="1"/>
    <col min="19" max="19" width="24.85546875" style="151" customWidth="1"/>
    <col min="20" max="20" width="26.85546875" style="151" customWidth="1"/>
    <col min="21" max="22" width="13" style="151" customWidth="1"/>
    <col min="23" max="23" width="16" style="151" customWidth="1"/>
    <col min="24" max="24" width="11.42578125" style="151"/>
    <col min="25" max="25" width="30.5703125" style="151" customWidth="1"/>
    <col min="26" max="26" width="10.85546875" style="151" customWidth="1"/>
    <col min="27" max="27" width="24.85546875" style="151" customWidth="1"/>
    <col min="28" max="28" width="26.85546875" style="151" customWidth="1"/>
    <col min="29" max="30" width="13" style="151" customWidth="1"/>
    <col min="31" max="31" width="16" style="151" customWidth="1"/>
    <col min="32" max="32" width="11.42578125" style="151"/>
    <col min="33" max="33" width="30.5703125" style="151" customWidth="1"/>
    <col min="34" max="34" width="10.85546875" style="151" customWidth="1"/>
    <col min="35" max="35" width="24.85546875" style="151" customWidth="1"/>
    <col min="36" max="36" width="26.85546875" style="151" customWidth="1"/>
    <col min="37" max="38" width="13" style="151" customWidth="1"/>
    <col min="39" max="39" width="16" style="151" customWidth="1"/>
    <col min="40" max="40" width="11.42578125" style="151"/>
    <col min="41" max="41" width="30.5703125" style="151" customWidth="1"/>
    <col min="42" max="42" width="10.85546875" style="151" customWidth="1"/>
    <col min="43" max="43" width="24.85546875" style="151" customWidth="1"/>
    <col min="44" max="44" width="26.85546875" style="151" customWidth="1"/>
    <col min="45" max="46" width="13" style="151" customWidth="1"/>
    <col min="47" max="47" width="16" style="151" customWidth="1"/>
    <col min="48" max="16384" width="11.42578125" style="151"/>
  </cols>
  <sheetData>
    <row r="1" spans="1:88" s="132" customFormat="1" outlineLevel="1" x14ac:dyDescent="0.2">
      <c r="A1" s="76"/>
      <c r="B1" s="76"/>
      <c r="C1" s="76"/>
      <c r="D1" s="76"/>
      <c r="E1" s="77"/>
      <c r="F1" s="78"/>
      <c r="G1" s="79"/>
      <c r="H1" s="76"/>
      <c r="I1" s="76"/>
      <c r="J1" s="76"/>
      <c r="K1" s="76"/>
      <c r="L1" s="76"/>
      <c r="O1" s="131"/>
      <c r="P1" s="131"/>
      <c r="Q1" s="131"/>
      <c r="R1" s="131"/>
      <c r="T1" s="133"/>
      <c r="U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4"/>
    </row>
    <row r="2" spans="1:88" s="141" customFormat="1" outlineLevel="1" x14ac:dyDescent="0.2">
      <c r="A2" s="82"/>
      <c r="B2" s="82"/>
      <c r="C2" s="83"/>
      <c r="D2" s="82"/>
      <c r="E2" s="84"/>
      <c r="F2" s="85"/>
      <c r="G2" s="86"/>
      <c r="H2" s="82"/>
      <c r="I2" s="82"/>
      <c r="J2" s="82"/>
      <c r="K2" s="87"/>
      <c r="L2" s="87"/>
      <c r="M2" s="153"/>
      <c r="N2" s="137"/>
      <c r="O2" s="139"/>
      <c r="P2" s="139"/>
      <c r="Q2" s="139"/>
      <c r="R2" s="135"/>
      <c r="S2" s="136"/>
      <c r="T2" s="136"/>
      <c r="U2" s="137"/>
      <c r="V2" s="138"/>
      <c r="W2" s="137"/>
      <c r="X2" s="137"/>
      <c r="Y2" s="137"/>
      <c r="Z2" s="137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40"/>
      <c r="CC2" s="142"/>
      <c r="CD2" s="142"/>
      <c r="CE2" s="142"/>
      <c r="CF2" s="142"/>
      <c r="CG2" s="142"/>
      <c r="CH2" s="142"/>
      <c r="CI2" s="142"/>
      <c r="CJ2" s="142"/>
    </row>
    <row r="3" spans="1:88" s="141" customFormat="1" outlineLevel="1" x14ac:dyDescent="0.2">
      <c r="A3" s="82"/>
      <c r="B3" s="82"/>
      <c r="C3" s="83"/>
      <c r="D3" s="82"/>
      <c r="E3" s="84"/>
      <c r="F3" s="85"/>
      <c r="G3" s="86"/>
      <c r="H3" s="82"/>
      <c r="I3" s="82"/>
      <c r="J3" s="82"/>
      <c r="K3" s="87"/>
      <c r="L3" s="87"/>
      <c r="M3" s="153"/>
      <c r="N3" s="137"/>
      <c r="O3" s="139"/>
      <c r="P3" s="139"/>
      <c r="Q3" s="139"/>
      <c r="R3" s="135"/>
      <c r="S3" s="136"/>
      <c r="T3" s="136"/>
      <c r="U3" s="137"/>
      <c r="V3" s="138"/>
      <c r="W3" s="137"/>
      <c r="X3" s="137"/>
      <c r="Y3" s="137"/>
      <c r="Z3" s="137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40"/>
      <c r="CC3" s="142"/>
      <c r="CD3" s="142"/>
      <c r="CE3" s="142"/>
      <c r="CF3" s="142"/>
      <c r="CG3" s="142"/>
      <c r="CH3" s="142"/>
      <c r="CI3" s="142"/>
      <c r="CJ3" s="142"/>
    </row>
    <row r="4" spans="1:88" s="141" customFormat="1" outlineLevel="1" x14ac:dyDescent="0.2">
      <c r="A4" s="82"/>
      <c r="B4" s="82"/>
      <c r="C4" s="83"/>
      <c r="D4" s="82"/>
      <c r="E4" s="84"/>
      <c r="F4" s="85"/>
      <c r="G4" s="82"/>
      <c r="H4" s="82"/>
      <c r="I4" s="82"/>
      <c r="J4" s="82"/>
      <c r="K4" s="87"/>
      <c r="L4" s="87"/>
      <c r="M4" s="153"/>
      <c r="N4" s="137"/>
      <c r="O4" s="139"/>
      <c r="P4" s="139"/>
      <c r="Q4" s="139"/>
      <c r="R4" s="135"/>
      <c r="S4" s="136"/>
      <c r="T4" s="136"/>
      <c r="U4" s="137"/>
      <c r="V4" s="138"/>
      <c r="W4" s="137"/>
      <c r="X4" s="137"/>
      <c r="Y4" s="137"/>
      <c r="Z4" s="137"/>
      <c r="AA4" s="139"/>
      <c r="AB4" s="139"/>
      <c r="AC4" s="139"/>
      <c r="AD4" s="139"/>
      <c r="AE4" s="139"/>
      <c r="AF4" s="139"/>
      <c r="AG4" s="139"/>
      <c r="AH4" s="139"/>
      <c r="AI4" s="139"/>
      <c r="AJ4" s="139"/>
      <c r="AK4" s="139"/>
      <c r="AL4" s="140"/>
      <c r="CC4" s="142"/>
      <c r="CD4" s="142"/>
      <c r="CE4" s="142"/>
      <c r="CF4" s="142"/>
      <c r="CG4" s="142"/>
      <c r="CH4" s="142"/>
      <c r="CI4" s="142"/>
      <c r="CJ4" s="142"/>
    </row>
    <row r="5" spans="1:88" s="141" customFormat="1" outlineLevel="1" x14ac:dyDescent="0.2">
      <c r="A5" s="82"/>
      <c r="B5" s="82"/>
      <c r="C5" s="83"/>
      <c r="D5" s="82"/>
      <c r="E5" s="84"/>
      <c r="F5" s="85"/>
      <c r="G5" s="82"/>
      <c r="H5" s="82"/>
      <c r="I5" s="82"/>
      <c r="J5" s="82"/>
      <c r="K5" s="87"/>
      <c r="L5" s="87"/>
      <c r="M5" s="153"/>
      <c r="N5" s="137"/>
      <c r="O5" s="139"/>
      <c r="P5" s="139"/>
      <c r="Q5" s="139"/>
      <c r="R5" s="135"/>
      <c r="S5" s="136"/>
      <c r="T5" s="136"/>
      <c r="U5" s="137"/>
      <c r="V5" s="138"/>
      <c r="W5" s="137"/>
      <c r="X5" s="137"/>
      <c r="Y5" s="137"/>
      <c r="Z5" s="137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40"/>
      <c r="CC5" s="142"/>
      <c r="CD5" s="142"/>
      <c r="CE5" s="142"/>
      <c r="CF5" s="142"/>
      <c r="CG5" s="142"/>
      <c r="CH5" s="142"/>
      <c r="CI5" s="142"/>
      <c r="CJ5" s="142"/>
    </row>
    <row r="6" spans="1:88" s="141" customFormat="1" outlineLevel="1" x14ac:dyDescent="0.2">
      <c r="A6" s="82"/>
      <c r="B6" s="82"/>
      <c r="C6" s="83"/>
      <c r="D6" s="82"/>
      <c r="E6" s="84"/>
      <c r="F6" s="85"/>
      <c r="G6" s="82"/>
      <c r="H6" s="82"/>
      <c r="I6" s="82"/>
      <c r="J6" s="82"/>
      <c r="K6" s="87"/>
      <c r="L6" s="87"/>
      <c r="M6" s="153"/>
      <c r="N6" s="137"/>
      <c r="P6" s="139"/>
      <c r="Q6" s="139"/>
      <c r="R6" s="135"/>
      <c r="S6" s="136"/>
      <c r="T6" s="136"/>
      <c r="U6" s="137"/>
      <c r="V6" s="138"/>
      <c r="W6" s="137"/>
      <c r="X6" s="137"/>
      <c r="Y6" s="137"/>
      <c r="Z6" s="137"/>
      <c r="AA6" s="139"/>
      <c r="AB6" s="139"/>
      <c r="AC6" s="139"/>
      <c r="AD6" s="139"/>
      <c r="AE6" s="139"/>
      <c r="AF6" s="139"/>
      <c r="AG6" s="139"/>
      <c r="AH6" s="139"/>
      <c r="AI6" s="139"/>
      <c r="AJ6" s="139"/>
      <c r="AK6" s="139"/>
      <c r="AL6" s="140"/>
      <c r="CC6" s="142"/>
      <c r="CD6" s="142"/>
      <c r="CE6" s="142"/>
      <c r="CF6" s="142"/>
      <c r="CG6" s="142"/>
      <c r="CH6" s="142"/>
      <c r="CI6" s="142"/>
      <c r="CJ6" s="142"/>
    </row>
    <row r="7" spans="1:88" s="141" customFormat="1" outlineLevel="1" x14ac:dyDescent="0.2">
      <c r="A7" s="82"/>
      <c r="B7" s="82"/>
      <c r="C7" s="83"/>
      <c r="D7" s="82"/>
      <c r="E7" s="84"/>
      <c r="F7" s="85"/>
      <c r="G7" s="82"/>
      <c r="H7" s="82"/>
      <c r="I7" s="82"/>
      <c r="J7" s="82"/>
      <c r="K7" s="87"/>
      <c r="L7" s="87"/>
      <c r="M7" s="153"/>
      <c r="N7" s="137"/>
      <c r="O7" s="139"/>
      <c r="P7" s="139"/>
      <c r="Q7" s="139"/>
      <c r="R7" s="135"/>
      <c r="S7" s="136"/>
      <c r="T7" s="136"/>
      <c r="U7" s="137"/>
      <c r="V7" s="138"/>
      <c r="W7" s="137"/>
      <c r="X7" s="137"/>
      <c r="Y7" s="137"/>
      <c r="Z7" s="137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40"/>
      <c r="CC7" s="142"/>
      <c r="CD7" s="142"/>
      <c r="CE7" s="142"/>
      <c r="CF7" s="142"/>
      <c r="CG7" s="142"/>
      <c r="CH7" s="142"/>
      <c r="CI7" s="142"/>
      <c r="CJ7" s="142"/>
    </row>
    <row r="8" spans="1:88" s="141" customFormat="1" outlineLevel="1" x14ac:dyDescent="0.2">
      <c r="A8" s="82"/>
      <c r="B8" s="82"/>
      <c r="C8" s="83"/>
      <c r="D8" s="82"/>
      <c r="E8" s="84"/>
      <c r="F8" s="85"/>
      <c r="G8" s="82"/>
      <c r="H8" s="82"/>
      <c r="I8" s="82"/>
      <c r="J8" s="82"/>
      <c r="K8" s="87"/>
      <c r="L8" s="87"/>
      <c r="M8" s="153"/>
      <c r="N8" s="137"/>
      <c r="O8" s="139"/>
      <c r="P8" s="139"/>
      <c r="Q8" s="139"/>
      <c r="R8" s="135"/>
      <c r="S8" s="136"/>
      <c r="T8" s="136"/>
      <c r="U8" s="137"/>
      <c r="V8" s="138"/>
      <c r="W8" s="137"/>
      <c r="X8" s="137"/>
      <c r="Y8" s="137"/>
      <c r="Z8" s="137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40"/>
      <c r="CC8" s="142"/>
      <c r="CD8" s="142"/>
      <c r="CE8" s="142"/>
      <c r="CF8" s="142"/>
      <c r="CG8" s="142"/>
      <c r="CH8" s="142"/>
      <c r="CI8" s="142"/>
      <c r="CJ8" s="142"/>
    </row>
    <row r="9" spans="1:88" s="141" customFormat="1" outlineLevel="1" x14ac:dyDescent="0.2">
      <c r="A9" s="82"/>
      <c r="B9" s="82"/>
      <c r="C9" s="83"/>
      <c r="D9" s="82"/>
      <c r="E9" s="84"/>
      <c r="F9" s="85"/>
      <c r="G9" s="82"/>
      <c r="H9" s="82"/>
      <c r="I9" s="82"/>
      <c r="J9" s="82"/>
      <c r="K9" s="87"/>
      <c r="L9" s="87"/>
      <c r="M9" s="153"/>
      <c r="N9" s="137"/>
      <c r="O9" s="139"/>
      <c r="P9" s="139"/>
      <c r="Q9" s="139"/>
      <c r="R9" s="135"/>
      <c r="S9" s="136"/>
      <c r="T9" s="136"/>
      <c r="U9" s="137"/>
      <c r="V9" s="138"/>
      <c r="W9" s="137"/>
      <c r="X9" s="137"/>
      <c r="Y9" s="137"/>
      <c r="Z9" s="137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40"/>
      <c r="CC9" s="142"/>
      <c r="CD9" s="142"/>
      <c r="CE9" s="142"/>
      <c r="CF9" s="142"/>
      <c r="CG9" s="142"/>
      <c r="CH9" s="142"/>
      <c r="CI9" s="142"/>
      <c r="CJ9" s="142"/>
    </row>
    <row r="10" spans="1:88" s="141" customFormat="1" outlineLevel="1" x14ac:dyDescent="0.2">
      <c r="A10" s="82"/>
      <c r="B10" s="82"/>
      <c r="C10" s="83"/>
      <c r="D10" s="82"/>
      <c r="E10" s="84"/>
      <c r="F10" s="85"/>
      <c r="G10" s="82"/>
      <c r="H10" s="82"/>
      <c r="I10" s="82"/>
      <c r="J10" s="82"/>
      <c r="K10" s="87"/>
      <c r="L10" s="87"/>
      <c r="M10" s="153"/>
      <c r="N10" s="137"/>
      <c r="O10" s="139"/>
      <c r="P10" s="139"/>
      <c r="Q10" s="139"/>
      <c r="R10" s="135"/>
      <c r="S10" s="136"/>
      <c r="T10" s="136"/>
      <c r="U10" s="137"/>
      <c r="V10" s="138"/>
      <c r="W10" s="137"/>
      <c r="X10" s="137"/>
      <c r="Y10" s="137"/>
      <c r="Z10" s="137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40"/>
      <c r="CC10" s="142"/>
      <c r="CD10" s="142"/>
      <c r="CE10" s="142"/>
      <c r="CF10" s="142"/>
      <c r="CG10" s="142"/>
      <c r="CH10" s="142"/>
      <c r="CI10" s="142"/>
      <c r="CJ10" s="142"/>
    </row>
    <row r="11" spans="1:88" s="141" customFormat="1" outlineLevel="1" x14ac:dyDescent="0.2">
      <c r="A11" s="82"/>
      <c r="B11" s="82"/>
      <c r="C11" s="83"/>
      <c r="D11" s="82"/>
      <c r="E11" s="84"/>
      <c r="F11" s="85"/>
      <c r="G11" s="82"/>
      <c r="H11" s="82"/>
      <c r="I11" s="82"/>
      <c r="J11" s="82"/>
      <c r="K11" s="87"/>
      <c r="L11" s="87"/>
      <c r="M11" s="153"/>
      <c r="N11" s="137"/>
      <c r="O11" s="139"/>
      <c r="P11" s="139"/>
      <c r="Q11" s="139"/>
      <c r="R11" s="135"/>
      <c r="S11" s="136"/>
      <c r="T11" s="136"/>
      <c r="U11" s="137"/>
      <c r="V11" s="138"/>
      <c r="W11" s="137"/>
      <c r="X11" s="137"/>
      <c r="Y11" s="137"/>
      <c r="Z11" s="137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40"/>
      <c r="CC11" s="142"/>
      <c r="CD11" s="142"/>
      <c r="CE11" s="142"/>
      <c r="CF11" s="142"/>
      <c r="CG11" s="142"/>
      <c r="CH11" s="142"/>
      <c r="CI11" s="142"/>
      <c r="CJ11" s="142"/>
    </row>
    <row r="12" spans="1:88" s="141" customFormat="1" outlineLevel="1" x14ac:dyDescent="0.2">
      <c r="A12" s="82"/>
      <c r="B12" s="82"/>
      <c r="C12" s="83"/>
      <c r="D12" s="82"/>
      <c r="E12" s="84"/>
      <c r="F12" s="85"/>
      <c r="G12" s="82"/>
      <c r="H12" s="82"/>
      <c r="I12" s="82"/>
      <c r="J12" s="82"/>
      <c r="K12" s="87"/>
      <c r="L12" s="87"/>
      <c r="M12" s="153"/>
      <c r="N12" s="137"/>
      <c r="O12" s="139"/>
      <c r="P12" s="139"/>
      <c r="Q12" s="139"/>
      <c r="R12" s="135"/>
      <c r="S12" s="136"/>
      <c r="T12" s="136"/>
      <c r="U12" s="137"/>
      <c r="V12" s="138"/>
      <c r="W12" s="137"/>
      <c r="X12" s="137"/>
      <c r="Y12" s="137"/>
      <c r="Z12" s="137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40"/>
      <c r="CC12" s="142"/>
      <c r="CD12" s="142"/>
      <c r="CE12" s="142"/>
      <c r="CF12" s="142"/>
      <c r="CG12" s="142"/>
      <c r="CH12" s="142"/>
      <c r="CI12" s="142"/>
      <c r="CJ12" s="142"/>
    </row>
    <row r="13" spans="1:88" s="141" customFormat="1" outlineLevel="1" x14ac:dyDescent="0.2">
      <c r="A13" s="82"/>
      <c r="B13" s="82"/>
      <c r="C13" s="83"/>
      <c r="D13" s="82"/>
      <c r="E13" s="84"/>
      <c r="F13" s="85"/>
      <c r="G13" s="82"/>
      <c r="H13" s="82"/>
      <c r="I13" s="82"/>
      <c r="J13" s="82"/>
      <c r="K13" s="87"/>
      <c r="L13" s="87"/>
      <c r="M13" s="153"/>
      <c r="N13" s="137"/>
      <c r="O13" s="139"/>
      <c r="P13" s="139"/>
      <c r="Q13" s="139"/>
      <c r="R13" s="135"/>
      <c r="S13" s="136"/>
      <c r="T13" s="136"/>
      <c r="U13" s="137"/>
      <c r="V13" s="138"/>
      <c r="W13" s="137"/>
      <c r="X13" s="137"/>
      <c r="Y13" s="137"/>
      <c r="Z13" s="137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40"/>
      <c r="CC13" s="142"/>
      <c r="CD13" s="142"/>
      <c r="CE13" s="142"/>
      <c r="CF13" s="142"/>
      <c r="CG13" s="142"/>
      <c r="CH13" s="142"/>
      <c r="CI13" s="142"/>
      <c r="CJ13" s="142"/>
    </row>
    <row r="14" spans="1:88" s="141" customFormat="1" outlineLevel="1" x14ac:dyDescent="0.2">
      <c r="A14" s="82"/>
      <c r="B14" s="82"/>
      <c r="C14" s="83"/>
      <c r="D14" s="82"/>
      <c r="E14" s="84"/>
      <c r="F14" s="85"/>
      <c r="G14" s="82"/>
      <c r="H14" s="82"/>
      <c r="I14" s="82"/>
      <c r="J14" s="82"/>
      <c r="K14" s="87"/>
      <c r="L14" s="87"/>
      <c r="M14" s="153"/>
      <c r="N14" s="137"/>
      <c r="O14" s="139"/>
      <c r="P14" s="139"/>
      <c r="Q14" s="139"/>
      <c r="R14" s="135"/>
      <c r="S14" s="136"/>
      <c r="T14" s="136"/>
      <c r="U14" s="137"/>
      <c r="V14" s="138"/>
      <c r="W14" s="137"/>
      <c r="X14" s="137"/>
      <c r="Y14" s="137"/>
      <c r="Z14" s="137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40"/>
      <c r="CC14" s="142"/>
      <c r="CD14" s="142"/>
      <c r="CE14" s="142"/>
      <c r="CF14" s="142"/>
      <c r="CG14" s="142"/>
      <c r="CH14" s="142"/>
      <c r="CI14" s="142"/>
      <c r="CJ14" s="142"/>
    </row>
    <row r="15" spans="1:88" s="141" customFormat="1" outlineLevel="1" x14ac:dyDescent="0.2">
      <c r="A15" s="82"/>
      <c r="B15" s="82"/>
      <c r="C15" s="83"/>
      <c r="D15" s="82"/>
      <c r="E15" s="84"/>
      <c r="F15" s="85"/>
      <c r="G15" s="82"/>
      <c r="H15" s="82"/>
      <c r="I15" s="82"/>
      <c r="J15" s="82"/>
      <c r="K15" s="87"/>
      <c r="L15" s="87"/>
      <c r="M15" s="153"/>
      <c r="N15" s="137"/>
      <c r="O15" s="139"/>
      <c r="P15" s="139"/>
      <c r="Q15" s="139"/>
      <c r="R15" s="135"/>
      <c r="S15" s="136"/>
      <c r="T15" s="136"/>
      <c r="U15" s="137"/>
      <c r="V15" s="138"/>
      <c r="W15" s="137"/>
      <c r="X15" s="137"/>
      <c r="Y15" s="137"/>
      <c r="Z15" s="137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40"/>
      <c r="CC15" s="142"/>
      <c r="CD15" s="142"/>
      <c r="CE15" s="142"/>
      <c r="CF15" s="142"/>
      <c r="CG15" s="142"/>
      <c r="CH15" s="142"/>
      <c r="CI15" s="142"/>
      <c r="CJ15" s="142"/>
    </row>
    <row r="16" spans="1:88" s="141" customFormat="1" outlineLevel="1" x14ac:dyDescent="0.2">
      <c r="A16" s="89"/>
      <c r="B16" s="82"/>
      <c r="C16" s="83"/>
      <c r="D16" s="82"/>
      <c r="E16" s="90"/>
      <c r="F16" s="85"/>
      <c r="G16" s="82"/>
      <c r="H16" s="82"/>
      <c r="I16" s="82"/>
      <c r="J16" s="82"/>
      <c r="K16" s="87"/>
      <c r="L16" s="87"/>
      <c r="M16" s="153"/>
      <c r="N16" s="137"/>
      <c r="O16" s="139"/>
      <c r="P16" s="139"/>
      <c r="Q16" s="139"/>
      <c r="R16" s="135"/>
      <c r="S16" s="136"/>
      <c r="T16" s="136"/>
      <c r="U16" s="137"/>
      <c r="V16" s="138"/>
      <c r="W16" s="137"/>
      <c r="X16" s="137"/>
      <c r="Y16" s="137"/>
      <c r="Z16" s="137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40"/>
      <c r="CC16" s="142"/>
      <c r="CD16" s="142"/>
      <c r="CE16" s="142"/>
      <c r="CF16" s="142"/>
      <c r="CG16" s="142"/>
      <c r="CH16" s="142"/>
      <c r="CI16" s="142"/>
      <c r="CJ16" s="142"/>
    </row>
    <row r="17" spans="1:88" s="149" customFormat="1" ht="41.25" customHeight="1" outlineLevel="1" thickBot="1" x14ac:dyDescent="0.25">
      <c r="A17" s="92"/>
      <c r="B17" s="92"/>
      <c r="C17" s="93"/>
      <c r="D17" s="92"/>
      <c r="E17" s="94"/>
      <c r="F17" s="95"/>
      <c r="G17" s="92"/>
      <c r="H17" s="92"/>
      <c r="I17" s="92"/>
      <c r="J17" s="92"/>
      <c r="K17" s="96"/>
      <c r="L17" s="96"/>
      <c r="M17" s="154"/>
      <c r="N17" s="145"/>
      <c r="O17" s="147"/>
      <c r="P17" s="147"/>
      <c r="Q17" s="147"/>
      <c r="R17" s="143"/>
      <c r="S17" s="144"/>
      <c r="T17" s="144"/>
      <c r="U17" s="145"/>
      <c r="V17" s="146"/>
      <c r="W17" s="145"/>
      <c r="X17" s="145"/>
      <c r="Y17" s="145"/>
      <c r="Z17" s="145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8"/>
      <c r="CC17" s="150"/>
      <c r="CD17" s="150"/>
      <c r="CE17" s="150"/>
      <c r="CF17" s="150"/>
      <c r="CG17" s="150"/>
      <c r="CH17" s="150"/>
      <c r="CI17" s="150"/>
      <c r="CJ17" s="150"/>
    </row>
    <row r="18" spans="1:88" x14ac:dyDescent="0.2">
      <c r="A18" s="103"/>
      <c r="B18" s="103"/>
      <c r="C18" s="103"/>
      <c r="D18" s="103"/>
      <c r="E18" s="103"/>
      <c r="F18" s="116"/>
      <c r="G18" s="103"/>
    </row>
    <row r="19" spans="1:88" ht="14.25" x14ac:dyDescent="0.2">
      <c r="A19" s="1165" t="s">
        <v>221</v>
      </c>
      <c r="B19" s="1165"/>
      <c r="C19" s="1165"/>
      <c r="D19" s="1165"/>
      <c r="E19" s="1165"/>
      <c r="F19" s="235"/>
      <c r="G19" s="235"/>
      <c r="H19" s="235"/>
      <c r="I19" s="168"/>
      <c r="J19" s="168"/>
      <c r="K19" s="168"/>
      <c r="L19" s="168"/>
      <c r="M19" s="169"/>
      <c r="N19" s="169"/>
      <c r="O19" s="169"/>
    </row>
    <row r="20" spans="1:88" ht="14.25" x14ac:dyDescent="0.2">
      <c r="A20" s="103"/>
      <c r="B20" s="1165" t="s">
        <v>169</v>
      </c>
      <c r="C20" s="1165"/>
      <c r="D20" s="1165"/>
      <c r="E20" s="1165"/>
      <c r="F20" s="1165"/>
      <c r="G20" s="1165"/>
      <c r="H20" s="1165"/>
      <c r="I20" s="168"/>
      <c r="J20" s="168"/>
      <c r="K20" s="168"/>
      <c r="L20" s="168"/>
      <c r="M20" s="169"/>
      <c r="N20" s="169"/>
      <c r="O20" s="169"/>
    </row>
    <row r="21" spans="1:88" ht="15" x14ac:dyDescent="0.2">
      <c r="A21" s="1176" t="s">
        <v>438</v>
      </c>
      <c r="B21" s="1176"/>
      <c r="C21" s="1176"/>
      <c r="D21" s="1176"/>
      <c r="E21" s="1176"/>
      <c r="F21" s="103"/>
      <c r="G21" s="116"/>
      <c r="H21" s="103"/>
      <c r="I21" s="105"/>
      <c r="J21" s="105"/>
      <c r="K21" s="105"/>
      <c r="L21" s="105"/>
      <c r="M21" s="155"/>
      <c r="N21" s="155"/>
      <c r="O21" s="155"/>
    </row>
    <row r="22" spans="1:88" ht="14.25" x14ac:dyDescent="0.2">
      <c r="A22" s="103"/>
      <c r="B22" s="1165" t="s">
        <v>169</v>
      </c>
      <c r="C22" s="1165"/>
      <c r="D22" s="1165"/>
      <c r="E22" s="1165"/>
      <c r="F22" s="1165"/>
      <c r="G22" s="1165"/>
      <c r="H22" s="1165"/>
      <c r="I22" s="168"/>
      <c r="J22" s="168"/>
      <c r="K22" s="168"/>
      <c r="L22" s="168"/>
      <c r="M22" s="169"/>
      <c r="N22" s="169"/>
      <c r="O22" s="169"/>
      <c r="Q22" s="1168"/>
      <c r="R22" s="1168"/>
      <c r="S22" s="1168"/>
      <c r="T22" s="1168"/>
      <c r="U22" s="1168"/>
      <c r="V22" s="1168"/>
      <c r="W22" s="1168"/>
      <c r="X22" s="155"/>
      <c r="Y22" s="1168"/>
      <c r="Z22" s="1168"/>
      <c r="AA22" s="1168"/>
      <c r="AB22" s="1168"/>
      <c r="AC22" s="1168"/>
      <c r="AD22" s="1168"/>
      <c r="AE22" s="1168"/>
      <c r="AF22" s="155"/>
      <c r="AG22" s="1168"/>
      <c r="AH22" s="1168"/>
      <c r="AI22" s="1168"/>
      <c r="AJ22" s="1168"/>
      <c r="AK22" s="1168"/>
      <c r="AL22" s="1168"/>
      <c r="AM22" s="1168"/>
      <c r="AN22" s="155"/>
      <c r="AO22" s="1168"/>
      <c r="AP22" s="1168"/>
      <c r="AQ22" s="1168"/>
      <c r="AR22" s="1168"/>
      <c r="AS22" s="1168"/>
      <c r="AT22" s="1168"/>
      <c r="AU22" s="1168"/>
    </row>
    <row r="23" spans="1:88" ht="17.25" customHeight="1" x14ac:dyDescent="0.2">
      <c r="A23" s="1166" t="str">
        <f>+PRESUPUESTO!B2</f>
        <v>ADMINISTRACION DE EMPRESAS</v>
      </c>
      <c r="B23" s="1166"/>
      <c r="C23" s="1166"/>
      <c r="D23" s="1166"/>
      <c r="E23" s="233"/>
      <c r="F23" s="233"/>
      <c r="G23" s="233"/>
      <c r="H23" s="104"/>
      <c r="I23" s="168"/>
      <c r="J23" s="168"/>
      <c r="K23" s="168"/>
      <c r="L23" s="168"/>
      <c r="M23" s="169"/>
      <c r="N23" s="169"/>
      <c r="O23" s="169"/>
      <c r="Q23" s="234"/>
      <c r="R23" s="234"/>
      <c r="S23" s="234"/>
      <c r="T23" s="234"/>
      <c r="U23" s="234"/>
      <c r="V23" s="234"/>
      <c r="W23" s="234"/>
      <c r="X23" s="155"/>
      <c r="Y23" s="234"/>
      <c r="Z23" s="234"/>
      <c r="AA23" s="234"/>
      <c r="AB23" s="234"/>
      <c r="AC23" s="234"/>
      <c r="AD23" s="234"/>
      <c r="AE23" s="234"/>
      <c r="AF23" s="155"/>
      <c r="AG23" s="234"/>
      <c r="AH23" s="234"/>
      <c r="AI23" s="234"/>
      <c r="AJ23" s="234"/>
      <c r="AK23" s="234"/>
      <c r="AL23" s="234"/>
      <c r="AM23" s="234"/>
      <c r="AN23" s="155"/>
      <c r="AO23" s="234"/>
      <c r="AP23" s="234"/>
      <c r="AQ23" s="234"/>
      <c r="AR23" s="234"/>
      <c r="AS23" s="234"/>
      <c r="AT23" s="234"/>
      <c r="AU23" s="234"/>
    </row>
    <row r="24" spans="1:88" ht="23.25" customHeight="1" thickBot="1" x14ac:dyDescent="0.25">
      <c r="A24" s="1172" t="s">
        <v>809</v>
      </c>
      <c r="B24" s="1172"/>
      <c r="C24" s="1172"/>
      <c r="D24" s="1172"/>
      <c r="E24" s="233"/>
      <c r="F24" s="233"/>
      <c r="G24" s="233"/>
      <c r="H24" s="127"/>
      <c r="I24" s="168"/>
      <c r="J24" s="168"/>
      <c r="K24" s="168"/>
      <c r="L24" s="168"/>
      <c r="M24" s="169"/>
      <c r="N24" s="169"/>
      <c r="O24" s="169"/>
      <c r="Q24" s="234"/>
      <c r="R24" s="234"/>
      <c r="S24" s="234"/>
      <c r="T24" s="234"/>
      <c r="U24" s="234"/>
      <c r="V24" s="234"/>
      <c r="W24" s="234"/>
      <c r="X24" s="155"/>
      <c r="Y24" s="234"/>
      <c r="Z24" s="234"/>
      <c r="AA24" s="234"/>
      <c r="AB24" s="234"/>
      <c r="AC24" s="234"/>
      <c r="AD24" s="234"/>
      <c r="AE24" s="234"/>
      <c r="AF24" s="155"/>
      <c r="AG24" s="234"/>
      <c r="AH24" s="234"/>
      <c r="AI24" s="234"/>
      <c r="AJ24" s="234"/>
      <c r="AK24" s="234"/>
      <c r="AL24" s="234"/>
      <c r="AM24" s="234"/>
      <c r="AN24" s="155"/>
      <c r="AO24" s="234"/>
      <c r="AP24" s="234"/>
      <c r="AQ24" s="234"/>
      <c r="AR24" s="234"/>
      <c r="AS24" s="234"/>
      <c r="AT24" s="234"/>
      <c r="AU24" s="234"/>
    </row>
    <row r="25" spans="1:88" ht="30" customHeight="1" x14ac:dyDescent="0.2">
      <c r="A25" s="1173" t="s">
        <v>436</v>
      </c>
      <c r="B25" s="1174"/>
      <c r="C25" s="1175"/>
      <c r="D25" s="236" t="s">
        <v>437</v>
      </c>
      <c r="E25" s="233"/>
      <c r="F25" s="233"/>
      <c r="G25" s="233"/>
      <c r="H25" s="127"/>
      <c r="I25" s="168"/>
      <c r="J25" s="168"/>
      <c r="K25" s="168"/>
      <c r="L25" s="168"/>
      <c r="M25" s="169"/>
      <c r="N25" s="169"/>
      <c r="O25" s="169"/>
      <c r="Q25" s="234"/>
      <c r="R25" s="234"/>
      <c r="S25" s="234"/>
      <c r="T25" s="234"/>
      <c r="U25" s="234"/>
      <c r="V25" s="234"/>
      <c r="W25" s="234"/>
      <c r="X25" s="155"/>
      <c r="Y25" s="234"/>
      <c r="Z25" s="234"/>
      <c r="AA25" s="234"/>
      <c r="AB25" s="234"/>
      <c r="AC25" s="234"/>
      <c r="AD25" s="234"/>
      <c r="AE25" s="234"/>
      <c r="AF25" s="155"/>
      <c r="AG25" s="234"/>
      <c r="AH25" s="234"/>
      <c r="AI25" s="234"/>
      <c r="AJ25" s="234"/>
      <c r="AK25" s="234"/>
      <c r="AL25" s="234"/>
      <c r="AM25" s="234"/>
      <c r="AN25" s="155"/>
      <c r="AO25" s="234"/>
      <c r="AP25" s="234"/>
      <c r="AQ25" s="234"/>
      <c r="AR25" s="234"/>
      <c r="AS25" s="234"/>
      <c r="AT25" s="234"/>
      <c r="AU25" s="234"/>
    </row>
    <row r="26" spans="1:88" ht="14.25" x14ac:dyDescent="0.2">
      <c r="A26" s="1169"/>
      <c r="B26" s="1170"/>
      <c r="C26" s="1171"/>
      <c r="D26" s="322"/>
      <c r="E26" s="233"/>
      <c r="F26" s="233"/>
      <c r="G26" s="233"/>
      <c r="H26" s="127"/>
      <c r="I26" s="168"/>
      <c r="J26" s="168"/>
      <c r="K26" s="168"/>
      <c r="L26" s="168"/>
      <c r="M26" s="169"/>
      <c r="N26" s="169"/>
      <c r="O26" s="169"/>
      <c r="Q26" s="234"/>
      <c r="R26" s="234"/>
      <c r="S26" s="234"/>
      <c r="T26" s="234"/>
      <c r="U26" s="234"/>
      <c r="V26" s="234"/>
      <c r="W26" s="234"/>
      <c r="X26" s="155"/>
      <c r="Y26" s="234"/>
      <c r="Z26" s="234"/>
      <c r="AA26" s="234"/>
      <c r="AB26" s="234"/>
      <c r="AC26" s="234"/>
      <c r="AD26" s="234"/>
      <c r="AE26" s="234"/>
      <c r="AF26" s="155"/>
      <c r="AG26" s="234"/>
      <c r="AH26" s="234"/>
      <c r="AI26" s="234"/>
      <c r="AJ26" s="234"/>
      <c r="AK26" s="234"/>
      <c r="AL26" s="234"/>
      <c r="AM26" s="234"/>
      <c r="AN26" s="155"/>
      <c r="AO26" s="234"/>
      <c r="AP26" s="234"/>
      <c r="AQ26" s="234"/>
      <c r="AR26" s="234"/>
      <c r="AS26" s="234"/>
      <c r="AT26" s="234"/>
      <c r="AU26" s="234"/>
    </row>
    <row r="27" spans="1:88" ht="14.25" x14ac:dyDescent="0.2">
      <c r="A27" s="1169"/>
      <c r="B27" s="1170"/>
      <c r="C27" s="1171"/>
      <c r="D27" s="322"/>
      <c r="E27" s="233"/>
      <c r="F27" s="233"/>
      <c r="G27" s="233"/>
      <c r="H27" s="127"/>
      <c r="I27" s="168"/>
      <c r="J27" s="168"/>
      <c r="K27" s="168"/>
      <c r="L27" s="168"/>
      <c r="M27" s="169"/>
      <c r="N27" s="169"/>
      <c r="O27" s="169"/>
      <c r="Q27" s="234"/>
      <c r="R27" s="234"/>
      <c r="S27" s="234"/>
      <c r="T27" s="234"/>
      <c r="U27" s="234"/>
      <c r="V27" s="234"/>
      <c r="W27" s="234"/>
      <c r="X27" s="155"/>
      <c r="Y27" s="234"/>
      <c r="Z27" s="234"/>
      <c r="AA27" s="234"/>
      <c r="AB27" s="234"/>
      <c r="AC27" s="234"/>
      <c r="AD27" s="234"/>
      <c r="AE27" s="234"/>
      <c r="AF27" s="155"/>
      <c r="AG27" s="234"/>
      <c r="AH27" s="234"/>
      <c r="AI27" s="234"/>
      <c r="AJ27" s="234"/>
      <c r="AK27" s="234"/>
      <c r="AL27" s="234"/>
      <c r="AM27" s="234"/>
      <c r="AN27" s="155"/>
      <c r="AO27" s="234"/>
      <c r="AP27" s="234"/>
      <c r="AQ27" s="234"/>
      <c r="AR27" s="234"/>
      <c r="AS27" s="234"/>
      <c r="AT27" s="234"/>
      <c r="AU27" s="234"/>
    </row>
    <row r="28" spans="1:88" ht="14.25" x14ac:dyDescent="0.2">
      <c r="A28" s="1169"/>
      <c r="B28" s="1170"/>
      <c r="C28" s="1171"/>
      <c r="D28" s="322"/>
      <c r="E28" s="233"/>
      <c r="F28" s="233"/>
      <c r="G28" s="233"/>
      <c r="H28" s="127"/>
      <c r="I28" s="168"/>
      <c r="J28" s="168"/>
      <c r="K28" s="168"/>
      <c r="L28" s="168"/>
      <c r="M28" s="169"/>
      <c r="N28" s="169"/>
      <c r="O28" s="169"/>
      <c r="Q28" s="234"/>
      <c r="R28" s="234"/>
      <c r="S28" s="234"/>
      <c r="T28" s="234"/>
      <c r="U28" s="234"/>
      <c r="V28" s="234"/>
      <c r="W28" s="234"/>
      <c r="X28" s="155"/>
      <c r="Y28" s="234"/>
      <c r="Z28" s="234"/>
      <c r="AA28" s="234"/>
      <c r="AB28" s="234"/>
      <c r="AC28" s="234"/>
      <c r="AD28" s="234"/>
      <c r="AE28" s="234"/>
      <c r="AF28" s="155"/>
      <c r="AG28" s="234"/>
      <c r="AH28" s="234"/>
      <c r="AI28" s="234"/>
      <c r="AJ28" s="234"/>
      <c r="AK28" s="234"/>
      <c r="AL28" s="234"/>
      <c r="AM28" s="234"/>
      <c r="AN28" s="155"/>
      <c r="AO28" s="234"/>
      <c r="AP28" s="234"/>
      <c r="AQ28" s="234"/>
      <c r="AR28" s="234"/>
      <c r="AS28" s="234"/>
      <c r="AT28" s="234"/>
      <c r="AU28" s="234"/>
    </row>
    <row r="29" spans="1:88" ht="14.25" x14ac:dyDescent="0.2">
      <c r="A29" s="552"/>
      <c r="B29" s="553"/>
      <c r="C29" s="554"/>
      <c r="D29" s="322"/>
      <c r="E29" s="551"/>
      <c r="F29" s="551"/>
      <c r="G29" s="551"/>
      <c r="H29" s="127"/>
      <c r="I29" s="168"/>
      <c r="J29" s="168"/>
      <c r="K29" s="168"/>
      <c r="L29" s="168"/>
      <c r="M29" s="169"/>
      <c r="N29" s="169"/>
      <c r="O29" s="169"/>
      <c r="Q29" s="555"/>
      <c r="R29" s="555"/>
      <c r="S29" s="555"/>
      <c r="T29" s="555"/>
      <c r="U29" s="555"/>
      <c r="V29" s="555"/>
      <c r="W29" s="555"/>
      <c r="X29" s="155"/>
      <c r="Y29" s="555"/>
      <c r="Z29" s="555"/>
      <c r="AA29" s="555"/>
      <c r="AB29" s="555"/>
      <c r="AC29" s="555"/>
      <c r="AD29" s="555"/>
      <c r="AE29" s="555"/>
      <c r="AF29" s="155"/>
      <c r="AG29" s="555"/>
      <c r="AH29" s="555"/>
      <c r="AI29" s="555"/>
      <c r="AJ29" s="555"/>
      <c r="AK29" s="555"/>
      <c r="AL29" s="555"/>
      <c r="AM29" s="555"/>
      <c r="AN29" s="155"/>
      <c r="AO29" s="555"/>
      <c r="AP29" s="555"/>
      <c r="AQ29" s="555"/>
      <c r="AR29" s="555"/>
      <c r="AS29" s="555"/>
      <c r="AT29" s="555"/>
      <c r="AU29" s="555"/>
    </row>
    <row r="30" spans="1:88" ht="14.25" x14ac:dyDescent="0.2">
      <c r="A30" s="552"/>
      <c r="B30" s="553"/>
      <c r="C30" s="554"/>
      <c r="D30" s="322"/>
      <c r="E30" s="551"/>
      <c r="F30" s="551"/>
      <c r="G30" s="551"/>
      <c r="H30" s="127"/>
      <c r="I30" s="168"/>
      <c r="J30" s="168"/>
      <c r="K30" s="168"/>
      <c r="L30" s="168"/>
      <c r="M30" s="169"/>
      <c r="N30" s="169"/>
      <c r="O30" s="169"/>
      <c r="Q30" s="555"/>
      <c r="R30" s="555"/>
      <c r="S30" s="555"/>
      <c r="T30" s="555"/>
      <c r="U30" s="555"/>
      <c r="V30" s="555"/>
      <c r="W30" s="555"/>
      <c r="X30" s="155"/>
      <c r="Y30" s="555"/>
      <c r="Z30" s="555"/>
      <c r="AA30" s="555"/>
      <c r="AB30" s="555"/>
      <c r="AC30" s="555"/>
      <c r="AD30" s="555"/>
      <c r="AE30" s="555"/>
      <c r="AF30" s="155"/>
      <c r="AG30" s="555"/>
      <c r="AH30" s="555"/>
      <c r="AI30" s="555"/>
      <c r="AJ30" s="555"/>
      <c r="AK30" s="555"/>
      <c r="AL30" s="555"/>
      <c r="AM30" s="555"/>
      <c r="AN30" s="155"/>
      <c r="AO30" s="555"/>
      <c r="AP30" s="555"/>
      <c r="AQ30" s="555"/>
      <c r="AR30" s="555"/>
      <c r="AS30" s="555"/>
      <c r="AT30" s="555"/>
      <c r="AU30" s="555"/>
    </row>
    <row r="31" spans="1:88" ht="14.25" x14ac:dyDescent="0.2">
      <c r="A31" s="552"/>
      <c r="B31" s="553"/>
      <c r="C31" s="554"/>
      <c r="D31" s="322"/>
      <c r="E31" s="551"/>
      <c r="F31" s="551"/>
      <c r="G31" s="551"/>
      <c r="H31" s="127"/>
      <c r="I31" s="168"/>
      <c r="J31" s="168"/>
      <c r="K31" s="168"/>
      <c r="L31" s="168"/>
      <c r="M31" s="169"/>
      <c r="N31" s="169"/>
      <c r="O31" s="169"/>
      <c r="Q31" s="555"/>
      <c r="R31" s="555"/>
      <c r="S31" s="555"/>
      <c r="T31" s="555"/>
      <c r="U31" s="555"/>
      <c r="V31" s="555"/>
      <c r="W31" s="555"/>
      <c r="X31" s="155"/>
      <c r="Y31" s="555"/>
      <c r="Z31" s="555"/>
      <c r="AA31" s="555"/>
      <c r="AB31" s="555"/>
      <c r="AC31" s="555"/>
      <c r="AD31" s="555"/>
      <c r="AE31" s="555"/>
      <c r="AF31" s="155"/>
      <c r="AG31" s="555"/>
      <c r="AH31" s="555"/>
      <c r="AI31" s="555"/>
      <c r="AJ31" s="555"/>
      <c r="AK31" s="555"/>
      <c r="AL31" s="555"/>
      <c r="AM31" s="555"/>
      <c r="AN31" s="155"/>
      <c r="AO31" s="555"/>
      <c r="AP31" s="555"/>
      <c r="AQ31" s="555"/>
      <c r="AR31" s="555"/>
      <c r="AS31" s="555"/>
      <c r="AT31" s="555"/>
      <c r="AU31" s="555"/>
    </row>
    <row r="32" spans="1:88" ht="14.25" x14ac:dyDescent="0.2">
      <c r="A32" s="552"/>
      <c r="B32" s="553"/>
      <c r="C32" s="554"/>
      <c r="D32" s="322"/>
      <c r="E32" s="551"/>
      <c r="F32" s="551"/>
      <c r="G32" s="551"/>
      <c r="H32" s="127"/>
      <c r="I32" s="168"/>
      <c r="J32" s="168"/>
      <c r="K32" s="168"/>
      <c r="L32" s="168"/>
      <c r="M32" s="169"/>
      <c r="N32" s="169"/>
      <c r="O32" s="169"/>
      <c r="Q32" s="555"/>
      <c r="R32" s="555"/>
      <c r="S32" s="555"/>
      <c r="T32" s="555"/>
      <c r="U32" s="555"/>
      <c r="V32" s="555"/>
      <c r="W32" s="555"/>
      <c r="X32" s="155"/>
      <c r="Y32" s="555"/>
      <c r="Z32" s="555"/>
      <c r="AA32" s="555"/>
      <c r="AB32" s="555"/>
      <c r="AC32" s="555"/>
      <c r="AD32" s="555"/>
      <c r="AE32" s="555"/>
      <c r="AF32" s="155"/>
      <c r="AG32" s="555"/>
      <c r="AH32" s="555"/>
      <c r="AI32" s="555"/>
      <c r="AJ32" s="555"/>
      <c r="AK32" s="555"/>
      <c r="AL32" s="555"/>
      <c r="AM32" s="555"/>
      <c r="AN32" s="155"/>
      <c r="AO32" s="555"/>
      <c r="AP32" s="555"/>
      <c r="AQ32" s="555"/>
      <c r="AR32" s="555"/>
      <c r="AS32" s="555"/>
      <c r="AT32" s="555"/>
      <c r="AU32" s="555"/>
    </row>
    <row r="33" spans="1:47" ht="14.25" x14ac:dyDescent="0.2">
      <c r="A33" s="1169"/>
      <c r="B33" s="1170"/>
      <c r="C33" s="1171"/>
      <c r="D33" s="322"/>
      <c r="E33" s="233"/>
      <c r="F33" s="233"/>
      <c r="G33" s="233"/>
      <c r="H33" s="127"/>
      <c r="I33" s="168"/>
      <c r="J33" s="168"/>
      <c r="K33" s="168"/>
      <c r="L33" s="168"/>
      <c r="M33" s="169"/>
      <c r="N33" s="169"/>
      <c r="O33" s="169"/>
      <c r="Q33" s="234"/>
      <c r="R33" s="234"/>
      <c r="S33" s="234"/>
      <c r="T33" s="234"/>
      <c r="U33" s="234"/>
      <c r="V33" s="234"/>
      <c r="W33" s="234"/>
      <c r="X33" s="155"/>
      <c r="Y33" s="234"/>
      <c r="Z33" s="234"/>
      <c r="AA33" s="234"/>
      <c r="AB33" s="234"/>
      <c r="AC33" s="234"/>
      <c r="AD33" s="234"/>
      <c r="AE33" s="234"/>
      <c r="AF33" s="155"/>
      <c r="AG33" s="234"/>
      <c r="AH33" s="234"/>
      <c r="AI33" s="234"/>
      <c r="AJ33" s="234"/>
      <c r="AK33" s="234"/>
      <c r="AL33" s="234"/>
      <c r="AM33" s="234"/>
      <c r="AN33" s="155"/>
      <c r="AO33" s="234"/>
      <c r="AP33" s="234"/>
      <c r="AQ33" s="234"/>
      <c r="AR33" s="234"/>
      <c r="AS33" s="234"/>
      <c r="AT33" s="234"/>
      <c r="AU33" s="234"/>
    </row>
    <row r="34" spans="1:47" ht="14.25" x14ac:dyDescent="0.2">
      <c r="A34" s="1169"/>
      <c r="B34" s="1170"/>
      <c r="C34" s="1171"/>
      <c r="D34" s="322"/>
      <c r="E34" s="233"/>
      <c r="F34" s="233"/>
      <c r="G34" s="233"/>
      <c r="H34" s="127"/>
      <c r="I34" s="168"/>
      <c r="J34" s="168"/>
      <c r="K34" s="168"/>
      <c r="L34" s="168"/>
      <c r="M34" s="169"/>
      <c r="N34" s="169"/>
      <c r="O34" s="169"/>
      <c r="Q34" s="234"/>
      <c r="R34" s="234"/>
      <c r="S34" s="234"/>
      <c r="T34" s="234"/>
      <c r="U34" s="234"/>
      <c r="V34" s="234"/>
      <c r="W34" s="234"/>
      <c r="X34" s="155"/>
      <c r="Y34" s="234"/>
      <c r="Z34" s="234"/>
      <c r="AA34" s="234"/>
      <c r="AB34" s="234"/>
      <c r="AC34" s="234"/>
      <c r="AD34" s="234"/>
      <c r="AE34" s="234"/>
      <c r="AF34" s="155"/>
      <c r="AG34" s="234"/>
      <c r="AH34" s="234"/>
      <c r="AI34" s="234"/>
      <c r="AJ34" s="234"/>
      <c r="AK34" s="234"/>
      <c r="AL34" s="234"/>
      <c r="AM34" s="234"/>
      <c r="AN34" s="155"/>
      <c r="AO34" s="234"/>
      <c r="AP34" s="234"/>
      <c r="AQ34" s="234"/>
      <c r="AR34" s="234"/>
      <c r="AS34" s="234"/>
      <c r="AT34" s="234"/>
      <c r="AU34" s="234"/>
    </row>
    <row r="35" spans="1:47" ht="14.25" x14ac:dyDescent="0.2">
      <c r="A35" s="1169"/>
      <c r="B35" s="1170"/>
      <c r="C35" s="1171"/>
      <c r="D35" s="322"/>
      <c r="E35" s="233"/>
      <c r="F35" s="233"/>
      <c r="G35" s="233"/>
      <c r="H35" s="127"/>
      <c r="I35" s="168"/>
      <c r="J35" s="168"/>
      <c r="K35" s="168"/>
      <c r="L35" s="168"/>
      <c r="M35" s="169"/>
      <c r="N35" s="169"/>
      <c r="O35" s="169"/>
      <c r="Q35" s="234"/>
      <c r="R35" s="234"/>
      <c r="S35" s="234"/>
      <c r="T35" s="234"/>
      <c r="U35" s="234"/>
      <c r="V35" s="234"/>
      <c r="W35" s="234"/>
      <c r="X35" s="155"/>
      <c r="Y35" s="234"/>
      <c r="Z35" s="234"/>
      <c r="AA35" s="234"/>
      <c r="AB35" s="234"/>
      <c r="AC35" s="234"/>
      <c r="AD35" s="234"/>
      <c r="AE35" s="234"/>
      <c r="AF35" s="155"/>
      <c r="AG35" s="234"/>
      <c r="AH35" s="234"/>
      <c r="AI35" s="234"/>
      <c r="AJ35" s="234"/>
      <c r="AK35" s="234"/>
      <c r="AL35" s="234"/>
      <c r="AM35" s="234"/>
      <c r="AN35" s="155"/>
      <c r="AO35" s="234"/>
      <c r="AP35" s="234"/>
      <c r="AQ35" s="234"/>
      <c r="AR35" s="234"/>
      <c r="AS35" s="234"/>
      <c r="AT35" s="234"/>
      <c r="AU35" s="234"/>
    </row>
    <row r="36" spans="1:47" ht="14.25" x14ac:dyDescent="0.2">
      <c r="A36" s="1169"/>
      <c r="B36" s="1170"/>
      <c r="C36" s="1171"/>
      <c r="D36" s="322"/>
      <c r="E36" s="233"/>
      <c r="F36" s="233"/>
      <c r="G36" s="233"/>
      <c r="H36" s="127"/>
      <c r="I36" s="168"/>
      <c r="J36" s="168"/>
      <c r="K36" s="168"/>
      <c r="L36" s="168"/>
      <c r="M36" s="169"/>
      <c r="N36" s="169"/>
      <c r="O36" s="169"/>
      <c r="Q36" s="234"/>
      <c r="R36" s="234"/>
      <c r="S36" s="234"/>
      <c r="T36" s="234"/>
      <c r="U36" s="234"/>
      <c r="V36" s="234"/>
      <c r="W36" s="234"/>
      <c r="X36" s="155"/>
      <c r="Y36" s="234"/>
      <c r="Z36" s="234"/>
      <c r="AA36" s="234"/>
      <c r="AB36" s="234"/>
      <c r="AC36" s="234"/>
      <c r="AD36" s="234"/>
      <c r="AE36" s="234"/>
      <c r="AF36" s="155"/>
      <c r="AG36" s="234"/>
      <c r="AH36" s="234"/>
      <c r="AI36" s="234"/>
      <c r="AJ36" s="234"/>
      <c r="AK36" s="234"/>
      <c r="AL36" s="234"/>
      <c r="AM36" s="234"/>
      <c r="AN36" s="155"/>
      <c r="AO36" s="234"/>
      <c r="AP36" s="234"/>
      <c r="AQ36" s="234"/>
      <c r="AR36" s="234"/>
      <c r="AS36" s="234"/>
      <c r="AT36" s="234"/>
      <c r="AU36" s="234"/>
    </row>
    <row r="37" spans="1:47" ht="14.25" x14ac:dyDescent="0.2">
      <c r="A37" s="1169"/>
      <c r="B37" s="1170"/>
      <c r="C37" s="1171"/>
      <c r="D37" s="322"/>
      <c r="E37" s="233"/>
      <c r="F37" s="233"/>
      <c r="G37" s="233"/>
      <c r="H37" s="127"/>
      <c r="I37" s="168"/>
      <c r="J37" s="168"/>
      <c r="K37" s="168"/>
      <c r="L37" s="168"/>
      <c r="M37" s="169"/>
      <c r="N37" s="169"/>
      <c r="O37" s="169"/>
      <c r="Q37" s="234"/>
      <c r="R37" s="234"/>
      <c r="S37" s="234"/>
      <c r="T37" s="234"/>
      <c r="U37" s="234"/>
      <c r="V37" s="234"/>
      <c r="W37" s="234"/>
      <c r="X37" s="155"/>
      <c r="Y37" s="234"/>
      <c r="Z37" s="234"/>
      <c r="AA37" s="234"/>
      <c r="AB37" s="234"/>
      <c r="AC37" s="234"/>
      <c r="AD37" s="234"/>
      <c r="AE37" s="234"/>
      <c r="AF37" s="155"/>
      <c r="AG37" s="234"/>
      <c r="AH37" s="234"/>
      <c r="AI37" s="234"/>
      <c r="AJ37" s="234"/>
      <c r="AK37" s="234"/>
      <c r="AL37" s="234"/>
      <c r="AM37" s="234"/>
      <c r="AN37" s="155"/>
      <c r="AO37" s="234"/>
      <c r="AP37" s="234"/>
      <c r="AQ37" s="234"/>
      <c r="AR37" s="234"/>
      <c r="AS37" s="234"/>
      <c r="AT37" s="234"/>
      <c r="AU37" s="234"/>
    </row>
    <row r="38" spans="1:47" ht="14.25" x14ac:dyDescent="0.2">
      <c r="A38" s="1169"/>
      <c r="B38" s="1170"/>
      <c r="C38" s="1171"/>
      <c r="D38" s="322"/>
      <c r="E38" s="233"/>
      <c r="F38" s="233"/>
      <c r="G38" s="233"/>
      <c r="H38" s="127"/>
      <c r="I38" s="168"/>
      <c r="J38" s="168"/>
      <c r="K38" s="168"/>
      <c r="L38" s="168"/>
      <c r="M38" s="169"/>
      <c r="N38" s="169"/>
      <c r="O38" s="169"/>
      <c r="Q38" s="234"/>
      <c r="R38" s="234"/>
      <c r="S38" s="234"/>
      <c r="T38" s="234"/>
      <c r="U38" s="234"/>
      <c r="V38" s="234"/>
      <c r="W38" s="234"/>
      <c r="X38" s="155"/>
      <c r="Y38" s="234"/>
      <c r="Z38" s="234"/>
      <c r="AA38" s="234"/>
      <c r="AB38" s="234"/>
      <c r="AC38" s="234"/>
      <c r="AD38" s="234"/>
      <c r="AE38" s="234"/>
      <c r="AF38" s="155"/>
      <c r="AG38" s="234"/>
      <c r="AH38" s="234"/>
      <c r="AI38" s="234"/>
      <c r="AJ38" s="234"/>
      <c r="AK38" s="234"/>
      <c r="AL38" s="234"/>
      <c r="AM38" s="234"/>
      <c r="AN38" s="155"/>
      <c r="AO38" s="234"/>
      <c r="AP38" s="234"/>
      <c r="AQ38" s="234"/>
      <c r="AR38" s="234"/>
      <c r="AS38" s="234"/>
      <c r="AT38" s="234"/>
      <c r="AU38" s="234"/>
    </row>
    <row r="39" spans="1:47" ht="14.25" x14ac:dyDescent="0.2">
      <c r="A39" s="1169"/>
      <c r="B39" s="1170"/>
      <c r="C39" s="1171"/>
      <c r="D39" s="322"/>
      <c r="E39" s="233"/>
      <c r="F39" s="233"/>
      <c r="G39" s="233"/>
      <c r="H39" s="127"/>
      <c r="I39" s="168"/>
      <c r="J39" s="168"/>
      <c r="K39" s="168"/>
      <c r="L39" s="168"/>
      <c r="M39" s="169"/>
      <c r="N39" s="169"/>
      <c r="O39" s="169"/>
      <c r="Q39" s="234"/>
      <c r="R39" s="234"/>
      <c r="S39" s="234"/>
      <c r="T39" s="234"/>
      <c r="U39" s="234"/>
      <c r="V39" s="234"/>
      <c r="W39" s="234"/>
      <c r="X39" s="155"/>
      <c r="Y39" s="234"/>
      <c r="Z39" s="234"/>
      <c r="AA39" s="234"/>
      <c r="AB39" s="234"/>
      <c r="AC39" s="234"/>
      <c r="AD39" s="234"/>
      <c r="AE39" s="234"/>
      <c r="AF39" s="155"/>
      <c r="AG39" s="234"/>
      <c r="AH39" s="234"/>
      <c r="AI39" s="234"/>
      <c r="AJ39" s="234"/>
      <c r="AK39" s="234"/>
      <c r="AL39" s="234"/>
      <c r="AM39" s="234"/>
      <c r="AN39" s="155"/>
      <c r="AO39" s="234"/>
      <c r="AP39" s="234"/>
      <c r="AQ39" s="234"/>
      <c r="AR39" s="234"/>
      <c r="AS39" s="234"/>
      <c r="AT39" s="234"/>
      <c r="AU39" s="234"/>
    </row>
    <row r="40" spans="1:47" ht="14.25" x14ac:dyDescent="0.2">
      <c r="A40" s="1182" t="s">
        <v>502</v>
      </c>
      <c r="B40" s="1182"/>
      <c r="C40" s="1182"/>
      <c r="D40" s="323">
        <f>SUM(D26:D39)</f>
        <v>0</v>
      </c>
      <c r="E40" s="233"/>
      <c r="F40" s="233"/>
      <c r="G40" s="233"/>
      <c r="H40" s="127"/>
      <c r="I40" s="168"/>
      <c r="J40" s="168"/>
      <c r="K40" s="168"/>
      <c r="L40" s="168"/>
      <c r="M40" s="169"/>
      <c r="N40" s="169"/>
      <c r="O40" s="169"/>
      <c r="Q40" s="234"/>
      <c r="R40" s="234"/>
      <c r="S40" s="234"/>
      <c r="T40" s="234"/>
      <c r="U40" s="234"/>
      <c r="V40" s="234"/>
      <c r="W40" s="234"/>
      <c r="X40" s="155"/>
      <c r="Y40" s="234"/>
      <c r="Z40" s="234"/>
      <c r="AA40" s="234"/>
      <c r="AB40" s="234"/>
      <c r="AC40" s="234"/>
      <c r="AD40" s="234"/>
      <c r="AE40" s="234"/>
      <c r="AF40" s="155"/>
      <c r="AG40" s="234"/>
      <c r="AH40" s="234"/>
      <c r="AI40" s="234"/>
      <c r="AJ40" s="234"/>
      <c r="AK40" s="234"/>
      <c r="AL40" s="234"/>
      <c r="AM40" s="234"/>
      <c r="AN40" s="155"/>
      <c r="AO40" s="234"/>
      <c r="AP40" s="234"/>
      <c r="AQ40" s="234"/>
      <c r="AR40" s="234"/>
      <c r="AS40" s="234"/>
      <c r="AT40" s="234"/>
      <c r="AU40" s="234"/>
    </row>
    <row r="41" spans="1:47" ht="22.5" customHeight="1" thickBot="1" x14ac:dyDescent="0.25">
      <c r="A41" s="1172" t="s">
        <v>810</v>
      </c>
      <c r="B41" s="1172"/>
      <c r="C41" s="1172"/>
      <c r="D41" s="1172"/>
      <c r="E41" s="233"/>
      <c r="F41" s="233"/>
      <c r="G41" s="233"/>
      <c r="H41" s="127"/>
      <c r="I41" s="168"/>
      <c r="J41" s="168"/>
      <c r="K41" s="168"/>
      <c r="L41" s="168"/>
      <c r="M41" s="169"/>
      <c r="N41" s="169"/>
      <c r="O41" s="169"/>
      <c r="Q41" s="234"/>
      <c r="R41" s="234"/>
      <c r="S41" s="234"/>
      <c r="T41" s="234"/>
      <c r="U41" s="234"/>
      <c r="V41" s="234"/>
      <c r="W41" s="234"/>
      <c r="X41" s="155"/>
      <c r="Y41" s="234"/>
      <c r="Z41" s="234"/>
      <c r="AA41" s="234"/>
      <c r="AB41" s="234"/>
      <c r="AC41" s="234"/>
      <c r="AD41" s="234"/>
      <c r="AE41" s="234"/>
      <c r="AF41" s="155"/>
      <c r="AG41" s="234"/>
      <c r="AH41" s="234"/>
      <c r="AI41" s="234"/>
      <c r="AJ41" s="234"/>
      <c r="AK41" s="234"/>
      <c r="AL41" s="234"/>
      <c r="AM41" s="234"/>
      <c r="AN41" s="155"/>
      <c r="AO41" s="234"/>
      <c r="AP41" s="234"/>
      <c r="AQ41" s="234"/>
      <c r="AR41" s="234"/>
      <c r="AS41" s="234"/>
      <c r="AT41" s="234"/>
      <c r="AU41" s="234"/>
    </row>
    <row r="42" spans="1:47" ht="30" customHeight="1" x14ac:dyDescent="0.2">
      <c r="A42" s="1173" t="s">
        <v>436</v>
      </c>
      <c r="B42" s="1174"/>
      <c r="C42" s="1175"/>
      <c r="D42" s="236" t="s">
        <v>437</v>
      </c>
      <c r="E42" s="233"/>
      <c r="F42" s="233"/>
      <c r="G42" s="233"/>
      <c r="H42" s="127"/>
      <c r="I42" s="168"/>
      <c r="J42" s="168"/>
      <c r="K42" s="168"/>
      <c r="L42" s="168"/>
      <c r="M42" s="169"/>
      <c r="N42" s="169"/>
      <c r="O42" s="169"/>
      <c r="Q42" s="234"/>
      <c r="R42" s="234"/>
      <c r="S42" s="234"/>
      <c r="T42" s="234"/>
      <c r="U42" s="234"/>
      <c r="V42" s="234"/>
      <c r="W42" s="234"/>
      <c r="X42" s="155"/>
      <c r="Y42" s="234"/>
      <c r="Z42" s="234"/>
      <c r="AA42" s="234"/>
      <c r="AB42" s="234"/>
      <c r="AC42" s="234"/>
      <c r="AD42" s="234"/>
      <c r="AE42" s="234"/>
      <c r="AF42" s="155"/>
      <c r="AG42" s="234"/>
      <c r="AH42" s="234"/>
      <c r="AI42" s="234"/>
      <c r="AJ42" s="234"/>
      <c r="AK42" s="234"/>
      <c r="AL42" s="234"/>
      <c r="AM42" s="234"/>
      <c r="AN42" s="155"/>
      <c r="AO42" s="234"/>
      <c r="AP42" s="234"/>
      <c r="AQ42" s="234"/>
      <c r="AR42" s="234"/>
      <c r="AS42" s="234"/>
      <c r="AT42" s="234"/>
      <c r="AU42" s="234"/>
    </row>
    <row r="43" spans="1:47" ht="14.25" x14ac:dyDescent="0.2">
      <c r="A43" s="1169"/>
      <c r="B43" s="1170"/>
      <c r="C43" s="1171"/>
      <c r="D43" s="322"/>
      <c r="E43" s="233"/>
      <c r="F43" s="233"/>
      <c r="G43" s="233"/>
      <c r="H43" s="127"/>
      <c r="I43" s="168"/>
      <c r="J43" s="168"/>
      <c r="K43" s="168"/>
      <c r="L43" s="168"/>
      <c r="M43" s="169"/>
      <c r="N43" s="169"/>
      <c r="O43" s="169"/>
      <c r="Q43" s="234"/>
      <c r="R43" s="234"/>
      <c r="S43" s="234"/>
      <c r="T43" s="234"/>
      <c r="U43" s="234"/>
      <c r="V43" s="234"/>
      <c r="W43" s="234"/>
      <c r="X43" s="155"/>
      <c r="Y43" s="234"/>
      <c r="Z43" s="234"/>
      <c r="AA43" s="234"/>
      <c r="AB43" s="234"/>
      <c r="AC43" s="234"/>
      <c r="AD43" s="234"/>
      <c r="AE43" s="234"/>
      <c r="AF43" s="155"/>
      <c r="AG43" s="234"/>
      <c r="AH43" s="234"/>
      <c r="AI43" s="234"/>
      <c r="AJ43" s="234"/>
      <c r="AK43" s="234"/>
      <c r="AL43" s="234"/>
      <c r="AM43" s="234"/>
      <c r="AN43" s="155"/>
      <c r="AO43" s="234"/>
      <c r="AP43" s="234"/>
      <c r="AQ43" s="234"/>
      <c r="AR43" s="234"/>
      <c r="AS43" s="234"/>
      <c r="AT43" s="234"/>
      <c r="AU43" s="234"/>
    </row>
    <row r="44" spans="1:47" ht="14.25" x14ac:dyDescent="0.2">
      <c r="A44" s="1169"/>
      <c r="B44" s="1170"/>
      <c r="C44" s="1171"/>
      <c r="D44" s="322"/>
      <c r="E44" s="233"/>
      <c r="F44" s="233"/>
      <c r="G44" s="233"/>
      <c r="H44" s="127"/>
      <c r="I44" s="168"/>
      <c r="J44" s="168"/>
      <c r="K44" s="168"/>
      <c r="L44" s="168"/>
      <c r="M44" s="169"/>
      <c r="N44" s="169"/>
      <c r="O44" s="169"/>
      <c r="Q44" s="234"/>
      <c r="R44" s="234"/>
      <c r="S44" s="234"/>
      <c r="T44" s="234"/>
      <c r="U44" s="234"/>
      <c r="V44" s="234"/>
      <c r="W44" s="234"/>
      <c r="X44" s="155"/>
      <c r="Y44" s="234"/>
      <c r="Z44" s="234"/>
      <c r="AA44" s="234"/>
      <c r="AB44" s="234"/>
      <c r="AC44" s="234"/>
      <c r="AD44" s="234"/>
      <c r="AE44" s="234"/>
      <c r="AF44" s="155"/>
      <c r="AG44" s="234"/>
      <c r="AH44" s="234"/>
      <c r="AI44" s="234"/>
      <c r="AJ44" s="234"/>
      <c r="AK44" s="234"/>
      <c r="AL44" s="234"/>
      <c r="AM44" s="234"/>
      <c r="AN44" s="155"/>
      <c r="AO44" s="234"/>
      <c r="AP44" s="234"/>
      <c r="AQ44" s="234"/>
      <c r="AR44" s="234"/>
      <c r="AS44" s="234"/>
      <c r="AT44" s="234"/>
      <c r="AU44" s="234"/>
    </row>
    <row r="45" spans="1:47" ht="14.25" x14ac:dyDescent="0.2">
      <c r="A45" s="1169"/>
      <c r="B45" s="1170"/>
      <c r="C45" s="1171"/>
      <c r="D45" s="322"/>
      <c r="E45" s="233"/>
      <c r="F45" s="233"/>
      <c r="G45" s="233"/>
      <c r="H45" s="127"/>
      <c r="I45" s="168"/>
      <c r="J45" s="168"/>
      <c r="K45" s="168"/>
      <c r="L45" s="168"/>
      <c r="M45" s="169"/>
      <c r="N45" s="169"/>
      <c r="O45" s="169"/>
      <c r="Q45" s="234"/>
      <c r="R45" s="234"/>
      <c r="S45" s="234"/>
      <c r="T45" s="234"/>
      <c r="U45" s="234"/>
      <c r="V45" s="234"/>
      <c r="W45" s="234"/>
      <c r="X45" s="155"/>
      <c r="Y45" s="234"/>
      <c r="Z45" s="234"/>
      <c r="AA45" s="234"/>
      <c r="AB45" s="234"/>
      <c r="AC45" s="234"/>
      <c r="AD45" s="234"/>
      <c r="AE45" s="234"/>
      <c r="AF45" s="155"/>
      <c r="AG45" s="234"/>
      <c r="AH45" s="234"/>
      <c r="AI45" s="234"/>
      <c r="AJ45" s="234"/>
      <c r="AK45" s="234"/>
      <c r="AL45" s="234"/>
      <c r="AM45" s="234"/>
      <c r="AN45" s="155"/>
      <c r="AO45" s="234"/>
      <c r="AP45" s="234"/>
      <c r="AQ45" s="234"/>
      <c r="AR45" s="234"/>
      <c r="AS45" s="234"/>
      <c r="AT45" s="234"/>
      <c r="AU45" s="234"/>
    </row>
    <row r="46" spans="1:47" ht="14.25" x14ac:dyDescent="0.2">
      <c r="A46" s="552"/>
      <c r="B46" s="553"/>
      <c r="C46" s="554"/>
      <c r="D46" s="322"/>
      <c r="E46" s="551"/>
      <c r="F46" s="551"/>
      <c r="G46" s="551"/>
      <c r="H46" s="127"/>
      <c r="I46" s="168"/>
      <c r="J46" s="168"/>
      <c r="K46" s="168"/>
      <c r="L46" s="168"/>
      <c r="M46" s="169"/>
      <c r="N46" s="169"/>
      <c r="O46" s="169"/>
      <c r="Q46" s="555"/>
      <c r="R46" s="555"/>
      <c r="S46" s="555"/>
      <c r="T46" s="555"/>
      <c r="U46" s="555"/>
      <c r="V46" s="555"/>
      <c r="W46" s="555"/>
      <c r="X46" s="155"/>
      <c r="Y46" s="555"/>
      <c r="Z46" s="555"/>
      <c r="AA46" s="555"/>
      <c r="AB46" s="555"/>
      <c r="AC46" s="555"/>
      <c r="AD46" s="555"/>
      <c r="AE46" s="555"/>
      <c r="AF46" s="155"/>
      <c r="AG46" s="555"/>
      <c r="AH46" s="555"/>
      <c r="AI46" s="555"/>
      <c r="AJ46" s="555"/>
      <c r="AK46" s="555"/>
      <c r="AL46" s="555"/>
      <c r="AM46" s="555"/>
      <c r="AN46" s="155"/>
      <c r="AO46" s="555"/>
      <c r="AP46" s="555"/>
      <c r="AQ46" s="555"/>
      <c r="AR46" s="555"/>
      <c r="AS46" s="555"/>
      <c r="AT46" s="555"/>
      <c r="AU46" s="555"/>
    </row>
    <row r="47" spans="1:47" ht="14.25" x14ac:dyDescent="0.2">
      <c r="A47" s="552"/>
      <c r="B47" s="553"/>
      <c r="C47" s="554"/>
      <c r="D47" s="322"/>
      <c r="E47" s="551"/>
      <c r="F47" s="551"/>
      <c r="G47" s="551"/>
      <c r="H47" s="127"/>
      <c r="I47" s="168"/>
      <c r="J47" s="168"/>
      <c r="K47" s="168"/>
      <c r="L47" s="168"/>
      <c r="M47" s="169"/>
      <c r="N47" s="169"/>
      <c r="O47" s="169"/>
      <c r="Q47" s="555"/>
      <c r="R47" s="555"/>
      <c r="S47" s="555"/>
      <c r="T47" s="555"/>
      <c r="U47" s="555"/>
      <c r="V47" s="555"/>
      <c r="W47" s="555"/>
      <c r="X47" s="155"/>
      <c r="Y47" s="555"/>
      <c r="Z47" s="555"/>
      <c r="AA47" s="555"/>
      <c r="AB47" s="555"/>
      <c r="AC47" s="555"/>
      <c r="AD47" s="555"/>
      <c r="AE47" s="555"/>
      <c r="AF47" s="155"/>
      <c r="AG47" s="555"/>
      <c r="AH47" s="555"/>
      <c r="AI47" s="555"/>
      <c r="AJ47" s="555"/>
      <c r="AK47" s="555"/>
      <c r="AL47" s="555"/>
      <c r="AM47" s="555"/>
      <c r="AN47" s="155"/>
      <c r="AO47" s="555"/>
      <c r="AP47" s="555"/>
      <c r="AQ47" s="555"/>
      <c r="AR47" s="555"/>
      <c r="AS47" s="555"/>
      <c r="AT47" s="555"/>
      <c r="AU47" s="555"/>
    </row>
    <row r="48" spans="1:47" ht="14.25" x14ac:dyDescent="0.2">
      <c r="A48" s="552"/>
      <c r="B48" s="553"/>
      <c r="C48" s="554"/>
      <c r="D48" s="322"/>
      <c r="E48" s="551"/>
      <c r="F48" s="551"/>
      <c r="G48" s="551"/>
      <c r="H48" s="127"/>
      <c r="I48" s="168"/>
      <c r="J48" s="168"/>
      <c r="K48" s="168"/>
      <c r="L48" s="168"/>
      <c r="M48" s="169"/>
      <c r="N48" s="169"/>
      <c r="O48" s="169"/>
      <c r="Q48" s="555"/>
      <c r="R48" s="555"/>
      <c r="S48" s="555"/>
      <c r="T48" s="555"/>
      <c r="U48" s="555"/>
      <c r="V48" s="555"/>
      <c r="W48" s="555"/>
      <c r="X48" s="155"/>
      <c r="Y48" s="555"/>
      <c r="Z48" s="555"/>
      <c r="AA48" s="555"/>
      <c r="AB48" s="555"/>
      <c r="AC48" s="555"/>
      <c r="AD48" s="555"/>
      <c r="AE48" s="555"/>
      <c r="AF48" s="155"/>
      <c r="AG48" s="555"/>
      <c r="AH48" s="555"/>
      <c r="AI48" s="555"/>
      <c r="AJ48" s="555"/>
      <c r="AK48" s="555"/>
      <c r="AL48" s="555"/>
      <c r="AM48" s="555"/>
      <c r="AN48" s="155"/>
      <c r="AO48" s="555"/>
      <c r="AP48" s="555"/>
      <c r="AQ48" s="555"/>
      <c r="AR48" s="555"/>
      <c r="AS48" s="555"/>
      <c r="AT48" s="555"/>
      <c r="AU48" s="555"/>
    </row>
    <row r="49" spans="1:47" ht="14.25" x14ac:dyDescent="0.2">
      <c r="A49" s="552"/>
      <c r="B49" s="553"/>
      <c r="C49" s="554"/>
      <c r="D49" s="322"/>
      <c r="E49" s="551"/>
      <c r="F49" s="551"/>
      <c r="G49" s="551"/>
      <c r="H49" s="127"/>
      <c r="I49" s="168"/>
      <c r="J49" s="168"/>
      <c r="K49" s="168"/>
      <c r="L49" s="168"/>
      <c r="M49" s="169"/>
      <c r="N49" s="169"/>
      <c r="O49" s="169"/>
      <c r="Q49" s="555"/>
      <c r="R49" s="555"/>
      <c r="S49" s="555"/>
      <c r="T49" s="555"/>
      <c r="U49" s="555"/>
      <c r="V49" s="555"/>
      <c r="W49" s="555"/>
      <c r="X49" s="155"/>
      <c r="Y49" s="555"/>
      <c r="Z49" s="555"/>
      <c r="AA49" s="555"/>
      <c r="AB49" s="555"/>
      <c r="AC49" s="555"/>
      <c r="AD49" s="555"/>
      <c r="AE49" s="555"/>
      <c r="AF49" s="155"/>
      <c r="AG49" s="555"/>
      <c r="AH49" s="555"/>
      <c r="AI49" s="555"/>
      <c r="AJ49" s="555"/>
      <c r="AK49" s="555"/>
      <c r="AL49" s="555"/>
      <c r="AM49" s="555"/>
      <c r="AN49" s="155"/>
      <c r="AO49" s="555"/>
      <c r="AP49" s="555"/>
      <c r="AQ49" s="555"/>
      <c r="AR49" s="555"/>
      <c r="AS49" s="555"/>
      <c r="AT49" s="555"/>
      <c r="AU49" s="555"/>
    </row>
    <row r="50" spans="1:47" ht="14.25" x14ac:dyDescent="0.2">
      <c r="A50" s="552"/>
      <c r="B50" s="553"/>
      <c r="C50" s="554"/>
      <c r="D50" s="322"/>
      <c r="E50" s="551"/>
      <c r="F50" s="551"/>
      <c r="G50" s="551"/>
      <c r="H50" s="127"/>
      <c r="I50" s="168"/>
      <c r="J50" s="168"/>
      <c r="K50" s="168"/>
      <c r="L50" s="168"/>
      <c r="M50" s="169"/>
      <c r="N50" s="169"/>
      <c r="O50" s="169"/>
      <c r="Q50" s="555"/>
      <c r="R50" s="555"/>
      <c r="S50" s="555"/>
      <c r="T50" s="555"/>
      <c r="U50" s="555"/>
      <c r="V50" s="555"/>
      <c r="W50" s="555"/>
      <c r="X50" s="155"/>
      <c r="Y50" s="555"/>
      <c r="Z50" s="555"/>
      <c r="AA50" s="555"/>
      <c r="AB50" s="555"/>
      <c r="AC50" s="555"/>
      <c r="AD50" s="555"/>
      <c r="AE50" s="555"/>
      <c r="AF50" s="155"/>
      <c r="AG50" s="555"/>
      <c r="AH50" s="555"/>
      <c r="AI50" s="555"/>
      <c r="AJ50" s="555"/>
      <c r="AK50" s="555"/>
      <c r="AL50" s="555"/>
      <c r="AM50" s="555"/>
      <c r="AN50" s="155"/>
      <c r="AO50" s="555"/>
      <c r="AP50" s="555"/>
      <c r="AQ50" s="555"/>
      <c r="AR50" s="555"/>
      <c r="AS50" s="555"/>
      <c r="AT50" s="555"/>
      <c r="AU50" s="555"/>
    </row>
    <row r="51" spans="1:47" ht="14.25" x14ac:dyDescent="0.2">
      <c r="A51" s="1169"/>
      <c r="B51" s="1170"/>
      <c r="C51" s="1171"/>
      <c r="D51" s="322"/>
      <c r="E51" s="233"/>
      <c r="F51" s="233"/>
      <c r="G51" s="233"/>
      <c r="H51" s="127"/>
      <c r="I51" s="168"/>
      <c r="J51" s="168"/>
      <c r="K51" s="168"/>
      <c r="L51" s="168"/>
      <c r="M51" s="169"/>
      <c r="N51" s="169"/>
      <c r="O51" s="169"/>
      <c r="Q51" s="234"/>
      <c r="R51" s="234"/>
      <c r="S51" s="234"/>
      <c r="T51" s="234"/>
      <c r="U51" s="234"/>
      <c r="V51" s="234"/>
      <c r="W51" s="234"/>
      <c r="X51" s="155"/>
      <c r="Y51" s="234"/>
      <c r="Z51" s="234"/>
      <c r="AA51" s="234"/>
      <c r="AB51" s="234"/>
      <c r="AC51" s="234"/>
      <c r="AD51" s="234"/>
      <c r="AE51" s="234"/>
      <c r="AF51" s="155"/>
      <c r="AG51" s="234"/>
      <c r="AH51" s="234"/>
      <c r="AI51" s="234"/>
      <c r="AJ51" s="234"/>
      <c r="AK51" s="234"/>
      <c r="AL51" s="234"/>
      <c r="AM51" s="234"/>
      <c r="AN51" s="155"/>
      <c r="AO51" s="234"/>
      <c r="AP51" s="234"/>
      <c r="AQ51" s="234"/>
      <c r="AR51" s="234"/>
      <c r="AS51" s="234"/>
      <c r="AT51" s="234"/>
      <c r="AU51" s="234"/>
    </row>
    <row r="52" spans="1:47" ht="14.25" x14ac:dyDescent="0.2">
      <c r="A52" s="1169"/>
      <c r="B52" s="1170"/>
      <c r="C52" s="1171"/>
      <c r="D52" s="322"/>
      <c r="E52" s="233"/>
      <c r="F52" s="233"/>
      <c r="G52" s="233"/>
      <c r="H52" s="127"/>
      <c r="I52" s="168"/>
      <c r="J52" s="168"/>
      <c r="K52" s="168"/>
      <c r="L52" s="168"/>
      <c r="M52" s="169"/>
      <c r="N52" s="169"/>
      <c r="O52" s="169"/>
      <c r="Q52" s="234"/>
      <c r="R52" s="234"/>
      <c r="S52" s="234"/>
      <c r="T52" s="234"/>
      <c r="U52" s="234"/>
      <c r="V52" s="234"/>
      <c r="W52" s="234"/>
      <c r="X52" s="155"/>
      <c r="Y52" s="234"/>
      <c r="Z52" s="234"/>
      <c r="AA52" s="234"/>
      <c r="AB52" s="234"/>
      <c r="AC52" s="234"/>
      <c r="AD52" s="234"/>
      <c r="AE52" s="234"/>
      <c r="AF52" s="155"/>
      <c r="AG52" s="234"/>
      <c r="AH52" s="234"/>
      <c r="AI52" s="234"/>
      <c r="AJ52" s="234"/>
      <c r="AK52" s="234"/>
      <c r="AL52" s="234"/>
      <c r="AM52" s="234"/>
      <c r="AN52" s="155"/>
      <c r="AO52" s="234"/>
      <c r="AP52" s="234"/>
      <c r="AQ52" s="234"/>
      <c r="AR52" s="234"/>
      <c r="AS52" s="234"/>
      <c r="AT52" s="234"/>
      <c r="AU52" s="234"/>
    </row>
    <row r="53" spans="1:47" ht="14.25" x14ac:dyDescent="0.2">
      <c r="A53" s="1169"/>
      <c r="B53" s="1170"/>
      <c r="C53" s="1171"/>
      <c r="D53" s="322"/>
      <c r="E53" s="233"/>
      <c r="F53" s="233"/>
      <c r="G53" s="233"/>
      <c r="H53" s="127"/>
      <c r="I53" s="168"/>
      <c r="J53" s="168"/>
      <c r="K53" s="168"/>
      <c r="L53" s="168"/>
      <c r="M53" s="169"/>
      <c r="N53" s="169"/>
      <c r="O53" s="169"/>
      <c r="Q53" s="234"/>
      <c r="R53" s="234"/>
      <c r="S53" s="234"/>
      <c r="T53" s="234"/>
      <c r="U53" s="234"/>
      <c r="V53" s="234"/>
      <c r="W53" s="234"/>
      <c r="X53" s="155"/>
      <c r="Y53" s="234"/>
      <c r="Z53" s="234"/>
      <c r="AA53" s="234"/>
      <c r="AB53" s="234"/>
      <c r="AC53" s="234"/>
      <c r="AD53" s="234"/>
      <c r="AE53" s="234"/>
      <c r="AF53" s="155"/>
      <c r="AG53" s="234"/>
      <c r="AH53" s="234"/>
      <c r="AI53" s="234"/>
      <c r="AJ53" s="234"/>
      <c r="AK53" s="234"/>
      <c r="AL53" s="234"/>
      <c r="AM53" s="234"/>
      <c r="AN53" s="155"/>
      <c r="AO53" s="234"/>
      <c r="AP53" s="234"/>
      <c r="AQ53" s="234"/>
      <c r="AR53" s="234"/>
      <c r="AS53" s="234"/>
      <c r="AT53" s="234"/>
      <c r="AU53" s="234"/>
    </row>
    <row r="54" spans="1:47" ht="14.25" x14ac:dyDescent="0.2">
      <c r="A54" s="1169"/>
      <c r="B54" s="1170"/>
      <c r="C54" s="1171"/>
      <c r="D54" s="322"/>
      <c r="E54" s="233"/>
      <c r="F54" s="233"/>
      <c r="G54" s="233"/>
      <c r="H54" s="127"/>
      <c r="I54" s="168"/>
      <c r="J54" s="168"/>
      <c r="K54" s="168"/>
      <c r="L54" s="168"/>
      <c r="M54" s="169"/>
      <c r="N54" s="169"/>
      <c r="O54" s="169"/>
      <c r="Q54" s="234"/>
      <c r="R54" s="234"/>
      <c r="S54" s="234"/>
      <c r="T54" s="234"/>
      <c r="U54" s="234"/>
      <c r="V54" s="234"/>
      <c r="W54" s="234"/>
      <c r="X54" s="155"/>
      <c r="Y54" s="234"/>
      <c r="Z54" s="234"/>
      <c r="AA54" s="234"/>
      <c r="AB54" s="234"/>
      <c r="AC54" s="234"/>
      <c r="AD54" s="234"/>
      <c r="AE54" s="234"/>
      <c r="AF54" s="155"/>
      <c r="AG54" s="234"/>
      <c r="AH54" s="234"/>
      <c r="AI54" s="234"/>
      <c r="AJ54" s="234"/>
      <c r="AK54" s="234"/>
      <c r="AL54" s="234"/>
      <c r="AM54" s="234"/>
      <c r="AN54" s="155"/>
      <c r="AO54" s="234"/>
      <c r="AP54" s="234"/>
      <c r="AQ54" s="234"/>
      <c r="AR54" s="234"/>
      <c r="AS54" s="234"/>
      <c r="AT54" s="234"/>
      <c r="AU54" s="234"/>
    </row>
    <row r="55" spans="1:47" ht="14.25" x14ac:dyDescent="0.2">
      <c r="A55" s="1169"/>
      <c r="B55" s="1170"/>
      <c r="C55" s="1171"/>
      <c r="D55" s="322"/>
      <c r="E55" s="233"/>
      <c r="F55" s="233"/>
      <c r="G55" s="233"/>
      <c r="H55" s="127"/>
      <c r="I55" s="168"/>
      <c r="J55" s="168"/>
      <c r="K55" s="168"/>
      <c r="L55" s="168"/>
      <c r="M55" s="169"/>
      <c r="N55" s="169"/>
      <c r="O55" s="169"/>
      <c r="Q55" s="234"/>
      <c r="R55" s="234"/>
      <c r="S55" s="234"/>
      <c r="T55" s="234"/>
      <c r="U55" s="234"/>
      <c r="V55" s="234"/>
      <c r="W55" s="234"/>
      <c r="X55" s="155"/>
      <c r="Y55" s="234"/>
      <c r="Z55" s="234"/>
      <c r="AA55" s="234"/>
      <c r="AB55" s="234"/>
      <c r="AC55" s="234"/>
      <c r="AD55" s="234"/>
      <c r="AE55" s="234"/>
      <c r="AF55" s="155"/>
      <c r="AG55" s="234"/>
      <c r="AH55" s="234"/>
      <c r="AI55" s="234"/>
      <c r="AJ55" s="234"/>
      <c r="AK55" s="234"/>
      <c r="AL55" s="234"/>
      <c r="AM55" s="234"/>
      <c r="AN55" s="155"/>
      <c r="AO55" s="234"/>
      <c r="AP55" s="234"/>
      <c r="AQ55" s="234"/>
      <c r="AR55" s="234"/>
      <c r="AS55" s="234"/>
      <c r="AT55" s="234"/>
      <c r="AU55" s="234"/>
    </row>
    <row r="56" spans="1:47" ht="14.25" x14ac:dyDescent="0.2">
      <c r="A56" s="1169"/>
      <c r="B56" s="1170"/>
      <c r="C56" s="1171"/>
      <c r="D56" s="322"/>
      <c r="E56" s="233"/>
      <c r="F56" s="233"/>
      <c r="G56" s="233"/>
      <c r="H56" s="127"/>
      <c r="I56" s="168"/>
      <c r="J56" s="168"/>
      <c r="K56" s="168"/>
      <c r="L56" s="168"/>
      <c r="M56" s="169"/>
      <c r="N56" s="169"/>
      <c r="O56" s="169"/>
      <c r="Q56" s="234"/>
      <c r="R56" s="234"/>
      <c r="S56" s="234"/>
      <c r="T56" s="234"/>
      <c r="U56" s="234"/>
      <c r="V56" s="234"/>
      <c r="W56" s="234"/>
      <c r="X56" s="155"/>
      <c r="Y56" s="234"/>
      <c r="Z56" s="234"/>
      <c r="AA56" s="234"/>
      <c r="AB56" s="234"/>
      <c r="AC56" s="234"/>
      <c r="AD56" s="234"/>
      <c r="AE56" s="234"/>
      <c r="AF56" s="155"/>
      <c r="AG56" s="234"/>
      <c r="AH56" s="234"/>
      <c r="AI56" s="234"/>
      <c r="AJ56" s="234"/>
      <c r="AK56" s="234"/>
      <c r="AL56" s="234"/>
      <c r="AM56" s="234"/>
      <c r="AN56" s="155"/>
      <c r="AO56" s="234"/>
      <c r="AP56" s="234"/>
      <c r="AQ56" s="234"/>
      <c r="AR56" s="234"/>
      <c r="AS56" s="234"/>
      <c r="AT56" s="234"/>
      <c r="AU56" s="234"/>
    </row>
    <row r="57" spans="1:47" ht="14.25" x14ac:dyDescent="0.2">
      <c r="A57" s="1169"/>
      <c r="B57" s="1170"/>
      <c r="C57" s="1171"/>
      <c r="D57" s="322"/>
      <c r="E57" s="233"/>
      <c r="F57" s="233"/>
      <c r="G57" s="233"/>
      <c r="H57" s="127"/>
      <c r="I57" s="168"/>
      <c r="J57" s="168"/>
      <c r="K57" s="168"/>
      <c r="L57" s="168"/>
      <c r="M57" s="169"/>
      <c r="N57" s="169"/>
      <c r="O57" s="169"/>
      <c r="Q57" s="234"/>
      <c r="R57" s="234"/>
      <c r="S57" s="234"/>
      <c r="T57" s="234"/>
      <c r="U57" s="234"/>
      <c r="V57" s="234"/>
      <c r="W57" s="234"/>
      <c r="X57" s="155"/>
      <c r="Y57" s="234"/>
      <c r="Z57" s="234"/>
      <c r="AA57" s="234"/>
      <c r="AB57" s="234"/>
      <c r="AC57" s="234"/>
      <c r="AD57" s="234"/>
      <c r="AE57" s="234"/>
      <c r="AF57" s="155"/>
      <c r="AG57" s="234"/>
      <c r="AH57" s="234"/>
      <c r="AI57" s="234"/>
      <c r="AJ57" s="234"/>
      <c r="AK57" s="234"/>
      <c r="AL57" s="234"/>
      <c r="AM57" s="234"/>
      <c r="AN57" s="155"/>
      <c r="AO57" s="234"/>
      <c r="AP57" s="234"/>
      <c r="AQ57" s="234"/>
      <c r="AR57" s="234"/>
      <c r="AS57" s="234"/>
      <c r="AT57" s="234"/>
      <c r="AU57" s="234"/>
    </row>
    <row r="58" spans="1:47" ht="14.25" x14ac:dyDescent="0.2">
      <c r="A58" s="1183" t="s">
        <v>501</v>
      </c>
      <c r="B58" s="1184"/>
      <c r="C58" s="1185"/>
      <c r="D58" s="324">
        <f>SUM(D43:D57)</f>
        <v>0</v>
      </c>
      <c r="E58" s="233"/>
      <c r="F58" s="233"/>
      <c r="G58" s="233"/>
      <c r="H58" s="127"/>
      <c r="I58" s="168"/>
      <c r="J58" s="168"/>
      <c r="K58" s="168"/>
      <c r="L58" s="168"/>
      <c r="M58" s="169"/>
      <c r="N58" s="169"/>
      <c r="O58" s="169"/>
      <c r="Q58" s="234"/>
      <c r="R58" s="234"/>
      <c r="S58" s="234"/>
      <c r="T58" s="234"/>
      <c r="U58" s="234"/>
      <c r="V58" s="234"/>
      <c r="W58" s="234"/>
      <c r="X58" s="155"/>
      <c r="Y58" s="234"/>
      <c r="Z58" s="234"/>
      <c r="AA58" s="234"/>
      <c r="AB58" s="234"/>
      <c r="AC58" s="234"/>
      <c r="AD58" s="234"/>
      <c r="AE58" s="234"/>
      <c r="AF58" s="155"/>
      <c r="AG58" s="234"/>
      <c r="AH58" s="234"/>
      <c r="AI58" s="234"/>
      <c r="AJ58" s="234"/>
      <c r="AK58" s="234"/>
      <c r="AL58" s="234"/>
      <c r="AM58" s="234"/>
      <c r="AN58" s="155"/>
      <c r="AO58" s="234"/>
      <c r="AP58" s="234"/>
      <c r="AQ58" s="234"/>
      <c r="AR58" s="234"/>
      <c r="AS58" s="234"/>
      <c r="AT58" s="234"/>
      <c r="AU58" s="234"/>
    </row>
    <row r="59" spans="1:47" ht="14.25" x14ac:dyDescent="0.2">
      <c r="A59" s="233"/>
      <c r="B59" s="233"/>
      <c r="C59" s="233"/>
      <c r="D59" s="233"/>
      <c r="E59" s="233"/>
      <c r="F59" s="233"/>
      <c r="G59" s="233"/>
      <c r="H59" s="127"/>
      <c r="I59" s="168"/>
      <c r="J59" s="168"/>
      <c r="K59" s="168"/>
      <c r="L59" s="168"/>
      <c r="M59" s="169"/>
      <c r="N59" s="169"/>
      <c r="O59" s="169"/>
      <c r="Q59" s="234"/>
      <c r="R59" s="234"/>
      <c r="S59" s="234"/>
      <c r="T59" s="234"/>
      <c r="U59" s="234"/>
      <c r="V59" s="234"/>
      <c r="W59" s="234"/>
      <c r="X59" s="155"/>
      <c r="Y59" s="234"/>
      <c r="Z59" s="234"/>
      <c r="AA59" s="234"/>
      <c r="AB59" s="234"/>
      <c r="AC59" s="234"/>
      <c r="AD59" s="234"/>
      <c r="AE59" s="234"/>
      <c r="AF59" s="155"/>
      <c r="AG59" s="234"/>
      <c r="AH59" s="234"/>
      <c r="AI59" s="234"/>
      <c r="AJ59" s="234"/>
      <c r="AK59" s="234"/>
      <c r="AL59" s="234"/>
      <c r="AM59" s="234"/>
      <c r="AN59" s="155"/>
      <c r="AO59" s="234"/>
      <c r="AP59" s="234"/>
      <c r="AQ59" s="234"/>
      <c r="AR59" s="234"/>
      <c r="AS59" s="234"/>
      <c r="AT59" s="234"/>
      <c r="AU59" s="234"/>
    </row>
    <row r="60" spans="1:47" x14ac:dyDescent="0.2">
      <c r="A60" s="103"/>
      <c r="B60" s="103"/>
      <c r="C60" s="103"/>
      <c r="D60" s="103"/>
      <c r="E60" s="103"/>
      <c r="F60" s="116"/>
      <c r="G60" s="103"/>
      <c r="I60" s="105"/>
      <c r="J60" s="105"/>
      <c r="K60" s="105"/>
      <c r="L60" s="105"/>
      <c r="M60" s="155"/>
      <c r="N60" s="155"/>
      <c r="O60" s="155"/>
      <c r="Q60" s="155"/>
      <c r="R60" s="155"/>
      <c r="S60" s="155"/>
      <c r="T60" s="155"/>
      <c r="U60" s="155"/>
      <c r="V60" s="156"/>
      <c r="W60" s="155"/>
      <c r="X60" s="155"/>
      <c r="Y60" s="155"/>
      <c r="Z60" s="155"/>
      <c r="AA60" s="155"/>
      <c r="AB60" s="155"/>
      <c r="AC60" s="155"/>
      <c r="AD60" s="156"/>
      <c r="AE60" s="155"/>
      <c r="AF60" s="155"/>
      <c r="AG60" s="155"/>
      <c r="AH60" s="155"/>
      <c r="AI60" s="155"/>
      <c r="AJ60" s="155"/>
      <c r="AK60" s="155"/>
      <c r="AL60" s="156"/>
      <c r="AM60" s="155"/>
      <c r="AN60" s="155"/>
      <c r="AO60" s="155"/>
      <c r="AP60" s="155"/>
      <c r="AQ60" s="155"/>
      <c r="AR60" s="155"/>
      <c r="AS60" s="155"/>
      <c r="AT60" s="156"/>
      <c r="AU60" s="155"/>
    </row>
    <row r="61" spans="1:47" ht="13.5" thickBot="1" x14ac:dyDescent="0.25">
      <c r="A61" s="103"/>
      <c r="B61" s="103"/>
      <c r="C61" s="103"/>
      <c r="D61" s="103"/>
      <c r="E61" s="103"/>
      <c r="F61" s="116"/>
      <c r="G61" s="103"/>
      <c r="I61" s="105"/>
      <c r="J61" s="105"/>
      <c r="K61" s="105"/>
      <c r="L61" s="105"/>
      <c r="M61" s="155"/>
      <c r="N61" s="155"/>
      <c r="O61" s="155"/>
      <c r="Q61" s="155"/>
      <c r="R61" s="155"/>
      <c r="S61" s="155"/>
      <c r="T61" s="155"/>
      <c r="U61" s="155"/>
      <c r="V61" s="156"/>
      <c r="W61" s="155"/>
      <c r="X61" s="155"/>
      <c r="Y61" s="155"/>
      <c r="Z61" s="155"/>
      <c r="AA61" s="155"/>
      <c r="AB61" s="155"/>
      <c r="AC61" s="155"/>
      <c r="AD61" s="156"/>
      <c r="AE61" s="155"/>
      <c r="AF61" s="155"/>
      <c r="AG61" s="155"/>
      <c r="AH61" s="155"/>
      <c r="AI61" s="155"/>
      <c r="AJ61" s="155"/>
      <c r="AK61" s="155"/>
      <c r="AL61" s="156"/>
      <c r="AM61" s="155"/>
      <c r="AN61" s="155"/>
      <c r="AO61" s="155"/>
      <c r="AP61" s="155"/>
      <c r="AQ61" s="155"/>
      <c r="AR61" s="155"/>
      <c r="AS61" s="155"/>
      <c r="AT61" s="156"/>
      <c r="AU61" s="155"/>
    </row>
    <row r="62" spans="1:47" ht="18" thickTop="1" thickBot="1" x14ac:dyDescent="0.3">
      <c r="A62" s="1186" t="s">
        <v>279</v>
      </c>
      <c r="B62" s="1186"/>
      <c r="C62" s="1187"/>
      <c r="D62" s="856">
        <f>+D40+D58</f>
        <v>0</v>
      </c>
      <c r="E62" s="604" t="s">
        <v>169</v>
      </c>
      <c r="F62" s="604"/>
      <c r="G62" s="605"/>
      <c r="H62" s="119"/>
      <c r="I62" s="105"/>
      <c r="J62" s="105"/>
      <c r="K62" s="1161"/>
      <c r="L62" s="1161"/>
      <c r="M62" s="165"/>
      <c r="N62" s="165"/>
      <c r="O62" s="166"/>
      <c r="Q62" s="155"/>
      <c r="R62" s="155"/>
      <c r="S62" s="1167"/>
      <c r="T62" s="1167"/>
      <c r="U62" s="165"/>
      <c r="V62" s="167"/>
      <c r="W62" s="166"/>
      <c r="X62" s="155"/>
      <c r="Y62" s="155"/>
      <c r="Z62" s="155"/>
      <c r="AA62" s="1167"/>
      <c r="AB62" s="1167"/>
      <c r="AC62" s="165"/>
      <c r="AD62" s="167"/>
      <c r="AE62" s="166"/>
      <c r="AF62" s="155"/>
      <c r="AG62" s="155"/>
      <c r="AH62" s="155"/>
      <c r="AI62" s="1167"/>
      <c r="AJ62" s="1167"/>
      <c r="AK62" s="165"/>
      <c r="AL62" s="167"/>
      <c r="AM62" s="166"/>
      <c r="AN62" s="155"/>
      <c r="AO62" s="155"/>
      <c r="AP62" s="155"/>
      <c r="AQ62" s="1167"/>
      <c r="AR62" s="1167"/>
      <c r="AS62" s="165"/>
      <c r="AT62" s="167"/>
      <c r="AU62" s="166"/>
    </row>
    <row r="63" spans="1:47" ht="13.5" thickTop="1" x14ac:dyDescent="0.2">
      <c r="A63" s="103"/>
      <c r="B63" s="103"/>
      <c r="C63" s="103"/>
      <c r="D63" s="103"/>
      <c r="E63" s="103"/>
      <c r="F63" s="116"/>
      <c r="G63" s="103"/>
      <c r="I63" s="105"/>
      <c r="J63" s="105"/>
      <c r="K63" s="105"/>
      <c r="L63" s="105"/>
      <c r="M63" s="155"/>
      <c r="N63" s="155"/>
      <c r="O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  <c r="AS63" s="155"/>
      <c r="AT63" s="155"/>
      <c r="AU63" s="155"/>
    </row>
    <row r="64" spans="1:47" x14ac:dyDescent="0.2">
      <c r="A64" s="103"/>
      <c r="B64" s="103"/>
      <c r="C64" s="103"/>
      <c r="D64" s="103"/>
      <c r="E64" s="103"/>
      <c r="F64" s="116"/>
      <c r="G64" s="105"/>
      <c r="I64" s="105"/>
      <c r="J64" s="105"/>
      <c r="K64" s="105"/>
      <c r="L64" s="105"/>
      <c r="M64" s="155"/>
      <c r="N64" s="155"/>
      <c r="O64" s="155"/>
      <c r="Q64" s="155"/>
      <c r="R64" s="155"/>
      <c r="S64" s="155"/>
      <c r="T64" s="155"/>
      <c r="U64" s="155"/>
      <c r="V64" s="156"/>
      <c r="W64" s="155"/>
      <c r="X64" s="155"/>
      <c r="Y64" s="155"/>
      <c r="Z64" s="155"/>
      <c r="AA64" s="155"/>
      <c r="AB64" s="155"/>
      <c r="AC64" s="155"/>
      <c r="AD64" s="156"/>
      <c r="AE64" s="155"/>
      <c r="AF64" s="155"/>
      <c r="AG64" s="155"/>
      <c r="AH64" s="155"/>
      <c r="AI64" s="155"/>
      <c r="AJ64" s="155"/>
      <c r="AK64" s="155"/>
      <c r="AL64" s="156"/>
      <c r="AM64" s="155"/>
      <c r="AN64" s="155"/>
      <c r="AO64" s="155"/>
      <c r="AP64" s="155"/>
      <c r="AQ64" s="155"/>
      <c r="AR64" s="155"/>
      <c r="AS64" s="155"/>
      <c r="AT64" s="156"/>
      <c r="AU64" s="155"/>
    </row>
    <row r="65" spans="1:47" s="152" customFormat="1" ht="41.25" customHeight="1" x14ac:dyDescent="0.2">
      <c r="A65" s="1178" t="s">
        <v>169</v>
      </c>
      <c r="B65" s="1178"/>
      <c r="C65" s="1178"/>
      <c r="D65" s="1178"/>
      <c r="E65" s="1178"/>
      <c r="F65" s="1178"/>
      <c r="G65" s="606" t="s">
        <v>169</v>
      </c>
      <c r="H65" s="110"/>
      <c r="I65" s="128"/>
      <c r="J65" s="128"/>
      <c r="K65" s="128"/>
      <c r="L65" s="110"/>
      <c r="M65" s="158"/>
      <c r="N65" s="158"/>
      <c r="O65" s="158"/>
      <c r="Q65" s="157"/>
      <c r="R65" s="157"/>
      <c r="S65" s="157"/>
      <c r="T65" s="158"/>
      <c r="U65" s="158"/>
      <c r="V65" s="159"/>
      <c r="W65" s="158"/>
      <c r="X65" s="160"/>
      <c r="Y65" s="157"/>
      <c r="Z65" s="157"/>
      <c r="AA65" s="157"/>
      <c r="AB65" s="158"/>
      <c r="AC65" s="158"/>
      <c r="AD65" s="159"/>
      <c r="AE65" s="158"/>
      <c r="AF65" s="160"/>
      <c r="AG65" s="157"/>
      <c r="AH65" s="157"/>
      <c r="AI65" s="157"/>
      <c r="AJ65" s="158"/>
      <c r="AK65" s="158"/>
      <c r="AL65" s="159"/>
      <c r="AM65" s="158"/>
      <c r="AN65" s="160"/>
      <c r="AO65" s="157"/>
      <c r="AP65" s="157"/>
      <c r="AQ65" s="157"/>
      <c r="AR65" s="158"/>
      <c r="AS65" s="158"/>
      <c r="AT65" s="159"/>
      <c r="AU65" s="158"/>
    </row>
    <row r="66" spans="1:47" ht="15.95" customHeight="1" x14ac:dyDescent="0.2">
      <c r="A66" s="1179" t="s">
        <v>169</v>
      </c>
      <c r="B66" s="1179"/>
      <c r="C66" s="1179"/>
      <c r="D66" s="1179"/>
      <c r="E66" s="1179"/>
      <c r="F66" s="1179"/>
      <c r="G66" s="607" t="s">
        <v>169</v>
      </c>
      <c r="H66" s="113"/>
      <c r="I66" s="129"/>
      <c r="J66" s="129"/>
      <c r="K66" s="129"/>
      <c r="L66" s="130"/>
      <c r="M66" s="162"/>
      <c r="N66" s="162"/>
      <c r="O66" s="163"/>
      <c r="Q66" s="161"/>
      <c r="R66" s="161"/>
      <c r="S66" s="161"/>
      <c r="T66" s="162"/>
      <c r="U66" s="162"/>
      <c r="V66" s="164"/>
      <c r="W66" s="163"/>
      <c r="X66" s="155"/>
      <c r="Y66" s="161"/>
      <c r="Z66" s="161"/>
      <c r="AA66" s="161"/>
      <c r="AB66" s="162"/>
      <c r="AC66" s="162"/>
      <c r="AD66" s="164"/>
      <c r="AE66" s="163"/>
      <c r="AF66" s="155"/>
      <c r="AG66" s="161"/>
      <c r="AH66" s="161"/>
      <c r="AI66" s="161"/>
      <c r="AJ66" s="162"/>
      <c r="AK66" s="162"/>
      <c r="AL66" s="164"/>
      <c r="AM66" s="163"/>
      <c r="AN66" s="155"/>
      <c r="AO66" s="161"/>
      <c r="AP66" s="161"/>
      <c r="AQ66" s="161"/>
      <c r="AR66" s="162"/>
      <c r="AS66" s="162"/>
      <c r="AT66" s="164"/>
      <c r="AU66" s="163"/>
    </row>
    <row r="67" spans="1:47" ht="15.95" customHeight="1" x14ac:dyDescent="0.2">
      <c r="A67" s="608"/>
      <c r="B67" s="608"/>
      <c r="C67" s="608"/>
      <c r="D67" s="609"/>
      <c r="E67" s="609"/>
      <c r="F67" s="610"/>
      <c r="G67" s="607" t="s">
        <v>169</v>
      </c>
      <c r="H67" s="113"/>
      <c r="I67" s="129"/>
      <c r="J67" s="129"/>
      <c r="K67" s="129"/>
      <c r="L67" s="130"/>
      <c r="M67" s="162"/>
      <c r="N67" s="162"/>
      <c r="O67" s="163"/>
      <c r="Q67" s="161"/>
      <c r="R67" s="161"/>
      <c r="S67" s="161"/>
      <c r="T67" s="162"/>
      <c r="U67" s="162"/>
      <c r="V67" s="164"/>
      <c r="W67" s="163"/>
      <c r="X67" s="155"/>
      <c r="Y67" s="161"/>
      <c r="Z67" s="161"/>
      <c r="AA67" s="161"/>
      <c r="AB67" s="162"/>
      <c r="AC67" s="162"/>
      <c r="AD67" s="164"/>
      <c r="AE67" s="163"/>
      <c r="AF67" s="155"/>
      <c r="AG67" s="161"/>
      <c r="AH67" s="161"/>
      <c r="AI67" s="161"/>
      <c r="AJ67" s="162"/>
      <c r="AK67" s="162"/>
      <c r="AL67" s="164"/>
      <c r="AM67" s="163"/>
      <c r="AN67" s="155"/>
      <c r="AO67" s="161"/>
      <c r="AP67" s="161"/>
      <c r="AQ67" s="161"/>
      <c r="AR67" s="162"/>
      <c r="AS67" s="162"/>
      <c r="AT67" s="164"/>
      <c r="AU67" s="163"/>
    </row>
    <row r="68" spans="1:47" ht="15.95" customHeight="1" x14ac:dyDescent="0.2">
      <c r="A68" s="608"/>
      <c r="B68" s="608"/>
      <c r="C68" s="608"/>
      <c r="D68" s="609"/>
      <c r="E68" s="609"/>
      <c r="F68" s="610"/>
      <c r="G68" s="607" t="s">
        <v>169</v>
      </c>
      <c r="H68" s="113"/>
      <c r="I68" s="129"/>
      <c r="J68" s="129"/>
      <c r="K68" s="129"/>
      <c r="L68" s="130"/>
      <c r="M68" s="162"/>
      <c r="N68" s="162"/>
      <c r="O68" s="163"/>
      <c r="Q68" s="161"/>
      <c r="R68" s="161"/>
      <c r="S68" s="161"/>
      <c r="T68" s="162"/>
      <c r="U68" s="162"/>
      <c r="V68" s="164"/>
      <c r="W68" s="163"/>
      <c r="X68" s="155"/>
      <c r="Y68" s="161"/>
      <c r="Z68" s="161"/>
      <c r="AA68" s="161"/>
      <c r="AB68" s="162"/>
      <c r="AC68" s="162"/>
      <c r="AD68" s="164"/>
      <c r="AE68" s="163"/>
      <c r="AF68" s="155"/>
      <c r="AG68" s="161"/>
      <c r="AH68" s="161"/>
      <c r="AI68" s="161"/>
      <c r="AJ68" s="162"/>
      <c r="AK68" s="162"/>
      <c r="AL68" s="164"/>
      <c r="AM68" s="163"/>
      <c r="AN68" s="155"/>
      <c r="AO68" s="161"/>
      <c r="AP68" s="161"/>
      <c r="AQ68" s="161"/>
      <c r="AR68" s="162"/>
      <c r="AS68" s="162"/>
      <c r="AT68" s="164"/>
      <c r="AU68" s="163"/>
    </row>
    <row r="69" spans="1:47" ht="15.95" customHeight="1" x14ac:dyDescent="0.2">
      <c r="A69" s="608"/>
      <c r="B69" s="608"/>
      <c r="C69" s="608"/>
      <c r="D69" s="609"/>
      <c r="E69" s="609"/>
      <c r="F69" s="610"/>
      <c r="G69" s="607" t="s">
        <v>169</v>
      </c>
      <c r="H69" s="113"/>
      <c r="I69" s="129"/>
      <c r="J69" s="129"/>
      <c r="K69" s="129"/>
      <c r="L69" s="130"/>
      <c r="M69" s="162"/>
      <c r="N69" s="162"/>
      <c r="O69" s="163"/>
      <c r="Q69" s="161"/>
      <c r="R69" s="161"/>
      <c r="S69" s="161"/>
      <c r="T69" s="162"/>
      <c r="U69" s="162"/>
      <c r="V69" s="164"/>
      <c r="W69" s="163"/>
      <c r="X69" s="155"/>
      <c r="Y69" s="161"/>
      <c r="Z69" s="161"/>
      <c r="AA69" s="161"/>
      <c r="AB69" s="162"/>
      <c r="AC69" s="162"/>
      <c r="AD69" s="164"/>
      <c r="AE69" s="163"/>
      <c r="AF69" s="155"/>
      <c r="AG69" s="161"/>
      <c r="AH69" s="161"/>
      <c r="AI69" s="161"/>
      <c r="AJ69" s="162"/>
      <c r="AK69" s="162"/>
      <c r="AL69" s="164"/>
      <c r="AM69" s="163"/>
      <c r="AN69" s="155"/>
      <c r="AO69" s="161"/>
      <c r="AP69" s="161"/>
      <c r="AQ69" s="161"/>
      <c r="AR69" s="162"/>
      <c r="AS69" s="162"/>
      <c r="AT69" s="164"/>
      <c r="AU69" s="163"/>
    </row>
    <row r="70" spans="1:47" ht="15.95" customHeight="1" x14ac:dyDescent="0.2">
      <c r="A70" s="608"/>
      <c r="B70" s="608"/>
      <c r="C70" s="608"/>
      <c r="D70" s="609"/>
      <c r="E70" s="609"/>
      <c r="F70" s="610"/>
      <c r="G70" s="607" t="s">
        <v>169</v>
      </c>
      <c r="H70" s="113"/>
      <c r="I70" s="129"/>
      <c r="J70" s="129"/>
      <c r="K70" s="129"/>
      <c r="L70" s="130"/>
      <c r="M70" s="162"/>
      <c r="N70" s="162"/>
      <c r="O70" s="163"/>
      <c r="Q70" s="161"/>
      <c r="R70" s="161"/>
      <c r="S70" s="161"/>
      <c r="T70" s="162"/>
      <c r="U70" s="162"/>
      <c r="V70" s="164"/>
      <c r="W70" s="163"/>
      <c r="X70" s="155"/>
      <c r="Y70" s="161"/>
      <c r="Z70" s="161"/>
      <c r="AA70" s="161"/>
      <c r="AB70" s="162"/>
      <c r="AC70" s="162"/>
      <c r="AD70" s="164"/>
      <c r="AE70" s="163"/>
      <c r="AF70" s="155"/>
      <c r="AG70" s="161"/>
      <c r="AH70" s="161"/>
      <c r="AI70" s="161"/>
      <c r="AJ70" s="162"/>
      <c r="AK70" s="162"/>
      <c r="AL70" s="164"/>
      <c r="AM70" s="163"/>
      <c r="AN70" s="155"/>
      <c r="AO70" s="161"/>
      <c r="AP70" s="161"/>
      <c r="AQ70" s="161"/>
      <c r="AR70" s="162"/>
      <c r="AS70" s="162"/>
      <c r="AT70" s="164"/>
      <c r="AU70" s="163"/>
    </row>
    <row r="71" spans="1:47" ht="15.95" customHeight="1" x14ac:dyDescent="0.2">
      <c r="A71" s="608"/>
      <c r="B71" s="608"/>
      <c r="C71" s="608"/>
      <c r="D71" s="609"/>
      <c r="E71" s="609"/>
      <c r="F71" s="610"/>
      <c r="G71" s="607" t="s">
        <v>169</v>
      </c>
      <c r="H71" s="113"/>
      <c r="I71" s="129"/>
      <c r="J71" s="129"/>
      <c r="K71" s="129"/>
      <c r="L71" s="130"/>
      <c r="M71" s="162"/>
      <c r="N71" s="162"/>
      <c r="O71" s="163"/>
      <c r="Q71" s="161"/>
      <c r="R71" s="161"/>
      <c r="S71" s="161"/>
      <c r="T71" s="162"/>
      <c r="U71" s="162"/>
      <c r="V71" s="164"/>
      <c r="W71" s="163"/>
      <c r="X71" s="155"/>
      <c r="Y71" s="161"/>
      <c r="Z71" s="161"/>
      <c r="AA71" s="161"/>
      <c r="AB71" s="162"/>
      <c r="AC71" s="162"/>
      <c r="AD71" s="164"/>
      <c r="AE71" s="163"/>
      <c r="AF71" s="155"/>
      <c r="AG71" s="161"/>
      <c r="AH71" s="161"/>
      <c r="AI71" s="161"/>
      <c r="AJ71" s="162"/>
      <c r="AK71" s="162"/>
      <c r="AL71" s="164"/>
      <c r="AM71" s="163"/>
      <c r="AN71" s="155"/>
      <c r="AO71" s="161"/>
      <c r="AP71" s="161"/>
      <c r="AQ71" s="161"/>
      <c r="AR71" s="162"/>
      <c r="AS71" s="162"/>
      <c r="AT71" s="164"/>
      <c r="AU71" s="163"/>
    </row>
    <row r="72" spans="1:47" ht="15.95" customHeight="1" x14ac:dyDescent="0.2">
      <c r="A72" s="608"/>
      <c r="B72" s="608"/>
      <c r="C72" s="608"/>
      <c r="D72" s="609"/>
      <c r="E72" s="609"/>
      <c r="F72" s="610"/>
      <c r="G72" s="607" t="s">
        <v>169</v>
      </c>
      <c r="H72" s="113"/>
      <c r="I72" s="129"/>
      <c r="J72" s="129"/>
      <c r="K72" s="129"/>
      <c r="L72" s="130"/>
      <c r="M72" s="162"/>
      <c r="N72" s="162"/>
      <c r="O72" s="163"/>
      <c r="Q72" s="161"/>
      <c r="R72" s="161"/>
      <c r="S72" s="161"/>
      <c r="T72" s="162"/>
      <c r="U72" s="162"/>
      <c r="V72" s="164"/>
      <c r="W72" s="163"/>
      <c r="X72" s="155"/>
      <c r="Y72" s="161"/>
      <c r="Z72" s="161"/>
      <c r="AA72" s="161"/>
      <c r="AB72" s="162"/>
      <c r="AC72" s="162"/>
      <c r="AD72" s="164"/>
      <c r="AE72" s="163"/>
      <c r="AF72" s="155"/>
      <c r="AG72" s="161"/>
      <c r="AH72" s="161"/>
      <c r="AI72" s="161"/>
      <c r="AJ72" s="162"/>
      <c r="AK72" s="162"/>
      <c r="AL72" s="164"/>
      <c r="AM72" s="163"/>
      <c r="AN72" s="155"/>
      <c r="AO72" s="161"/>
      <c r="AP72" s="161"/>
      <c r="AQ72" s="161"/>
      <c r="AR72" s="162"/>
      <c r="AS72" s="162"/>
      <c r="AT72" s="164"/>
      <c r="AU72" s="163"/>
    </row>
    <row r="73" spans="1:47" ht="15.95" customHeight="1" x14ac:dyDescent="0.2">
      <c r="A73" s="608"/>
      <c r="B73" s="608"/>
      <c r="C73" s="608"/>
      <c r="D73" s="609"/>
      <c r="E73" s="609"/>
      <c r="F73" s="610"/>
      <c r="G73" s="607" t="s">
        <v>169</v>
      </c>
      <c r="H73" s="113"/>
      <c r="I73" s="129"/>
      <c r="J73" s="129"/>
      <c r="K73" s="129"/>
      <c r="L73" s="130"/>
      <c r="M73" s="162"/>
      <c r="N73" s="162"/>
      <c r="O73" s="163"/>
      <c r="Q73" s="161"/>
      <c r="R73" s="161"/>
      <c r="S73" s="161"/>
      <c r="T73" s="162"/>
      <c r="U73" s="162"/>
      <c r="V73" s="164"/>
      <c r="W73" s="163"/>
      <c r="X73" s="155"/>
      <c r="Y73" s="161"/>
      <c r="Z73" s="161"/>
      <c r="AA73" s="161"/>
      <c r="AB73" s="162"/>
      <c r="AC73" s="162"/>
      <c r="AD73" s="164"/>
      <c r="AE73" s="163"/>
      <c r="AF73" s="155"/>
      <c r="AG73" s="161"/>
      <c r="AH73" s="161"/>
      <c r="AI73" s="161"/>
      <c r="AJ73" s="162"/>
      <c r="AK73" s="162"/>
      <c r="AL73" s="164"/>
      <c r="AM73" s="163"/>
      <c r="AN73" s="155"/>
      <c r="AO73" s="161"/>
      <c r="AP73" s="161"/>
      <c r="AQ73" s="161"/>
      <c r="AR73" s="162"/>
      <c r="AS73" s="162"/>
      <c r="AT73" s="164"/>
      <c r="AU73" s="163"/>
    </row>
    <row r="74" spans="1:47" ht="15.95" customHeight="1" x14ac:dyDescent="0.2">
      <c r="A74" s="608"/>
      <c r="B74" s="608"/>
      <c r="C74" s="608"/>
      <c r="D74" s="609"/>
      <c r="E74" s="609"/>
      <c r="F74" s="610"/>
      <c r="G74" s="607" t="s">
        <v>169</v>
      </c>
      <c r="H74" s="113"/>
      <c r="I74" s="129"/>
      <c r="J74" s="129"/>
      <c r="K74" s="129"/>
      <c r="L74" s="130"/>
      <c r="M74" s="162"/>
      <c r="N74" s="162"/>
      <c r="O74" s="163"/>
      <c r="Q74" s="161"/>
      <c r="R74" s="161"/>
      <c r="S74" s="161"/>
      <c r="T74" s="162"/>
      <c r="U74" s="162"/>
      <c r="V74" s="164"/>
      <c r="W74" s="163"/>
      <c r="X74" s="155"/>
      <c r="Y74" s="161"/>
      <c r="Z74" s="161"/>
      <c r="AA74" s="161"/>
      <c r="AB74" s="162"/>
      <c r="AC74" s="162"/>
      <c r="AD74" s="164"/>
      <c r="AE74" s="163"/>
      <c r="AF74" s="155"/>
      <c r="AG74" s="161"/>
      <c r="AH74" s="161"/>
      <c r="AI74" s="161"/>
      <c r="AJ74" s="162"/>
      <c r="AK74" s="162"/>
      <c r="AL74" s="164"/>
      <c r="AM74" s="163"/>
      <c r="AN74" s="155"/>
      <c r="AO74" s="161"/>
      <c r="AP74" s="161"/>
      <c r="AQ74" s="161"/>
      <c r="AR74" s="162"/>
      <c r="AS74" s="162"/>
      <c r="AT74" s="164"/>
      <c r="AU74" s="163"/>
    </row>
    <row r="75" spans="1:47" ht="15.95" customHeight="1" x14ac:dyDescent="0.2">
      <c r="A75" s="608"/>
      <c r="B75" s="608"/>
      <c r="C75" s="608"/>
      <c r="D75" s="609"/>
      <c r="E75" s="609"/>
      <c r="F75" s="610"/>
      <c r="G75" s="607" t="s">
        <v>169</v>
      </c>
      <c r="H75" s="113"/>
      <c r="I75" s="129"/>
      <c r="J75" s="129"/>
      <c r="K75" s="129"/>
      <c r="L75" s="130"/>
      <c r="M75" s="162"/>
      <c r="N75" s="162"/>
      <c r="O75" s="163"/>
      <c r="Q75" s="161"/>
      <c r="R75" s="161"/>
      <c r="S75" s="161"/>
      <c r="T75" s="162"/>
      <c r="U75" s="162"/>
      <c r="V75" s="164"/>
      <c r="W75" s="163"/>
      <c r="X75" s="155"/>
      <c r="Y75" s="161"/>
      <c r="Z75" s="161"/>
      <c r="AA75" s="161"/>
      <c r="AB75" s="162"/>
      <c r="AC75" s="162"/>
      <c r="AD75" s="164"/>
      <c r="AE75" s="163"/>
      <c r="AF75" s="155"/>
      <c r="AG75" s="161"/>
      <c r="AH75" s="161"/>
      <c r="AI75" s="161"/>
      <c r="AJ75" s="162"/>
      <c r="AK75" s="162"/>
      <c r="AL75" s="164"/>
      <c r="AM75" s="163"/>
      <c r="AN75" s="155"/>
      <c r="AO75" s="161"/>
      <c r="AP75" s="161"/>
      <c r="AQ75" s="161"/>
      <c r="AR75" s="162"/>
      <c r="AS75" s="162"/>
      <c r="AT75" s="164"/>
      <c r="AU75" s="163"/>
    </row>
    <row r="76" spans="1:47" ht="15.95" customHeight="1" x14ac:dyDescent="0.2">
      <c r="A76" s="608"/>
      <c r="B76" s="608"/>
      <c r="C76" s="608"/>
      <c r="D76" s="609"/>
      <c r="E76" s="609"/>
      <c r="F76" s="610"/>
      <c r="G76" s="607" t="s">
        <v>169</v>
      </c>
      <c r="H76" s="113"/>
      <c r="I76" s="129"/>
      <c r="J76" s="129"/>
      <c r="K76" s="129"/>
      <c r="L76" s="130"/>
      <c r="M76" s="162"/>
      <c r="N76" s="162"/>
      <c r="O76" s="163"/>
      <c r="Q76" s="161"/>
      <c r="R76" s="161"/>
      <c r="S76" s="161"/>
      <c r="T76" s="162"/>
      <c r="U76" s="162"/>
      <c r="V76" s="164"/>
      <c r="W76" s="163"/>
      <c r="X76" s="155"/>
      <c r="Y76" s="161"/>
      <c r="Z76" s="161"/>
      <c r="AA76" s="161"/>
      <c r="AB76" s="162"/>
      <c r="AC76" s="162"/>
      <c r="AD76" s="164"/>
      <c r="AE76" s="163"/>
      <c r="AF76" s="155"/>
      <c r="AG76" s="161"/>
      <c r="AH76" s="161"/>
      <c r="AI76" s="161"/>
      <c r="AJ76" s="162"/>
      <c r="AK76" s="162"/>
      <c r="AL76" s="164"/>
      <c r="AM76" s="163"/>
      <c r="AN76" s="155"/>
      <c r="AO76" s="161"/>
      <c r="AP76" s="161"/>
      <c r="AQ76" s="161"/>
      <c r="AR76" s="162"/>
      <c r="AS76" s="162"/>
      <c r="AT76" s="164"/>
      <c r="AU76" s="163"/>
    </row>
    <row r="77" spans="1:47" ht="15.95" customHeight="1" x14ac:dyDescent="0.2">
      <c r="A77" s="608"/>
      <c r="B77" s="608"/>
      <c r="C77" s="608"/>
      <c r="D77" s="609"/>
      <c r="E77" s="609"/>
      <c r="F77" s="610"/>
      <c r="G77" s="607" t="s">
        <v>169</v>
      </c>
      <c r="H77" s="113"/>
      <c r="I77" s="129"/>
      <c r="J77" s="129"/>
      <c r="K77" s="129"/>
      <c r="L77" s="130"/>
      <c r="M77" s="162"/>
      <c r="N77" s="162"/>
      <c r="O77" s="163"/>
      <c r="Q77" s="161"/>
      <c r="R77" s="161"/>
      <c r="S77" s="161"/>
      <c r="T77" s="162"/>
      <c r="U77" s="162"/>
      <c r="V77" s="164"/>
      <c r="W77" s="163"/>
      <c r="X77" s="155"/>
      <c r="Y77" s="161"/>
      <c r="Z77" s="161"/>
      <c r="AA77" s="161"/>
      <c r="AB77" s="162"/>
      <c r="AC77" s="162"/>
      <c r="AD77" s="164"/>
      <c r="AE77" s="163"/>
      <c r="AF77" s="155"/>
      <c r="AG77" s="161"/>
      <c r="AH77" s="161"/>
      <c r="AI77" s="161"/>
      <c r="AJ77" s="162"/>
      <c r="AK77" s="162"/>
      <c r="AL77" s="164"/>
      <c r="AM77" s="163"/>
      <c r="AN77" s="155"/>
      <c r="AO77" s="161"/>
      <c r="AP77" s="161"/>
      <c r="AQ77" s="161"/>
      <c r="AR77" s="162"/>
      <c r="AS77" s="162"/>
      <c r="AT77" s="164"/>
      <c r="AU77" s="163"/>
    </row>
    <row r="78" spans="1:47" ht="15.95" customHeight="1" x14ac:dyDescent="0.2">
      <c r="A78" s="608"/>
      <c r="B78" s="608"/>
      <c r="C78" s="608"/>
      <c r="D78" s="609"/>
      <c r="E78" s="609"/>
      <c r="F78" s="610"/>
      <c r="G78" s="607" t="s">
        <v>169</v>
      </c>
      <c r="H78" s="113"/>
      <c r="I78" s="129"/>
      <c r="J78" s="129"/>
      <c r="K78" s="129"/>
      <c r="L78" s="130"/>
      <c r="M78" s="162"/>
      <c r="N78" s="162"/>
      <c r="O78" s="163"/>
      <c r="Q78" s="161"/>
      <c r="R78" s="161"/>
      <c r="S78" s="161"/>
      <c r="T78" s="162"/>
      <c r="U78" s="162"/>
      <c r="V78" s="164"/>
      <c r="W78" s="163"/>
      <c r="X78" s="155"/>
      <c r="Y78" s="161"/>
      <c r="Z78" s="161"/>
      <c r="AA78" s="161"/>
      <c r="AB78" s="162"/>
      <c r="AC78" s="162"/>
      <c r="AD78" s="164"/>
      <c r="AE78" s="163"/>
      <c r="AF78" s="155"/>
      <c r="AG78" s="161"/>
      <c r="AH78" s="161"/>
      <c r="AI78" s="161"/>
      <c r="AJ78" s="162"/>
      <c r="AK78" s="162"/>
      <c r="AL78" s="164"/>
      <c r="AM78" s="163"/>
      <c r="AN78" s="155"/>
      <c r="AO78" s="161"/>
      <c r="AP78" s="161"/>
      <c r="AQ78" s="161"/>
      <c r="AR78" s="162"/>
      <c r="AS78" s="162"/>
      <c r="AT78" s="164"/>
      <c r="AU78" s="163"/>
    </row>
    <row r="79" spans="1:47" ht="15.95" customHeight="1" x14ac:dyDescent="0.2">
      <c r="A79" s="608"/>
      <c r="B79" s="608"/>
      <c r="C79" s="608"/>
      <c r="D79" s="609"/>
      <c r="E79" s="609"/>
      <c r="F79" s="610"/>
      <c r="G79" s="607" t="s">
        <v>169</v>
      </c>
      <c r="H79" s="113"/>
      <c r="I79" s="129"/>
      <c r="J79" s="129"/>
      <c r="K79" s="129"/>
      <c r="L79" s="130"/>
      <c r="M79" s="162"/>
      <c r="N79" s="162"/>
      <c r="O79" s="163"/>
      <c r="Q79" s="161"/>
      <c r="R79" s="161"/>
      <c r="S79" s="161"/>
      <c r="T79" s="162"/>
      <c r="U79" s="162"/>
      <c r="V79" s="164"/>
      <c r="W79" s="163"/>
      <c r="X79" s="155"/>
      <c r="Y79" s="161"/>
      <c r="Z79" s="161"/>
      <c r="AA79" s="161"/>
      <c r="AB79" s="162"/>
      <c r="AC79" s="162"/>
      <c r="AD79" s="164"/>
      <c r="AE79" s="163"/>
      <c r="AF79" s="155"/>
      <c r="AG79" s="161"/>
      <c r="AH79" s="161"/>
      <c r="AI79" s="161"/>
      <c r="AJ79" s="162"/>
      <c r="AK79" s="162"/>
      <c r="AL79" s="164"/>
      <c r="AM79" s="163"/>
      <c r="AN79" s="155"/>
      <c r="AO79" s="161"/>
      <c r="AP79" s="161"/>
      <c r="AQ79" s="161"/>
      <c r="AR79" s="162"/>
      <c r="AS79" s="162"/>
      <c r="AT79" s="164"/>
      <c r="AU79" s="163"/>
    </row>
    <row r="80" spans="1:47" ht="15.95" customHeight="1" x14ac:dyDescent="0.2">
      <c r="A80" s="608"/>
      <c r="B80" s="608"/>
      <c r="C80" s="608"/>
      <c r="D80" s="609"/>
      <c r="E80" s="609"/>
      <c r="F80" s="610"/>
      <c r="G80" s="607" t="s">
        <v>169</v>
      </c>
      <c r="H80" s="113"/>
      <c r="I80" s="129"/>
      <c r="J80" s="129"/>
      <c r="K80" s="129"/>
      <c r="L80" s="130"/>
      <c r="M80" s="162"/>
      <c r="N80" s="162"/>
      <c r="O80" s="163"/>
      <c r="Q80" s="161"/>
      <c r="R80" s="161"/>
      <c r="S80" s="161"/>
      <c r="T80" s="162"/>
      <c r="U80" s="162"/>
      <c r="V80" s="164"/>
      <c r="W80" s="163"/>
      <c r="X80" s="155"/>
      <c r="Y80" s="161"/>
      <c r="Z80" s="161"/>
      <c r="AA80" s="161"/>
      <c r="AB80" s="162"/>
      <c r="AC80" s="162"/>
      <c r="AD80" s="164"/>
      <c r="AE80" s="163"/>
      <c r="AF80" s="155"/>
      <c r="AG80" s="161"/>
      <c r="AH80" s="161"/>
      <c r="AI80" s="161"/>
      <c r="AJ80" s="162"/>
      <c r="AK80" s="162"/>
      <c r="AL80" s="164"/>
      <c r="AM80" s="163"/>
      <c r="AN80" s="155"/>
      <c r="AO80" s="161"/>
      <c r="AP80" s="161"/>
      <c r="AQ80" s="161"/>
      <c r="AR80" s="162"/>
      <c r="AS80" s="162"/>
      <c r="AT80" s="164"/>
      <c r="AU80" s="163"/>
    </row>
    <row r="81" spans="1:47" ht="15.95" customHeight="1" x14ac:dyDescent="0.2">
      <c r="A81" s="608"/>
      <c r="B81" s="608"/>
      <c r="C81" s="608"/>
      <c r="D81" s="609"/>
      <c r="E81" s="609"/>
      <c r="F81" s="610"/>
      <c r="G81" s="607" t="s">
        <v>169</v>
      </c>
      <c r="H81" s="113"/>
      <c r="I81" s="129"/>
      <c r="J81" s="129"/>
      <c r="K81" s="129"/>
      <c r="L81" s="130"/>
      <c r="M81" s="162"/>
      <c r="N81" s="162"/>
      <c r="O81" s="163"/>
      <c r="Q81" s="161"/>
      <c r="R81" s="161"/>
      <c r="S81" s="161"/>
      <c r="T81" s="162"/>
      <c r="U81" s="162"/>
      <c r="V81" s="164"/>
      <c r="W81" s="163"/>
      <c r="X81" s="155"/>
      <c r="Y81" s="161"/>
      <c r="Z81" s="161"/>
      <c r="AA81" s="161"/>
      <c r="AB81" s="162"/>
      <c r="AC81" s="162"/>
      <c r="AD81" s="164"/>
      <c r="AE81" s="163"/>
      <c r="AF81" s="155"/>
      <c r="AG81" s="161"/>
      <c r="AH81" s="161"/>
      <c r="AI81" s="161"/>
      <c r="AJ81" s="162"/>
      <c r="AK81" s="162"/>
      <c r="AL81" s="164"/>
      <c r="AM81" s="163"/>
      <c r="AN81" s="155"/>
      <c r="AO81" s="161"/>
      <c r="AP81" s="161"/>
      <c r="AQ81" s="161"/>
      <c r="AR81" s="162"/>
      <c r="AS81" s="162"/>
      <c r="AT81" s="164"/>
      <c r="AU81" s="163"/>
    </row>
    <row r="82" spans="1:47" ht="15.95" customHeight="1" x14ac:dyDescent="0.2">
      <c r="A82" s="608"/>
      <c r="B82" s="608"/>
      <c r="C82" s="608"/>
      <c r="D82" s="609"/>
      <c r="E82" s="609"/>
      <c r="F82" s="610"/>
      <c r="G82" s="607" t="s">
        <v>169</v>
      </c>
      <c r="H82" s="113"/>
      <c r="I82" s="129"/>
      <c r="J82" s="129"/>
      <c r="K82" s="129"/>
      <c r="L82" s="130"/>
      <c r="M82" s="162"/>
      <c r="N82" s="162"/>
      <c r="O82" s="163"/>
      <c r="Q82" s="161"/>
      <c r="R82" s="161"/>
      <c r="S82" s="161"/>
      <c r="T82" s="162"/>
      <c r="U82" s="162"/>
      <c r="V82" s="164"/>
      <c r="W82" s="163"/>
      <c r="X82" s="155"/>
      <c r="Y82" s="161"/>
      <c r="Z82" s="161"/>
      <c r="AA82" s="161"/>
      <c r="AB82" s="162"/>
      <c r="AC82" s="162"/>
      <c r="AD82" s="164"/>
      <c r="AE82" s="163"/>
      <c r="AF82" s="155"/>
      <c r="AG82" s="161"/>
      <c r="AH82" s="161"/>
      <c r="AI82" s="161"/>
      <c r="AJ82" s="162"/>
      <c r="AK82" s="162"/>
      <c r="AL82" s="164"/>
      <c r="AM82" s="163"/>
      <c r="AN82" s="155"/>
      <c r="AO82" s="161"/>
      <c r="AP82" s="161"/>
      <c r="AQ82" s="161"/>
      <c r="AR82" s="162"/>
      <c r="AS82" s="162"/>
      <c r="AT82" s="164"/>
      <c r="AU82" s="163"/>
    </row>
    <row r="83" spans="1:47" ht="15.95" customHeight="1" x14ac:dyDescent="0.2">
      <c r="A83" s="608"/>
      <c r="B83" s="608"/>
      <c r="C83" s="608"/>
      <c r="D83" s="609"/>
      <c r="E83" s="609"/>
      <c r="F83" s="610"/>
      <c r="G83" s="607" t="s">
        <v>169</v>
      </c>
      <c r="H83" s="113"/>
      <c r="I83" s="129"/>
      <c r="J83" s="129"/>
      <c r="K83" s="129"/>
      <c r="L83" s="130"/>
      <c r="M83" s="162"/>
      <c r="N83" s="162"/>
      <c r="O83" s="163"/>
      <c r="Q83" s="161"/>
      <c r="R83" s="161"/>
      <c r="S83" s="161"/>
      <c r="T83" s="162"/>
      <c r="U83" s="162"/>
      <c r="V83" s="164"/>
      <c r="W83" s="163"/>
      <c r="X83" s="155"/>
      <c r="Y83" s="161"/>
      <c r="Z83" s="161"/>
      <c r="AA83" s="161"/>
      <c r="AB83" s="162"/>
      <c r="AC83" s="162"/>
      <c r="AD83" s="164"/>
      <c r="AE83" s="163"/>
      <c r="AF83" s="155"/>
      <c r="AG83" s="161"/>
      <c r="AH83" s="161"/>
      <c r="AI83" s="161"/>
      <c r="AJ83" s="162"/>
      <c r="AK83" s="162"/>
      <c r="AL83" s="164"/>
      <c r="AM83" s="163"/>
      <c r="AN83" s="155"/>
      <c r="AO83" s="161"/>
      <c r="AP83" s="161"/>
      <c r="AQ83" s="161"/>
      <c r="AR83" s="162"/>
      <c r="AS83" s="162"/>
      <c r="AT83" s="164"/>
      <c r="AU83" s="163"/>
    </row>
    <row r="84" spans="1:47" ht="15.95" customHeight="1" x14ac:dyDescent="0.2">
      <c r="A84" s="608"/>
      <c r="B84" s="608"/>
      <c r="C84" s="608"/>
      <c r="D84" s="609"/>
      <c r="E84" s="609"/>
      <c r="F84" s="610"/>
      <c r="G84" s="607" t="s">
        <v>169</v>
      </c>
      <c r="H84" s="113"/>
      <c r="I84" s="129"/>
      <c r="J84" s="129"/>
      <c r="K84" s="129"/>
      <c r="L84" s="130"/>
      <c r="M84" s="162"/>
      <c r="N84" s="162"/>
      <c r="O84" s="163"/>
      <c r="Q84" s="161"/>
      <c r="R84" s="161"/>
      <c r="S84" s="161"/>
      <c r="T84" s="162"/>
      <c r="U84" s="162"/>
      <c r="V84" s="164"/>
      <c r="W84" s="163"/>
      <c r="X84" s="155"/>
      <c r="Y84" s="161"/>
      <c r="Z84" s="161"/>
      <c r="AA84" s="161"/>
      <c r="AB84" s="162"/>
      <c r="AC84" s="162"/>
      <c r="AD84" s="164"/>
      <c r="AE84" s="163"/>
      <c r="AF84" s="155"/>
      <c r="AG84" s="161"/>
      <c r="AH84" s="161"/>
      <c r="AI84" s="161"/>
      <c r="AJ84" s="162"/>
      <c r="AK84" s="162"/>
      <c r="AL84" s="164"/>
      <c r="AM84" s="163"/>
      <c r="AN84" s="155"/>
      <c r="AO84" s="161"/>
      <c r="AP84" s="161"/>
      <c r="AQ84" s="161"/>
      <c r="AR84" s="162"/>
      <c r="AS84" s="162"/>
      <c r="AT84" s="164"/>
      <c r="AU84" s="163"/>
    </row>
    <row r="85" spans="1:47" ht="15.95" customHeight="1" x14ac:dyDescent="0.2">
      <c r="A85" s="608"/>
      <c r="B85" s="608"/>
      <c r="C85" s="608"/>
      <c r="D85" s="609"/>
      <c r="E85" s="609"/>
      <c r="F85" s="610"/>
      <c r="G85" s="607" t="s">
        <v>169</v>
      </c>
      <c r="H85" s="113"/>
      <c r="I85" s="129"/>
      <c r="J85" s="129"/>
      <c r="K85" s="129"/>
      <c r="L85" s="130"/>
      <c r="M85" s="162"/>
      <c r="N85" s="162"/>
      <c r="O85" s="163"/>
      <c r="Q85" s="161"/>
      <c r="R85" s="161"/>
      <c r="S85" s="161"/>
      <c r="T85" s="162"/>
      <c r="U85" s="162"/>
      <c r="V85" s="164"/>
      <c r="W85" s="163"/>
      <c r="X85" s="155"/>
      <c r="Y85" s="161"/>
      <c r="Z85" s="161"/>
      <c r="AA85" s="161"/>
      <c r="AB85" s="162"/>
      <c r="AC85" s="162"/>
      <c r="AD85" s="164"/>
      <c r="AE85" s="163"/>
      <c r="AF85" s="155"/>
      <c r="AG85" s="161"/>
      <c r="AH85" s="161"/>
      <c r="AI85" s="161"/>
      <c r="AJ85" s="162"/>
      <c r="AK85" s="162"/>
      <c r="AL85" s="164"/>
      <c r="AM85" s="163"/>
      <c r="AN85" s="155"/>
      <c r="AO85" s="161"/>
      <c r="AP85" s="161"/>
      <c r="AQ85" s="161"/>
      <c r="AR85" s="162"/>
      <c r="AS85" s="162"/>
      <c r="AT85" s="164"/>
      <c r="AU85" s="163"/>
    </row>
    <row r="86" spans="1:47" ht="15.95" customHeight="1" x14ac:dyDescent="0.2">
      <c r="A86" s="608"/>
      <c r="B86" s="608"/>
      <c r="C86" s="608"/>
      <c r="D86" s="609"/>
      <c r="E86" s="609"/>
      <c r="F86" s="610"/>
      <c r="G86" s="607" t="s">
        <v>169</v>
      </c>
      <c r="H86" s="113"/>
      <c r="I86" s="129"/>
      <c r="J86" s="129"/>
      <c r="K86" s="129"/>
      <c r="L86" s="130"/>
      <c r="M86" s="162"/>
      <c r="N86" s="162"/>
      <c r="O86" s="163"/>
      <c r="Q86" s="161"/>
      <c r="R86" s="161"/>
      <c r="S86" s="161"/>
      <c r="T86" s="162"/>
      <c r="U86" s="162"/>
      <c r="V86" s="164"/>
      <c r="W86" s="163"/>
      <c r="X86" s="155"/>
      <c r="Y86" s="161"/>
      <c r="Z86" s="161"/>
      <c r="AA86" s="161"/>
      <c r="AB86" s="162"/>
      <c r="AC86" s="162"/>
      <c r="AD86" s="164"/>
      <c r="AE86" s="163"/>
      <c r="AF86" s="155"/>
      <c r="AG86" s="161"/>
      <c r="AH86" s="161"/>
      <c r="AI86" s="161"/>
      <c r="AJ86" s="162"/>
      <c r="AK86" s="162"/>
      <c r="AL86" s="164"/>
      <c r="AM86" s="163"/>
      <c r="AN86" s="155"/>
      <c r="AO86" s="161"/>
      <c r="AP86" s="161"/>
      <c r="AQ86" s="161"/>
      <c r="AR86" s="162"/>
      <c r="AS86" s="162"/>
      <c r="AT86" s="164"/>
      <c r="AU86" s="163"/>
    </row>
    <row r="87" spans="1:47" ht="15.95" customHeight="1" x14ac:dyDescent="0.2">
      <c r="A87" s="608"/>
      <c r="B87" s="608"/>
      <c r="C87" s="608"/>
      <c r="D87" s="609"/>
      <c r="E87" s="609"/>
      <c r="F87" s="610"/>
      <c r="G87" s="607" t="s">
        <v>169</v>
      </c>
      <c r="H87" s="113"/>
      <c r="I87" s="129"/>
      <c r="J87" s="129"/>
      <c r="K87" s="129"/>
      <c r="L87" s="130"/>
      <c r="M87" s="162"/>
      <c r="N87" s="162"/>
      <c r="O87" s="163"/>
      <c r="Q87" s="161"/>
      <c r="R87" s="161"/>
      <c r="S87" s="161"/>
      <c r="T87" s="162"/>
      <c r="U87" s="162"/>
      <c r="V87" s="164"/>
      <c r="W87" s="163"/>
      <c r="X87" s="155"/>
      <c r="Y87" s="161"/>
      <c r="Z87" s="161"/>
      <c r="AA87" s="161"/>
      <c r="AB87" s="162"/>
      <c r="AC87" s="162"/>
      <c r="AD87" s="164"/>
      <c r="AE87" s="163"/>
      <c r="AF87" s="155"/>
      <c r="AG87" s="161"/>
      <c r="AH87" s="161"/>
      <c r="AI87" s="161"/>
      <c r="AJ87" s="162"/>
      <c r="AK87" s="162"/>
      <c r="AL87" s="164"/>
      <c r="AM87" s="163"/>
      <c r="AN87" s="155"/>
      <c r="AO87" s="161"/>
      <c r="AP87" s="161"/>
      <c r="AQ87" s="161"/>
      <c r="AR87" s="162"/>
      <c r="AS87" s="162"/>
      <c r="AT87" s="164"/>
      <c r="AU87" s="163"/>
    </row>
    <row r="88" spans="1:47" ht="15.95" customHeight="1" x14ac:dyDescent="0.2">
      <c r="A88" s="608"/>
      <c r="B88" s="608"/>
      <c r="C88" s="608"/>
      <c r="D88" s="609"/>
      <c r="E88" s="609"/>
      <c r="F88" s="610"/>
      <c r="G88" s="607" t="s">
        <v>169</v>
      </c>
      <c r="H88" s="113"/>
      <c r="I88" s="129"/>
      <c r="J88" s="129"/>
      <c r="K88" s="129"/>
      <c r="L88" s="130"/>
      <c r="M88" s="162"/>
      <c r="N88" s="162"/>
      <c r="O88" s="163"/>
      <c r="Q88" s="161"/>
      <c r="R88" s="161"/>
      <c r="S88" s="161"/>
      <c r="T88" s="162"/>
      <c r="U88" s="162"/>
      <c r="V88" s="164"/>
      <c r="W88" s="163"/>
      <c r="X88" s="155"/>
      <c r="Y88" s="161"/>
      <c r="Z88" s="161"/>
      <c r="AA88" s="161"/>
      <c r="AB88" s="162"/>
      <c r="AC88" s="162"/>
      <c r="AD88" s="164"/>
      <c r="AE88" s="163"/>
      <c r="AF88" s="155"/>
      <c r="AG88" s="161"/>
      <c r="AH88" s="161"/>
      <c r="AI88" s="161"/>
      <c r="AJ88" s="162"/>
      <c r="AK88" s="162"/>
      <c r="AL88" s="164"/>
      <c r="AM88" s="163"/>
      <c r="AN88" s="155"/>
      <c r="AO88" s="161"/>
      <c r="AP88" s="161"/>
      <c r="AQ88" s="161"/>
      <c r="AR88" s="162"/>
      <c r="AS88" s="162"/>
      <c r="AT88" s="164"/>
      <c r="AU88" s="163"/>
    </row>
    <row r="89" spans="1:47" ht="15.95" customHeight="1" x14ac:dyDescent="0.2">
      <c r="A89" s="608"/>
      <c r="B89" s="608"/>
      <c r="C89" s="608"/>
      <c r="D89" s="609"/>
      <c r="E89" s="609"/>
      <c r="F89" s="610"/>
      <c r="G89" s="607" t="s">
        <v>169</v>
      </c>
      <c r="H89" s="113"/>
      <c r="I89" s="129"/>
      <c r="J89" s="129"/>
      <c r="K89" s="129"/>
      <c r="L89" s="130"/>
      <c r="M89" s="162"/>
      <c r="N89" s="162"/>
      <c r="O89" s="163"/>
      <c r="Q89" s="161"/>
      <c r="R89" s="161"/>
      <c r="S89" s="161"/>
      <c r="T89" s="162"/>
      <c r="U89" s="162"/>
      <c r="V89" s="164"/>
      <c r="W89" s="163"/>
      <c r="X89" s="155"/>
      <c r="Y89" s="161"/>
      <c r="Z89" s="161"/>
      <c r="AA89" s="161"/>
      <c r="AB89" s="162"/>
      <c r="AC89" s="162"/>
      <c r="AD89" s="164"/>
      <c r="AE89" s="163"/>
      <c r="AF89" s="155"/>
      <c r="AG89" s="161"/>
      <c r="AH89" s="161"/>
      <c r="AI89" s="161"/>
      <c r="AJ89" s="162"/>
      <c r="AK89" s="162"/>
      <c r="AL89" s="164"/>
      <c r="AM89" s="163"/>
      <c r="AN89" s="155"/>
      <c r="AO89" s="161"/>
      <c r="AP89" s="161"/>
      <c r="AQ89" s="161"/>
      <c r="AR89" s="162"/>
      <c r="AS89" s="162"/>
      <c r="AT89" s="164"/>
      <c r="AU89" s="163"/>
    </row>
    <row r="90" spans="1:47" ht="15.95" customHeight="1" x14ac:dyDescent="0.2">
      <c r="A90" s="608"/>
      <c r="B90" s="608"/>
      <c r="C90" s="608"/>
      <c r="D90" s="609"/>
      <c r="E90" s="609"/>
      <c r="F90" s="610"/>
      <c r="G90" s="607" t="s">
        <v>169</v>
      </c>
      <c r="H90" s="113"/>
      <c r="I90" s="129"/>
      <c r="J90" s="129"/>
      <c r="K90" s="129"/>
      <c r="L90" s="130"/>
      <c r="M90" s="162"/>
      <c r="N90" s="162"/>
      <c r="O90" s="163"/>
      <c r="Q90" s="161"/>
      <c r="R90" s="161"/>
      <c r="S90" s="161"/>
      <c r="T90" s="162"/>
      <c r="U90" s="162"/>
      <c r="V90" s="164"/>
      <c r="W90" s="163"/>
      <c r="X90" s="155"/>
      <c r="Y90" s="161"/>
      <c r="Z90" s="161"/>
      <c r="AA90" s="161"/>
      <c r="AB90" s="162"/>
      <c r="AC90" s="162"/>
      <c r="AD90" s="164"/>
      <c r="AE90" s="163"/>
      <c r="AF90" s="155"/>
      <c r="AG90" s="161"/>
      <c r="AH90" s="161"/>
      <c r="AI90" s="161"/>
      <c r="AJ90" s="162"/>
      <c r="AK90" s="162"/>
      <c r="AL90" s="164"/>
      <c r="AM90" s="163"/>
      <c r="AN90" s="155"/>
      <c r="AO90" s="161"/>
      <c r="AP90" s="161"/>
      <c r="AQ90" s="161"/>
      <c r="AR90" s="162"/>
      <c r="AS90" s="162"/>
      <c r="AT90" s="164"/>
      <c r="AU90" s="163"/>
    </row>
    <row r="91" spans="1:47" ht="15.95" customHeight="1" x14ac:dyDescent="0.2">
      <c r="A91" s="608"/>
      <c r="B91" s="608"/>
      <c r="C91" s="608"/>
      <c r="D91" s="609"/>
      <c r="E91" s="609"/>
      <c r="F91" s="610"/>
      <c r="G91" s="607" t="s">
        <v>169</v>
      </c>
      <c r="H91" s="113"/>
      <c r="I91" s="129"/>
      <c r="J91" s="129"/>
      <c r="K91" s="129"/>
      <c r="L91" s="130"/>
      <c r="M91" s="162"/>
      <c r="N91" s="162"/>
      <c r="O91" s="163"/>
      <c r="Q91" s="161"/>
      <c r="R91" s="161"/>
      <c r="S91" s="161"/>
      <c r="T91" s="162"/>
      <c r="U91" s="162"/>
      <c r="V91" s="164"/>
      <c r="W91" s="163"/>
      <c r="X91" s="155"/>
      <c r="Y91" s="161"/>
      <c r="Z91" s="161"/>
      <c r="AA91" s="161"/>
      <c r="AB91" s="162"/>
      <c r="AC91" s="162"/>
      <c r="AD91" s="164"/>
      <c r="AE91" s="163"/>
      <c r="AF91" s="155"/>
      <c r="AG91" s="161"/>
      <c r="AH91" s="161"/>
      <c r="AI91" s="161"/>
      <c r="AJ91" s="162"/>
      <c r="AK91" s="162"/>
      <c r="AL91" s="164"/>
      <c r="AM91" s="163"/>
      <c r="AN91" s="155"/>
      <c r="AO91" s="161"/>
      <c r="AP91" s="161"/>
      <c r="AQ91" s="161"/>
      <c r="AR91" s="162"/>
      <c r="AS91" s="162"/>
      <c r="AT91" s="164"/>
      <c r="AU91" s="163"/>
    </row>
    <row r="92" spans="1:47" ht="15.95" customHeight="1" x14ac:dyDescent="0.2">
      <c r="A92" s="608"/>
      <c r="B92" s="608"/>
      <c r="C92" s="608"/>
      <c r="D92" s="609"/>
      <c r="E92" s="609"/>
      <c r="F92" s="610"/>
      <c r="G92" s="607" t="s">
        <v>169</v>
      </c>
      <c r="H92" s="113"/>
      <c r="I92" s="129"/>
      <c r="J92" s="129"/>
      <c r="K92" s="129"/>
      <c r="L92" s="130"/>
      <c r="M92" s="162"/>
      <c r="N92" s="162"/>
      <c r="O92" s="163"/>
      <c r="Q92" s="161"/>
      <c r="R92" s="161"/>
      <c r="S92" s="161"/>
      <c r="T92" s="162"/>
      <c r="U92" s="162"/>
      <c r="V92" s="164"/>
      <c r="W92" s="163"/>
      <c r="X92" s="155"/>
      <c r="Y92" s="161"/>
      <c r="Z92" s="161"/>
      <c r="AA92" s="161"/>
      <c r="AB92" s="162"/>
      <c r="AC92" s="162"/>
      <c r="AD92" s="164"/>
      <c r="AE92" s="163"/>
      <c r="AF92" s="155"/>
      <c r="AG92" s="161"/>
      <c r="AH92" s="161"/>
      <c r="AI92" s="161"/>
      <c r="AJ92" s="162"/>
      <c r="AK92" s="162"/>
      <c r="AL92" s="164"/>
      <c r="AM92" s="163"/>
      <c r="AN92" s="155"/>
      <c r="AO92" s="161"/>
      <c r="AP92" s="161"/>
      <c r="AQ92" s="161"/>
      <c r="AR92" s="162"/>
      <c r="AS92" s="162"/>
      <c r="AT92" s="164"/>
      <c r="AU92" s="163"/>
    </row>
    <row r="93" spans="1:47" ht="15.95" customHeight="1" x14ac:dyDescent="0.2">
      <c r="A93" s="608"/>
      <c r="B93" s="608"/>
      <c r="C93" s="608"/>
      <c r="D93" s="609"/>
      <c r="E93" s="609"/>
      <c r="F93" s="610"/>
      <c r="G93" s="607" t="s">
        <v>169</v>
      </c>
      <c r="H93" s="113"/>
      <c r="I93" s="129"/>
      <c r="J93" s="129"/>
      <c r="K93" s="129"/>
      <c r="L93" s="130"/>
      <c r="M93" s="162"/>
      <c r="N93" s="162"/>
      <c r="O93" s="163"/>
      <c r="Q93" s="161"/>
      <c r="R93" s="161"/>
      <c r="S93" s="161"/>
      <c r="T93" s="162"/>
      <c r="U93" s="162"/>
      <c r="V93" s="164"/>
      <c r="W93" s="163"/>
      <c r="X93" s="155"/>
      <c r="Y93" s="161"/>
      <c r="Z93" s="161"/>
      <c r="AA93" s="161"/>
      <c r="AB93" s="162"/>
      <c r="AC93" s="162"/>
      <c r="AD93" s="164"/>
      <c r="AE93" s="163"/>
      <c r="AF93" s="155"/>
      <c r="AG93" s="161"/>
      <c r="AH93" s="161"/>
      <c r="AI93" s="161"/>
      <c r="AJ93" s="162"/>
      <c r="AK93" s="162"/>
      <c r="AL93" s="164"/>
      <c r="AM93" s="163"/>
      <c r="AN93" s="155"/>
      <c r="AO93" s="161"/>
      <c r="AP93" s="161"/>
      <c r="AQ93" s="161"/>
      <c r="AR93" s="162"/>
      <c r="AS93" s="162"/>
      <c r="AT93" s="164"/>
      <c r="AU93" s="163"/>
    </row>
    <row r="94" spans="1:47" ht="15.95" customHeight="1" x14ac:dyDescent="0.2">
      <c r="A94" s="608"/>
      <c r="B94" s="608"/>
      <c r="C94" s="608"/>
      <c r="D94" s="609"/>
      <c r="E94" s="609"/>
      <c r="F94" s="610"/>
      <c r="G94" s="607" t="s">
        <v>169</v>
      </c>
      <c r="H94" s="113"/>
      <c r="I94" s="129"/>
      <c r="J94" s="129"/>
      <c r="K94" s="129"/>
      <c r="L94" s="130"/>
      <c r="M94" s="162"/>
      <c r="N94" s="162"/>
      <c r="O94" s="163"/>
      <c r="Q94" s="161"/>
      <c r="R94" s="161"/>
      <c r="S94" s="161"/>
      <c r="T94" s="162"/>
      <c r="U94" s="162"/>
      <c r="V94" s="164"/>
      <c r="W94" s="163"/>
      <c r="X94" s="155"/>
      <c r="Y94" s="161"/>
      <c r="Z94" s="161"/>
      <c r="AA94" s="161"/>
      <c r="AB94" s="162"/>
      <c r="AC94" s="162"/>
      <c r="AD94" s="164"/>
      <c r="AE94" s="163"/>
      <c r="AF94" s="155"/>
      <c r="AG94" s="161"/>
      <c r="AH94" s="161"/>
      <c r="AI94" s="161"/>
      <c r="AJ94" s="162"/>
      <c r="AK94" s="162"/>
      <c r="AL94" s="164"/>
      <c r="AM94" s="163"/>
      <c r="AN94" s="155"/>
      <c r="AO94" s="161"/>
      <c r="AP94" s="161"/>
      <c r="AQ94" s="161"/>
      <c r="AR94" s="162"/>
      <c r="AS94" s="162"/>
      <c r="AT94" s="164"/>
      <c r="AU94" s="163"/>
    </row>
    <row r="95" spans="1:47" ht="15.95" customHeight="1" x14ac:dyDescent="0.2">
      <c r="A95" s="608"/>
      <c r="B95" s="608"/>
      <c r="C95" s="608"/>
      <c r="D95" s="609"/>
      <c r="E95" s="609"/>
      <c r="F95" s="610"/>
      <c r="G95" s="607" t="s">
        <v>169</v>
      </c>
      <c r="H95" s="113"/>
      <c r="I95" s="129"/>
      <c r="J95" s="129"/>
      <c r="K95" s="129"/>
      <c r="L95" s="130"/>
      <c r="M95" s="162"/>
      <c r="N95" s="162"/>
      <c r="O95" s="163"/>
      <c r="Q95" s="161"/>
      <c r="R95" s="161"/>
      <c r="S95" s="161"/>
      <c r="T95" s="162"/>
      <c r="U95" s="162"/>
      <c r="V95" s="164"/>
      <c r="W95" s="163"/>
      <c r="X95" s="155"/>
      <c r="Y95" s="161"/>
      <c r="Z95" s="161"/>
      <c r="AA95" s="161"/>
      <c r="AB95" s="162"/>
      <c r="AC95" s="162"/>
      <c r="AD95" s="164"/>
      <c r="AE95" s="163"/>
      <c r="AF95" s="155"/>
      <c r="AG95" s="161"/>
      <c r="AH95" s="161"/>
      <c r="AI95" s="161"/>
      <c r="AJ95" s="162"/>
      <c r="AK95" s="162"/>
      <c r="AL95" s="164"/>
      <c r="AM95" s="163"/>
      <c r="AN95" s="155"/>
      <c r="AO95" s="161"/>
      <c r="AP95" s="161"/>
      <c r="AQ95" s="161"/>
      <c r="AR95" s="162"/>
      <c r="AS95" s="162"/>
      <c r="AT95" s="164"/>
      <c r="AU95" s="163"/>
    </row>
    <row r="96" spans="1:47" ht="15.95" customHeight="1" x14ac:dyDescent="0.2">
      <c r="A96" s="608"/>
      <c r="B96" s="608"/>
      <c r="C96" s="608"/>
      <c r="D96" s="609"/>
      <c r="E96" s="609"/>
      <c r="F96" s="610"/>
      <c r="G96" s="607" t="s">
        <v>169</v>
      </c>
      <c r="H96" s="113"/>
      <c r="I96" s="129"/>
      <c r="J96" s="129"/>
      <c r="K96" s="129"/>
      <c r="L96" s="130"/>
      <c r="M96" s="162"/>
      <c r="N96" s="162"/>
      <c r="O96" s="163"/>
      <c r="Q96" s="161"/>
      <c r="R96" s="161"/>
      <c r="S96" s="161"/>
      <c r="T96" s="162"/>
      <c r="U96" s="162"/>
      <c r="V96" s="164"/>
      <c r="W96" s="163"/>
      <c r="X96" s="155"/>
      <c r="Y96" s="161"/>
      <c r="Z96" s="161"/>
      <c r="AA96" s="161"/>
      <c r="AB96" s="162"/>
      <c r="AC96" s="162"/>
      <c r="AD96" s="164"/>
      <c r="AE96" s="163"/>
      <c r="AF96" s="155"/>
      <c r="AG96" s="161"/>
      <c r="AH96" s="161"/>
      <c r="AI96" s="161"/>
      <c r="AJ96" s="162"/>
      <c r="AK96" s="162"/>
      <c r="AL96" s="164"/>
      <c r="AM96" s="163"/>
      <c r="AN96" s="155"/>
      <c r="AO96" s="161"/>
      <c r="AP96" s="161"/>
      <c r="AQ96" s="161"/>
      <c r="AR96" s="162"/>
      <c r="AS96" s="162"/>
      <c r="AT96" s="164"/>
      <c r="AU96" s="163"/>
    </row>
    <row r="97" spans="1:47" ht="15.95" customHeight="1" x14ac:dyDescent="0.2">
      <c r="A97" s="608"/>
      <c r="B97" s="608"/>
      <c r="C97" s="608"/>
      <c r="D97" s="609"/>
      <c r="E97" s="609"/>
      <c r="F97" s="610"/>
      <c r="G97" s="607" t="s">
        <v>169</v>
      </c>
      <c r="H97" s="113"/>
      <c r="I97" s="129"/>
      <c r="J97" s="129"/>
      <c r="K97" s="129"/>
      <c r="L97" s="130"/>
      <c r="M97" s="162"/>
      <c r="N97" s="162"/>
      <c r="O97" s="163"/>
      <c r="Q97" s="161"/>
      <c r="R97" s="161"/>
      <c r="S97" s="161"/>
      <c r="T97" s="162"/>
      <c r="U97" s="162"/>
      <c r="V97" s="164"/>
      <c r="W97" s="163"/>
      <c r="X97" s="155"/>
      <c r="Y97" s="161"/>
      <c r="Z97" s="161"/>
      <c r="AA97" s="161"/>
      <c r="AB97" s="162"/>
      <c r="AC97" s="162"/>
      <c r="AD97" s="164"/>
      <c r="AE97" s="163"/>
      <c r="AF97" s="155"/>
      <c r="AG97" s="161"/>
      <c r="AH97" s="161"/>
      <c r="AI97" s="161"/>
      <c r="AJ97" s="162"/>
      <c r="AK97" s="162"/>
      <c r="AL97" s="164"/>
      <c r="AM97" s="163"/>
      <c r="AN97" s="155"/>
      <c r="AO97" s="161"/>
      <c r="AP97" s="161"/>
      <c r="AQ97" s="161"/>
      <c r="AR97" s="162"/>
      <c r="AS97" s="162"/>
      <c r="AT97" s="164"/>
      <c r="AU97" s="163"/>
    </row>
    <row r="98" spans="1:47" ht="15.95" customHeight="1" x14ac:dyDescent="0.2">
      <c r="A98" s="608"/>
      <c r="B98" s="608"/>
      <c r="C98" s="608"/>
      <c r="D98" s="609"/>
      <c r="E98" s="609"/>
      <c r="F98" s="610"/>
      <c r="G98" s="607" t="s">
        <v>169</v>
      </c>
      <c r="H98" s="113"/>
      <c r="I98" s="129"/>
      <c r="J98" s="129"/>
      <c r="K98" s="129"/>
      <c r="L98" s="130"/>
      <c r="M98" s="162"/>
      <c r="N98" s="162"/>
      <c r="O98" s="163"/>
      <c r="Q98" s="161"/>
      <c r="R98" s="161"/>
      <c r="S98" s="161"/>
      <c r="T98" s="162"/>
      <c r="U98" s="162"/>
      <c r="V98" s="164"/>
      <c r="W98" s="163"/>
      <c r="X98" s="155"/>
      <c r="Y98" s="161"/>
      <c r="Z98" s="161"/>
      <c r="AA98" s="161"/>
      <c r="AB98" s="162"/>
      <c r="AC98" s="162"/>
      <c r="AD98" s="164"/>
      <c r="AE98" s="163"/>
      <c r="AF98" s="155"/>
      <c r="AG98" s="161"/>
      <c r="AH98" s="161"/>
      <c r="AI98" s="161"/>
      <c r="AJ98" s="162"/>
      <c r="AK98" s="162"/>
      <c r="AL98" s="164"/>
      <c r="AM98" s="163"/>
      <c r="AN98" s="155"/>
      <c r="AO98" s="161"/>
      <c r="AP98" s="161"/>
      <c r="AQ98" s="161"/>
      <c r="AR98" s="162"/>
      <c r="AS98" s="162"/>
      <c r="AT98" s="164"/>
      <c r="AU98" s="163"/>
    </row>
    <row r="99" spans="1:47" ht="15.95" customHeight="1" x14ac:dyDescent="0.2">
      <c r="A99" s="608"/>
      <c r="B99" s="608"/>
      <c r="C99" s="608"/>
      <c r="D99" s="609"/>
      <c r="E99" s="609"/>
      <c r="F99" s="610"/>
      <c r="G99" s="607" t="s">
        <v>169</v>
      </c>
      <c r="H99" s="113"/>
      <c r="I99" s="129"/>
      <c r="J99" s="129"/>
      <c r="K99" s="129"/>
      <c r="L99" s="130"/>
      <c r="M99" s="162"/>
      <c r="N99" s="162"/>
      <c r="O99" s="163"/>
      <c r="Q99" s="161"/>
      <c r="R99" s="161"/>
      <c r="S99" s="161"/>
      <c r="T99" s="162"/>
      <c r="U99" s="162"/>
      <c r="V99" s="164"/>
      <c r="W99" s="163"/>
      <c r="X99" s="155"/>
      <c r="Y99" s="161"/>
      <c r="Z99" s="161"/>
      <c r="AA99" s="161"/>
      <c r="AB99" s="162"/>
      <c r="AC99" s="162"/>
      <c r="AD99" s="164"/>
      <c r="AE99" s="163"/>
      <c r="AF99" s="155"/>
      <c r="AG99" s="161"/>
      <c r="AH99" s="161"/>
      <c r="AI99" s="161"/>
      <c r="AJ99" s="162"/>
      <c r="AK99" s="162"/>
      <c r="AL99" s="164"/>
      <c r="AM99" s="163"/>
      <c r="AN99" s="155"/>
      <c r="AO99" s="161"/>
      <c r="AP99" s="161"/>
      <c r="AQ99" s="161"/>
      <c r="AR99" s="162"/>
      <c r="AS99" s="162"/>
      <c r="AT99" s="164"/>
      <c r="AU99" s="163"/>
    </row>
    <row r="100" spans="1:47" ht="15.95" customHeight="1" x14ac:dyDescent="0.2">
      <c r="A100" s="608"/>
      <c r="B100" s="608"/>
      <c r="C100" s="608"/>
      <c r="D100" s="609"/>
      <c r="E100" s="609"/>
      <c r="F100" s="610"/>
      <c r="G100" s="607" t="s">
        <v>169</v>
      </c>
      <c r="H100" s="113"/>
      <c r="I100" s="129"/>
      <c r="J100" s="129"/>
      <c r="K100" s="129"/>
      <c r="L100" s="130"/>
      <c r="M100" s="162"/>
      <c r="N100" s="162"/>
      <c r="O100" s="163"/>
      <c r="Q100" s="161"/>
      <c r="R100" s="161"/>
      <c r="S100" s="161"/>
      <c r="T100" s="162"/>
      <c r="U100" s="162"/>
      <c r="V100" s="164"/>
      <c r="W100" s="163"/>
      <c r="X100" s="155"/>
      <c r="Y100" s="161"/>
      <c r="Z100" s="161"/>
      <c r="AA100" s="161"/>
      <c r="AB100" s="162"/>
      <c r="AC100" s="162"/>
      <c r="AD100" s="164"/>
      <c r="AE100" s="163"/>
      <c r="AF100" s="155"/>
      <c r="AG100" s="161"/>
      <c r="AH100" s="161"/>
      <c r="AI100" s="161"/>
      <c r="AJ100" s="162"/>
      <c r="AK100" s="162"/>
      <c r="AL100" s="164"/>
      <c r="AM100" s="163"/>
      <c r="AN100" s="155"/>
      <c r="AO100" s="161"/>
      <c r="AP100" s="161"/>
      <c r="AQ100" s="161"/>
      <c r="AR100" s="162"/>
      <c r="AS100" s="162"/>
      <c r="AT100" s="164"/>
      <c r="AU100" s="163"/>
    </row>
    <row r="101" spans="1:47" ht="15.95" customHeight="1" x14ac:dyDescent="0.2">
      <c r="A101" s="608"/>
      <c r="B101" s="608"/>
      <c r="C101" s="608"/>
      <c r="D101" s="609"/>
      <c r="E101" s="609"/>
      <c r="F101" s="610"/>
      <c r="G101" s="607" t="s">
        <v>169</v>
      </c>
      <c r="H101" s="113"/>
      <c r="I101" s="129"/>
      <c r="J101" s="129"/>
      <c r="K101" s="129"/>
      <c r="L101" s="130"/>
      <c r="M101" s="162"/>
      <c r="N101" s="162"/>
      <c r="O101" s="163"/>
      <c r="Q101" s="161"/>
      <c r="R101" s="161"/>
      <c r="S101" s="161"/>
      <c r="T101" s="162"/>
      <c r="U101" s="162"/>
      <c r="V101" s="164"/>
      <c r="W101" s="163"/>
      <c r="X101" s="155"/>
      <c r="Y101" s="161"/>
      <c r="Z101" s="161"/>
      <c r="AA101" s="161"/>
      <c r="AB101" s="162"/>
      <c r="AC101" s="162"/>
      <c r="AD101" s="164"/>
      <c r="AE101" s="163"/>
      <c r="AF101" s="155"/>
      <c r="AG101" s="161"/>
      <c r="AH101" s="161"/>
      <c r="AI101" s="161"/>
      <c r="AJ101" s="162"/>
      <c r="AK101" s="162"/>
      <c r="AL101" s="164"/>
      <c r="AM101" s="163"/>
      <c r="AN101" s="155"/>
      <c r="AO101" s="161"/>
      <c r="AP101" s="161"/>
      <c r="AQ101" s="161"/>
      <c r="AR101" s="162"/>
      <c r="AS101" s="162"/>
      <c r="AT101" s="164"/>
      <c r="AU101" s="163"/>
    </row>
    <row r="102" spans="1:47" ht="15.95" customHeight="1" x14ac:dyDescent="0.2">
      <c r="A102" s="608"/>
      <c r="B102" s="608"/>
      <c r="C102" s="608"/>
      <c r="D102" s="609"/>
      <c r="E102" s="609"/>
      <c r="F102" s="610"/>
      <c r="G102" s="607" t="s">
        <v>169</v>
      </c>
      <c r="H102" s="113"/>
      <c r="I102" s="129"/>
      <c r="J102" s="129"/>
      <c r="K102" s="129"/>
      <c r="L102" s="130"/>
      <c r="M102" s="162"/>
      <c r="N102" s="162"/>
      <c r="O102" s="163"/>
      <c r="Q102" s="161"/>
      <c r="R102" s="161"/>
      <c r="S102" s="161"/>
      <c r="T102" s="162"/>
      <c r="U102" s="162"/>
      <c r="V102" s="164"/>
      <c r="W102" s="163"/>
      <c r="X102" s="155"/>
      <c r="Y102" s="161"/>
      <c r="Z102" s="161"/>
      <c r="AA102" s="161"/>
      <c r="AB102" s="162"/>
      <c r="AC102" s="162"/>
      <c r="AD102" s="164"/>
      <c r="AE102" s="163"/>
      <c r="AF102" s="155"/>
      <c r="AG102" s="161"/>
      <c r="AH102" s="161"/>
      <c r="AI102" s="161"/>
      <c r="AJ102" s="162"/>
      <c r="AK102" s="162"/>
      <c r="AL102" s="164"/>
      <c r="AM102" s="163"/>
      <c r="AN102" s="155"/>
      <c r="AO102" s="161"/>
      <c r="AP102" s="161"/>
      <c r="AQ102" s="161"/>
      <c r="AR102" s="162"/>
      <c r="AS102" s="162"/>
      <c r="AT102" s="164"/>
      <c r="AU102" s="163"/>
    </row>
    <row r="103" spans="1:47" ht="15.95" customHeight="1" x14ac:dyDescent="0.2">
      <c r="A103" s="608"/>
      <c r="B103" s="608"/>
      <c r="C103" s="608"/>
      <c r="D103" s="609"/>
      <c r="E103" s="609"/>
      <c r="F103" s="610"/>
      <c r="G103" s="607" t="s">
        <v>169</v>
      </c>
      <c r="H103" s="113"/>
      <c r="I103" s="129"/>
      <c r="J103" s="129"/>
      <c r="K103" s="129"/>
      <c r="L103" s="130"/>
      <c r="M103" s="162"/>
      <c r="N103" s="162"/>
      <c r="O103" s="163"/>
      <c r="Q103" s="161"/>
      <c r="R103" s="161"/>
      <c r="S103" s="161"/>
      <c r="T103" s="162"/>
      <c r="U103" s="162"/>
      <c r="V103" s="164"/>
      <c r="W103" s="163"/>
      <c r="X103" s="155"/>
      <c r="Y103" s="161"/>
      <c r="Z103" s="161"/>
      <c r="AA103" s="161"/>
      <c r="AB103" s="162"/>
      <c r="AC103" s="162"/>
      <c r="AD103" s="164"/>
      <c r="AE103" s="163"/>
      <c r="AF103" s="155"/>
      <c r="AG103" s="161"/>
      <c r="AH103" s="161"/>
      <c r="AI103" s="161"/>
      <c r="AJ103" s="162"/>
      <c r="AK103" s="162"/>
      <c r="AL103" s="164"/>
      <c r="AM103" s="163"/>
      <c r="AN103" s="155"/>
      <c r="AO103" s="161"/>
      <c r="AP103" s="161"/>
      <c r="AQ103" s="161"/>
      <c r="AR103" s="162"/>
      <c r="AS103" s="162"/>
      <c r="AT103" s="164"/>
      <c r="AU103" s="163"/>
    </row>
    <row r="104" spans="1:47" ht="15.95" customHeight="1" x14ac:dyDescent="0.2">
      <c r="A104" s="608"/>
      <c r="B104" s="608"/>
      <c r="C104" s="608"/>
      <c r="D104" s="609"/>
      <c r="E104" s="609"/>
      <c r="F104" s="610"/>
      <c r="G104" s="607" t="s">
        <v>169</v>
      </c>
      <c r="H104" s="113"/>
      <c r="I104" s="129"/>
      <c r="J104" s="129"/>
      <c r="K104" s="129"/>
      <c r="L104" s="130"/>
      <c r="M104" s="162"/>
      <c r="N104" s="162"/>
      <c r="O104" s="163"/>
      <c r="Q104" s="161"/>
      <c r="R104" s="161"/>
      <c r="S104" s="161"/>
      <c r="T104" s="162"/>
      <c r="U104" s="162"/>
      <c r="V104" s="164"/>
      <c r="W104" s="163"/>
      <c r="X104" s="155"/>
      <c r="Y104" s="161"/>
      <c r="Z104" s="161"/>
      <c r="AA104" s="161"/>
      <c r="AB104" s="162"/>
      <c r="AC104" s="162"/>
      <c r="AD104" s="164"/>
      <c r="AE104" s="163"/>
      <c r="AF104" s="155"/>
      <c r="AG104" s="161"/>
      <c r="AH104" s="161"/>
      <c r="AI104" s="161"/>
      <c r="AJ104" s="162"/>
      <c r="AK104" s="162"/>
      <c r="AL104" s="164"/>
      <c r="AM104" s="163"/>
      <c r="AN104" s="155"/>
      <c r="AO104" s="161"/>
      <c r="AP104" s="161"/>
      <c r="AQ104" s="161"/>
      <c r="AR104" s="162"/>
      <c r="AS104" s="162"/>
      <c r="AT104" s="164"/>
      <c r="AU104" s="163"/>
    </row>
    <row r="105" spans="1:47" ht="15.95" customHeight="1" x14ac:dyDescent="0.2">
      <c r="A105" s="608"/>
      <c r="B105" s="608"/>
      <c r="C105" s="608"/>
      <c r="D105" s="609"/>
      <c r="E105" s="609"/>
      <c r="F105" s="610"/>
      <c r="G105" s="607" t="s">
        <v>169</v>
      </c>
      <c r="H105" s="113"/>
      <c r="I105" s="129"/>
      <c r="J105" s="129"/>
      <c r="K105" s="129"/>
      <c r="L105" s="130"/>
      <c r="M105" s="162"/>
      <c r="N105" s="162"/>
      <c r="O105" s="163"/>
      <c r="Q105" s="161"/>
      <c r="R105" s="161"/>
      <c r="S105" s="161"/>
      <c r="T105" s="162"/>
      <c r="U105" s="162"/>
      <c r="V105" s="164"/>
      <c r="W105" s="163"/>
      <c r="X105" s="155"/>
      <c r="Y105" s="161"/>
      <c r="Z105" s="161"/>
      <c r="AA105" s="161"/>
      <c r="AB105" s="162"/>
      <c r="AC105" s="162"/>
      <c r="AD105" s="164"/>
      <c r="AE105" s="163"/>
      <c r="AF105" s="155"/>
      <c r="AG105" s="161"/>
      <c r="AH105" s="161"/>
      <c r="AI105" s="161"/>
      <c r="AJ105" s="162"/>
      <c r="AK105" s="162"/>
      <c r="AL105" s="164"/>
      <c r="AM105" s="163"/>
      <c r="AN105" s="155"/>
      <c r="AO105" s="161"/>
      <c r="AP105" s="161"/>
      <c r="AQ105" s="161"/>
      <c r="AR105" s="162"/>
      <c r="AS105" s="162"/>
      <c r="AT105" s="164"/>
      <c r="AU105" s="163"/>
    </row>
    <row r="106" spans="1:47" ht="15.95" customHeight="1" x14ac:dyDescent="0.2">
      <c r="A106" s="608"/>
      <c r="B106" s="608"/>
      <c r="C106" s="608"/>
      <c r="D106" s="609"/>
      <c r="E106" s="609"/>
      <c r="F106" s="610"/>
      <c r="G106" s="607" t="s">
        <v>169</v>
      </c>
      <c r="H106" s="113"/>
      <c r="I106" s="129"/>
      <c r="J106" s="129"/>
      <c r="K106" s="129"/>
      <c r="L106" s="130"/>
      <c r="M106" s="162"/>
      <c r="N106" s="162"/>
      <c r="O106" s="163"/>
      <c r="Q106" s="161"/>
      <c r="R106" s="161"/>
      <c r="S106" s="161"/>
      <c r="T106" s="162"/>
      <c r="U106" s="162"/>
      <c r="V106" s="164"/>
      <c r="W106" s="163"/>
      <c r="X106" s="155"/>
      <c r="Y106" s="161"/>
      <c r="Z106" s="161"/>
      <c r="AA106" s="161"/>
      <c r="AB106" s="162"/>
      <c r="AC106" s="162"/>
      <c r="AD106" s="164"/>
      <c r="AE106" s="163"/>
      <c r="AF106" s="155"/>
      <c r="AG106" s="161"/>
      <c r="AH106" s="161"/>
      <c r="AI106" s="161"/>
      <c r="AJ106" s="162"/>
      <c r="AK106" s="162"/>
      <c r="AL106" s="164"/>
      <c r="AM106" s="163"/>
      <c r="AN106" s="155"/>
      <c r="AO106" s="161"/>
      <c r="AP106" s="161"/>
      <c r="AQ106" s="161"/>
      <c r="AR106" s="162"/>
      <c r="AS106" s="162"/>
      <c r="AT106" s="164"/>
      <c r="AU106" s="163"/>
    </row>
    <row r="107" spans="1:47" ht="15.95" customHeight="1" x14ac:dyDescent="0.2">
      <c r="A107" s="608"/>
      <c r="B107" s="608"/>
      <c r="C107" s="608"/>
      <c r="D107" s="609"/>
      <c r="E107" s="609"/>
      <c r="F107" s="610"/>
      <c r="G107" s="607" t="s">
        <v>169</v>
      </c>
      <c r="H107" s="113"/>
      <c r="I107" s="129"/>
      <c r="J107" s="129"/>
      <c r="K107" s="129"/>
      <c r="L107" s="130"/>
      <c r="M107" s="162"/>
      <c r="N107" s="162"/>
      <c r="O107" s="163"/>
      <c r="Q107" s="161"/>
      <c r="R107" s="161"/>
      <c r="S107" s="161"/>
      <c r="T107" s="162"/>
      <c r="U107" s="162"/>
      <c r="V107" s="164"/>
      <c r="W107" s="163"/>
      <c r="X107" s="155"/>
      <c r="Y107" s="161"/>
      <c r="Z107" s="161"/>
      <c r="AA107" s="161"/>
      <c r="AB107" s="162"/>
      <c r="AC107" s="162"/>
      <c r="AD107" s="164"/>
      <c r="AE107" s="163"/>
      <c r="AF107" s="155"/>
      <c r="AG107" s="161"/>
      <c r="AH107" s="161"/>
      <c r="AI107" s="161"/>
      <c r="AJ107" s="162"/>
      <c r="AK107" s="162"/>
      <c r="AL107" s="164"/>
      <c r="AM107" s="163"/>
      <c r="AN107" s="155"/>
      <c r="AO107" s="161"/>
      <c r="AP107" s="161"/>
      <c r="AQ107" s="161"/>
      <c r="AR107" s="162"/>
      <c r="AS107" s="162"/>
      <c r="AT107" s="164"/>
      <c r="AU107" s="163"/>
    </row>
    <row r="108" spans="1:47" ht="15.95" customHeight="1" x14ac:dyDescent="0.2">
      <c r="A108" s="608"/>
      <c r="B108" s="608"/>
      <c r="C108" s="608"/>
      <c r="D108" s="609"/>
      <c r="E108" s="609"/>
      <c r="F108" s="610"/>
      <c r="G108" s="607" t="s">
        <v>169</v>
      </c>
      <c r="H108" s="113"/>
      <c r="I108" s="129"/>
      <c r="J108" s="129"/>
      <c r="K108" s="129"/>
      <c r="L108" s="130"/>
      <c r="M108" s="162"/>
      <c r="N108" s="162"/>
      <c r="O108" s="163"/>
      <c r="Q108" s="161"/>
      <c r="R108" s="161"/>
      <c r="S108" s="161"/>
      <c r="T108" s="162"/>
      <c r="U108" s="162"/>
      <c r="V108" s="164"/>
      <c r="W108" s="163"/>
      <c r="X108" s="155"/>
      <c r="Y108" s="161"/>
      <c r="Z108" s="161"/>
      <c r="AA108" s="161"/>
      <c r="AB108" s="162"/>
      <c r="AC108" s="162"/>
      <c r="AD108" s="164"/>
      <c r="AE108" s="163"/>
      <c r="AF108" s="155"/>
      <c r="AG108" s="161"/>
      <c r="AH108" s="161"/>
      <c r="AI108" s="161"/>
      <c r="AJ108" s="162"/>
      <c r="AK108" s="162"/>
      <c r="AL108" s="164"/>
      <c r="AM108" s="163"/>
      <c r="AN108" s="155"/>
      <c r="AO108" s="161"/>
      <c r="AP108" s="161"/>
      <c r="AQ108" s="161"/>
      <c r="AR108" s="162"/>
      <c r="AS108" s="162"/>
      <c r="AT108" s="164"/>
      <c r="AU108" s="163"/>
    </row>
    <row r="109" spans="1:47" ht="15.95" customHeight="1" x14ac:dyDescent="0.2">
      <c r="A109" s="608"/>
      <c r="B109" s="608"/>
      <c r="C109" s="608"/>
      <c r="D109" s="609"/>
      <c r="E109" s="609"/>
      <c r="F109" s="610"/>
      <c r="G109" s="607" t="s">
        <v>169</v>
      </c>
      <c r="H109" s="113"/>
      <c r="I109" s="129"/>
      <c r="J109" s="129"/>
      <c r="K109" s="129"/>
      <c r="L109" s="130"/>
      <c r="M109" s="162"/>
      <c r="N109" s="162"/>
      <c r="O109" s="163"/>
      <c r="Q109" s="161"/>
      <c r="R109" s="161"/>
      <c r="S109" s="161"/>
      <c r="T109" s="162"/>
      <c r="U109" s="162"/>
      <c r="V109" s="164"/>
      <c r="W109" s="163"/>
      <c r="X109" s="155"/>
      <c r="Y109" s="161"/>
      <c r="Z109" s="161"/>
      <c r="AA109" s="161"/>
      <c r="AB109" s="162"/>
      <c r="AC109" s="162"/>
      <c r="AD109" s="164"/>
      <c r="AE109" s="163"/>
      <c r="AF109" s="155"/>
      <c r="AG109" s="161"/>
      <c r="AH109" s="161"/>
      <c r="AI109" s="161"/>
      <c r="AJ109" s="162"/>
      <c r="AK109" s="162"/>
      <c r="AL109" s="164"/>
      <c r="AM109" s="163"/>
      <c r="AN109" s="155"/>
      <c r="AO109" s="161"/>
      <c r="AP109" s="161"/>
      <c r="AQ109" s="161"/>
      <c r="AR109" s="162"/>
      <c r="AS109" s="162"/>
      <c r="AT109" s="164"/>
      <c r="AU109" s="163"/>
    </row>
    <row r="110" spans="1:47" ht="15.95" customHeight="1" x14ac:dyDescent="0.2">
      <c r="A110" s="608"/>
      <c r="B110" s="608"/>
      <c r="C110" s="608"/>
      <c r="D110" s="609"/>
      <c r="E110" s="609"/>
      <c r="F110" s="610"/>
      <c r="G110" s="607" t="s">
        <v>169</v>
      </c>
      <c r="H110" s="113"/>
      <c r="I110" s="129"/>
      <c r="J110" s="129"/>
      <c r="K110" s="129"/>
      <c r="L110" s="130"/>
      <c r="M110" s="162"/>
      <c r="N110" s="162"/>
      <c r="O110" s="163"/>
      <c r="Q110" s="161"/>
      <c r="R110" s="161"/>
      <c r="S110" s="161"/>
      <c r="T110" s="162"/>
      <c r="U110" s="162"/>
      <c r="V110" s="164"/>
      <c r="W110" s="163"/>
      <c r="X110" s="155"/>
      <c r="Y110" s="161"/>
      <c r="Z110" s="161"/>
      <c r="AA110" s="161"/>
      <c r="AB110" s="162"/>
      <c r="AC110" s="162"/>
      <c r="AD110" s="164"/>
      <c r="AE110" s="163"/>
      <c r="AF110" s="155"/>
      <c r="AG110" s="161"/>
      <c r="AH110" s="161"/>
      <c r="AI110" s="161"/>
      <c r="AJ110" s="162"/>
      <c r="AK110" s="162"/>
      <c r="AL110" s="164"/>
      <c r="AM110" s="163"/>
      <c r="AN110" s="155"/>
      <c r="AO110" s="161"/>
      <c r="AP110" s="161"/>
      <c r="AQ110" s="161"/>
      <c r="AR110" s="162"/>
      <c r="AS110" s="162"/>
      <c r="AT110" s="164"/>
      <c r="AU110" s="163"/>
    </row>
    <row r="111" spans="1:47" ht="15.95" customHeight="1" x14ac:dyDescent="0.2">
      <c r="A111" s="608"/>
      <c r="B111" s="608"/>
      <c r="C111" s="608"/>
      <c r="D111" s="609"/>
      <c r="E111" s="609"/>
      <c r="F111" s="610"/>
      <c r="G111" s="607" t="s">
        <v>169</v>
      </c>
      <c r="H111" s="113"/>
      <c r="I111" s="129"/>
      <c r="J111" s="129"/>
      <c r="K111" s="129"/>
      <c r="L111" s="130"/>
      <c r="M111" s="162"/>
      <c r="N111" s="162"/>
      <c r="O111" s="163"/>
      <c r="Q111" s="161"/>
      <c r="R111" s="161"/>
      <c r="S111" s="161"/>
      <c r="T111" s="162"/>
      <c r="U111" s="162"/>
      <c r="V111" s="164"/>
      <c r="W111" s="163"/>
      <c r="X111" s="155"/>
      <c r="Y111" s="161"/>
      <c r="Z111" s="161"/>
      <c r="AA111" s="161"/>
      <c r="AB111" s="162"/>
      <c r="AC111" s="162"/>
      <c r="AD111" s="164"/>
      <c r="AE111" s="163"/>
      <c r="AF111" s="155"/>
      <c r="AG111" s="161"/>
      <c r="AH111" s="161"/>
      <c r="AI111" s="161"/>
      <c r="AJ111" s="162"/>
      <c r="AK111" s="162"/>
      <c r="AL111" s="164"/>
      <c r="AM111" s="163"/>
      <c r="AN111" s="155"/>
      <c r="AO111" s="161"/>
      <c r="AP111" s="161"/>
      <c r="AQ111" s="161"/>
      <c r="AR111" s="162"/>
      <c r="AS111" s="162"/>
      <c r="AT111" s="164"/>
      <c r="AU111" s="163"/>
    </row>
    <row r="112" spans="1:47" ht="15.95" customHeight="1" x14ac:dyDescent="0.2">
      <c r="A112" s="608"/>
      <c r="B112" s="608"/>
      <c r="C112" s="608"/>
      <c r="D112" s="609"/>
      <c r="E112" s="609"/>
      <c r="F112" s="610"/>
      <c r="G112" s="607" t="s">
        <v>169</v>
      </c>
      <c r="H112" s="113"/>
      <c r="I112" s="129"/>
      <c r="J112" s="129"/>
      <c r="K112" s="129"/>
      <c r="L112" s="130"/>
      <c r="M112" s="162"/>
      <c r="N112" s="162"/>
      <c r="O112" s="163"/>
      <c r="Q112" s="161"/>
      <c r="R112" s="161"/>
      <c r="S112" s="161"/>
      <c r="T112" s="162"/>
      <c r="U112" s="162"/>
      <c r="V112" s="164"/>
      <c r="W112" s="163"/>
      <c r="X112" s="155"/>
      <c r="Y112" s="161"/>
      <c r="Z112" s="161"/>
      <c r="AA112" s="161"/>
      <c r="AB112" s="162"/>
      <c r="AC112" s="162"/>
      <c r="AD112" s="164"/>
      <c r="AE112" s="163"/>
      <c r="AF112" s="155"/>
      <c r="AG112" s="161"/>
      <c r="AH112" s="161"/>
      <c r="AI112" s="161"/>
      <c r="AJ112" s="162"/>
      <c r="AK112" s="162"/>
      <c r="AL112" s="164"/>
      <c r="AM112" s="163"/>
      <c r="AN112" s="155"/>
      <c r="AO112" s="161"/>
      <c r="AP112" s="161"/>
      <c r="AQ112" s="161"/>
      <c r="AR112" s="162"/>
      <c r="AS112" s="162"/>
      <c r="AT112" s="164"/>
      <c r="AU112" s="163"/>
    </row>
    <row r="113" spans="1:47" ht="15.95" customHeight="1" x14ac:dyDescent="0.2">
      <c r="A113" s="608"/>
      <c r="B113" s="608"/>
      <c r="C113" s="608"/>
      <c r="D113" s="609"/>
      <c r="E113" s="609"/>
      <c r="F113" s="610"/>
      <c r="G113" s="607" t="s">
        <v>169</v>
      </c>
      <c r="H113" s="113"/>
      <c r="I113" s="129"/>
      <c r="J113" s="129"/>
      <c r="K113" s="129"/>
      <c r="L113" s="130"/>
      <c r="M113" s="162"/>
      <c r="N113" s="162"/>
      <c r="O113" s="163"/>
      <c r="Q113" s="161"/>
      <c r="R113" s="161"/>
      <c r="S113" s="161"/>
      <c r="T113" s="162"/>
      <c r="U113" s="162"/>
      <c r="V113" s="164"/>
      <c r="W113" s="163"/>
      <c r="X113" s="155"/>
      <c r="Y113" s="161"/>
      <c r="Z113" s="161"/>
      <c r="AA113" s="161"/>
      <c r="AB113" s="162"/>
      <c r="AC113" s="162"/>
      <c r="AD113" s="164"/>
      <c r="AE113" s="163"/>
      <c r="AF113" s="155"/>
      <c r="AG113" s="161"/>
      <c r="AH113" s="161"/>
      <c r="AI113" s="161"/>
      <c r="AJ113" s="162"/>
      <c r="AK113" s="162"/>
      <c r="AL113" s="164"/>
      <c r="AM113" s="163"/>
      <c r="AN113" s="155"/>
      <c r="AO113" s="161"/>
      <c r="AP113" s="161"/>
      <c r="AQ113" s="161"/>
      <c r="AR113" s="162"/>
      <c r="AS113" s="162"/>
      <c r="AT113" s="164"/>
      <c r="AU113" s="163"/>
    </row>
    <row r="114" spans="1:47" ht="15.95" customHeight="1" x14ac:dyDescent="0.2">
      <c r="A114" s="608"/>
      <c r="B114" s="608"/>
      <c r="C114" s="608"/>
      <c r="D114" s="609"/>
      <c r="E114" s="609"/>
      <c r="F114" s="610"/>
      <c r="G114" s="607" t="s">
        <v>169</v>
      </c>
      <c r="H114" s="113"/>
      <c r="I114" s="129"/>
      <c r="J114" s="129"/>
      <c r="K114" s="129"/>
      <c r="L114" s="130"/>
      <c r="M114" s="162"/>
      <c r="N114" s="162"/>
      <c r="O114" s="163"/>
      <c r="Q114" s="161"/>
      <c r="R114" s="161"/>
      <c r="S114" s="161"/>
      <c r="T114" s="162"/>
      <c r="U114" s="162"/>
      <c r="V114" s="164"/>
      <c r="W114" s="163"/>
      <c r="X114" s="155"/>
      <c r="Y114" s="161"/>
      <c r="Z114" s="161"/>
      <c r="AA114" s="161"/>
      <c r="AB114" s="162"/>
      <c r="AC114" s="162"/>
      <c r="AD114" s="164"/>
      <c r="AE114" s="163"/>
      <c r="AF114" s="155"/>
      <c r="AG114" s="161"/>
      <c r="AH114" s="161"/>
      <c r="AI114" s="161"/>
      <c r="AJ114" s="162"/>
      <c r="AK114" s="162"/>
      <c r="AL114" s="164"/>
      <c r="AM114" s="163"/>
      <c r="AN114" s="155"/>
      <c r="AO114" s="161"/>
      <c r="AP114" s="161"/>
      <c r="AQ114" s="161"/>
      <c r="AR114" s="162"/>
      <c r="AS114" s="162"/>
      <c r="AT114" s="164"/>
      <c r="AU114" s="163"/>
    </row>
    <row r="115" spans="1:47" ht="15.95" customHeight="1" x14ac:dyDescent="0.2">
      <c r="A115" s="608"/>
      <c r="B115" s="608"/>
      <c r="C115" s="608"/>
      <c r="D115" s="609"/>
      <c r="E115" s="609"/>
      <c r="F115" s="610"/>
      <c r="G115" s="607" t="s">
        <v>169</v>
      </c>
      <c r="H115" s="113"/>
      <c r="I115" s="129"/>
      <c r="J115" s="129"/>
      <c r="K115" s="129"/>
      <c r="L115" s="130"/>
      <c r="M115" s="162"/>
      <c r="N115" s="162"/>
      <c r="O115" s="163"/>
      <c r="Q115" s="161"/>
      <c r="R115" s="161"/>
      <c r="S115" s="161"/>
      <c r="T115" s="162"/>
      <c r="U115" s="162"/>
      <c r="V115" s="164"/>
      <c r="W115" s="163"/>
      <c r="X115" s="155"/>
      <c r="Y115" s="161"/>
      <c r="Z115" s="161"/>
      <c r="AA115" s="161"/>
      <c r="AB115" s="162"/>
      <c r="AC115" s="162"/>
      <c r="AD115" s="164"/>
      <c r="AE115" s="163"/>
      <c r="AF115" s="155"/>
      <c r="AG115" s="161"/>
      <c r="AH115" s="161"/>
      <c r="AI115" s="161"/>
      <c r="AJ115" s="162"/>
      <c r="AK115" s="162"/>
      <c r="AL115" s="164"/>
      <c r="AM115" s="163"/>
      <c r="AN115" s="155"/>
      <c r="AO115" s="161"/>
      <c r="AP115" s="161"/>
      <c r="AQ115" s="161"/>
      <c r="AR115" s="162"/>
      <c r="AS115" s="162"/>
      <c r="AT115" s="164"/>
      <c r="AU115" s="163"/>
    </row>
    <row r="116" spans="1:47" ht="15.95" customHeight="1" x14ac:dyDescent="0.2">
      <c r="A116" s="608"/>
      <c r="B116" s="608"/>
      <c r="C116" s="608"/>
      <c r="D116" s="609"/>
      <c r="E116" s="609"/>
      <c r="F116" s="610"/>
      <c r="G116" s="607" t="s">
        <v>169</v>
      </c>
      <c r="H116" s="113"/>
      <c r="I116" s="129"/>
      <c r="J116" s="129"/>
      <c r="K116" s="129"/>
      <c r="L116" s="130"/>
      <c r="M116" s="162"/>
      <c r="N116" s="162"/>
      <c r="O116" s="163"/>
      <c r="Q116" s="161"/>
      <c r="R116" s="161"/>
      <c r="S116" s="161"/>
      <c r="T116" s="162"/>
      <c r="U116" s="162"/>
      <c r="V116" s="164"/>
      <c r="W116" s="163"/>
      <c r="X116" s="155"/>
      <c r="Y116" s="161"/>
      <c r="Z116" s="161"/>
      <c r="AA116" s="161"/>
      <c r="AB116" s="162"/>
      <c r="AC116" s="162"/>
      <c r="AD116" s="164"/>
      <c r="AE116" s="163"/>
      <c r="AF116" s="155"/>
      <c r="AG116" s="161"/>
      <c r="AH116" s="161"/>
      <c r="AI116" s="161"/>
      <c r="AJ116" s="162"/>
      <c r="AK116" s="162"/>
      <c r="AL116" s="164"/>
      <c r="AM116" s="163"/>
      <c r="AN116" s="155"/>
      <c r="AO116" s="161"/>
      <c r="AP116" s="161"/>
      <c r="AQ116" s="161"/>
      <c r="AR116" s="162"/>
      <c r="AS116" s="162"/>
      <c r="AT116" s="164"/>
      <c r="AU116" s="163"/>
    </row>
    <row r="117" spans="1:47" ht="15.95" customHeight="1" x14ac:dyDescent="0.2">
      <c r="A117" s="608"/>
      <c r="B117" s="608"/>
      <c r="C117" s="608"/>
      <c r="D117" s="609"/>
      <c r="E117" s="609"/>
      <c r="F117" s="610"/>
      <c r="G117" s="607" t="s">
        <v>169</v>
      </c>
      <c r="H117" s="113"/>
      <c r="I117" s="129"/>
      <c r="J117" s="129"/>
      <c r="K117" s="129"/>
      <c r="L117" s="130"/>
      <c r="M117" s="162"/>
      <c r="N117" s="162"/>
      <c r="O117" s="163"/>
      <c r="Q117" s="161"/>
      <c r="R117" s="161"/>
      <c r="S117" s="161"/>
      <c r="T117" s="162"/>
      <c r="U117" s="162"/>
      <c r="V117" s="164"/>
      <c r="W117" s="163"/>
      <c r="X117" s="155"/>
      <c r="Y117" s="161"/>
      <c r="Z117" s="161"/>
      <c r="AA117" s="161"/>
      <c r="AB117" s="162"/>
      <c r="AC117" s="162"/>
      <c r="AD117" s="164"/>
      <c r="AE117" s="163"/>
      <c r="AF117" s="155"/>
      <c r="AG117" s="161"/>
      <c r="AH117" s="161"/>
      <c r="AI117" s="161"/>
      <c r="AJ117" s="162"/>
      <c r="AK117" s="162"/>
      <c r="AL117" s="164"/>
      <c r="AM117" s="163"/>
      <c r="AN117" s="155"/>
      <c r="AO117" s="161"/>
      <c r="AP117" s="161"/>
      <c r="AQ117" s="161"/>
      <c r="AR117" s="162"/>
      <c r="AS117" s="162"/>
      <c r="AT117" s="164"/>
      <c r="AU117" s="163"/>
    </row>
    <row r="118" spans="1:47" ht="15.95" customHeight="1" x14ac:dyDescent="0.2">
      <c r="A118" s="608"/>
      <c r="B118" s="608"/>
      <c r="C118" s="608"/>
      <c r="D118" s="609"/>
      <c r="E118" s="609"/>
      <c r="F118" s="610"/>
      <c r="G118" s="607" t="s">
        <v>169</v>
      </c>
      <c r="H118" s="113"/>
      <c r="I118" s="129"/>
      <c r="J118" s="129"/>
      <c r="K118" s="129"/>
      <c r="L118" s="130"/>
      <c r="M118" s="162"/>
      <c r="N118" s="162"/>
      <c r="O118" s="163"/>
      <c r="Q118" s="161"/>
      <c r="R118" s="161"/>
      <c r="S118" s="161"/>
      <c r="T118" s="162"/>
      <c r="U118" s="162"/>
      <c r="V118" s="164"/>
      <c r="W118" s="163"/>
      <c r="X118" s="155"/>
      <c r="Y118" s="161"/>
      <c r="Z118" s="161"/>
      <c r="AA118" s="161"/>
      <c r="AB118" s="162"/>
      <c r="AC118" s="162"/>
      <c r="AD118" s="164"/>
      <c r="AE118" s="163"/>
      <c r="AF118" s="155"/>
      <c r="AG118" s="161"/>
      <c r="AH118" s="161"/>
      <c r="AI118" s="161"/>
      <c r="AJ118" s="162"/>
      <c r="AK118" s="162"/>
      <c r="AL118" s="164"/>
      <c r="AM118" s="163"/>
      <c r="AN118" s="155"/>
      <c r="AO118" s="161"/>
      <c r="AP118" s="161"/>
      <c r="AQ118" s="161"/>
      <c r="AR118" s="162"/>
      <c r="AS118" s="162"/>
      <c r="AT118" s="164"/>
      <c r="AU118" s="163"/>
    </row>
    <row r="119" spans="1:47" ht="15.95" customHeight="1" x14ac:dyDescent="0.2">
      <c r="A119" s="608"/>
      <c r="B119" s="608"/>
      <c r="C119" s="608"/>
      <c r="D119" s="609"/>
      <c r="E119" s="609"/>
      <c r="F119" s="610"/>
      <c r="G119" s="607" t="s">
        <v>169</v>
      </c>
      <c r="H119" s="113"/>
      <c r="I119" s="129"/>
      <c r="J119" s="129"/>
      <c r="K119" s="129"/>
      <c r="L119" s="130"/>
      <c r="M119" s="162"/>
      <c r="N119" s="162"/>
      <c r="O119" s="163"/>
      <c r="Q119" s="161"/>
      <c r="R119" s="161"/>
      <c r="S119" s="161"/>
      <c r="T119" s="162"/>
      <c r="U119" s="162"/>
      <c r="V119" s="164"/>
      <c r="W119" s="163"/>
      <c r="X119" s="155"/>
      <c r="Y119" s="161"/>
      <c r="Z119" s="161"/>
      <c r="AA119" s="161"/>
      <c r="AB119" s="162"/>
      <c r="AC119" s="162"/>
      <c r="AD119" s="164"/>
      <c r="AE119" s="163"/>
      <c r="AF119" s="155"/>
      <c r="AG119" s="161"/>
      <c r="AH119" s="161"/>
      <c r="AI119" s="161"/>
      <c r="AJ119" s="162"/>
      <c r="AK119" s="162"/>
      <c r="AL119" s="164"/>
      <c r="AM119" s="163"/>
      <c r="AN119" s="155"/>
      <c r="AO119" s="161"/>
      <c r="AP119" s="161"/>
      <c r="AQ119" s="161"/>
      <c r="AR119" s="162"/>
      <c r="AS119" s="162"/>
      <c r="AT119" s="164"/>
      <c r="AU119" s="163"/>
    </row>
    <row r="120" spans="1:47" ht="15.95" customHeight="1" x14ac:dyDescent="0.2">
      <c r="A120" s="608"/>
      <c r="B120" s="608"/>
      <c r="C120" s="608"/>
      <c r="D120" s="609"/>
      <c r="E120" s="609"/>
      <c r="F120" s="610"/>
      <c r="G120" s="607" t="s">
        <v>169</v>
      </c>
      <c r="H120" s="113"/>
      <c r="I120" s="129"/>
      <c r="J120" s="129"/>
      <c r="K120" s="129"/>
      <c r="L120" s="130"/>
      <c r="M120" s="162"/>
      <c r="N120" s="162"/>
      <c r="O120" s="163"/>
      <c r="Q120" s="161"/>
      <c r="R120" s="161"/>
      <c r="S120" s="161"/>
      <c r="T120" s="162"/>
      <c r="U120" s="162"/>
      <c r="V120" s="164"/>
      <c r="W120" s="163"/>
      <c r="X120" s="155"/>
      <c r="Y120" s="161"/>
      <c r="Z120" s="161"/>
      <c r="AA120" s="161"/>
      <c r="AB120" s="162"/>
      <c r="AC120" s="162"/>
      <c r="AD120" s="164"/>
      <c r="AE120" s="163"/>
      <c r="AF120" s="155"/>
      <c r="AG120" s="161"/>
      <c r="AH120" s="161"/>
      <c r="AI120" s="161"/>
      <c r="AJ120" s="162"/>
      <c r="AK120" s="162"/>
      <c r="AL120" s="164"/>
      <c r="AM120" s="163"/>
      <c r="AN120" s="155"/>
      <c r="AO120" s="161"/>
      <c r="AP120" s="161"/>
      <c r="AQ120" s="161"/>
      <c r="AR120" s="162"/>
      <c r="AS120" s="162"/>
      <c r="AT120" s="164"/>
      <c r="AU120" s="163"/>
    </row>
    <row r="121" spans="1:47" ht="15.95" customHeight="1" x14ac:dyDescent="0.2">
      <c r="A121" s="608"/>
      <c r="B121" s="608"/>
      <c r="C121" s="608"/>
      <c r="D121" s="609"/>
      <c r="E121" s="609"/>
      <c r="F121" s="610"/>
      <c r="G121" s="607" t="s">
        <v>169</v>
      </c>
      <c r="H121" s="113"/>
      <c r="I121" s="129"/>
      <c r="J121" s="129"/>
      <c r="K121" s="129"/>
      <c r="L121" s="130"/>
      <c r="M121" s="162"/>
      <c r="N121" s="162"/>
      <c r="O121" s="163"/>
      <c r="Q121" s="161"/>
      <c r="R121" s="161"/>
      <c r="S121" s="161"/>
      <c r="T121" s="162"/>
      <c r="U121" s="162"/>
      <c r="V121" s="164"/>
      <c r="W121" s="163"/>
      <c r="X121" s="155"/>
      <c r="Y121" s="161"/>
      <c r="Z121" s="161"/>
      <c r="AA121" s="161"/>
      <c r="AB121" s="162"/>
      <c r="AC121" s="162"/>
      <c r="AD121" s="164"/>
      <c r="AE121" s="163"/>
      <c r="AF121" s="155"/>
      <c r="AG121" s="161"/>
      <c r="AH121" s="161"/>
      <c r="AI121" s="161"/>
      <c r="AJ121" s="162"/>
      <c r="AK121" s="162"/>
      <c r="AL121" s="164"/>
      <c r="AM121" s="163"/>
      <c r="AN121" s="155"/>
      <c r="AO121" s="161"/>
      <c r="AP121" s="161"/>
      <c r="AQ121" s="161"/>
      <c r="AR121" s="162"/>
      <c r="AS121" s="162"/>
      <c r="AT121" s="164"/>
      <c r="AU121" s="163"/>
    </row>
    <row r="122" spans="1:47" ht="15.95" customHeight="1" x14ac:dyDescent="0.2">
      <c r="A122" s="608"/>
      <c r="B122" s="608"/>
      <c r="C122" s="608"/>
      <c r="D122" s="609"/>
      <c r="E122" s="609"/>
      <c r="F122" s="610"/>
      <c r="G122" s="607" t="s">
        <v>169</v>
      </c>
      <c r="H122" s="113"/>
      <c r="I122" s="129"/>
      <c r="J122" s="129"/>
      <c r="K122" s="129"/>
      <c r="L122" s="130"/>
      <c r="M122" s="162"/>
      <c r="N122" s="162"/>
      <c r="O122" s="163"/>
      <c r="Q122" s="161"/>
      <c r="R122" s="161"/>
      <c r="S122" s="161"/>
      <c r="T122" s="162"/>
      <c r="U122" s="162"/>
      <c r="V122" s="164"/>
      <c r="W122" s="163"/>
      <c r="X122" s="155"/>
      <c r="Y122" s="161"/>
      <c r="Z122" s="161"/>
      <c r="AA122" s="161"/>
      <c r="AB122" s="162"/>
      <c r="AC122" s="162"/>
      <c r="AD122" s="164"/>
      <c r="AE122" s="163"/>
      <c r="AF122" s="155"/>
      <c r="AG122" s="161"/>
      <c r="AH122" s="161"/>
      <c r="AI122" s="161"/>
      <c r="AJ122" s="162"/>
      <c r="AK122" s="162"/>
      <c r="AL122" s="164"/>
      <c r="AM122" s="163"/>
      <c r="AN122" s="155"/>
      <c r="AO122" s="161"/>
      <c r="AP122" s="161"/>
      <c r="AQ122" s="161"/>
      <c r="AR122" s="162"/>
      <c r="AS122" s="162"/>
      <c r="AT122" s="164"/>
      <c r="AU122" s="163"/>
    </row>
    <row r="123" spans="1:47" ht="15.95" customHeight="1" x14ac:dyDescent="0.2">
      <c r="A123" s="608"/>
      <c r="B123" s="608"/>
      <c r="C123" s="608"/>
      <c r="D123" s="609"/>
      <c r="E123" s="609"/>
      <c r="F123" s="610"/>
      <c r="G123" s="607" t="s">
        <v>169</v>
      </c>
      <c r="H123" s="113"/>
      <c r="I123" s="129"/>
      <c r="J123" s="129"/>
      <c r="K123" s="129"/>
      <c r="L123" s="130"/>
      <c r="M123" s="162"/>
      <c r="N123" s="162"/>
      <c r="O123" s="163"/>
      <c r="Q123" s="161"/>
      <c r="R123" s="161"/>
      <c r="S123" s="161"/>
      <c r="T123" s="162"/>
      <c r="U123" s="162"/>
      <c r="V123" s="164"/>
      <c r="W123" s="163"/>
      <c r="X123" s="155"/>
      <c r="Y123" s="161"/>
      <c r="Z123" s="161"/>
      <c r="AA123" s="161"/>
      <c r="AB123" s="162"/>
      <c r="AC123" s="162"/>
      <c r="AD123" s="164"/>
      <c r="AE123" s="163"/>
      <c r="AF123" s="155"/>
      <c r="AG123" s="161"/>
      <c r="AH123" s="161"/>
      <c r="AI123" s="161"/>
      <c r="AJ123" s="162"/>
      <c r="AK123" s="162"/>
      <c r="AL123" s="164"/>
      <c r="AM123" s="163"/>
      <c r="AN123" s="155"/>
      <c r="AO123" s="161"/>
      <c r="AP123" s="161"/>
      <c r="AQ123" s="161"/>
      <c r="AR123" s="162"/>
      <c r="AS123" s="162"/>
      <c r="AT123" s="164"/>
      <c r="AU123" s="163"/>
    </row>
    <row r="124" spans="1:47" ht="15.95" customHeight="1" x14ac:dyDescent="0.2">
      <c r="A124" s="608"/>
      <c r="B124" s="608"/>
      <c r="C124" s="608"/>
      <c r="D124" s="609"/>
      <c r="E124" s="609"/>
      <c r="F124" s="610"/>
      <c r="G124" s="607" t="s">
        <v>169</v>
      </c>
      <c r="H124" s="113"/>
      <c r="I124" s="129"/>
      <c r="J124" s="129"/>
      <c r="K124" s="129"/>
      <c r="L124" s="130"/>
      <c r="M124" s="162"/>
      <c r="N124" s="162"/>
      <c r="O124" s="163"/>
      <c r="Q124" s="161"/>
      <c r="R124" s="161"/>
      <c r="S124" s="161"/>
      <c r="T124" s="162"/>
      <c r="U124" s="162"/>
      <c r="V124" s="164"/>
      <c r="W124" s="163"/>
      <c r="X124" s="155"/>
      <c r="Y124" s="161"/>
      <c r="Z124" s="161"/>
      <c r="AA124" s="161"/>
      <c r="AB124" s="162"/>
      <c r="AC124" s="162"/>
      <c r="AD124" s="164"/>
      <c r="AE124" s="163"/>
      <c r="AF124" s="155"/>
      <c r="AG124" s="161"/>
      <c r="AH124" s="161"/>
      <c r="AI124" s="161"/>
      <c r="AJ124" s="162"/>
      <c r="AK124" s="162"/>
      <c r="AL124" s="164"/>
      <c r="AM124" s="163"/>
      <c r="AN124" s="155"/>
      <c r="AO124" s="161"/>
      <c r="AP124" s="161"/>
      <c r="AQ124" s="161"/>
      <c r="AR124" s="162"/>
      <c r="AS124" s="162"/>
      <c r="AT124" s="164"/>
      <c r="AU124" s="163"/>
    </row>
    <row r="125" spans="1:47" ht="15.95" customHeight="1" x14ac:dyDescent="0.2">
      <c r="A125" s="608"/>
      <c r="B125" s="608"/>
      <c r="C125" s="608"/>
      <c r="D125" s="609"/>
      <c r="E125" s="609"/>
      <c r="F125" s="610"/>
      <c r="G125" s="607" t="s">
        <v>169</v>
      </c>
      <c r="H125" s="113"/>
      <c r="I125" s="129"/>
      <c r="J125" s="129"/>
      <c r="K125" s="129"/>
      <c r="L125" s="130"/>
      <c r="M125" s="162"/>
      <c r="N125" s="162"/>
      <c r="O125" s="163"/>
      <c r="Q125" s="161"/>
      <c r="R125" s="161"/>
      <c r="S125" s="161"/>
      <c r="T125" s="162"/>
      <c r="U125" s="162"/>
      <c r="V125" s="164"/>
      <c r="W125" s="163"/>
      <c r="X125" s="155"/>
      <c r="Y125" s="161"/>
      <c r="Z125" s="161"/>
      <c r="AA125" s="161"/>
      <c r="AB125" s="162"/>
      <c r="AC125" s="162"/>
      <c r="AD125" s="164"/>
      <c r="AE125" s="163"/>
      <c r="AF125" s="155"/>
      <c r="AG125" s="161"/>
      <c r="AH125" s="161"/>
      <c r="AI125" s="161"/>
      <c r="AJ125" s="162"/>
      <c r="AK125" s="162"/>
      <c r="AL125" s="164"/>
      <c r="AM125" s="163"/>
      <c r="AN125" s="155"/>
      <c r="AO125" s="161"/>
      <c r="AP125" s="161"/>
      <c r="AQ125" s="161"/>
      <c r="AR125" s="162"/>
      <c r="AS125" s="162"/>
      <c r="AT125" s="164"/>
      <c r="AU125" s="163"/>
    </row>
    <row r="126" spans="1:47" ht="15.95" customHeight="1" x14ac:dyDescent="0.2">
      <c r="A126" s="608"/>
      <c r="B126" s="608"/>
      <c r="C126" s="608"/>
      <c r="D126" s="609"/>
      <c r="E126" s="609"/>
      <c r="F126" s="610"/>
      <c r="G126" s="607" t="s">
        <v>169</v>
      </c>
      <c r="H126" s="113"/>
      <c r="I126" s="129"/>
      <c r="J126" s="129"/>
      <c r="K126" s="129"/>
      <c r="L126" s="130"/>
      <c r="M126" s="162"/>
      <c r="N126" s="162"/>
      <c r="O126" s="163"/>
      <c r="Q126" s="161"/>
      <c r="R126" s="161"/>
      <c r="S126" s="161"/>
      <c r="T126" s="162"/>
      <c r="U126" s="162"/>
      <c r="V126" s="164"/>
      <c r="W126" s="163"/>
      <c r="X126" s="155"/>
      <c r="Y126" s="161"/>
      <c r="Z126" s="161"/>
      <c r="AA126" s="161"/>
      <c r="AB126" s="162"/>
      <c r="AC126" s="162"/>
      <c r="AD126" s="164"/>
      <c r="AE126" s="163"/>
      <c r="AF126" s="155"/>
      <c r="AG126" s="161"/>
      <c r="AH126" s="161"/>
      <c r="AI126" s="161"/>
      <c r="AJ126" s="162"/>
      <c r="AK126" s="162"/>
      <c r="AL126" s="164"/>
      <c r="AM126" s="163"/>
      <c r="AN126" s="155"/>
      <c r="AO126" s="161"/>
      <c r="AP126" s="161"/>
      <c r="AQ126" s="161"/>
      <c r="AR126" s="162"/>
      <c r="AS126" s="162"/>
      <c r="AT126" s="164"/>
      <c r="AU126" s="163"/>
    </row>
    <row r="127" spans="1:47" ht="15.95" customHeight="1" x14ac:dyDescent="0.2">
      <c r="A127" s="608"/>
      <c r="B127" s="608"/>
      <c r="C127" s="608"/>
      <c r="D127" s="609"/>
      <c r="E127" s="609"/>
      <c r="F127" s="610"/>
      <c r="G127" s="607" t="s">
        <v>169</v>
      </c>
      <c r="H127" s="113"/>
      <c r="I127" s="129"/>
      <c r="J127" s="129"/>
      <c r="K127" s="129"/>
      <c r="L127" s="130"/>
      <c r="M127" s="162"/>
      <c r="N127" s="162"/>
      <c r="O127" s="163"/>
      <c r="Q127" s="161"/>
      <c r="R127" s="161"/>
      <c r="S127" s="161"/>
      <c r="T127" s="162"/>
      <c r="U127" s="162"/>
      <c r="V127" s="164"/>
      <c r="W127" s="163"/>
      <c r="X127" s="155"/>
      <c r="Y127" s="161"/>
      <c r="Z127" s="161"/>
      <c r="AA127" s="161"/>
      <c r="AB127" s="162"/>
      <c r="AC127" s="162"/>
      <c r="AD127" s="164"/>
      <c r="AE127" s="163"/>
      <c r="AF127" s="155"/>
      <c r="AG127" s="161"/>
      <c r="AH127" s="161"/>
      <c r="AI127" s="161"/>
      <c r="AJ127" s="162"/>
      <c r="AK127" s="162"/>
      <c r="AL127" s="164"/>
      <c r="AM127" s="163"/>
      <c r="AN127" s="155"/>
      <c r="AO127" s="161"/>
      <c r="AP127" s="161"/>
      <c r="AQ127" s="161"/>
      <c r="AR127" s="162"/>
      <c r="AS127" s="162"/>
      <c r="AT127" s="164"/>
      <c r="AU127" s="163"/>
    </row>
    <row r="128" spans="1:47" ht="15.95" customHeight="1" x14ac:dyDescent="0.2">
      <c r="A128" s="608"/>
      <c r="B128" s="608"/>
      <c r="C128" s="608"/>
      <c r="D128" s="609"/>
      <c r="E128" s="609"/>
      <c r="F128" s="610"/>
      <c r="G128" s="607" t="s">
        <v>169</v>
      </c>
      <c r="H128" s="113"/>
      <c r="I128" s="129"/>
      <c r="J128" s="129"/>
      <c r="K128" s="129"/>
      <c r="L128" s="130"/>
      <c r="M128" s="162"/>
      <c r="N128" s="162"/>
      <c r="O128" s="163"/>
      <c r="Q128" s="161"/>
      <c r="R128" s="161"/>
      <c r="S128" s="161"/>
      <c r="T128" s="162"/>
      <c r="U128" s="162"/>
      <c r="V128" s="164"/>
      <c r="W128" s="163"/>
      <c r="X128" s="155"/>
      <c r="Y128" s="161"/>
      <c r="Z128" s="161"/>
      <c r="AA128" s="161"/>
      <c r="AB128" s="162"/>
      <c r="AC128" s="162"/>
      <c r="AD128" s="164"/>
      <c r="AE128" s="163"/>
      <c r="AF128" s="155"/>
      <c r="AG128" s="161"/>
      <c r="AH128" s="161"/>
      <c r="AI128" s="161"/>
      <c r="AJ128" s="162"/>
      <c r="AK128" s="162"/>
      <c r="AL128" s="164"/>
      <c r="AM128" s="163"/>
      <c r="AN128" s="155"/>
      <c r="AO128" s="161"/>
      <c r="AP128" s="161"/>
      <c r="AQ128" s="161"/>
      <c r="AR128" s="162"/>
      <c r="AS128" s="162"/>
      <c r="AT128" s="164"/>
      <c r="AU128" s="163"/>
    </row>
    <row r="129" spans="1:47" ht="15.95" customHeight="1" x14ac:dyDescent="0.2">
      <c r="A129" s="608"/>
      <c r="B129" s="608"/>
      <c r="C129" s="608"/>
      <c r="D129" s="609"/>
      <c r="E129" s="609"/>
      <c r="F129" s="610"/>
      <c r="G129" s="607" t="s">
        <v>169</v>
      </c>
      <c r="H129" s="113"/>
      <c r="I129" s="129"/>
      <c r="J129" s="129"/>
      <c r="K129" s="129"/>
      <c r="L129" s="130"/>
      <c r="M129" s="162"/>
      <c r="N129" s="162"/>
      <c r="O129" s="163"/>
      <c r="Q129" s="161"/>
      <c r="R129" s="161"/>
      <c r="S129" s="161"/>
      <c r="T129" s="162"/>
      <c r="U129" s="162"/>
      <c r="V129" s="164"/>
      <c r="W129" s="163"/>
      <c r="X129" s="155"/>
      <c r="Y129" s="161"/>
      <c r="Z129" s="161"/>
      <c r="AA129" s="161"/>
      <c r="AB129" s="162"/>
      <c r="AC129" s="162"/>
      <c r="AD129" s="164"/>
      <c r="AE129" s="163"/>
      <c r="AF129" s="155"/>
      <c r="AG129" s="161"/>
      <c r="AH129" s="161"/>
      <c r="AI129" s="161"/>
      <c r="AJ129" s="162"/>
      <c r="AK129" s="162"/>
      <c r="AL129" s="164"/>
      <c r="AM129" s="163"/>
      <c r="AN129" s="155"/>
      <c r="AO129" s="161"/>
      <c r="AP129" s="161"/>
      <c r="AQ129" s="161"/>
      <c r="AR129" s="162"/>
      <c r="AS129" s="162"/>
      <c r="AT129" s="164"/>
      <c r="AU129" s="163"/>
    </row>
    <row r="130" spans="1:47" ht="15.95" customHeight="1" x14ac:dyDescent="0.2">
      <c r="A130" s="608"/>
      <c r="B130" s="608"/>
      <c r="C130" s="608"/>
      <c r="D130" s="609"/>
      <c r="E130" s="609"/>
      <c r="F130" s="610"/>
      <c r="G130" s="607" t="s">
        <v>169</v>
      </c>
      <c r="H130" s="113"/>
      <c r="I130" s="129"/>
      <c r="J130" s="129"/>
      <c r="K130" s="129"/>
      <c r="L130" s="130"/>
      <c r="M130" s="162"/>
      <c r="N130" s="162"/>
      <c r="O130" s="163"/>
      <c r="Q130" s="161"/>
      <c r="R130" s="161"/>
      <c r="S130" s="161"/>
      <c r="T130" s="162"/>
      <c r="U130" s="162"/>
      <c r="V130" s="164"/>
      <c r="W130" s="163"/>
      <c r="X130" s="155"/>
      <c r="Y130" s="161"/>
      <c r="Z130" s="161"/>
      <c r="AA130" s="161"/>
      <c r="AB130" s="162"/>
      <c r="AC130" s="162"/>
      <c r="AD130" s="164"/>
      <c r="AE130" s="163"/>
      <c r="AF130" s="155"/>
      <c r="AG130" s="161"/>
      <c r="AH130" s="161"/>
      <c r="AI130" s="161"/>
      <c r="AJ130" s="162"/>
      <c r="AK130" s="162"/>
      <c r="AL130" s="164"/>
      <c r="AM130" s="163"/>
      <c r="AN130" s="155"/>
      <c r="AO130" s="161"/>
      <c r="AP130" s="161"/>
      <c r="AQ130" s="161"/>
      <c r="AR130" s="162"/>
      <c r="AS130" s="162"/>
      <c r="AT130" s="164"/>
      <c r="AU130" s="163"/>
    </row>
    <row r="131" spans="1:47" ht="15.95" customHeight="1" x14ac:dyDescent="0.2">
      <c r="A131" s="608"/>
      <c r="B131" s="608"/>
      <c r="C131" s="608"/>
      <c r="D131" s="609"/>
      <c r="E131" s="609"/>
      <c r="F131" s="610"/>
      <c r="G131" s="607" t="s">
        <v>169</v>
      </c>
      <c r="H131" s="113"/>
      <c r="I131" s="129"/>
      <c r="J131" s="129"/>
      <c r="K131" s="129"/>
      <c r="L131" s="130"/>
      <c r="M131" s="162"/>
      <c r="N131" s="162"/>
      <c r="O131" s="163"/>
      <c r="Q131" s="161"/>
      <c r="R131" s="161"/>
      <c r="S131" s="161"/>
      <c r="T131" s="162"/>
      <c r="U131" s="162"/>
      <c r="V131" s="164"/>
      <c r="W131" s="163"/>
      <c r="X131" s="155"/>
      <c r="Y131" s="161"/>
      <c r="Z131" s="161"/>
      <c r="AA131" s="161"/>
      <c r="AB131" s="162"/>
      <c r="AC131" s="162"/>
      <c r="AD131" s="164"/>
      <c r="AE131" s="163"/>
      <c r="AF131" s="155"/>
      <c r="AG131" s="161"/>
      <c r="AH131" s="161"/>
      <c r="AI131" s="161"/>
      <c r="AJ131" s="162"/>
      <c r="AK131" s="162"/>
      <c r="AL131" s="164"/>
      <c r="AM131" s="163"/>
      <c r="AN131" s="155"/>
      <c r="AO131" s="161"/>
      <c r="AP131" s="161"/>
      <c r="AQ131" s="161"/>
      <c r="AR131" s="162"/>
      <c r="AS131" s="162"/>
      <c r="AT131" s="164"/>
      <c r="AU131" s="163"/>
    </row>
    <row r="132" spans="1:47" ht="15.95" customHeight="1" x14ac:dyDescent="0.2">
      <c r="A132" s="608"/>
      <c r="B132" s="608"/>
      <c r="C132" s="608"/>
      <c r="D132" s="609"/>
      <c r="E132" s="609"/>
      <c r="F132" s="610"/>
      <c r="G132" s="607" t="s">
        <v>169</v>
      </c>
      <c r="H132" s="113"/>
      <c r="I132" s="129"/>
      <c r="J132" s="129"/>
      <c r="K132" s="129"/>
      <c r="L132" s="130"/>
      <c r="M132" s="162"/>
      <c r="N132" s="162"/>
      <c r="O132" s="163"/>
      <c r="Q132" s="161"/>
      <c r="R132" s="161"/>
      <c r="S132" s="161"/>
      <c r="T132" s="162"/>
      <c r="U132" s="162"/>
      <c r="V132" s="164"/>
      <c r="W132" s="163"/>
      <c r="X132" s="155"/>
      <c r="Y132" s="161"/>
      <c r="Z132" s="161"/>
      <c r="AA132" s="161"/>
      <c r="AB132" s="162"/>
      <c r="AC132" s="162"/>
      <c r="AD132" s="164"/>
      <c r="AE132" s="163"/>
      <c r="AF132" s="155"/>
      <c r="AG132" s="161"/>
      <c r="AH132" s="161"/>
      <c r="AI132" s="161"/>
      <c r="AJ132" s="162"/>
      <c r="AK132" s="162"/>
      <c r="AL132" s="164"/>
      <c r="AM132" s="163"/>
      <c r="AN132" s="155"/>
      <c r="AO132" s="161"/>
      <c r="AP132" s="161"/>
      <c r="AQ132" s="161"/>
      <c r="AR132" s="162"/>
      <c r="AS132" s="162"/>
      <c r="AT132" s="164"/>
      <c r="AU132" s="163"/>
    </row>
    <row r="133" spans="1:47" ht="15.95" customHeight="1" x14ac:dyDescent="0.2">
      <c r="A133" s="608"/>
      <c r="B133" s="608"/>
      <c r="C133" s="608"/>
      <c r="D133" s="609"/>
      <c r="E133" s="609"/>
      <c r="F133" s="610"/>
      <c r="G133" s="607" t="s">
        <v>169</v>
      </c>
      <c r="H133" s="113"/>
      <c r="I133" s="129"/>
      <c r="J133" s="129"/>
      <c r="K133" s="129"/>
      <c r="L133" s="130"/>
      <c r="M133" s="162"/>
      <c r="N133" s="162"/>
      <c r="O133" s="163"/>
      <c r="Q133" s="161"/>
      <c r="R133" s="161"/>
      <c r="S133" s="161"/>
      <c r="T133" s="162"/>
      <c r="U133" s="162"/>
      <c r="V133" s="164"/>
      <c r="W133" s="163"/>
      <c r="X133" s="155"/>
      <c r="Y133" s="161"/>
      <c r="Z133" s="161"/>
      <c r="AA133" s="161"/>
      <c r="AB133" s="162"/>
      <c r="AC133" s="162"/>
      <c r="AD133" s="164"/>
      <c r="AE133" s="163"/>
      <c r="AF133" s="155"/>
      <c r="AG133" s="161"/>
      <c r="AH133" s="161"/>
      <c r="AI133" s="161"/>
      <c r="AJ133" s="162"/>
      <c r="AK133" s="162"/>
      <c r="AL133" s="164"/>
      <c r="AM133" s="163"/>
      <c r="AN133" s="155"/>
      <c r="AO133" s="161"/>
      <c r="AP133" s="161"/>
      <c r="AQ133" s="161"/>
      <c r="AR133" s="162"/>
      <c r="AS133" s="162"/>
      <c r="AT133" s="164"/>
      <c r="AU133" s="163"/>
    </row>
    <row r="134" spans="1:47" ht="15.95" customHeight="1" x14ac:dyDescent="0.2">
      <c r="A134" s="608"/>
      <c r="B134" s="608"/>
      <c r="C134" s="608"/>
      <c r="D134" s="609"/>
      <c r="E134" s="609"/>
      <c r="F134" s="610"/>
      <c r="G134" s="607" t="s">
        <v>169</v>
      </c>
      <c r="H134" s="113"/>
      <c r="I134" s="129"/>
      <c r="J134" s="129"/>
      <c r="K134" s="129"/>
      <c r="L134" s="130"/>
      <c r="M134" s="162"/>
      <c r="N134" s="162"/>
      <c r="O134" s="163"/>
      <c r="Q134" s="161"/>
      <c r="R134" s="161"/>
      <c r="S134" s="161"/>
      <c r="T134" s="162"/>
      <c r="U134" s="162"/>
      <c r="V134" s="164"/>
      <c r="W134" s="163"/>
      <c r="X134" s="155"/>
      <c r="Y134" s="161"/>
      <c r="Z134" s="161"/>
      <c r="AA134" s="161"/>
      <c r="AB134" s="162"/>
      <c r="AC134" s="162"/>
      <c r="AD134" s="164"/>
      <c r="AE134" s="163"/>
      <c r="AF134" s="155"/>
      <c r="AG134" s="161"/>
      <c r="AH134" s="161"/>
      <c r="AI134" s="161"/>
      <c r="AJ134" s="162"/>
      <c r="AK134" s="162"/>
      <c r="AL134" s="164"/>
      <c r="AM134" s="163"/>
      <c r="AN134" s="155"/>
      <c r="AO134" s="161"/>
      <c r="AP134" s="161"/>
      <c r="AQ134" s="161"/>
      <c r="AR134" s="162"/>
      <c r="AS134" s="162"/>
      <c r="AT134" s="164"/>
      <c r="AU134" s="163"/>
    </row>
    <row r="135" spans="1:47" ht="15.95" customHeight="1" x14ac:dyDescent="0.2">
      <c r="A135" s="608"/>
      <c r="B135" s="608"/>
      <c r="C135" s="608"/>
      <c r="D135" s="609"/>
      <c r="E135" s="609"/>
      <c r="F135" s="610"/>
      <c r="G135" s="607" t="s">
        <v>169</v>
      </c>
      <c r="H135" s="113"/>
      <c r="I135" s="129"/>
      <c r="J135" s="129"/>
      <c r="K135" s="129"/>
      <c r="L135" s="130"/>
      <c r="M135" s="162"/>
      <c r="N135" s="162"/>
      <c r="O135" s="163"/>
      <c r="Q135" s="161"/>
      <c r="R135" s="161"/>
      <c r="S135" s="161"/>
      <c r="T135" s="162"/>
      <c r="U135" s="162"/>
      <c r="V135" s="164"/>
      <c r="W135" s="163"/>
      <c r="X135" s="155"/>
      <c r="Y135" s="161"/>
      <c r="Z135" s="161"/>
      <c r="AA135" s="161"/>
      <c r="AB135" s="162"/>
      <c r="AC135" s="162"/>
      <c r="AD135" s="164"/>
      <c r="AE135" s="163"/>
      <c r="AF135" s="155"/>
      <c r="AG135" s="161"/>
      <c r="AH135" s="161"/>
      <c r="AI135" s="161"/>
      <c r="AJ135" s="162"/>
      <c r="AK135" s="162"/>
      <c r="AL135" s="164"/>
      <c r="AM135" s="163"/>
      <c r="AN135" s="155"/>
      <c r="AO135" s="161"/>
      <c r="AP135" s="161"/>
      <c r="AQ135" s="161"/>
      <c r="AR135" s="162"/>
      <c r="AS135" s="162"/>
      <c r="AT135" s="164"/>
      <c r="AU135" s="163"/>
    </row>
    <row r="136" spans="1:47" ht="15.95" customHeight="1" x14ac:dyDescent="0.2">
      <c r="A136" s="608"/>
      <c r="B136" s="608"/>
      <c r="C136" s="608"/>
      <c r="D136" s="609"/>
      <c r="E136" s="609"/>
      <c r="F136" s="610"/>
      <c r="G136" s="607" t="s">
        <v>169</v>
      </c>
      <c r="H136" s="113"/>
      <c r="I136" s="129"/>
      <c r="J136" s="129"/>
      <c r="K136" s="129"/>
      <c r="L136" s="130"/>
      <c r="M136" s="162"/>
      <c r="N136" s="162"/>
      <c r="O136" s="163"/>
      <c r="Q136" s="161"/>
      <c r="R136" s="161"/>
      <c r="S136" s="161"/>
      <c r="T136" s="162"/>
      <c r="U136" s="162"/>
      <c r="V136" s="164"/>
      <c r="W136" s="163"/>
      <c r="X136" s="155"/>
      <c r="Y136" s="161"/>
      <c r="Z136" s="161"/>
      <c r="AA136" s="161"/>
      <c r="AB136" s="162"/>
      <c r="AC136" s="162"/>
      <c r="AD136" s="164"/>
      <c r="AE136" s="163"/>
      <c r="AF136" s="155"/>
      <c r="AG136" s="161"/>
      <c r="AH136" s="161"/>
      <c r="AI136" s="161"/>
      <c r="AJ136" s="162"/>
      <c r="AK136" s="162"/>
      <c r="AL136" s="164"/>
      <c r="AM136" s="163"/>
      <c r="AN136" s="155"/>
      <c r="AO136" s="161"/>
      <c r="AP136" s="161"/>
      <c r="AQ136" s="161"/>
      <c r="AR136" s="162"/>
      <c r="AS136" s="162"/>
      <c r="AT136" s="164"/>
      <c r="AU136" s="163"/>
    </row>
    <row r="137" spans="1:47" ht="15.95" customHeight="1" x14ac:dyDescent="0.2">
      <c r="A137" s="608"/>
      <c r="B137" s="608"/>
      <c r="C137" s="608"/>
      <c r="D137" s="609"/>
      <c r="E137" s="609"/>
      <c r="F137" s="610"/>
      <c r="G137" s="607" t="s">
        <v>169</v>
      </c>
      <c r="H137" s="113"/>
      <c r="I137" s="129"/>
      <c r="J137" s="129"/>
      <c r="K137" s="129"/>
      <c r="L137" s="130"/>
      <c r="M137" s="162"/>
      <c r="N137" s="162"/>
      <c r="O137" s="163"/>
      <c r="Q137" s="161"/>
      <c r="R137" s="161"/>
      <c r="S137" s="161"/>
      <c r="T137" s="162"/>
      <c r="U137" s="162"/>
      <c r="V137" s="164"/>
      <c r="W137" s="163"/>
      <c r="X137" s="155"/>
      <c r="Y137" s="161"/>
      <c r="Z137" s="161"/>
      <c r="AA137" s="161"/>
      <c r="AB137" s="162"/>
      <c r="AC137" s="162"/>
      <c r="AD137" s="164"/>
      <c r="AE137" s="163"/>
      <c r="AF137" s="155"/>
      <c r="AG137" s="161"/>
      <c r="AH137" s="161"/>
      <c r="AI137" s="161"/>
      <c r="AJ137" s="162"/>
      <c r="AK137" s="162"/>
      <c r="AL137" s="164"/>
      <c r="AM137" s="163"/>
      <c r="AN137" s="155"/>
      <c r="AO137" s="161"/>
      <c r="AP137" s="161"/>
      <c r="AQ137" s="161"/>
      <c r="AR137" s="162"/>
      <c r="AS137" s="162"/>
      <c r="AT137" s="164"/>
      <c r="AU137" s="163"/>
    </row>
    <row r="138" spans="1:47" ht="15.95" customHeight="1" x14ac:dyDescent="0.2">
      <c r="A138" s="608"/>
      <c r="B138" s="608"/>
      <c r="C138" s="608"/>
      <c r="D138" s="609"/>
      <c r="E138" s="609"/>
      <c r="F138" s="610"/>
      <c r="G138" s="607" t="s">
        <v>169</v>
      </c>
      <c r="H138" s="113"/>
      <c r="I138" s="129"/>
      <c r="J138" s="129"/>
      <c r="K138" s="129"/>
      <c r="L138" s="130"/>
      <c r="M138" s="162"/>
      <c r="N138" s="162"/>
      <c r="O138" s="163"/>
      <c r="Q138" s="161"/>
      <c r="R138" s="161"/>
      <c r="S138" s="161"/>
      <c r="T138" s="162"/>
      <c r="U138" s="162"/>
      <c r="V138" s="164"/>
      <c r="W138" s="163"/>
      <c r="X138" s="155"/>
      <c r="Y138" s="161"/>
      <c r="Z138" s="161"/>
      <c r="AA138" s="161"/>
      <c r="AB138" s="162"/>
      <c r="AC138" s="162"/>
      <c r="AD138" s="164"/>
      <c r="AE138" s="163"/>
      <c r="AF138" s="155"/>
      <c r="AG138" s="161"/>
      <c r="AH138" s="161"/>
      <c r="AI138" s="161"/>
      <c r="AJ138" s="162"/>
      <c r="AK138" s="162"/>
      <c r="AL138" s="164"/>
      <c r="AM138" s="163"/>
      <c r="AN138" s="155"/>
      <c r="AO138" s="161"/>
      <c r="AP138" s="161"/>
      <c r="AQ138" s="161"/>
      <c r="AR138" s="162"/>
      <c r="AS138" s="162"/>
      <c r="AT138" s="164"/>
      <c r="AU138" s="163"/>
    </row>
    <row r="139" spans="1:47" ht="15.95" customHeight="1" x14ac:dyDescent="0.2">
      <c r="A139" s="608"/>
      <c r="B139" s="608"/>
      <c r="C139" s="608"/>
      <c r="D139" s="609"/>
      <c r="E139" s="609"/>
      <c r="F139" s="610"/>
      <c r="G139" s="607" t="s">
        <v>169</v>
      </c>
      <c r="H139" s="113"/>
      <c r="I139" s="129"/>
      <c r="J139" s="129"/>
      <c r="K139" s="129"/>
      <c r="L139" s="130"/>
      <c r="M139" s="162"/>
      <c r="N139" s="162"/>
      <c r="O139" s="163"/>
      <c r="Q139" s="161"/>
      <c r="R139" s="161"/>
      <c r="S139" s="161"/>
      <c r="T139" s="162"/>
      <c r="U139" s="162"/>
      <c r="V139" s="164"/>
      <c r="W139" s="163"/>
      <c r="X139" s="155"/>
      <c r="Y139" s="161"/>
      <c r="Z139" s="161"/>
      <c r="AA139" s="161"/>
      <c r="AB139" s="162"/>
      <c r="AC139" s="162"/>
      <c r="AD139" s="164"/>
      <c r="AE139" s="163"/>
      <c r="AF139" s="155"/>
      <c r="AG139" s="161"/>
      <c r="AH139" s="161"/>
      <c r="AI139" s="161"/>
      <c r="AJ139" s="162"/>
      <c r="AK139" s="162"/>
      <c r="AL139" s="164"/>
      <c r="AM139" s="163"/>
      <c r="AN139" s="155"/>
      <c r="AO139" s="161"/>
      <c r="AP139" s="161"/>
      <c r="AQ139" s="161"/>
      <c r="AR139" s="162"/>
      <c r="AS139" s="162"/>
      <c r="AT139" s="164"/>
      <c r="AU139" s="163"/>
    </row>
    <row r="140" spans="1:47" ht="15.95" customHeight="1" x14ac:dyDescent="0.2">
      <c r="A140" s="608"/>
      <c r="B140" s="608"/>
      <c r="C140" s="608"/>
      <c r="D140" s="609"/>
      <c r="E140" s="609"/>
      <c r="F140" s="610"/>
      <c r="G140" s="607" t="s">
        <v>169</v>
      </c>
      <c r="H140" s="113"/>
      <c r="I140" s="129"/>
      <c r="J140" s="129"/>
      <c r="K140" s="129"/>
      <c r="L140" s="130"/>
      <c r="M140" s="162"/>
      <c r="N140" s="162"/>
      <c r="O140" s="163"/>
      <c r="Q140" s="161"/>
      <c r="R140" s="161"/>
      <c r="S140" s="161"/>
      <c r="T140" s="162"/>
      <c r="U140" s="162"/>
      <c r="V140" s="164"/>
      <c r="W140" s="163"/>
      <c r="X140" s="155"/>
      <c r="Y140" s="161"/>
      <c r="Z140" s="161"/>
      <c r="AA140" s="161"/>
      <c r="AB140" s="162"/>
      <c r="AC140" s="162"/>
      <c r="AD140" s="164"/>
      <c r="AE140" s="163"/>
      <c r="AF140" s="155"/>
      <c r="AG140" s="161"/>
      <c r="AH140" s="161"/>
      <c r="AI140" s="161"/>
      <c r="AJ140" s="162"/>
      <c r="AK140" s="162"/>
      <c r="AL140" s="164"/>
      <c r="AM140" s="163"/>
      <c r="AN140" s="155"/>
      <c r="AO140" s="161"/>
      <c r="AP140" s="161"/>
      <c r="AQ140" s="161"/>
      <c r="AR140" s="162"/>
      <c r="AS140" s="162"/>
      <c r="AT140" s="164"/>
      <c r="AU140" s="163"/>
    </row>
    <row r="141" spans="1:47" ht="15.95" customHeight="1" x14ac:dyDescent="0.2">
      <c r="A141" s="608"/>
      <c r="B141" s="608"/>
      <c r="C141" s="608"/>
      <c r="D141" s="609"/>
      <c r="E141" s="609"/>
      <c r="F141" s="610"/>
      <c r="G141" s="607" t="s">
        <v>169</v>
      </c>
      <c r="H141" s="113"/>
      <c r="I141" s="129"/>
      <c r="J141" s="129"/>
      <c r="K141" s="129"/>
      <c r="L141" s="130"/>
      <c r="M141" s="162"/>
      <c r="N141" s="162"/>
      <c r="O141" s="163"/>
      <c r="Q141" s="161"/>
      <c r="R141" s="161"/>
      <c r="S141" s="161"/>
      <c r="T141" s="162"/>
      <c r="U141" s="162"/>
      <c r="V141" s="164"/>
      <c r="W141" s="163"/>
      <c r="X141" s="155"/>
      <c r="Y141" s="161"/>
      <c r="Z141" s="161"/>
      <c r="AA141" s="161"/>
      <c r="AB141" s="162"/>
      <c r="AC141" s="162"/>
      <c r="AD141" s="164"/>
      <c r="AE141" s="163"/>
      <c r="AF141" s="155"/>
      <c r="AG141" s="161"/>
      <c r="AH141" s="161"/>
      <c r="AI141" s="161"/>
      <c r="AJ141" s="162"/>
      <c r="AK141" s="162"/>
      <c r="AL141" s="164"/>
      <c r="AM141" s="163"/>
      <c r="AN141" s="155"/>
      <c r="AO141" s="161"/>
      <c r="AP141" s="161"/>
      <c r="AQ141" s="161"/>
      <c r="AR141" s="162"/>
      <c r="AS141" s="162"/>
      <c r="AT141" s="164"/>
      <c r="AU141" s="163"/>
    </row>
    <row r="142" spans="1:47" ht="15.95" customHeight="1" x14ac:dyDescent="0.2">
      <c r="A142" s="608"/>
      <c r="B142" s="608"/>
      <c r="C142" s="608"/>
      <c r="D142" s="609"/>
      <c r="E142" s="609"/>
      <c r="F142" s="610"/>
      <c r="G142" s="607" t="s">
        <v>169</v>
      </c>
      <c r="H142" s="113"/>
      <c r="I142" s="129"/>
      <c r="J142" s="129"/>
      <c r="K142" s="129"/>
      <c r="L142" s="130"/>
      <c r="M142" s="162"/>
      <c r="N142" s="162"/>
      <c r="O142" s="163"/>
      <c r="Q142" s="161"/>
      <c r="R142" s="161"/>
      <c r="S142" s="161"/>
      <c r="T142" s="162"/>
      <c r="U142" s="162"/>
      <c r="V142" s="164"/>
      <c r="W142" s="163"/>
      <c r="X142" s="155"/>
      <c r="Y142" s="161"/>
      <c r="Z142" s="161"/>
      <c r="AA142" s="161"/>
      <c r="AB142" s="162"/>
      <c r="AC142" s="162"/>
      <c r="AD142" s="164"/>
      <c r="AE142" s="163"/>
      <c r="AF142" s="155"/>
      <c r="AG142" s="161"/>
      <c r="AH142" s="161"/>
      <c r="AI142" s="161"/>
      <c r="AJ142" s="162"/>
      <c r="AK142" s="162"/>
      <c r="AL142" s="164"/>
      <c r="AM142" s="163"/>
      <c r="AN142" s="155"/>
      <c r="AO142" s="161"/>
      <c r="AP142" s="161"/>
      <c r="AQ142" s="161"/>
      <c r="AR142" s="162"/>
      <c r="AS142" s="162"/>
      <c r="AT142" s="164"/>
      <c r="AU142" s="163"/>
    </row>
    <row r="143" spans="1:47" ht="15.95" customHeight="1" x14ac:dyDescent="0.2">
      <c r="A143" s="608"/>
      <c r="B143" s="608"/>
      <c r="C143" s="608"/>
      <c r="D143" s="609"/>
      <c r="E143" s="609"/>
      <c r="F143" s="610"/>
      <c r="G143" s="607" t="s">
        <v>169</v>
      </c>
      <c r="H143" s="113"/>
      <c r="I143" s="129"/>
      <c r="J143" s="129"/>
      <c r="K143" s="129"/>
      <c r="L143" s="130"/>
      <c r="M143" s="162"/>
      <c r="N143" s="162"/>
      <c r="O143" s="163"/>
      <c r="Q143" s="161"/>
      <c r="R143" s="161"/>
      <c r="S143" s="161"/>
      <c r="T143" s="162"/>
      <c r="U143" s="162"/>
      <c r="V143" s="164"/>
      <c r="W143" s="163"/>
      <c r="X143" s="155"/>
      <c r="Y143" s="161"/>
      <c r="Z143" s="161"/>
      <c r="AA143" s="161"/>
      <c r="AB143" s="162"/>
      <c r="AC143" s="162"/>
      <c r="AD143" s="164"/>
      <c r="AE143" s="163"/>
      <c r="AF143" s="155"/>
      <c r="AG143" s="161"/>
      <c r="AH143" s="161"/>
      <c r="AI143" s="161"/>
      <c r="AJ143" s="162"/>
      <c r="AK143" s="162"/>
      <c r="AL143" s="164"/>
      <c r="AM143" s="163"/>
      <c r="AN143" s="155"/>
      <c r="AO143" s="161"/>
      <c r="AP143" s="161"/>
      <c r="AQ143" s="161"/>
      <c r="AR143" s="162"/>
      <c r="AS143" s="162"/>
      <c r="AT143" s="164"/>
      <c r="AU143" s="163"/>
    </row>
    <row r="144" spans="1:47" ht="15.95" customHeight="1" x14ac:dyDescent="0.2">
      <c r="A144" s="608"/>
      <c r="B144" s="608"/>
      <c r="C144" s="608"/>
      <c r="D144" s="609"/>
      <c r="E144" s="609"/>
      <c r="F144" s="610"/>
      <c r="G144" s="607" t="s">
        <v>169</v>
      </c>
      <c r="H144" s="113"/>
      <c r="I144" s="129"/>
      <c r="J144" s="129"/>
      <c r="K144" s="129"/>
      <c r="L144" s="130"/>
      <c r="M144" s="162"/>
      <c r="N144" s="162"/>
      <c r="O144" s="163"/>
      <c r="Q144" s="161"/>
      <c r="R144" s="161"/>
      <c r="S144" s="161"/>
      <c r="T144" s="162"/>
      <c r="U144" s="162"/>
      <c r="V144" s="164"/>
      <c r="W144" s="163"/>
      <c r="X144" s="155"/>
      <c r="Y144" s="161"/>
      <c r="Z144" s="161"/>
      <c r="AA144" s="161"/>
      <c r="AB144" s="162"/>
      <c r="AC144" s="162"/>
      <c r="AD144" s="164"/>
      <c r="AE144" s="163"/>
      <c r="AF144" s="155"/>
      <c r="AG144" s="161"/>
      <c r="AH144" s="161"/>
      <c r="AI144" s="161"/>
      <c r="AJ144" s="162"/>
      <c r="AK144" s="162"/>
      <c r="AL144" s="164"/>
      <c r="AM144" s="163"/>
      <c r="AN144" s="155"/>
      <c r="AO144" s="161"/>
      <c r="AP144" s="161"/>
      <c r="AQ144" s="161"/>
      <c r="AR144" s="162"/>
      <c r="AS144" s="162"/>
      <c r="AT144" s="164"/>
      <c r="AU144" s="163"/>
    </row>
    <row r="145" spans="1:47" ht="15.95" customHeight="1" x14ac:dyDescent="0.2">
      <c r="A145" s="608"/>
      <c r="B145" s="608"/>
      <c r="C145" s="608"/>
      <c r="D145" s="609"/>
      <c r="E145" s="609"/>
      <c r="F145" s="610"/>
      <c r="G145" s="607" t="s">
        <v>169</v>
      </c>
      <c r="H145" s="113"/>
      <c r="I145" s="129"/>
      <c r="J145" s="129"/>
      <c r="K145" s="129"/>
      <c r="L145" s="130"/>
      <c r="M145" s="162"/>
      <c r="N145" s="162"/>
      <c r="O145" s="163"/>
      <c r="Q145" s="161"/>
      <c r="R145" s="161"/>
      <c r="S145" s="161"/>
      <c r="T145" s="162"/>
      <c r="U145" s="162"/>
      <c r="V145" s="164"/>
      <c r="W145" s="163"/>
      <c r="X145" s="155"/>
      <c r="Y145" s="161"/>
      <c r="Z145" s="161"/>
      <c r="AA145" s="161"/>
      <c r="AB145" s="162"/>
      <c r="AC145" s="162"/>
      <c r="AD145" s="164"/>
      <c r="AE145" s="163"/>
      <c r="AF145" s="155"/>
      <c r="AG145" s="161"/>
      <c r="AH145" s="161"/>
      <c r="AI145" s="161"/>
      <c r="AJ145" s="162"/>
      <c r="AK145" s="162"/>
      <c r="AL145" s="164"/>
      <c r="AM145" s="163"/>
      <c r="AN145" s="155"/>
      <c r="AO145" s="161"/>
      <c r="AP145" s="161"/>
      <c r="AQ145" s="161"/>
      <c r="AR145" s="162"/>
      <c r="AS145" s="162"/>
      <c r="AT145" s="164"/>
      <c r="AU145" s="163"/>
    </row>
    <row r="146" spans="1:47" ht="15.95" customHeight="1" x14ac:dyDescent="0.2">
      <c r="A146" s="608"/>
      <c r="B146" s="608"/>
      <c r="C146" s="608"/>
      <c r="D146" s="609"/>
      <c r="E146" s="609"/>
      <c r="F146" s="610"/>
      <c r="G146" s="607" t="s">
        <v>169</v>
      </c>
      <c r="H146" s="113"/>
      <c r="I146" s="129"/>
      <c r="J146" s="129"/>
      <c r="K146" s="129"/>
      <c r="L146" s="130"/>
      <c r="M146" s="162"/>
      <c r="N146" s="162"/>
      <c r="O146" s="163"/>
      <c r="Q146" s="161"/>
      <c r="R146" s="161"/>
      <c r="S146" s="161"/>
      <c r="T146" s="162"/>
      <c r="U146" s="162"/>
      <c r="V146" s="164"/>
      <c r="W146" s="163"/>
      <c r="X146" s="155"/>
      <c r="Y146" s="161"/>
      <c r="Z146" s="161"/>
      <c r="AA146" s="161"/>
      <c r="AB146" s="162"/>
      <c r="AC146" s="162"/>
      <c r="AD146" s="164"/>
      <c r="AE146" s="163"/>
      <c r="AF146" s="155"/>
      <c r="AG146" s="161"/>
      <c r="AH146" s="161"/>
      <c r="AI146" s="161"/>
      <c r="AJ146" s="162"/>
      <c r="AK146" s="162"/>
      <c r="AL146" s="164"/>
      <c r="AM146" s="163"/>
      <c r="AN146" s="155"/>
      <c r="AO146" s="161"/>
      <c r="AP146" s="161"/>
      <c r="AQ146" s="161"/>
      <c r="AR146" s="162"/>
      <c r="AS146" s="162"/>
      <c r="AT146" s="164"/>
      <c r="AU146" s="163"/>
    </row>
    <row r="147" spans="1:47" ht="15.95" customHeight="1" x14ac:dyDescent="0.2">
      <c r="A147" s="608"/>
      <c r="B147" s="608"/>
      <c r="C147" s="608"/>
      <c r="D147" s="609"/>
      <c r="E147" s="609"/>
      <c r="F147" s="610"/>
      <c r="G147" s="607" t="s">
        <v>169</v>
      </c>
      <c r="H147" s="113"/>
      <c r="I147" s="129"/>
      <c r="J147" s="129"/>
      <c r="K147" s="129"/>
      <c r="L147" s="130"/>
      <c r="M147" s="162"/>
      <c r="N147" s="162"/>
      <c r="O147" s="163"/>
      <c r="Q147" s="161"/>
      <c r="R147" s="161"/>
      <c r="S147" s="161"/>
      <c r="T147" s="162"/>
      <c r="U147" s="162"/>
      <c r="V147" s="164"/>
      <c r="W147" s="163"/>
      <c r="X147" s="155"/>
      <c r="Y147" s="161"/>
      <c r="Z147" s="161"/>
      <c r="AA147" s="161"/>
      <c r="AB147" s="162"/>
      <c r="AC147" s="162"/>
      <c r="AD147" s="164"/>
      <c r="AE147" s="163"/>
      <c r="AF147" s="155"/>
      <c r="AG147" s="161"/>
      <c r="AH147" s="161"/>
      <c r="AI147" s="161"/>
      <c r="AJ147" s="162"/>
      <c r="AK147" s="162"/>
      <c r="AL147" s="164"/>
      <c r="AM147" s="163"/>
      <c r="AN147" s="155"/>
      <c r="AO147" s="161"/>
      <c r="AP147" s="161"/>
      <c r="AQ147" s="161"/>
      <c r="AR147" s="162"/>
      <c r="AS147" s="162"/>
      <c r="AT147" s="164"/>
      <c r="AU147" s="163"/>
    </row>
    <row r="148" spans="1:47" ht="15.95" customHeight="1" x14ac:dyDescent="0.2">
      <c r="A148" s="608"/>
      <c r="B148" s="608"/>
      <c r="C148" s="608"/>
      <c r="D148" s="609"/>
      <c r="E148" s="609"/>
      <c r="F148" s="610"/>
      <c r="G148" s="607" t="s">
        <v>169</v>
      </c>
      <c r="H148" s="113"/>
      <c r="I148" s="129"/>
      <c r="J148" s="129"/>
      <c r="K148" s="129"/>
      <c r="L148" s="130"/>
      <c r="M148" s="162"/>
      <c r="N148" s="162"/>
      <c r="O148" s="163"/>
      <c r="Q148" s="161"/>
      <c r="R148" s="161"/>
      <c r="S148" s="161"/>
      <c r="T148" s="162"/>
      <c r="U148" s="162"/>
      <c r="V148" s="164"/>
      <c r="W148" s="163"/>
      <c r="X148" s="155"/>
      <c r="Y148" s="161"/>
      <c r="Z148" s="161"/>
      <c r="AA148" s="161"/>
      <c r="AB148" s="162"/>
      <c r="AC148" s="162"/>
      <c r="AD148" s="164"/>
      <c r="AE148" s="163"/>
      <c r="AF148" s="155"/>
      <c r="AG148" s="161"/>
      <c r="AH148" s="161"/>
      <c r="AI148" s="161"/>
      <c r="AJ148" s="162"/>
      <c r="AK148" s="162"/>
      <c r="AL148" s="164"/>
      <c r="AM148" s="163"/>
      <c r="AN148" s="155"/>
      <c r="AO148" s="161"/>
      <c r="AP148" s="161"/>
      <c r="AQ148" s="161"/>
      <c r="AR148" s="162"/>
      <c r="AS148" s="162"/>
      <c r="AT148" s="164"/>
      <c r="AU148" s="163"/>
    </row>
    <row r="149" spans="1:47" ht="15.95" customHeight="1" x14ac:dyDescent="0.2">
      <c r="A149" s="608"/>
      <c r="B149" s="608"/>
      <c r="C149" s="608"/>
      <c r="D149" s="609"/>
      <c r="E149" s="609"/>
      <c r="F149" s="610"/>
      <c r="G149" s="607" t="s">
        <v>169</v>
      </c>
      <c r="H149" s="113"/>
      <c r="I149" s="129"/>
      <c r="J149" s="129"/>
      <c r="K149" s="129"/>
      <c r="L149" s="130"/>
      <c r="M149" s="162"/>
      <c r="N149" s="162"/>
      <c r="O149" s="163"/>
      <c r="Q149" s="161"/>
      <c r="R149" s="161"/>
      <c r="S149" s="161"/>
      <c r="T149" s="162"/>
      <c r="U149" s="162"/>
      <c r="V149" s="164"/>
      <c r="W149" s="163"/>
      <c r="X149" s="155"/>
      <c r="Y149" s="161"/>
      <c r="Z149" s="161"/>
      <c r="AA149" s="161"/>
      <c r="AB149" s="162"/>
      <c r="AC149" s="162"/>
      <c r="AD149" s="164"/>
      <c r="AE149" s="163"/>
      <c r="AF149" s="155"/>
      <c r="AG149" s="161"/>
      <c r="AH149" s="161"/>
      <c r="AI149" s="161"/>
      <c r="AJ149" s="162"/>
      <c r="AK149" s="162"/>
      <c r="AL149" s="164"/>
      <c r="AM149" s="163"/>
      <c r="AN149" s="155"/>
      <c r="AO149" s="161"/>
      <c r="AP149" s="161"/>
      <c r="AQ149" s="161"/>
      <c r="AR149" s="162"/>
      <c r="AS149" s="162"/>
      <c r="AT149" s="164"/>
      <c r="AU149" s="163"/>
    </row>
    <row r="150" spans="1:47" ht="15.95" customHeight="1" x14ac:dyDescent="0.2">
      <c r="A150" s="608"/>
      <c r="B150" s="608"/>
      <c r="C150" s="608"/>
      <c r="D150" s="609"/>
      <c r="E150" s="609"/>
      <c r="F150" s="610"/>
      <c r="G150" s="607" t="s">
        <v>169</v>
      </c>
      <c r="H150" s="113"/>
      <c r="I150" s="129"/>
      <c r="J150" s="129"/>
      <c r="K150" s="129"/>
      <c r="L150" s="130"/>
      <c r="M150" s="162"/>
      <c r="N150" s="162"/>
      <c r="O150" s="163"/>
      <c r="Q150" s="161"/>
      <c r="R150" s="161"/>
      <c r="S150" s="161"/>
      <c r="T150" s="162"/>
      <c r="U150" s="162"/>
      <c r="V150" s="164"/>
      <c r="W150" s="163"/>
      <c r="X150" s="155"/>
      <c r="Y150" s="161"/>
      <c r="Z150" s="161"/>
      <c r="AA150" s="161"/>
      <c r="AB150" s="162"/>
      <c r="AC150" s="162"/>
      <c r="AD150" s="164"/>
      <c r="AE150" s="163"/>
      <c r="AF150" s="155"/>
      <c r="AG150" s="161"/>
      <c r="AH150" s="161"/>
      <c r="AI150" s="161"/>
      <c r="AJ150" s="162"/>
      <c r="AK150" s="162"/>
      <c r="AL150" s="164"/>
      <c r="AM150" s="163"/>
      <c r="AN150" s="155"/>
      <c r="AO150" s="161"/>
      <c r="AP150" s="161"/>
      <c r="AQ150" s="161"/>
      <c r="AR150" s="162"/>
      <c r="AS150" s="162"/>
      <c r="AT150" s="164"/>
      <c r="AU150" s="163"/>
    </row>
    <row r="151" spans="1:47" ht="15.95" customHeight="1" x14ac:dyDescent="0.2">
      <c r="A151" s="608"/>
      <c r="B151" s="608"/>
      <c r="C151" s="608"/>
      <c r="D151" s="609"/>
      <c r="E151" s="609"/>
      <c r="F151" s="610"/>
      <c r="G151" s="607" t="s">
        <v>169</v>
      </c>
      <c r="H151" s="113"/>
      <c r="I151" s="129"/>
      <c r="J151" s="129"/>
      <c r="K151" s="129"/>
      <c r="L151" s="130"/>
      <c r="M151" s="162"/>
      <c r="N151" s="162"/>
      <c r="O151" s="163"/>
      <c r="Q151" s="161"/>
      <c r="R151" s="161"/>
      <c r="S151" s="161"/>
      <c r="T151" s="162"/>
      <c r="U151" s="162"/>
      <c r="V151" s="164"/>
      <c r="W151" s="163"/>
      <c r="X151" s="155"/>
      <c r="Y151" s="161"/>
      <c r="Z151" s="161"/>
      <c r="AA151" s="161"/>
      <c r="AB151" s="162"/>
      <c r="AC151" s="162"/>
      <c r="AD151" s="164"/>
      <c r="AE151" s="163"/>
      <c r="AF151" s="155"/>
      <c r="AG151" s="161"/>
      <c r="AH151" s="161"/>
      <c r="AI151" s="161"/>
      <c r="AJ151" s="162"/>
      <c r="AK151" s="162"/>
      <c r="AL151" s="164"/>
      <c r="AM151" s="163"/>
      <c r="AN151" s="155"/>
      <c r="AO151" s="161"/>
      <c r="AP151" s="161"/>
      <c r="AQ151" s="161"/>
      <c r="AR151" s="162"/>
      <c r="AS151" s="162"/>
      <c r="AT151" s="164"/>
      <c r="AU151" s="163"/>
    </row>
    <row r="152" spans="1:47" ht="15.95" customHeight="1" x14ac:dyDescent="0.2">
      <c r="A152" s="608"/>
      <c r="B152" s="608"/>
      <c r="C152" s="608"/>
      <c r="D152" s="609"/>
      <c r="E152" s="609"/>
      <c r="F152" s="610"/>
      <c r="G152" s="607" t="s">
        <v>169</v>
      </c>
      <c r="H152" s="113"/>
      <c r="I152" s="129"/>
      <c r="J152" s="129"/>
      <c r="K152" s="129"/>
      <c r="L152" s="130"/>
      <c r="M152" s="162"/>
      <c r="N152" s="162"/>
      <c r="O152" s="163"/>
      <c r="Q152" s="161"/>
      <c r="R152" s="161"/>
      <c r="S152" s="161"/>
      <c r="T152" s="162"/>
      <c r="U152" s="162"/>
      <c r="V152" s="164"/>
      <c r="W152" s="163"/>
      <c r="X152" s="155"/>
      <c r="Y152" s="161"/>
      <c r="Z152" s="161"/>
      <c r="AA152" s="161"/>
      <c r="AB152" s="162"/>
      <c r="AC152" s="162"/>
      <c r="AD152" s="164"/>
      <c r="AE152" s="163"/>
      <c r="AF152" s="155"/>
      <c r="AG152" s="161"/>
      <c r="AH152" s="161"/>
      <c r="AI152" s="161"/>
      <c r="AJ152" s="162"/>
      <c r="AK152" s="162"/>
      <c r="AL152" s="164"/>
      <c r="AM152" s="163"/>
      <c r="AN152" s="155"/>
      <c r="AO152" s="161"/>
      <c r="AP152" s="161"/>
      <c r="AQ152" s="161"/>
      <c r="AR152" s="162"/>
      <c r="AS152" s="162"/>
      <c r="AT152" s="164"/>
      <c r="AU152" s="163"/>
    </row>
    <row r="153" spans="1:47" ht="15.95" customHeight="1" x14ac:dyDescent="0.2">
      <c r="A153" s="608"/>
      <c r="B153" s="608"/>
      <c r="C153" s="608"/>
      <c r="D153" s="609"/>
      <c r="E153" s="609"/>
      <c r="F153" s="610"/>
      <c r="G153" s="607" t="s">
        <v>169</v>
      </c>
      <c r="H153" s="113"/>
      <c r="I153" s="129"/>
      <c r="J153" s="129"/>
      <c r="K153" s="129"/>
      <c r="L153" s="130"/>
      <c r="M153" s="162"/>
      <c r="N153" s="162"/>
      <c r="O153" s="163"/>
      <c r="Q153" s="161"/>
      <c r="R153" s="161"/>
      <c r="S153" s="161"/>
      <c r="T153" s="162"/>
      <c r="U153" s="162"/>
      <c r="V153" s="164"/>
      <c r="W153" s="163"/>
      <c r="X153" s="155"/>
      <c r="Y153" s="161"/>
      <c r="Z153" s="161"/>
      <c r="AA153" s="161"/>
      <c r="AB153" s="162"/>
      <c r="AC153" s="162"/>
      <c r="AD153" s="164"/>
      <c r="AE153" s="163"/>
      <c r="AF153" s="155"/>
      <c r="AG153" s="161"/>
      <c r="AH153" s="161"/>
      <c r="AI153" s="161"/>
      <c r="AJ153" s="162"/>
      <c r="AK153" s="162"/>
      <c r="AL153" s="164"/>
      <c r="AM153" s="163"/>
      <c r="AN153" s="155"/>
      <c r="AO153" s="161"/>
      <c r="AP153" s="161"/>
      <c r="AQ153" s="161"/>
      <c r="AR153" s="162"/>
      <c r="AS153" s="162"/>
      <c r="AT153" s="164"/>
      <c r="AU153" s="163"/>
    </row>
    <row r="154" spans="1:47" ht="15.95" customHeight="1" x14ac:dyDescent="0.2">
      <c r="A154" s="608"/>
      <c r="B154" s="608"/>
      <c r="C154" s="608"/>
      <c r="D154" s="609"/>
      <c r="E154" s="609"/>
      <c r="F154" s="610"/>
      <c r="G154" s="607" t="s">
        <v>169</v>
      </c>
      <c r="H154" s="113"/>
      <c r="I154" s="129"/>
      <c r="J154" s="129"/>
      <c r="K154" s="129"/>
      <c r="L154" s="130"/>
      <c r="M154" s="162"/>
      <c r="N154" s="162"/>
      <c r="O154" s="163"/>
      <c r="Q154" s="161"/>
      <c r="R154" s="161"/>
      <c r="S154" s="161"/>
      <c r="T154" s="162"/>
      <c r="U154" s="162"/>
      <c r="V154" s="164"/>
      <c r="W154" s="163"/>
      <c r="X154" s="155"/>
      <c r="Y154" s="161"/>
      <c r="Z154" s="161"/>
      <c r="AA154" s="161"/>
      <c r="AB154" s="162"/>
      <c r="AC154" s="162"/>
      <c r="AD154" s="164"/>
      <c r="AE154" s="163"/>
      <c r="AF154" s="155"/>
      <c r="AG154" s="161"/>
      <c r="AH154" s="161"/>
      <c r="AI154" s="161"/>
      <c r="AJ154" s="162"/>
      <c r="AK154" s="162"/>
      <c r="AL154" s="164"/>
      <c r="AM154" s="163"/>
      <c r="AN154" s="155"/>
      <c r="AO154" s="161"/>
      <c r="AP154" s="161"/>
      <c r="AQ154" s="161"/>
      <c r="AR154" s="162"/>
      <c r="AS154" s="162"/>
      <c r="AT154" s="164"/>
      <c r="AU154" s="163"/>
    </row>
    <row r="155" spans="1:47" ht="15.95" customHeight="1" x14ac:dyDescent="0.2">
      <c r="A155" s="608"/>
      <c r="B155" s="608"/>
      <c r="C155" s="608"/>
      <c r="D155" s="609"/>
      <c r="E155" s="609"/>
      <c r="F155" s="610"/>
      <c r="G155" s="607" t="s">
        <v>169</v>
      </c>
      <c r="H155" s="113"/>
      <c r="I155" s="129"/>
      <c r="J155" s="129"/>
      <c r="K155" s="129"/>
      <c r="L155" s="130"/>
      <c r="M155" s="162"/>
      <c r="N155" s="162"/>
      <c r="O155" s="163"/>
      <c r="Q155" s="161"/>
      <c r="R155" s="161"/>
      <c r="S155" s="161"/>
      <c r="T155" s="162"/>
      <c r="U155" s="162"/>
      <c r="V155" s="164"/>
      <c r="W155" s="163"/>
      <c r="X155" s="155"/>
      <c r="Y155" s="161"/>
      <c r="Z155" s="161"/>
      <c r="AA155" s="161"/>
      <c r="AB155" s="162"/>
      <c r="AC155" s="162"/>
      <c r="AD155" s="164"/>
      <c r="AE155" s="163"/>
      <c r="AF155" s="155"/>
      <c r="AG155" s="161"/>
      <c r="AH155" s="161"/>
      <c r="AI155" s="161"/>
      <c r="AJ155" s="162"/>
      <c r="AK155" s="162"/>
      <c r="AL155" s="164"/>
      <c r="AM155" s="163"/>
      <c r="AN155" s="155"/>
      <c r="AO155" s="161"/>
      <c r="AP155" s="161"/>
      <c r="AQ155" s="161"/>
      <c r="AR155" s="162"/>
      <c r="AS155" s="162"/>
      <c r="AT155" s="164"/>
      <c r="AU155" s="163"/>
    </row>
    <row r="156" spans="1:47" ht="15.95" customHeight="1" x14ac:dyDescent="0.2">
      <c r="A156" s="608"/>
      <c r="B156" s="608"/>
      <c r="C156" s="608"/>
      <c r="D156" s="609"/>
      <c r="E156" s="609"/>
      <c r="F156" s="610"/>
      <c r="G156" s="607" t="s">
        <v>169</v>
      </c>
      <c r="H156" s="113"/>
      <c r="I156" s="129"/>
      <c r="J156" s="129"/>
      <c r="K156" s="129"/>
      <c r="L156" s="130"/>
      <c r="M156" s="162"/>
      <c r="N156" s="162"/>
      <c r="O156" s="163"/>
      <c r="Q156" s="161"/>
      <c r="R156" s="161"/>
      <c r="S156" s="161"/>
      <c r="T156" s="162"/>
      <c r="U156" s="162"/>
      <c r="V156" s="164"/>
      <c r="W156" s="163"/>
      <c r="X156" s="155"/>
      <c r="Y156" s="161"/>
      <c r="Z156" s="161"/>
      <c r="AA156" s="161"/>
      <c r="AB156" s="162"/>
      <c r="AC156" s="162"/>
      <c r="AD156" s="164"/>
      <c r="AE156" s="163"/>
      <c r="AF156" s="155"/>
      <c r="AG156" s="161"/>
      <c r="AH156" s="161"/>
      <c r="AI156" s="161"/>
      <c r="AJ156" s="162"/>
      <c r="AK156" s="162"/>
      <c r="AL156" s="164"/>
      <c r="AM156" s="163"/>
      <c r="AN156" s="155"/>
      <c r="AO156" s="161"/>
      <c r="AP156" s="161"/>
      <c r="AQ156" s="161"/>
      <c r="AR156" s="162"/>
      <c r="AS156" s="162"/>
      <c r="AT156" s="164"/>
      <c r="AU156" s="163"/>
    </row>
    <row r="157" spans="1:47" ht="15.95" customHeight="1" x14ac:dyDescent="0.2">
      <c r="A157" s="608"/>
      <c r="B157" s="608"/>
      <c r="C157" s="608"/>
      <c r="D157" s="609"/>
      <c r="E157" s="609"/>
      <c r="F157" s="610"/>
      <c r="G157" s="607" t="s">
        <v>169</v>
      </c>
      <c r="H157" s="113"/>
      <c r="I157" s="129"/>
      <c r="J157" s="129"/>
      <c r="K157" s="129"/>
      <c r="L157" s="130"/>
      <c r="M157" s="162"/>
      <c r="N157" s="162"/>
      <c r="O157" s="163"/>
      <c r="Q157" s="161"/>
      <c r="R157" s="161"/>
      <c r="S157" s="161"/>
      <c r="T157" s="162"/>
      <c r="U157" s="162"/>
      <c r="V157" s="164"/>
      <c r="W157" s="163"/>
      <c r="X157" s="155"/>
      <c r="Y157" s="161"/>
      <c r="Z157" s="161"/>
      <c r="AA157" s="161"/>
      <c r="AB157" s="162"/>
      <c r="AC157" s="162"/>
      <c r="AD157" s="164"/>
      <c r="AE157" s="163"/>
      <c r="AF157" s="155"/>
      <c r="AG157" s="161"/>
      <c r="AH157" s="161"/>
      <c r="AI157" s="161"/>
      <c r="AJ157" s="162"/>
      <c r="AK157" s="162"/>
      <c r="AL157" s="164"/>
      <c r="AM157" s="163"/>
      <c r="AN157" s="155"/>
      <c r="AO157" s="161"/>
      <c r="AP157" s="161"/>
      <c r="AQ157" s="161"/>
      <c r="AR157" s="162"/>
      <c r="AS157" s="162"/>
      <c r="AT157" s="164"/>
      <c r="AU157" s="163"/>
    </row>
    <row r="158" spans="1:47" ht="15.95" customHeight="1" x14ac:dyDescent="0.2">
      <c r="A158" s="608"/>
      <c r="B158" s="608"/>
      <c r="C158" s="608"/>
      <c r="D158" s="609"/>
      <c r="E158" s="609"/>
      <c r="F158" s="610"/>
      <c r="G158" s="607" t="s">
        <v>169</v>
      </c>
      <c r="H158" s="113"/>
      <c r="I158" s="129"/>
      <c r="J158" s="129"/>
      <c r="K158" s="129"/>
      <c r="L158" s="130"/>
      <c r="M158" s="162"/>
      <c r="N158" s="162"/>
      <c r="O158" s="163"/>
      <c r="Q158" s="161"/>
      <c r="R158" s="161"/>
      <c r="S158" s="161"/>
      <c r="T158" s="162"/>
      <c r="U158" s="162"/>
      <c r="V158" s="164"/>
      <c r="W158" s="163"/>
      <c r="X158" s="155"/>
      <c r="Y158" s="161"/>
      <c r="Z158" s="161"/>
      <c r="AA158" s="161"/>
      <c r="AB158" s="162"/>
      <c r="AC158" s="162"/>
      <c r="AD158" s="164"/>
      <c r="AE158" s="163"/>
      <c r="AF158" s="155"/>
      <c r="AG158" s="161"/>
      <c r="AH158" s="161"/>
      <c r="AI158" s="161"/>
      <c r="AJ158" s="162"/>
      <c r="AK158" s="162"/>
      <c r="AL158" s="164"/>
      <c r="AM158" s="163"/>
      <c r="AN158" s="155"/>
      <c r="AO158" s="161"/>
      <c r="AP158" s="161"/>
      <c r="AQ158" s="161"/>
      <c r="AR158" s="162"/>
      <c r="AS158" s="162"/>
      <c r="AT158" s="164"/>
      <c r="AU158" s="163"/>
    </row>
    <row r="159" spans="1:47" ht="15.95" customHeight="1" x14ac:dyDescent="0.2">
      <c r="A159" s="608"/>
      <c r="B159" s="608"/>
      <c r="C159" s="608"/>
      <c r="D159" s="609"/>
      <c r="E159" s="609"/>
      <c r="F159" s="610"/>
      <c r="G159" s="607" t="s">
        <v>169</v>
      </c>
      <c r="H159" s="113"/>
      <c r="I159" s="129"/>
      <c r="J159" s="129"/>
      <c r="K159" s="129"/>
      <c r="L159" s="130"/>
      <c r="M159" s="162"/>
      <c r="N159" s="162"/>
      <c r="O159" s="163"/>
      <c r="Q159" s="161"/>
      <c r="R159" s="161"/>
      <c r="S159" s="161"/>
      <c r="T159" s="162"/>
      <c r="U159" s="162"/>
      <c r="V159" s="164"/>
      <c r="W159" s="163"/>
      <c r="X159" s="155"/>
      <c r="Y159" s="161"/>
      <c r="Z159" s="161"/>
      <c r="AA159" s="161"/>
      <c r="AB159" s="162"/>
      <c r="AC159" s="162"/>
      <c r="AD159" s="164"/>
      <c r="AE159" s="163"/>
      <c r="AF159" s="155"/>
      <c r="AG159" s="161"/>
      <c r="AH159" s="161"/>
      <c r="AI159" s="161"/>
      <c r="AJ159" s="162"/>
      <c r="AK159" s="162"/>
      <c r="AL159" s="164"/>
      <c r="AM159" s="163"/>
      <c r="AN159" s="155"/>
      <c r="AO159" s="161"/>
      <c r="AP159" s="161"/>
      <c r="AQ159" s="161"/>
      <c r="AR159" s="162"/>
      <c r="AS159" s="162"/>
      <c r="AT159" s="164"/>
      <c r="AU159" s="163"/>
    </row>
    <row r="160" spans="1:47" ht="15.95" customHeight="1" x14ac:dyDescent="0.2">
      <c r="A160" s="608"/>
      <c r="B160" s="608"/>
      <c r="C160" s="608"/>
      <c r="D160" s="609"/>
      <c r="E160" s="609"/>
      <c r="F160" s="610"/>
      <c r="G160" s="607" t="s">
        <v>169</v>
      </c>
      <c r="H160" s="113"/>
      <c r="I160" s="129"/>
      <c r="J160" s="129"/>
      <c r="K160" s="129"/>
      <c r="L160" s="130"/>
      <c r="M160" s="162"/>
      <c r="N160" s="162"/>
      <c r="O160" s="163"/>
      <c r="Q160" s="161"/>
      <c r="R160" s="161"/>
      <c r="S160" s="161"/>
      <c r="T160" s="162"/>
      <c r="U160" s="162"/>
      <c r="V160" s="164"/>
      <c r="W160" s="163"/>
      <c r="X160" s="155"/>
      <c r="Y160" s="161"/>
      <c r="Z160" s="161"/>
      <c r="AA160" s="161"/>
      <c r="AB160" s="162"/>
      <c r="AC160" s="162"/>
      <c r="AD160" s="164"/>
      <c r="AE160" s="163"/>
      <c r="AF160" s="155"/>
      <c r="AG160" s="161"/>
      <c r="AH160" s="161"/>
      <c r="AI160" s="161"/>
      <c r="AJ160" s="162"/>
      <c r="AK160" s="162"/>
      <c r="AL160" s="164"/>
      <c r="AM160" s="163"/>
      <c r="AN160" s="155"/>
      <c r="AO160" s="161"/>
      <c r="AP160" s="161"/>
      <c r="AQ160" s="161"/>
      <c r="AR160" s="162"/>
      <c r="AS160" s="162"/>
      <c r="AT160" s="164"/>
      <c r="AU160" s="163"/>
    </row>
    <row r="161" spans="1:47" ht="15.95" customHeight="1" x14ac:dyDescent="0.2">
      <c r="A161" s="608"/>
      <c r="B161" s="608"/>
      <c r="C161" s="608"/>
      <c r="D161" s="609"/>
      <c r="E161" s="609"/>
      <c r="F161" s="610"/>
      <c r="G161" s="607" t="s">
        <v>169</v>
      </c>
      <c r="H161" s="113"/>
      <c r="I161" s="129"/>
      <c r="J161" s="129"/>
      <c r="K161" s="129"/>
      <c r="L161" s="130"/>
      <c r="M161" s="162"/>
      <c r="N161" s="162"/>
      <c r="O161" s="163"/>
      <c r="Q161" s="161"/>
      <c r="R161" s="161"/>
      <c r="S161" s="161"/>
      <c r="T161" s="162"/>
      <c r="U161" s="162"/>
      <c r="V161" s="164"/>
      <c r="W161" s="163"/>
      <c r="X161" s="155"/>
      <c r="Y161" s="161"/>
      <c r="Z161" s="161"/>
      <c r="AA161" s="161"/>
      <c r="AB161" s="162"/>
      <c r="AC161" s="162"/>
      <c r="AD161" s="164"/>
      <c r="AE161" s="163"/>
      <c r="AF161" s="155"/>
      <c r="AG161" s="161"/>
      <c r="AH161" s="161"/>
      <c r="AI161" s="161"/>
      <c r="AJ161" s="162"/>
      <c r="AK161" s="162"/>
      <c r="AL161" s="164"/>
      <c r="AM161" s="163"/>
      <c r="AN161" s="155"/>
      <c r="AO161" s="161"/>
      <c r="AP161" s="161"/>
      <c r="AQ161" s="161"/>
      <c r="AR161" s="162"/>
      <c r="AS161" s="162"/>
      <c r="AT161" s="164"/>
      <c r="AU161" s="163"/>
    </row>
    <row r="162" spans="1:47" ht="15.95" customHeight="1" x14ac:dyDescent="0.2">
      <c r="A162" s="608"/>
      <c r="B162" s="608"/>
      <c r="C162" s="608"/>
      <c r="D162" s="609"/>
      <c r="E162" s="609"/>
      <c r="F162" s="610"/>
      <c r="G162" s="607" t="s">
        <v>169</v>
      </c>
      <c r="H162" s="113"/>
      <c r="I162" s="129"/>
      <c r="J162" s="129"/>
      <c r="K162" s="129"/>
      <c r="L162" s="130"/>
      <c r="M162" s="162"/>
      <c r="N162" s="162"/>
      <c r="O162" s="163"/>
      <c r="Q162" s="161"/>
      <c r="R162" s="161"/>
      <c r="S162" s="161"/>
      <c r="T162" s="162"/>
      <c r="U162" s="162"/>
      <c r="V162" s="164"/>
      <c r="W162" s="163"/>
      <c r="X162" s="155"/>
      <c r="Y162" s="161"/>
      <c r="Z162" s="161"/>
      <c r="AA162" s="161"/>
      <c r="AB162" s="162"/>
      <c r="AC162" s="162"/>
      <c r="AD162" s="164"/>
      <c r="AE162" s="163"/>
      <c r="AF162" s="155"/>
      <c r="AG162" s="161"/>
      <c r="AH162" s="161"/>
      <c r="AI162" s="161"/>
      <c r="AJ162" s="162"/>
      <c r="AK162" s="162"/>
      <c r="AL162" s="164"/>
      <c r="AM162" s="163"/>
      <c r="AN162" s="155"/>
      <c r="AO162" s="161"/>
      <c r="AP162" s="161"/>
      <c r="AQ162" s="161"/>
      <c r="AR162" s="162"/>
      <c r="AS162" s="162"/>
      <c r="AT162" s="164"/>
      <c r="AU162" s="163"/>
    </row>
    <row r="163" spans="1:47" ht="15.95" customHeight="1" x14ac:dyDescent="0.2">
      <c r="A163" s="608"/>
      <c r="B163" s="608"/>
      <c r="C163" s="608"/>
      <c r="D163" s="609"/>
      <c r="E163" s="609"/>
      <c r="F163" s="610"/>
      <c r="G163" s="607" t="s">
        <v>169</v>
      </c>
      <c r="H163" s="113"/>
      <c r="I163" s="129"/>
      <c r="J163" s="129"/>
      <c r="K163" s="129"/>
      <c r="L163" s="130"/>
      <c r="M163" s="162"/>
      <c r="N163" s="162"/>
      <c r="O163" s="163"/>
      <c r="Q163" s="161"/>
      <c r="R163" s="161"/>
      <c r="S163" s="161"/>
      <c r="T163" s="162"/>
      <c r="U163" s="162"/>
      <c r="V163" s="164"/>
      <c r="W163" s="163"/>
      <c r="X163" s="155"/>
      <c r="Y163" s="161"/>
      <c r="Z163" s="161"/>
      <c r="AA163" s="161"/>
      <c r="AB163" s="162"/>
      <c r="AC163" s="162"/>
      <c r="AD163" s="164"/>
      <c r="AE163" s="163"/>
      <c r="AF163" s="155"/>
      <c r="AG163" s="161"/>
      <c r="AH163" s="161"/>
      <c r="AI163" s="161"/>
      <c r="AJ163" s="162"/>
      <c r="AK163" s="162"/>
      <c r="AL163" s="164"/>
      <c r="AM163" s="163"/>
      <c r="AN163" s="155"/>
      <c r="AO163" s="161"/>
      <c r="AP163" s="161"/>
      <c r="AQ163" s="161"/>
      <c r="AR163" s="162"/>
      <c r="AS163" s="162"/>
      <c r="AT163" s="164"/>
      <c r="AU163" s="163"/>
    </row>
    <row r="164" spans="1:47" ht="15.95" customHeight="1" x14ac:dyDescent="0.2">
      <c r="A164" s="608"/>
      <c r="B164" s="608"/>
      <c r="C164" s="608"/>
      <c r="D164" s="609"/>
      <c r="E164" s="609"/>
      <c r="F164" s="610"/>
      <c r="G164" s="607" t="s">
        <v>169</v>
      </c>
      <c r="H164" s="113"/>
      <c r="I164" s="129"/>
      <c r="J164" s="129"/>
      <c r="K164" s="129"/>
      <c r="L164" s="130"/>
      <c r="M164" s="162"/>
      <c r="N164" s="162"/>
      <c r="O164" s="163"/>
      <c r="Q164" s="161"/>
      <c r="R164" s="161"/>
      <c r="S164" s="161"/>
      <c r="T164" s="162"/>
      <c r="U164" s="162"/>
      <c r="V164" s="164"/>
      <c r="W164" s="163"/>
      <c r="X164" s="155"/>
      <c r="Y164" s="161"/>
      <c r="Z164" s="161"/>
      <c r="AA164" s="161"/>
      <c r="AB164" s="162"/>
      <c r="AC164" s="162"/>
      <c r="AD164" s="164"/>
      <c r="AE164" s="163"/>
      <c r="AF164" s="155"/>
      <c r="AG164" s="161"/>
      <c r="AH164" s="161"/>
      <c r="AI164" s="161"/>
      <c r="AJ164" s="162"/>
      <c r="AK164" s="162"/>
      <c r="AL164" s="164"/>
      <c r="AM164" s="163"/>
      <c r="AN164" s="155"/>
      <c r="AO164" s="161"/>
      <c r="AP164" s="161"/>
      <c r="AQ164" s="161"/>
      <c r="AR164" s="162"/>
      <c r="AS164" s="162"/>
      <c r="AT164" s="164"/>
      <c r="AU164" s="163"/>
    </row>
    <row r="165" spans="1:47" ht="15.95" customHeight="1" x14ac:dyDescent="0.2">
      <c r="A165" s="608"/>
      <c r="B165" s="608"/>
      <c r="C165" s="608"/>
      <c r="D165" s="609"/>
      <c r="E165" s="609"/>
      <c r="F165" s="610"/>
      <c r="G165" s="607" t="s">
        <v>169</v>
      </c>
      <c r="H165" s="113"/>
      <c r="I165" s="129"/>
      <c r="J165" s="129"/>
      <c r="K165" s="129"/>
      <c r="L165" s="130"/>
      <c r="M165" s="162"/>
      <c r="N165" s="162"/>
      <c r="O165" s="163"/>
      <c r="Q165" s="161"/>
      <c r="R165" s="161"/>
      <c r="S165" s="161"/>
      <c r="T165" s="162"/>
      <c r="U165" s="162"/>
      <c r="V165" s="164"/>
      <c r="W165" s="163"/>
      <c r="X165" s="155"/>
      <c r="Y165" s="161"/>
      <c r="Z165" s="161"/>
      <c r="AA165" s="161"/>
      <c r="AB165" s="162"/>
      <c r="AC165" s="162"/>
      <c r="AD165" s="164"/>
      <c r="AE165" s="163"/>
      <c r="AF165" s="155"/>
      <c r="AG165" s="161"/>
      <c r="AH165" s="161"/>
      <c r="AI165" s="161"/>
      <c r="AJ165" s="162"/>
      <c r="AK165" s="162"/>
      <c r="AL165" s="164"/>
      <c r="AM165" s="163"/>
      <c r="AN165" s="155"/>
      <c r="AO165" s="161"/>
      <c r="AP165" s="161"/>
      <c r="AQ165" s="161"/>
      <c r="AR165" s="162"/>
      <c r="AS165" s="162"/>
      <c r="AT165" s="164"/>
      <c r="AU165" s="163"/>
    </row>
    <row r="166" spans="1:47" ht="15.95" customHeight="1" x14ac:dyDescent="0.2">
      <c r="A166" s="608"/>
      <c r="B166" s="608"/>
      <c r="C166" s="608"/>
      <c r="D166" s="609"/>
      <c r="E166" s="609"/>
      <c r="F166" s="610"/>
      <c r="G166" s="607" t="s">
        <v>169</v>
      </c>
      <c r="H166" s="113"/>
      <c r="I166" s="129"/>
      <c r="J166" s="129"/>
      <c r="K166" s="129"/>
      <c r="L166" s="130"/>
      <c r="M166" s="162"/>
      <c r="N166" s="162"/>
      <c r="O166" s="163"/>
      <c r="Q166" s="161"/>
      <c r="R166" s="161"/>
      <c r="S166" s="161"/>
      <c r="T166" s="162"/>
      <c r="U166" s="162"/>
      <c r="V166" s="164"/>
      <c r="W166" s="163"/>
      <c r="X166" s="155"/>
      <c r="Y166" s="161"/>
      <c r="Z166" s="161"/>
      <c r="AA166" s="161"/>
      <c r="AB166" s="162"/>
      <c r="AC166" s="162"/>
      <c r="AD166" s="164"/>
      <c r="AE166" s="163"/>
      <c r="AF166" s="155"/>
      <c r="AG166" s="161"/>
      <c r="AH166" s="161"/>
      <c r="AI166" s="161"/>
      <c r="AJ166" s="162"/>
      <c r="AK166" s="162"/>
      <c r="AL166" s="164"/>
      <c r="AM166" s="163"/>
      <c r="AN166" s="155"/>
      <c r="AO166" s="161"/>
      <c r="AP166" s="161"/>
      <c r="AQ166" s="161"/>
      <c r="AR166" s="162"/>
      <c r="AS166" s="162"/>
      <c r="AT166" s="164"/>
      <c r="AU166" s="163"/>
    </row>
    <row r="167" spans="1:47" ht="15.95" customHeight="1" x14ac:dyDescent="0.2">
      <c r="A167" s="608"/>
      <c r="B167" s="608"/>
      <c r="C167" s="608"/>
      <c r="D167" s="609"/>
      <c r="E167" s="609"/>
      <c r="F167" s="610"/>
      <c r="G167" s="607" t="s">
        <v>169</v>
      </c>
      <c r="H167" s="113"/>
      <c r="I167" s="129"/>
      <c r="J167" s="129"/>
      <c r="K167" s="129"/>
      <c r="L167" s="130"/>
      <c r="M167" s="162"/>
      <c r="N167" s="162"/>
      <c r="O167" s="163"/>
      <c r="Q167" s="161"/>
      <c r="R167" s="161"/>
      <c r="S167" s="161"/>
      <c r="T167" s="162"/>
      <c r="U167" s="162"/>
      <c r="V167" s="164"/>
      <c r="W167" s="163"/>
      <c r="X167" s="155"/>
      <c r="Y167" s="161"/>
      <c r="Z167" s="161"/>
      <c r="AA167" s="161"/>
      <c r="AB167" s="162"/>
      <c r="AC167" s="162"/>
      <c r="AD167" s="164"/>
      <c r="AE167" s="163"/>
      <c r="AF167" s="155"/>
      <c r="AG167" s="161"/>
      <c r="AH167" s="161"/>
      <c r="AI167" s="161"/>
      <c r="AJ167" s="162"/>
      <c r="AK167" s="162"/>
      <c r="AL167" s="164"/>
      <c r="AM167" s="163"/>
      <c r="AN167" s="155"/>
      <c r="AO167" s="161"/>
      <c r="AP167" s="161"/>
      <c r="AQ167" s="161"/>
      <c r="AR167" s="162"/>
      <c r="AS167" s="162"/>
      <c r="AT167" s="164"/>
      <c r="AU167" s="163"/>
    </row>
    <row r="168" spans="1:47" ht="15.95" customHeight="1" x14ac:dyDescent="0.2">
      <c r="A168" s="608"/>
      <c r="B168" s="608"/>
      <c r="C168" s="608"/>
      <c r="D168" s="609"/>
      <c r="E168" s="609"/>
      <c r="F168" s="610"/>
      <c r="G168" s="607" t="s">
        <v>169</v>
      </c>
      <c r="H168" s="113"/>
      <c r="I168" s="129"/>
      <c r="J168" s="129"/>
      <c r="K168" s="129"/>
      <c r="L168" s="130"/>
      <c r="M168" s="162"/>
      <c r="N168" s="162"/>
      <c r="O168" s="163"/>
      <c r="Q168" s="161"/>
      <c r="R168" s="161"/>
      <c r="S168" s="161"/>
      <c r="T168" s="162"/>
      <c r="U168" s="162"/>
      <c r="V168" s="164"/>
      <c r="W168" s="163"/>
      <c r="X168" s="155"/>
      <c r="Y168" s="161"/>
      <c r="Z168" s="161"/>
      <c r="AA168" s="161"/>
      <c r="AB168" s="162"/>
      <c r="AC168" s="162"/>
      <c r="AD168" s="164"/>
      <c r="AE168" s="163"/>
      <c r="AF168" s="155"/>
      <c r="AG168" s="161"/>
      <c r="AH168" s="161"/>
      <c r="AI168" s="161"/>
      <c r="AJ168" s="162"/>
      <c r="AK168" s="162"/>
      <c r="AL168" s="164"/>
      <c r="AM168" s="163"/>
      <c r="AN168" s="155"/>
      <c r="AO168" s="161"/>
      <c r="AP168" s="161"/>
      <c r="AQ168" s="161"/>
      <c r="AR168" s="162"/>
      <c r="AS168" s="162"/>
      <c r="AT168" s="164"/>
      <c r="AU168" s="163"/>
    </row>
    <row r="169" spans="1:47" ht="15.95" customHeight="1" x14ac:dyDescent="0.2">
      <c r="A169" s="608"/>
      <c r="B169" s="608"/>
      <c r="C169" s="608"/>
      <c r="D169" s="609"/>
      <c r="E169" s="609"/>
      <c r="F169" s="610"/>
      <c r="G169" s="607" t="s">
        <v>169</v>
      </c>
      <c r="H169" s="113"/>
      <c r="I169" s="129"/>
      <c r="J169" s="129"/>
      <c r="K169" s="129"/>
      <c r="L169" s="130"/>
      <c r="M169" s="162"/>
      <c r="N169" s="162"/>
      <c r="O169" s="163"/>
      <c r="Q169" s="161"/>
      <c r="R169" s="161"/>
      <c r="S169" s="161"/>
      <c r="T169" s="162"/>
      <c r="U169" s="162"/>
      <c r="V169" s="164"/>
      <c r="W169" s="163"/>
      <c r="X169" s="155"/>
      <c r="Y169" s="161"/>
      <c r="Z169" s="161"/>
      <c r="AA169" s="161"/>
      <c r="AB169" s="162"/>
      <c r="AC169" s="162"/>
      <c r="AD169" s="164"/>
      <c r="AE169" s="163"/>
      <c r="AF169" s="155"/>
      <c r="AG169" s="161"/>
      <c r="AH169" s="161"/>
      <c r="AI169" s="161"/>
      <c r="AJ169" s="162"/>
      <c r="AK169" s="162"/>
      <c r="AL169" s="164"/>
      <c r="AM169" s="163"/>
      <c r="AN169" s="155"/>
      <c r="AO169" s="161"/>
      <c r="AP169" s="161"/>
      <c r="AQ169" s="161"/>
      <c r="AR169" s="162"/>
      <c r="AS169" s="162"/>
      <c r="AT169" s="164"/>
      <c r="AU169" s="163"/>
    </row>
    <row r="170" spans="1:47" ht="15.95" customHeight="1" x14ac:dyDescent="0.2">
      <c r="A170" s="608"/>
      <c r="B170" s="608"/>
      <c r="C170" s="608"/>
      <c r="D170" s="609"/>
      <c r="E170" s="609"/>
      <c r="F170" s="610"/>
      <c r="G170" s="607" t="s">
        <v>169</v>
      </c>
      <c r="H170" s="113"/>
      <c r="I170" s="129"/>
      <c r="J170" s="129"/>
      <c r="K170" s="129"/>
      <c r="L170" s="130"/>
      <c r="M170" s="162"/>
      <c r="N170" s="162"/>
      <c r="O170" s="163"/>
      <c r="Q170" s="161"/>
      <c r="R170" s="161"/>
      <c r="S170" s="161"/>
      <c r="T170" s="162"/>
      <c r="U170" s="162"/>
      <c r="V170" s="164"/>
      <c r="W170" s="163"/>
      <c r="X170" s="155"/>
      <c r="Y170" s="161"/>
      <c r="Z170" s="161"/>
      <c r="AA170" s="161"/>
      <c r="AB170" s="162"/>
      <c r="AC170" s="162"/>
      <c r="AD170" s="164"/>
      <c r="AE170" s="163"/>
      <c r="AF170" s="155"/>
      <c r="AG170" s="161"/>
      <c r="AH170" s="161"/>
      <c r="AI170" s="161"/>
      <c r="AJ170" s="162"/>
      <c r="AK170" s="162"/>
      <c r="AL170" s="164"/>
      <c r="AM170" s="163"/>
      <c r="AN170" s="155"/>
      <c r="AO170" s="161"/>
      <c r="AP170" s="161"/>
      <c r="AQ170" s="161"/>
      <c r="AR170" s="162"/>
      <c r="AS170" s="162"/>
      <c r="AT170" s="164"/>
      <c r="AU170" s="163"/>
    </row>
    <row r="171" spans="1:47" ht="15.95" customHeight="1" x14ac:dyDescent="0.2">
      <c r="A171" s="608"/>
      <c r="B171" s="608"/>
      <c r="C171" s="608"/>
      <c r="D171" s="609"/>
      <c r="E171" s="609"/>
      <c r="F171" s="610"/>
      <c r="G171" s="607" t="s">
        <v>169</v>
      </c>
      <c r="H171" s="113"/>
      <c r="I171" s="129"/>
      <c r="J171" s="129"/>
      <c r="K171" s="129"/>
      <c r="L171" s="130"/>
      <c r="M171" s="162"/>
      <c r="N171" s="162"/>
      <c r="O171" s="163"/>
      <c r="Q171" s="161"/>
      <c r="R171" s="161"/>
      <c r="S171" s="161"/>
      <c r="T171" s="162"/>
      <c r="U171" s="162"/>
      <c r="V171" s="164"/>
      <c r="W171" s="163"/>
      <c r="X171" s="155"/>
      <c r="Y171" s="161"/>
      <c r="Z171" s="161"/>
      <c r="AA171" s="161"/>
      <c r="AB171" s="162"/>
      <c r="AC171" s="162"/>
      <c r="AD171" s="164"/>
      <c r="AE171" s="163"/>
      <c r="AF171" s="155"/>
      <c r="AG171" s="161"/>
      <c r="AH171" s="161"/>
      <c r="AI171" s="161"/>
      <c r="AJ171" s="162"/>
      <c r="AK171" s="162"/>
      <c r="AL171" s="164"/>
      <c r="AM171" s="163"/>
      <c r="AN171" s="155"/>
      <c r="AO171" s="161"/>
      <c r="AP171" s="161"/>
      <c r="AQ171" s="161"/>
      <c r="AR171" s="162"/>
      <c r="AS171" s="162"/>
      <c r="AT171" s="164"/>
      <c r="AU171" s="163"/>
    </row>
    <row r="172" spans="1:47" ht="15.95" customHeight="1" x14ac:dyDescent="0.2">
      <c r="A172" s="608"/>
      <c r="B172" s="608"/>
      <c r="C172" s="608"/>
      <c r="D172" s="609"/>
      <c r="E172" s="609"/>
      <c r="F172" s="610"/>
      <c r="G172" s="607" t="s">
        <v>169</v>
      </c>
      <c r="H172" s="113"/>
      <c r="I172" s="129"/>
      <c r="J172" s="129"/>
      <c r="K172" s="129"/>
      <c r="L172" s="130"/>
      <c r="M172" s="162"/>
      <c r="N172" s="162"/>
      <c r="O172" s="163"/>
      <c r="Q172" s="161"/>
      <c r="R172" s="161"/>
      <c r="S172" s="161"/>
      <c r="T172" s="162"/>
      <c r="U172" s="162"/>
      <c r="V172" s="164"/>
      <c r="W172" s="163"/>
      <c r="X172" s="155"/>
      <c r="Y172" s="161"/>
      <c r="Z172" s="161"/>
      <c r="AA172" s="161"/>
      <c r="AB172" s="162"/>
      <c r="AC172" s="162"/>
      <c r="AD172" s="164"/>
      <c r="AE172" s="163"/>
      <c r="AF172" s="155"/>
      <c r="AG172" s="161"/>
      <c r="AH172" s="161"/>
      <c r="AI172" s="161"/>
      <c r="AJ172" s="162"/>
      <c r="AK172" s="162"/>
      <c r="AL172" s="164"/>
      <c r="AM172" s="163"/>
      <c r="AN172" s="155"/>
      <c r="AO172" s="161"/>
      <c r="AP172" s="161"/>
      <c r="AQ172" s="161"/>
      <c r="AR172" s="162"/>
      <c r="AS172" s="162"/>
      <c r="AT172" s="164"/>
      <c r="AU172" s="163"/>
    </row>
    <row r="173" spans="1:47" ht="15.95" customHeight="1" x14ac:dyDescent="0.2">
      <c r="A173" s="608"/>
      <c r="B173" s="608"/>
      <c r="C173" s="608"/>
      <c r="D173" s="609"/>
      <c r="E173" s="609"/>
      <c r="F173" s="610"/>
      <c r="G173" s="607" t="s">
        <v>169</v>
      </c>
      <c r="H173" s="113"/>
      <c r="I173" s="129"/>
      <c r="J173" s="129"/>
      <c r="K173" s="129"/>
      <c r="L173" s="130"/>
      <c r="M173" s="162"/>
      <c r="N173" s="162"/>
      <c r="O173" s="163"/>
      <c r="Q173" s="161"/>
      <c r="R173" s="161"/>
      <c r="S173" s="161"/>
      <c r="T173" s="162"/>
      <c r="U173" s="162"/>
      <c r="V173" s="164"/>
      <c r="W173" s="163"/>
      <c r="X173" s="155"/>
      <c r="Y173" s="161"/>
      <c r="Z173" s="161"/>
      <c r="AA173" s="161"/>
      <c r="AB173" s="162"/>
      <c r="AC173" s="162"/>
      <c r="AD173" s="164"/>
      <c r="AE173" s="163"/>
      <c r="AF173" s="155"/>
      <c r="AG173" s="161"/>
      <c r="AH173" s="161"/>
      <c r="AI173" s="161"/>
      <c r="AJ173" s="162"/>
      <c r="AK173" s="162"/>
      <c r="AL173" s="164"/>
      <c r="AM173" s="163"/>
      <c r="AN173" s="155"/>
      <c r="AO173" s="161"/>
      <c r="AP173" s="161"/>
      <c r="AQ173" s="161"/>
      <c r="AR173" s="162"/>
      <c r="AS173" s="162"/>
      <c r="AT173" s="164"/>
      <c r="AU173" s="163"/>
    </row>
    <row r="174" spans="1:47" ht="15.95" customHeight="1" x14ac:dyDescent="0.2">
      <c r="A174" s="608"/>
      <c r="B174" s="608"/>
      <c r="C174" s="608"/>
      <c r="D174" s="609"/>
      <c r="E174" s="609"/>
      <c r="F174" s="610"/>
      <c r="G174" s="607" t="s">
        <v>169</v>
      </c>
      <c r="H174" s="113"/>
      <c r="I174" s="129"/>
      <c r="J174" s="129"/>
      <c r="K174" s="129"/>
      <c r="L174" s="130"/>
      <c r="M174" s="162"/>
      <c r="N174" s="162"/>
      <c r="O174" s="163"/>
      <c r="Q174" s="161"/>
      <c r="R174" s="161"/>
      <c r="S174" s="161"/>
      <c r="T174" s="162"/>
      <c r="U174" s="162"/>
      <c r="V174" s="164"/>
      <c r="W174" s="163"/>
      <c r="X174" s="155"/>
      <c r="Y174" s="161"/>
      <c r="Z174" s="161"/>
      <c r="AA174" s="161"/>
      <c r="AB174" s="162"/>
      <c r="AC174" s="162"/>
      <c r="AD174" s="164"/>
      <c r="AE174" s="163"/>
      <c r="AF174" s="155"/>
      <c r="AG174" s="161"/>
      <c r="AH174" s="161"/>
      <c r="AI174" s="161"/>
      <c r="AJ174" s="162"/>
      <c r="AK174" s="162"/>
      <c r="AL174" s="164"/>
      <c r="AM174" s="163"/>
      <c r="AN174" s="155"/>
      <c r="AO174" s="161"/>
      <c r="AP174" s="161"/>
      <c r="AQ174" s="161"/>
      <c r="AR174" s="162"/>
      <c r="AS174" s="162"/>
      <c r="AT174" s="164"/>
      <c r="AU174" s="163"/>
    </row>
    <row r="175" spans="1:47" ht="15.95" customHeight="1" x14ac:dyDescent="0.2">
      <c r="A175" s="608"/>
      <c r="B175" s="608"/>
      <c r="C175" s="608"/>
      <c r="D175" s="609"/>
      <c r="E175" s="609"/>
      <c r="F175" s="610"/>
      <c r="G175" s="607" t="s">
        <v>169</v>
      </c>
      <c r="H175" s="113"/>
      <c r="I175" s="129"/>
      <c r="J175" s="129"/>
      <c r="K175" s="129"/>
      <c r="L175" s="130"/>
      <c r="M175" s="162"/>
      <c r="N175" s="162"/>
      <c r="O175" s="163"/>
      <c r="Q175" s="161"/>
      <c r="R175" s="161"/>
      <c r="S175" s="161"/>
      <c r="T175" s="162"/>
      <c r="U175" s="162"/>
      <c r="V175" s="164"/>
      <c r="W175" s="163"/>
      <c r="X175" s="155"/>
      <c r="Y175" s="161"/>
      <c r="Z175" s="161"/>
      <c r="AA175" s="161"/>
      <c r="AB175" s="162"/>
      <c r="AC175" s="162"/>
      <c r="AD175" s="164"/>
      <c r="AE175" s="163"/>
      <c r="AF175" s="155"/>
      <c r="AG175" s="161"/>
      <c r="AH175" s="161"/>
      <c r="AI175" s="161"/>
      <c r="AJ175" s="162"/>
      <c r="AK175" s="162"/>
      <c r="AL175" s="164"/>
      <c r="AM175" s="163"/>
      <c r="AN175" s="155"/>
      <c r="AO175" s="161"/>
      <c r="AP175" s="161"/>
      <c r="AQ175" s="161"/>
      <c r="AR175" s="162"/>
      <c r="AS175" s="162"/>
      <c r="AT175" s="164"/>
      <c r="AU175" s="163"/>
    </row>
    <row r="176" spans="1:47" ht="15.95" customHeight="1" x14ac:dyDescent="0.2">
      <c r="A176" s="608"/>
      <c r="B176" s="608"/>
      <c r="C176" s="608"/>
      <c r="D176" s="609"/>
      <c r="E176" s="609"/>
      <c r="F176" s="610"/>
      <c r="G176" s="607" t="s">
        <v>169</v>
      </c>
      <c r="H176" s="113"/>
      <c r="I176" s="129"/>
      <c r="J176" s="129"/>
      <c r="K176" s="129"/>
      <c r="L176" s="130"/>
      <c r="M176" s="162"/>
      <c r="N176" s="162"/>
      <c r="O176" s="163"/>
      <c r="Q176" s="161"/>
      <c r="R176" s="161"/>
      <c r="S176" s="161"/>
      <c r="T176" s="162"/>
      <c r="U176" s="162"/>
      <c r="V176" s="164"/>
      <c r="W176" s="163"/>
      <c r="X176" s="155"/>
      <c r="Y176" s="161"/>
      <c r="Z176" s="161"/>
      <c r="AA176" s="161"/>
      <c r="AB176" s="162"/>
      <c r="AC176" s="162"/>
      <c r="AD176" s="164"/>
      <c r="AE176" s="163"/>
      <c r="AF176" s="155"/>
      <c r="AG176" s="161"/>
      <c r="AH176" s="161"/>
      <c r="AI176" s="161"/>
      <c r="AJ176" s="162"/>
      <c r="AK176" s="162"/>
      <c r="AL176" s="164"/>
      <c r="AM176" s="163"/>
      <c r="AN176" s="155"/>
      <c r="AO176" s="161"/>
      <c r="AP176" s="161"/>
      <c r="AQ176" s="161"/>
      <c r="AR176" s="162"/>
      <c r="AS176" s="162"/>
      <c r="AT176" s="164"/>
      <c r="AU176" s="163"/>
    </row>
    <row r="177" spans="1:47" ht="15.95" customHeight="1" x14ac:dyDescent="0.2">
      <c r="A177" s="608"/>
      <c r="B177" s="608"/>
      <c r="C177" s="608"/>
      <c r="D177" s="609"/>
      <c r="E177" s="609"/>
      <c r="F177" s="610"/>
      <c r="G177" s="607" t="s">
        <v>169</v>
      </c>
      <c r="H177" s="113"/>
      <c r="I177" s="129"/>
      <c r="J177" s="129"/>
      <c r="K177" s="129"/>
      <c r="L177" s="130"/>
      <c r="M177" s="162"/>
      <c r="N177" s="162"/>
      <c r="O177" s="163"/>
      <c r="Q177" s="161"/>
      <c r="R177" s="161"/>
      <c r="S177" s="161"/>
      <c r="T177" s="162"/>
      <c r="U177" s="162"/>
      <c r="V177" s="164"/>
      <c r="W177" s="163"/>
      <c r="X177" s="155"/>
      <c r="Y177" s="161"/>
      <c r="Z177" s="161"/>
      <c r="AA177" s="161"/>
      <c r="AB177" s="162"/>
      <c r="AC177" s="162"/>
      <c r="AD177" s="164"/>
      <c r="AE177" s="163"/>
      <c r="AF177" s="155"/>
      <c r="AG177" s="161"/>
      <c r="AH177" s="161"/>
      <c r="AI177" s="161"/>
      <c r="AJ177" s="162"/>
      <c r="AK177" s="162"/>
      <c r="AL177" s="164"/>
      <c r="AM177" s="163"/>
      <c r="AN177" s="155"/>
      <c r="AO177" s="161"/>
      <c r="AP177" s="161"/>
      <c r="AQ177" s="161"/>
      <c r="AR177" s="162"/>
      <c r="AS177" s="162"/>
      <c r="AT177" s="164"/>
      <c r="AU177" s="163"/>
    </row>
    <row r="178" spans="1:47" ht="15.95" customHeight="1" x14ac:dyDescent="0.2">
      <c r="A178" s="608"/>
      <c r="B178" s="608"/>
      <c r="C178" s="608"/>
      <c r="D178" s="609"/>
      <c r="E178" s="609"/>
      <c r="F178" s="610"/>
      <c r="G178" s="607" t="s">
        <v>169</v>
      </c>
      <c r="H178" s="113"/>
      <c r="I178" s="129"/>
      <c r="J178" s="129"/>
      <c r="K178" s="129"/>
      <c r="L178" s="130"/>
      <c r="M178" s="162"/>
      <c r="N178" s="162"/>
      <c r="O178" s="163"/>
      <c r="Q178" s="161"/>
      <c r="R178" s="161"/>
      <c r="S178" s="161"/>
      <c r="T178" s="162"/>
      <c r="U178" s="162"/>
      <c r="V178" s="164"/>
      <c r="W178" s="163"/>
      <c r="X178" s="155"/>
      <c r="Y178" s="161"/>
      <c r="Z178" s="161"/>
      <c r="AA178" s="161"/>
      <c r="AB178" s="162"/>
      <c r="AC178" s="162"/>
      <c r="AD178" s="164"/>
      <c r="AE178" s="163"/>
      <c r="AF178" s="155"/>
      <c r="AG178" s="161"/>
      <c r="AH178" s="161"/>
      <c r="AI178" s="161"/>
      <c r="AJ178" s="162"/>
      <c r="AK178" s="162"/>
      <c r="AL178" s="164"/>
      <c r="AM178" s="163"/>
      <c r="AN178" s="155"/>
      <c r="AO178" s="161"/>
      <c r="AP178" s="161"/>
      <c r="AQ178" s="161"/>
      <c r="AR178" s="162"/>
      <c r="AS178" s="162"/>
      <c r="AT178" s="164"/>
      <c r="AU178" s="163"/>
    </row>
    <row r="179" spans="1:47" ht="15.95" customHeight="1" x14ac:dyDescent="0.2">
      <c r="A179" s="608"/>
      <c r="B179" s="608"/>
      <c r="C179" s="608"/>
      <c r="D179" s="609"/>
      <c r="E179" s="609"/>
      <c r="F179" s="610"/>
      <c r="G179" s="607" t="s">
        <v>169</v>
      </c>
      <c r="H179" s="113"/>
      <c r="I179" s="129"/>
      <c r="J179" s="129"/>
      <c r="K179" s="129"/>
      <c r="L179" s="130"/>
      <c r="M179" s="162"/>
      <c r="N179" s="162"/>
      <c r="O179" s="163"/>
      <c r="Q179" s="161"/>
      <c r="R179" s="161"/>
      <c r="S179" s="161"/>
      <c r="T179" s="162"/>
      <c r="U179" s="162"/>
      <c r="V179" s="164"/>
      <c r="W179" s="163"/>
      <c r="X179" s="155"/>
      <c r="Y179" s="161"/>
      <c r="Z179" s="161"/>
      <c r="AA179" s="161"/>
      <c r="AB179" s="162"/>
      <c r="AC179" s="162"/>
      <c r="AD179" s="164"/>
      <c r="AE179" s="163"/>
      <c r="AF179" s="155"/>
      <c r="AG179" s="161"/>
      <c r="AH179" s="161"/>
      <c r="AI179" s="161"/>
      <c r="AJ179" s="162"/>
      <c r="AK179" s="162"/>
      <c r="AL179" s="164"/>
      <c r="AM179" s="163"/>
      <c r="AN179" s="155"/>
      <c r="AO179" s="161"/>
      <c r="AP179" s="161"/>
      <c r="AQ179" s="161"/>
      <c r="AR179" s="162"/>
      <c r="AS179" s="162"/>
      <c r="AT179" s="164"/>
      <c r="AU179" s="163"/>
    </row>
    <row r="180" spans="1:47" ht="15.95" customHeight="1" x14ac:dyDescent="0.2">
      <c r="A180" s="608"/>
      <c r="B180" s="608"/>
      <c r="C180" s="608"/>
      <c r="D180" s="609"/>
      <c r="E180" s="609"/>
      <c r="F180" s="610"/>
      <c r="G180" s="607" t="s">
        <v>169</v>
      </c>
      <c r="H180" s="113"/>
      <c r="I180" s="129"/>
      <c r="J180" s="129"/>
      <c r="K180" s="129"/>
      <c r="L180" s="130"/>
      <c r="M180" s="162"/>
      <c r="N180" s="162"/>
      <c r="O180" s="163"/>
      <c r="Q180" s="161"/>
      <c r="R180" s="161"/>
      <c r="S180" s="161"/>
      <c r="T180" s="162"/>
      <c r="U180" s="162"/>
      <c r="V180" s="164"/>
      <c r="W180" s="163"/>
      <c r="X180" s="155"/>
      <c r="Y180" s="161"/>
      <c r="Z180" s="161"/>
      <c r="AA180" s="161"/>
      <c r="AB180" s="162"/>
      <c r="AC180" s="162"/>
      <c r="AD180" s="164"/>
      <c r="AE180" s="163"/>
      <c r="AF180" s="155"/>
      <c r="AG180" s="161"/>
      <c r="AH180" s="161"/>
      <c r="AI180" s="161"/>
      <c r="AJ180" s="162"/>
      <c r="AK180" s="162"/>
      <c r="AL180" s="164"/>
      <c r="AM180" s="163"/>
      <c r="AN180" s="155"/>
      <c r="AO180" s="161"/>
      <c r="AP180" s="161"/>
      <c r="AQ180" s="161"/>
      <c r="AR180" s="162"/>
      <c r="AS180" s="162"/>
      <c r="AT180" s="164"/>
      <c r="AU180" s="163"/>
    </row>
    <row r="181" spans="1:47" ht="15.95" customHeight="1" x14ac:dyDescent="0.2">
      <c r="A181" s="608"/>
      <c r="B181" s="608"/>
      <c r="C181" s="608"/>
      <c r="D181" s="609"/>
      <c r="E181" s="609"/>
      <c r="F181" s="610"/>
      <c r="G181" s="607" t="s">
        <v>169</v>
      </c>
      <c r="H181" s="113"/>
      <c r="I181" s="129"/>
      <c r="J181" s="129"/>
      <c r="K181" s="129"/>
      <c r="L181" s="130"/>
      <c r="M181" s="162"/>
      <c r="N181" s="162"/>
      <c r="O181" s="163"/>
      <c r="Q181" s="161"/>
      <c r="R181" s="161"/>
      <c r="S181" s="161"/>
      <c r="T181" s="162"/>
      <c r="U181" s="162"/>
      <c r="V181" s="164"/>
      <c r="W181" s="163"/>
      <c r="X181" s="155"/>
      <c r="Y181" s="161"/>
      <c r="Z181" s="161"/>
      <c r="AA181" s="161"/>
      <c r="AB181" s="162"/>
      <c r="AC181" s="162"/>
      <c r="AD181" s="164"/>
      <c r="AE181" s="163"/>
      <c r="AF181" s="155"/>
      <c r="AG181" s="161"/>
      <c r="AH181" s="161"/>
      <c r="AI181" s="161"/>
      <c r="AJ181" s="162"/>
      <c r="AK181" s="162"/>
      <c r="AL181" s="164"/>
      <c r="AM181" s="163"/>
      <c r="AN181" s="155"/>
      <c r="AO181" s="161"/>
      <c r="AP181" s="161"/>
      <c r="AQ181" s="161"/>
      <c r="AR181" s="162"/>
      <c r="AS181" s="162"/>
      <c r="AT181" s="164"/>
      <c r="AU181" s="163"/>
    </row>
    <row r="182" spans="1:47" ht="15.95" customHeight="1" x14ac:dyDescent="0.2">
      <c r="A182" s="608"/>
      <c r="B182" s="608"/>
      <c r="C182" s="608"/>
      <c r="D182" s="609"/>
      <c r="E182" s="609"/>
      <c r="F182" s="610"/>
      <c r="G182" s="607" t="s">
        <v>169</v>
      </c>
      <c r="H182" s="113"/>
      <c r="I182" s="129"/>
      <c r="J182" s="129"/>
      <c r="K182" s="129"/>
      <c r="L182" s="130"/>
      <c r="M182" s="162"/>
      <c r="N182" s="162"/>
      <c r="O182" s="163"/>
      <c r="Q182" s="161"/>
      <c r="R182" s="161"/>
      <c r="S182" s="161"/>
      <c r="T182" s="162"/>
      <c r="U182" s="162"/>
      <c r="V182" s="164"/>
      <c r="W182" s="163"/>
      <c r="X182" s="155"/>
      <c r="Y182" s="161"/>
      <c r="Z182" s="161"/>
      <c r="AA182" s="161"/>
      <c r="AB182" s="162"/>
      <c r="AC182" s="162"/>
      <c r="AD182" s="164"/>
      <c r="AE182" s="163"/>
      <c r="AF182" s="155"/>
      <c r="AG182" s="161"/>
      <c r="AH182" s="161"/>
      <c r="AI182" s="161"/>
      <c r="AJ182" s="162"/>
      <c r="AK182" s="162"/>
      <c r="AL182" s="164"/>
      <c r="AM182" s="163"/>
      <c r="AN182" s="155"/>
      <c r="AO182" s="161"/>
      <c r="AP182" s="161"/>
      <c r="AQ182" s="161"/>
      <c r="AR182" s="162"/>
      <c r="AS182" s="162"/>
      <c r="AT182" s="164"/>
      <c r="AU182" s="163"/>
    </row>
    <row r="183" spans="1:47" ht="15.95" customHeight="1" x14ac:dyDescent="0.2">
      <c r="A183" s="608"/>
      <c r="B183" s="608"/>
      <c r="C183" s="608"/>
      <c r="D183" s="609"/>
      <c r="E183" s="609"/>
      <c r="F183" s="610"/>
      <c r="G183" s="607" t="s">
        <v>169</v>
      </c>
      <c r="H183" s="113"/>
      <c r="I183" s="129"/>
      <c r="J183" s="129"/>
      <c r="K183" s="129"/>
      <c r="L183" s="130"/>
      <c r="M183" s="162"/>
      <c r="N183" s="162"/>
      <c r="O183" s="163"/>
      <c r="Q183" s="161"/>
      <c r="R183" s="161"/>
      <c r="S183" s="161"/>
      <c r="T183" s="162"/>
      <c r="U183" s="162"/>
      <c r="V183" s="164"/>
      <c r="W183" s="163"/>
      <c r="X183" s="155"/>
      <c r="Y183" s="161"/>
      <c r="Z183" s="161"/>
      <c r="AA183" s="161"/>
      <c r="AB183" s="162"/>
      <c r="AC183" s="162"/>
      <c r="AD183" s="164"/>
      <c r="AE183" s="163"/>
      <c r="AF183" s="155"/>
      <c r="AG183" s="161"/>
      <c r="AH183" s="161"/>
      <c r="AI183" s="161"/>
      <c r="AJ183" s="162"/>
      <c r="AK183" s="162"/>
      <c r="AL183" s="164"/>
      <c r="AM183" s="163"/>
      <c r="AN183" s="155"/>
      <c r="AO183" s="161"/>
      <c r="AP183" s="161"/>
      <c r="AQ183" s="161"/>
      <c r="AR183" s="162"/>
      <c r="AS183" s="162"/>
      <c r="AT183" s="164"/>
      <c r="AU183" s="163"/>
    </row>
    <row r="184" spans="1:47" ht="15.95" customHeight="1" x14ac:dyDescent="0.2">
      <c r="A184" s="608"/>
      <c r="B184" s="608"/>
      <c r="C184" s="608"/>
      <c r="D184" s="609"/>
      <c r="E184" s="609"/>
      <c r="F184" s="610"/>
      <c r="G184" s="607" t="s">
        <v>169</v>
      </c>
      <c r="H184" s="113"/>
      <c r="I184" s="129"/>
      <c r="J184" s="129"/>
      <c r="K184" s="129"/>
      <c r="L184" s="130"/>
      <c r="M184" s="162"/>
      <c r="N184" s="162"/>
      <c r="O184" s="163"/>
      <c r="Q184" s="161"/>
      <c r="R184" s="161"/>
      <c r="S184" s="161"/>
      <c r="T184" s="162"/>
      <c r="U184" s="162"/>
      <c r="V184" s="164"/>
      <c r="W184" s="163"/>
      <c r="X184" s="155"/>
      <c r="Y184" s="161"/>
      <c r="Z184" s="161"/>
      <c r="AA184" s="161"/>
      <c r="AB184" s="162"/>
      <c r="AC184" s="162"/>
      <c r="AD184" s="164"/>
      <c r="AE184" s="163"/>
      <c r="AF184" s="155"/>
      <c r="AG184" s="161"/>
      <c r="AH184" s="161"/>
      <c r="AI184" s="161"/>
      <c r="AJ184" s="162"/>
      <c r="AK184" s="162"/>
      <c r="AL184" s="164"/>
      <c r="AM184" s="163"/>
      <c r="AN184" s="155"/>
      <c r="AO184" s="161"/>
      <c r="AP184" s="161"/>
      <c r="AQ184" s="161"/>
      <c r="AR184" s="162"/>
      <c r="AS184" s="162"/>
      <c r="AT184" s="164"/>
      <c r="AU184" s="163"/>
    </row>
    <row r="185" spans="1:47" ht="15.95" customHeight="1" x14ac:dyDescent="0.2">
      <c r="A185" s="608"/>
      <c r="B185" s="608"/>
      <c r="C185" s="608"/>
      <c r="D185" s="609"/>
      <c r="E185" s="609"/>
      <c r="F185" s="610"/>
      <c r="G185" s="607" t="s">
        <v>169</v>
      </c>
      <c r="H185" s="113"/>
      <c r="I185" s="129"/>
      <c r="J185" s="129"/>
      <c r="K185" s="129"/>
      <c r="L185" s="130"/>
      <c r="M185" s="162"/>
      <c r="N185" s="162"/>
      <c r="O185" s="163"/>
      <c r="Q185" s="161"/>
      <c r="R185" s="161"/>
      <c r="S185" s="161"/>
      <c r="T185" s="162"/>
      <c r="U185" s="162"/>
      <c r="V185" s="164"/>
      <c r="W185" s="163"/>
      <c r="X185" s="155"/>
      <c r="Y185" s="161"/>
      <c r="Z185" s="161"/>
      <c r="AA185" s="161"/>
      <c r="AB185" s="162"/>
      <c r="AC185" s="162"/>
      <c r="AD185" s="164"/>
      <c r="AE185" s="163"/>
      <c r="AF185" s="155"/>
      <c r="AG185" s="161"/>
      <c r="AH185" s="161"/>
      <c r="AI185" s="161"/>
      <c r="AJ185" s="162"/>
      <c r="AK185" s="162"/>
      <c r="AL185" s="164"/>
      <c r="AM185" s="163"/>
      <c r="AN185" s="155"/>
      <c r="AO185" s="161"/>
      <c r="AP185" s="161"/>
      <c r="AQ185" s="161"/>
      <c r="AR185" s="162"/>
      <c r="AS185" s="162"/>
      <c r="AT185" s="164"/>
      <c r="AU185" s="163"/>
    </row>
    <row r="186" spans="1:47" ht="15.95" customHeight="1" x14ac:dyDescent="0.2">
      <c r="A186" s="608"/>
      <c r="B186" s="608"/>
      <c r="C186" s="608"/>
      <c r="D186" s="609"/>
      <c r="E186" s="609"/>
      <c r="F186" s="610"/>
      <c r="G186" s="607" t="s">
        <v>169</v>
      </c>
      <c r="H186" s="113"/>
      <c r="I186" s="129"/>
      <c r="J186" s="129"/>
      <c r="K186" s="129"/>
      <c r="L186" s="130"/>
      <c r="M186" s="162"/>
      <c r="N186" s="162"/>
      <c r="O186" s="163"/>
      <c r="Q186" s="161"/>
      <c r="R186" s="161"/>
      <c r="S186" s="161"/>
      <c r="T186" s="162"/>
      <c r="U186" s="162"/>
      <c r="V186" s="164"/>
      <c r="W186" s="163"/>
      <c r="X186" s="155"/>
      <c r="Y186" s="161"/>
      <c r="Z186" s="161"/>
      <c r="AA186" s="161"/>
      <c r="AB186" s="162"/>
      <c r="AC186" s="162"/>
      <c r="AD186" s="164"/>
      <c r="AE186" s="163"/>
      <c r="AF186" s="155"/>
      <c r="AG186" s="161"/>
      <c r="AH186" s="161"/>
      <c r="AI186" s="161"/>
      <c r="AJ186" s="162"/>
      <c r="AK186" s="162"/>
      <c r="AL186" s="164"/>
      <c r="AM186" s="163"/>
      <c r="AN186" s="155"/>
      <c r="AO186" s="161"/>
      <c r="AP186" s="161"/>
      <c r="AQ186" s="161"/>
      <c r="AR186" s="162"/>
      <c r="AS186" s="162"/>
      <c r="AT186" s="164"/>
      <c r="AU186" s="163"/>
    </row>
    <row r="187" spans="1:47" ht="15.95" customHeight="1" x14ac:dyDescent="0.2">
      <c r="A187" s="608"/>
      <c r="B187" s="608"/>
      <c r="C187" s="608"/>
      <c r="D187" s="609"/>
      <c r="E187" s="609"/>
      <c r="F187" s="610"/>
      <c r="G187" s="607" t="s">
        <v>169</v>
      </c>
      <c r="H187" s="113"/>
      <c r="I187" s="129"/>
      <c r="J187" s="129"/>
      <c r="K187" s="129"/>
      <c r="L187" s="130"/>
      <c r="M187" s="162"/>
      <c r="N187" s="162"/>
      <c r="O187" s="163"/>
      <c r="Q187" s="161"/>
      <c r="R187" s="161"/>
      <c r="S187" s="161"/>
      <c r="T187" s="162"/>
      <c r="U187" s="162"/>
      <c r="V187" s="164"/>
      <c r="W187" s="163"/>
      <c r="X187" s="155"/>
      <c r="Y187" s="161"/>
      <c r="Z187" s="161"/>
      <c r="AA187" s="161"/>
      <c r="AB187" s="162"/>
      <c r="AC187" s="162"/>
      <c r="AD187" s="164"/>
      <c r="AE187" s="163"/>
      <c r="AF187" s="155"/>
      <c r="AG187" s="161"/>
      <c r="AH187" s="161"/>
      <c r="AI187" s="161"/>
      <c r="AJ187" s="162"/>
      <c r="AK187" s="162"/>
      <c r="AL187" s="164"/>
      <c r="AM187" s="163"/>
      <c r="AN187" s="155"/>
      <c r="AO187" s="161"/>
      <c r="AP187" s="161"/>
      <c r="AQ187" s="161"/>
      <c r="AR187" s="162"/>
      <c r="AS187" s="162"/>
      <c r="AT187" s="164"/>
      <c r="AU187" s="163"/>
    </row>
    <row r="188" spans="1:47" ht="15.95" customHeight="1" x14ac:dyDescent="0.2">
      <c r="A188" s="608"/>
      <c r="B188" s="608"/>
      <c r="C188" s="608"/>
      <c r="D188" s="609"/>
      <c r="E188" s="609"/>
      <c r="F188" s="610"/>
      <c r="G188" s="607" t="s">
        <v>169</v>
      </c>
      <c r="H188" s="113"/>
      <c r="I188" s="129"/>
      <c r="J188" s="129"/>
      <c r="K188" s="129"/>
      <c r="L188" s="130"/>
      <c r="M188" s="162"/>
      <c r="N188" s="162"/>
      <c r="O188" s="163"/>
      <c r="Q188" s="161"/>
      <c r="R188" s="161"/>
      <c r="S188" s="161"/>
      <c r="T188" s="162"/>
      <c r="U188" s="162"/>
      <c r="V188" s="164"/>
      <c r="W188" s="163"/>
      <c r="X188" s="155"/>
      <c r="Y188" s="161"/>
      <c r="Z188" s="161"/>
      <c r="AA188" s="161"/>
      <c r="AB188" s="162"/>
      <c r="AC188" s="162"/>
      <c r="AD188" s="164"/>
      <c r="AE188" s="163"/>
      <c r="AF188" s="155"/>
      <c r="AG188" s="161"/>
      <c r="AH188" s="161"/>
      <c r="AI188" s="161"/>
      <c r="AJ188" s="162"/>
      <c r="AK188" s="162"/>
      <c r="AL188" s="164"/>
      <c r="AM188" s="163"/>
      <c r="AN188" s="155"/>
      <c r="AO188" s="161"/>
      <c r="AP188" s="161"/>
      <c r="AQ188" s="161"/>
      <c r="AR188" s="162"/>
      <c r="AS188" s="162"/>
      <c r="AT188" s="164"/>
      <c r="AU188" s="163"/>
    </row>
    <row r="189" spans="1:47" ht="15.95" customHeight="1" x14ac:dyDescent="0.2">
      <c r="A189" s="608"/>
      <c r="B189" s="608"/>
      <c r="C189" s="608"/>
      <c r="D189" s="609"/>
      <c r="E189" s="609"/>
      <c r="F189" s="610"/>
      <c r="G189" s="607" t="s">
        <v>169</v>
      </c>
      <c r="H189" s="113"/>
      <c r="I189" s="129"/>
      <c r="J189" s="129"/>
      <c r="K189" s="129"/>
      <c r="L189" s="130"/>
      <c r="M189" s="162"/>
      <c r="N189" s="162"/>
      <c r="O189" s="163"/>
      <c r="Q189" s="161"/>
      <c r="R189" s="161"/>
      <c r="S189" s="161"/>
      <c r="T189" s="162"/>
      <c r="U189" s="162"/>
      <c r="V189" s="164"/>
      <c r="W189" s="163"/>
      <c r="X189" s="155"/>
      <c r="Y189" s="161"/>
      <c r="Z189" s="161"/>
      <c r="AA189" s="161"/>
      <c r="AB189" s="162"/>
      <c r="AC189" s="162"/>
      <c r="AD189" s="164"/>
      <c r="AE189" s="163"/>
      <c r="AF189" s="155"/>
      <c r="AG189" s="161"/>
      <c r="AH189" s="161"/>
      <c r="AI189" s="161"/>
      <c r="AJ189" s="162"/>
      <c r="AK189" s="162"/>
      <c r="AL189" s="164"/>
      <c r="AM189" s="163"/>
      <c r="AN189" s="155"/>
      <c r="AO189" s="161"/>
      <c r="AP189" s="161"/>
      <c r="AQ189" s="161"/>
      <c r="AR189" s="162"/>
      <c r="AS189" s="162"/>
      <c r="AT189" s="164"/>
      <c r="AU189" s="163"/>
    </row>
    <row r="190" spans="1:47" ht="15.95" customHeight="1" x14ac:dyDescent="0.2">
      <c r="A190" s="608"/>
      <c r="B190" s="608"/>
      <c r="C190" s="608"/>
      <c r="D190" s="609"/>
      <c r="E190" s="609"/>
      <c r="F190" s="610"/>
      <c r="G190" s="607" t="s">
        <v>169</v>
      </c>
      <c r="H190" s="113"/>
      <c r="I190" s="129"/>
      <c r="J190" s="129"/>
      <c r="K190" s="129"/>
      <c r="L190" s="130"/>
      <c r="M190" s="162"/>
      <c r="N190" s="162"/>
      <c r="O190" s="163"/>
      <c r="Q190" s="161"/>
      <c r="R190" s="161"/>
      <c r="S190" s="161"/>
      <c r="T190" s="162"/>
      <c r="U190" s="162"/>
      <c r="V190" s="164"/>
      <c r="W190" s="163"/>
      <c r="X190" s="155"/>
      <c r="Y190" s="161"/>
      <c r="Z190" s="161"/>
      <c r="AA190" s="161"/>
      <c r="AB190" s="162"/>
      <c r="AC190" s="162"/>
      <c r="AD190" s="164"/>
      <c r="AE190" s="163"/>
      <c r="AF190" s="155"/>
      <c r="AG190" s="161"/>
      <c r="AH190" s="161"/>
      <c r="AI190" s="161"/>
      <c r="AJ190" s="162"/>
      <c r="AK190" s="162"/>
      <c r="AL190" s="164"/>
      <c r="AM190" s="163"/>
      <c r="AN190" s="155"/>
      <c r="AO190" s="161"/>
      <c r="AP190" s="161"/>
      <c r="AQ190" s="161"/>
      <c r="AR190" s="162"/>
      <c r="AS190" s="162"/>
      <c r="AT190" s="164"/>
      <c r="AU190" s="163"/>
    </row>
    <row r="191" spans="1:47" ht="15.95" customHeight="1" x14ac:dyDescent="0.2">
      <c r="A191" s="608"/>
      <c r="B191" s="608"/>
      <c r="C191" s="608"/>
      <c r="D191" s="609"/>
      <c r="E191" s="609"/>
      <c r="F191" s="610"/>
      <c r="G191" s="607" t="s">
        <v>169</v>
      </c>
      <c r="H191" s="113"/>
      <c r="I191" s="129"/>
      <c r="J191" s="129"/>
      <c r="K191" s="129"/>
      <c r="L191" s="130"/>
      <c r="M191" s="162"/>
      <c r="N191" s="162"/>
      <c r="O191" s="163"/>
      <c r="Q191" s="161"/>
      <c r="R191" s="161"/>
      <c r="S191" s="161"/>
      <c r="T191" s="162"/>
      <c r="U191" s="162"/>
      <c r="V191" s="164"/>
      <c r="W191" s="163"/>
      <c r="X191" s="155"/>
      <c r="Y191" s="161"/>
      <c r="Z191" s="161"/>
      <c r="AA191" s="161"/>
      <c r="AB191" s="162"/>
      <c r="AC191" s="162"/>
      <c r="AD191" s="164"/>
      <c r="AE191" s="163"/>
      <c r="AF191" s="155"/>
      <c r="AG191" s="161"/>
      <c r="AH191" s="161"/>
      <c r="AI191" s="161"/>
      <c r="AJ191" s="162"/>
      <c r="AK191" s="162"/>
      <c r="AL191" s="164"/>
      <c r="AM191" s="163"/>
      <c r="AN191" s="155"/>
      <c r="AO191" s="161"/>
      <c r="AP191" s="161"/>
      <c r="AQ191" s="161"/>
      <c r="AR191" s="162"/>
      <c r="AS191" s="162"/>
      <c r="AT191" s="164"/>
      <c r="AU191" s="163"/>
    </row>
    <row r="192" spans="1:47" ht="15.95" customHeight="1" x14ac:dyDescent="0.2">
      <c r="A192" s="608"/>
      <c r="B192" s="608"/>
      <c r="C192" s="608"/>
      <c r="D192" s="609"/>
      <c r="E192" s="609"/>
      <c r="F192" s="610"/>
      <c r="G192" s="607" t="s">
        <v>169</v>
      </c>
      <c r="H192" s="113"/>
      <c r="I192" s="129"/>
      <c r="J192" s="129"/>
      <c r="K192" s="129"/>
      <c r="L192" s="130"/>
      <c r="M192" s="162"/>
      <c r="N192" s="162"/>
      <c r="O192" s="163"/>
      <c r="Q192" s="161"/>
      <c r="R192" s="161"/>
      <c r="S192" s="161"/>
      <c r="T192" s="162"/>
      <c r="U192" s="162"/>
      <c r="V192" s="164"/>
      <c r="W192" s="163"/>
      <c r="X192" s="155"/>
      <c r="Y192" s="161"/>
      <c r="Z192" s="161"/>
      <c r="AA192" s="161"/>
      <c r="AB192" s="162"/>
      <c r="AC192" s="162"/>
      <c r="AD192" s="164"/>
      <c r="AE192" s="163"/>
      <c r="AF192" s="155"/>
      <c r="AG192" s="161"/>
      <c r="AH192" s="161"/>
      <c r="AI192" s="161"/>
      <c r="AJ192" s="162"/>
      <c r="AK192" s="162"/>
      <c r="AL192" s="164"/>
      <c r="AM192" s="163"/>
      <c r="AN192" s="155"/>
      <c r="AO192" s="161"/>
      <c r="AP192" s="161"/>
      <c r="AQ192" s="161"/>
      <c r="AR192" s="162"/>
      <c r="AS192" s="162"/>
      <c r="AT192" s="164"/>
      <c r="AU192" s="163"/>
    </row>
    <row r="193" spans="1:47" ht="15.95" customHeight="1" x14ac:dyDescent="0.2">
      <c r="A193" s="608"/>
      <c r="B193" s="608"/>
      <c r="C193" s="608"/>
      <c r="D193" s="609"/>
      <c r="E193" s="609"/>
      <c r="F193" s="610"/>
      <c r="G193" s="607" t="s">
        <v>169</v>
      </c>
      <c r="H193" s="113"/>
      <c r="I193" s="129"/>
      <c r="J193" s="129"/>
      <c r="K193" s="129"/>
      <c r="L193" s="130"/>
      <c r="M193" s="162"/>
      <c r="N193" s="162"/>
      <c r="O193" s="163"/>
      <c r="Q193" s="161"/>
      <c r="R193" s="161"/>
      <c r="S193" s="161"/>
      <c r="T193" s="162"/>
      <c r="U193" s="162"/>
      <c r="V193" s="164"/>
      <c r="W193" s="163"/>
      <c r="X193" s="155"/>
      <c r="Y193" s="161"/>
      <c r="Z193" s="161"/>
      <c r="AA193" s="161"/>
      <c r="AB193" s="162"/>
      <c r="AC193" s="162"/>
      <c r="AD193" s="164"/>
      <c r="AE193" s="163"/>
      <c r="AF193" s="155"/>
      <c r="AG193" s="161"/>
      <c r="AH193" s="161"/>
      <c r="AI193" s="161"/>
      <c r="AJ193" s="162"/>
      <c r="AK193" s="162"/>
      <c r="AL193" s="164"/>
      <c r="AM193" s="163"/>
      <c r="AN193" s="155"/>
      <c r="AO193" s="161"/>
      <c r="AP193" s="161"/>
      <c r="AQ193" s="161"/>
      <c r="AR193" s="162"/>
      <c r="AS193" s="162"/>
      <c r="AT193" s="164"/>
      <c r="AU193" s="163"/>
    </row>
    <row r="194" spans="1:47" ht="15.95" customHeight="1" x14ac:dyDescent="0.2">
      <c r="A194" s="608"/>
      <c r="B194" s="608"/>
      <c r="C194" s="608"/>
      <c r="D194" s="609"/>
      <c r="E194" s="609"/>
      <c r="F194" s="610"/>
      <c r="G194" s="607" t="s">
        <v>169</v>
      </c>
      <c r="H194" s="113"/>
      <c r="I194" s="129"/>
      <c r="J194" s="129"/>
      <c r="K194" s="129"/>
      <c r="L194" s="130"/>
      <c r="M194" s="162"/>
      <c r="N194" s="162"/>
      <c r="O194" s="163"/>
      <c r="Q194" s="161"/>
      <c r="R194" s="161"/>
      <c r="S194" s="161"/>
      <c r="T194" s="162"/>
      <c r="U194" s="162"/>
      <c r="V194" s="164"/>
      <c r="W194" s="163"/>
      <c r="X194" s="155"/>
      <c r="Y194" s="161"/>
      <c r="Z194" s="161"/>
      <c r="AA194" s="161"/>
      <c r="AB194" s="162"/>
      <c r="AC194" s="162"/>
      <c r="AD194" s="164"/>
      <c r="AE194" s="163"/>
      <c r="AF194" s="155"/>
      <c r="AG194" s="161"/>
      <c r="AH194" s="161"/>
      <c r="AI194" s="161"/>
      <c r="AJ194" s="162"/>
      <c r="AK194" s="162"/>
      <c r="AL194" s="164"/>
      <c r="AM194" s="163"/>
      <c r="AN194" s="155"/>
      <c r="AO194" s="161"/>
      <c r="AP194" s="161"/>
      <c r="AQ194" s="161"/>
      <c r="AR194" s="162"/>
      <c r="AS194" s="162"/>
      <c r="AT194" s="164"/>
      <c r="AU194" s="163"/>
    </row>
    <row r="195" spans="1:47" ht="15.95" customHeight="1" x14ac:dyDescent="0.2">
      <c r="A195" s="608"/>
      <c r="B195" s="608"/>
      <c r="C195" s="608"/>
      <c r="D195" s="609"/>
      <c r="E195" s="609"/>
      <c r="F195" s="610"/>
      <c r="G195" s="607" t="s">
        <v>169</v>
      </c>
      <c r="H195" s="113"/>
      <c r="I195" s="129"/>
      <c r="J195" s="129"/>
      <c r="K195" s="129"/>
      <c r="L195" s="130"/>
      <c r="M195" s="162"/>
      <c r="N195" s="162"/>
      <c r="O195" s="163"/>
      <c r="Q195" s="161"/>
      <c r="R195" s="161"/>
      <c r="S195" s="161"/>
      <c r="T195" s="162"/>
      <c r="U195" s="162"/>
      <c r="V195" s="164"/>
      <c r="W195" s="163"/>
      <c r="X195" s="155"/>
      <c r="Y195" s="161"/>
      <c r="Z195" s="161"/>
      <c r="AA195" s="161"/>
      <c r="AB195" s="162"/>
      <c r="AC195" s="162"/>
      <c r="AD195" s="164"/>
      <c r="AE195" s="163"/>
      <c r="AF195" s="155"/>
      <c r="AG195" s="161"/>
      <c r="AH195" s="161"/>
      <c r="AI195" s="161"/>
      <c r="AJ195" s="162"/>
      <c r="AK195" s="162"/>
      <c r="AL195" s="164"/>
      <c r="AM195" s="163"/>
      <c r="AN195" s="155"/>
      <c r="AO195" s="161"/>
      <c r="AP195" s="161"/>
      <c r="AQ195" s="161"/>
      <c r="AR195" s="162"/>
      <c r="AS195" s="162"/>
      <c r="AT195" s="164"/>
      <c r="AU195" s="163"/>
    </row>
    <row r="196" spans="1:47" ht="15.95" customHeight="1" x14ac:dyDescent="0.2">
      <c r="A196" s="608"/>
      <c r="B196" s="608"/>
      <c r="C196" s="608"/>
      <c r="D196" s="609"/>
      <c r="E196" s="609"/>
      <c r="F196" s="610"/>
      <c r="G196" s="607" t="s">
        <v>169</v>
      </c>
      <c r="H196" s="113"/>
      <c r="I196" s="129"/>
      <c r="J196" s="129"/>
      <c r="K196" s="129"/>
      <c r="L196" s="130"/>
      <c r="M196" s="162"/>
      <c r="N196" s="162"/>
      <c r="O196" s="163"/>
      <c r="Q196" s="161"/>
      <c r="R196" s="161"/>
      <c r="S196" s="161"/>
      <c r="T196" s="162"/>
      <c r="U196" s="162"/>
      <c r="V196" s="164"/>
      <c r="W196" s="163"/>
      <c r="X196" s="155"/>
      <c r="Y196" s="161"/>
      <c r="Z196" s="161"/>
      <c r="AA196" s="161"/>
      <c r="AB196" s="162"/>
      <c r="AC196" s="162"/>
      <c r="AD196" s="164"/>
      <c r="AE196" s="163"/>
      <c r="AF196" s="155"/>
      <c r="AG196" s="161"/>
      <c r="AH196" s="161"/>
      <c r="AI196" s="161"/>
      <c r="AJ196" s="162"/>
      <c r="AK196" s="162"/>
      <c r="AL196" s="164"/>
      <c r="AM196" s="163"/>
      <c r="AN196" s="155"/>
      <c r="AO196" s="161"/>
      <c r="AP196" s="161"/>
      <c r="AQ196" s="161"/>
      <c r="AR196" s="162"/>
      <c r="AS196" s="162"/>
      <c r="AT196" s="164"/>
      <c r="AU196" s="163"/>
    </row>
    <row r="197" spans="1:47" ht="15.95" customHeight="1" x14ac:dyDescent="0.2">
      <c r="A197" s="608"/>
      <c r="B197" s="608"/>
      <c r="C197" s="608"/>
      <c r="D197" s="609"/>
      <c r="E197" s="609"/>
      <c r="F197" s="610"/>
      <c r="G197" s="607" t="s">
        <v>169</v>
      </c>
      <c r="H197" s="113"/>
      <c r="I197" s="129"/>
      <c r="J197" s="129"/>
      <c r="K197" s="129"/>
      <c r="L197" s="130"/>
      <c r="M197" s="162"/>
      <c r="N197" s="162"/>
      <c r="O197" s="163"/>
      <c r="Q197" s="161"/>
      <c r="R197" s="161"/>
      <c r="S197" s="161"/>
      <c r="T197" s="162"/>
      <c r="U197" s="162"/>
      <c r="V197" s="164"/>
      <c r="W197" s="163"/>
      <c r="X197" s="155"/>
      <c r="Y197" s="161"/>
      <c r="Z197" s="161"/>
      <c r="AA197" s="161"/>
      <c r="AB197" s="162"/>
      <c r="AC197" s="162"/>
      <c r="AD197" s="164"/>
      <c r="AE197" s="163"/>
      <c r="AF197" s="155"/>
      <c r="AG197" s="161"/>
      <c r="AH197" s="161"/>
      <c r="AI197" s="161"/>
      <c r="AJ197" s="162"/>
      <c r="AK197" s="162"/>
      <c r="AL197" s="164"/>
      <c r="AM197" s="163"/>
      <c r="AN197" s="155"/>
      <c r="AO197" s="161"/>
      <c r="AP197" s="161"/>
      <c r="AQ197" s="161"/>
      <c r="AR197" s="162"/>
      <c r="AS197" s="162"/>
      <c r="AT197" s="164"/>
      <c r="AU197" s="163"/>
    </row>
    <row r="198" spans="1:47" ht="15.95" customHeight="1" x14ac:dyDescent="0.2">
      <c r="A198" s="608"/>
      <c r="B198" s="608"/>
      <c r="C198" s="608"/>
      <c r="D198" s="609"/>
      <c r="E198" s="609"/>
      <c r="F198" s="610"/>
      <c r="G198" s="607" t="s">
        <v>169</v>
      </c>
      <c r="H198" s="113"/>
      <c r="I198" s="129"/>
      <c r="J198" s="129"/>
      <c r="K198" s="129"/>
      <c r="L198" s="130"/>
      <c r="M198" s="162"/>
      <c r="N198" s="162"/>
      <c r="O198" s="163"/>
      <c r="Q198" s="161"/>
      <c r="R198" s="161"/>
      <c r="S198" s="161"/>
      <c r="T198" s="162"/>
      <c r="U198" s="162"/>
      <c r="V198" s="164"/>
      <c r="W198" s="163"/>
      <c r="X198" s="155"/>
      <c r="Y198" s="161"/>
      <c r="Z198" s="161"/>
      <c r="AA198" s="161"/>
      <c r="AB198" s="162"/>
      <c r="AC198" s="162"/>
      <c r="AD198" s="164"/>
      <c r="AE198" s="163"/>
      <c r="AF198" s="155"/>
      <c r="AG198" s="161"/>
      <c r="AH198" s="161"/>
      <c r="AI198" s="161"/>
      <c r="AJ198" s="162"/>
      <c r="AK198" s="162"/>
      <c r="AL198" s="164"/>
      <c r="AM198" s="163"/>
      <c r="AN198" s="155"/>
      <c r="AO198" s="161"/>
      <c r="AP198" s="161"/>
      <c r="AQ198" s="161"/>
      <c r="AR198" s="162"/>
      <c r="AS198" s="162"/>
      <c r="AT198" s="164"/>
      <c r="AU198" s="163"/>
    </row>
    <row r="199" spans="1:47" ht="15.95" customHeight="1" x14ac:dyDescent="0.2">
      <c r="A199" s="608"/>
      <c r="B199" s="608"/>
      <c r="C199" s="608"/>
      <c r="D199" s="609"/>
      <c r="E199" s="609"/>
      <c r="F199" s="610"/>
      <c r="G199" s="607" t="s">
        <v>169</v>
      </c>
      <c r="H199" s="113"/>
      <c r="I199" s="129"/>
      <c r="J199" s="129"/>
      <c r="K199" s="129"/>
      <c r="L199" s="130"/>
      <c r="M199" s="162"/>
      <c r="N199" s="162"/>
      <c r="O199" s="163"/>
      <c r="Q199" s="161"/>
      <c r="R199" s="161"/>
      <c r="S199" s="161"/>
      <c r="T199" s="162"/>
      <c r="U199" s="162"/>
      <c r="V199" s="164"/>
      <c r="W199" s="163"/>
      <c r="X199" s="155"/>
      <c r="Y199" s="161"/>
      <c r="Z199" s="161"/>
      <c r="AA199" s="161"/>
      <c r="AB199" s="162"/>
      <c r="AC199" s="162"/>
      <c r="AD199" s="164"/>
      <c r="AE199" s="163"/>
      <c r="AF199" s="155"/>
      <c r="AG199" s="161"/>
      <c r="AH199" s="161"/>
      <c r="AI199" s="161"/>
      <c r="AJ199" s="162"/>
      <c r="AK199" s="162"/>
      <c r="AL199" s="164"/>
      <c r="AM199" s="163"/>
      <c r="AN199" s="155"/>
      <c r="AO199" s="161"/>
      <c r="AP199" s="161"/>
      <c r="AQ199" s="161"/>
      <c r="AR199" s="162"/>
      <c r="AS199" s="162"/>
      <c r="AT199" s="164"/>
      <c r="AU199" s="163"/>
    </row>
    <row r="200" spans="1:47" ht="15.95" customHeight="1" x14ac:dyDescent="0.2">
      <c r="A200" s="608"/>
      <c r="B200" s="608"/>
      <c r="C200" s="608"/>
      <c r="D200" s="609"/>
      <c r="E200" s="609"/>
      <c r="F200" s="610"/>
      <c r="G200" s="607" t="s">
        <v>169</v>
      </c>
      <c r="H200" s="113"/>
      <c r="I200" s="129"/>
      <c r="J200" s="129"/>
      <c r="K200" s="129"/>
      <c r="L200" s="130"/>
      <c r="M200" s="162"/>
      <c r="N200" s="162"/>
      <c r="O200" s="163"/>
      <c r="Q200" s="161"/>
      <c r="R200" s="161"/>
      <c r="S200" s="161"/>
      <c r="T200" s="162"/>
      <c r="U200" s="162"/>
      <c r="V200" s="164"/>
      <c r="W200" s="163"/>
      <c r="X200" s="155"/>
      <c r="Y200" s="161"/>
      <c r="Z200" s="161"/>
      <c r="AA200" s="161"/>
      <c r="AB200" s="162"/>
      <c r="AC200" s="162"/>
      <c r="AD200" s="164"/>
      <c r="AE200" s="163"/>
      <c r="AF200" s="155"/>
      <c r="AG200" s="161"/>
      <c r="AH200" s="161"/>
      <c r="AI200" s="161"/>
      <c r="AJ200" s="162"/>
      <c r="AK200" s="162"/>
      <c r="AL200" s="164"/>
      <c r="AM200" s="163"/>
      <c r="AN200" s="155"/>
      <c r="AO200" s="161"/>
      <c r="AP200" s="161"/>
      <c r="AQ200" s="161"/>
      <c r="AR200" s="162"/>
      <c r="AS200" s="162"/>
      <c r="AT200" s="164"/>
      <c r="AU200" s="163"/>
    </row>
    <row r="201" spans="1:47" ht="15.95" customHeight="1" x14ac:dyDescent="0.2">
      <c r="A201" s="608"/>
      <c r="B201" s="608"/>
      <c r="C201" s="608"/>
      <c r="D201" s="609"/>
      <c r="E201" s="609"/>
      <c r="F201" s="610"/>
      <c r="G201" s="607" t="s">
        <v>169</v>
      </c>
      <c r="H201" s="113"/>
      <c r="I201" s="129"/>
      <c r="J201" s="129"/>
      <c r="K201" s="129"/>
      <c r="L201" s="130"/>
      <c r="M201" s="162"/>
      <c r="N201" s="162"/>
      <c r="O201" s="163"/>
      <c r="Q201" s="161"/>
      <c r="R201" s="161"/>
      <c r="S201" s="161"/>
      <c r="T201" s="162"/>
      <c r="U201" s="162"/>
      <c r="V201" s="164"/>
      <c r="W201" s="163"/>
      <c r="X201" s="155"/>
      <c r="Y201" s="161"/>
      <c r="Z201" s="161"/>
      <c r="AA201" s="161"/>
      <c r="AB201" s="162"/>
      <c r="AC201" s="162"/>
      <c r="AD201" s="164"/>
      <c r="AE201" s="163"/>
      <c r="AF201" s="155"/>
      <c r="AG201" s="161"/>
      <c r="AH201" s="161"/>
      <c r="AI201" s="161"/>
      <c r="AJ201" s="162"/>
      <c r="AK201" s="162"/>
      <c r="AL201" s="164"/>
      <c r="AM201" s="163"/>
      <c r="AN201" s="155"/>
      <c r="AO201" s="161"/>
      <c r="AP201" s="161"/>
      <c r="AQ201" s="161"/>
      <c r="AR201" s="162"/>
      <c r="AS201" s="162"/>
      <c r="AT201" s="164"/>
      <c r="AU201" s="163"/>
    </row>
    <row r="202" spans="1:47" ht="15.95" customHeight="1" x14ac:dyDescent="0.2">
      <c r="A202" s="608"/>
      <c r="B202" s="608"/>
      <c r="C202" s="608"/>
      <c r="D202" s="609"/>
      <c r="E202" s="609"/>
      <c r="F202" s="610"/>
      <c r="G202" s="607" t="s">
        <v>169</v>
      </c>
      <c r="H202" s="113"/>
      <c r="I202" s="129"/>
      <c r="J202" s="129"/>
      <c r="K202" s="129"/>
      <c r="L202" s="130"/>
      <c r="M202" s="162"/>
      <c r="N202" s="162"/>
      <c r="O202" s="163"/>
      <c r="Q202" s="161"/>
      <c r="R202" s="161"/>
      <c r="S202" s="161"/>
      <c r="T202" s="162"/>
      <c r="U202" s="162"/>
      <c r="V202" s="164"/>
      <c r="W202" s="163"/>
      <c r="X202" s="155"/>
      <c r="Y202" s="161"/>
      <c r="Z202" s="161"/>
      <c r="AA202" s="161"/>
      <c r="AB202" s="162"/>
      <c r="AC202" s="162"/>
      <c r="AD202" s="164"/>
      <c r="AE202" s="163"/>
      <c r="AF202" s="155"/>
      <c r="AG202" s="161"/>
      <c r="AH202" s="161"/>
      <c r="AI202" s="161"/>
      <c r="AJ202" s="162"/>
      <c r="AK202" s="162"/>
      <c r="AL202" s="164"/>
      <c r="AM202" s="163"/>
      <c r="AN202" s="155"/>
      <c r="AO202" s="161"/>
      <c r="AP202" s="161"/>
      <c r="AQ202" s="161"/>
      <c r="AR202" s="162"/>
      <c r="AS202" s="162"/>
      <c r="AT202" s="164"/>
      <c r="AU202" s="163"/>
    </row>
    <row r="203" spans="1:47" ht="15.95" customHeight="1" x14ac:dyDescent="0.2">
      <c r="A203" s="608"/>
      <c r="B203" s="608"/>
      <c r="C203" s="608"/>
      <c r="D203" s="609"/>
      <c r="E203" s="609"/>
      <c r="F203" s="610"/>
      <c r="G203" s="607" t="s">
        <v>169</v>
      </c>
      <c r="H203" s="113"/>
      <c r="I203" s="129"/>
      <c r="J203" s="129"/>
      <c r="K203" s="129"/>
      <c r="L203" s="130"/>
      <c r="M203" s="162"/>
      <c r="N203" s="162"/>
      <c r="O203" s="163"/>
      <c r="Q203" s="161"/>
      <c r="R203" s="161"/>
      <c r="S203" s="161"/>
      <c r="T203" s="162"/>
      <c r="U203" s="162"/>
      <c r="V203" s="164"/>
      <c r="W203" s="163"/>
      <c r="X203" s="155"/>
      <c r="Y203" s="161"/>
      <c r="Z203" s="161"/>
      <c r="AA203" s="161"/>
      <c r="AB203" s="162"/>
      <c r="AC203" s="162"/>
      <c r="AD203" s="164"/>
      <c r="AE203" s="163"/>
      <c r="AF203" s="155"/>
      <c r="AG203" s="161"/>
      <c r="AH203" s="161"/>
      <c r="AI203" s="161"/>
      <c r="AJ203" s="162"/>
      <c r="AK203" s="162"/>
      <c r="AL203" s="164"/>
      <c r="AM203" s="163"/>
      <c r="AN203" s="155"/>
      <c r="AO203" s="161"/>
      <c r="AP203" s="161"/>
      <c r="AQ203" s="161"/>
      <c r="AR203" s="162"/>
      <c r="AS203" s="162"/>
      <c r="AT203" s="164"/>
      <c r="AU203" s="163"/>
    </row>
    <row r="204" spans="1:47" ht="15.95" customHeight="1" x14ac:dyDescent="0.2">
      <c r="A204" s="608"/>
      <c r="B204" s="608"/>
      <c r="C204" s="608"/>
      <c r="D204" s="609"/>
      <c r="E204" s="609"/>
      <c r="F204" s="610"/>
      <c r="G204" s="607" t="s">
        <v>169</v>
      </c>
      <c r="H204" s="113"/>
      <c r="I204" s="129"/>
      <c r="J204" s="129"/>
      <c r="K204" s="129"/>
      <c r="L204" s="130"/>
      <c r="M204" s="162"/>
      <c r="N204" s="162"/>
      <c r="O204" s="163"/>
      <c r="Q204" s="161"/>
      <c r="R204" s="161"/>
      <c r="S204" s="161"/>
      <c r="T204" s="162"/>
      <c r="U204" s="162"/>
      <c r="V204" s="164"/>
      <c r="W204" s="163"/>
      <c r="X204" s="155"/>
      <c r="Y204" s="161"/>
      <c r="Z204" s="161"/>
      <c r="AA204" s="161"/>
      <c r="AB204" s="162"/>
      <c r="AC204" s="162"/>
      <c r="AD204" s="164"/>
      <c r="AE204" s="163"/>
      <c r="AF204" s="155"/>
      <c r="AG204" s="161"/>
      <c r="AH204" s="161"/>
      <c r="AI204" s="161"/>
      <c r="AJ204" s="162"/>
      <c r="AK204" s="162"/>
      <c r="AL204" s="164"/>
      <c r="AM204" s="163"/>
      <c r="AN204" s="155"/>
      <c r="AO204" s="161"/>
      <c r="AP204" s="161"/>
      <c r="AQ204" s="161"/>
      <c r="AR204" s="162"/>
      <c r="AS204" s="162"/>
      <c r="AT204" s="164"/>
      <c r="AU204" s="163"/>
    </row>
    <row r="205" spans="1:47" ht="15.95" customHeight="1" x14ac:dyDescent="0.2">
      <c r="A205" s="608"/>
      <c r="B205" s="608"/>
      <c r="C205" s="608"/>
      <c r="D205" s="609"/>
      <c r="E205" s="609"/>
      <c r="F205" s="610"/>
      <c r="G205" s="607" t="s">
        <v>169</v>
      </c>
      <c r="H205" s="113"/>
      <c r="I205" s="129"/>
      <c r="J205" s="129"/>
      <c r="K205" s="129"/>
      <c r="L205" s="130"/>
      <c r="M205" s="162"/>
      <c r="N205" s="162"/>
      <c r="O205" s="163"/>
      <c r="Q205" s="161"/>
      <c r="R205" s="161"/>
      <c r="S205" s="161"/>
      <c r="T205" s="162"/>
      <c r="U205" s="162"/>
      <c r="V205" s="164"/>
      <c r="W205" s="163"/>
      <c r="X205" s="155"/>
      <c r="Y205" s="161"/>
      <c r="Z205" s="161"/>
      <c r="AA205" s="161"/>
      <c r="AB205" s="162"/>
      <c r="AC205" s="162"/>
      <c r="AD205" s="164"/>
      <c r="AE205" s="163"/>
      <c r="AF205" s="155"/>
      <c r="AG205" s="161"/>
      <c r="AH205" s="161"/>
      <c r="AI205" s="161"/>
      <c r="AJ205" s="162"/>
      <c r="AK205" s="162"/>
      <c r="AL205" s="164"/>
      <c r="AM205" s="163"/>
      <c r="AN205" s="155"/>
      <c r="AO205" s="161"/>
      <c r="AP205" s="161"/>
      <c r="AQ205" s="161"/>
      <c r="AR205" s="162"/>
      <c r="AS205" s="162"/>
      <c r="AT205" s="164"/>
      <c r="AU205" s="163"/>
    </row>
    <row r="206" spans="1:47" ht="15.95" customHeight="1" x14ac:dyDescent="0.2">
      <c r="A206" s="608"/>
      <c r="B206" s="608"/>
      <c r="C206" s="608"/>
      <c r="D206" s="609"/>
      <c r="E206" s="609"/>
      <c r="F206" s="610"/>
      <c r="G206" s="607" t="s">
        <v>169</v>
      </c>
      <c r="H206" s="113"/>
      <c r="I206" s="129"/>
      <c r="J206" s="129"/>
      <c r="K206" s="129"/>
      <c r="L206" s="130"/>
      <c r="M206" s="162"/>
      <c r="N206" s="162"/>
      <c r="O206" s="163"/>
      <c r="Q206" s="161"/>
      <c r="R206" s="161"/>
      <c r="S206" s="161"/>
      <c r="T206" s="162"/>
      <c r="U206" s="162"/>
      <c r="V206" s="164"/>
      <c r="W206" s="163"/>
      <c r="X206" s="155"/>
      <c r="Y206" s="161"/>
      <c r="Z206" s="161"/>
      <c r="AA206" s="161"/>
      <c r="AB206" s="162"/>
      <c r="AC206" s="162"/>
      <c r="AD206" s="164"/>
      <c r="AE206" s="163"/>
      <c r="AF206" s="155"/>
      <c r="AG206" s="161"/>
      <c r="AH206" s="161"/>
      <c r="AI206" s="161"/>
      <c r="AJ206" s="162"/>
      <c r="AK206" s="162"/>
      <c r="AL206" s="164"/>
      <c r="AM206" s="163"/>
      <c r="AN206" s="155"/>
      <c r="AO206" s="161"/>
      <c r="AP206" s="161"/>
      <c r="AQ206" s="161"/>
      <c r="AR206" s="162"/>
      <c r="AS206" s="162"/>
      <c r="AT206" s="164"/>
      <c r="AU206" s="163"/>
    </row>
    <row r="207" spans="1:47" ht="15.95" customHeight="1" x14ac:dyDescent="0.2">
      <c r="A207" s="608"/>
      <c r="B207" s="608"/>
      <c r="C207" s="608"/>
      <c r="D207" s="609"/>
      <c r="E207" s="609"/>
      <c r="F207" s="610"/>
      <c r="G207" s="607" t="s">
        <v>169</v>
      </c>
      <c r="H207" s="113"/>
      <c r="I207" s="129"/>
      <c r="J207" s="129"/>
      <c r="K207" s="129"/>
      <c r="L207" s="130"/>
      <c r="M207" s="162"/>
      <c r="N207" s="162"/>
      <c r="O207" s="163"/>
      <c r="Q207" s="161"/>
      <c r="R207" s="161"/>
      <c r="S207" s="161"/>
      <c r="T207" s="162"/>
      <c r="U207" s="162"/>
      <c r="V207" s="164"/>
      <c r="W207" s="163"/>
      <c r="X207" s="155"/>
      <c r="Y207" s="161"/>
      <c r="Z207" s="161"/>
      <c r="AA207" s="161"/>
      <c r="AB207" s="162"/>
      <c r="AC207" s="162"/>
      <c r="AD207" s="164"/>
      <c r="AE207" s="163"/>
      <c r="AF207" s="155"/>
      <c r="AG207" s="161"/>
      <c r="AH207" s="161"/>
      <c r="AI207" s="161"/>
      <c r="AJ207" s="162"/>
      <c r="AK207" s="162"/>
      <c r="AL207" s="164"/>
      <c r="AM207" s="163"/>
      <c r="AN207" s="155"/>
      <c r="AO207" s="161"/>
      <c r="AP207" s="161"/>
      <c r="AQ207" s="161"/>
      <c r="AR207" s="162"/>
      <c r="AS207" s="162"/>
      <c r="AT207" s="164"/>
      <c r="AU207" s="163"/>
    </row>
    <row r="208" spans="1:47" ht="15.95" customHeight="1" x14ac:dyDescent="0.2">
      <c r="A208" s="608"/>
      <c r="B208" s="608"/>
      <c r="C208" s="608"/>
      <c r="D208" s="609"/>
      <c r="E208" s="609"/>
      <c r="F208" s="610"/>
      <c r="G208" s="607" t="s">
        <v>169</v>
      </c>
      <c r="H208" s="113"/>
      <c r="I208" s="129"/>
      <c r="J208" s="129"/>
      <c r="K208" s="129"/>
      <c r="L208" s="130"/>
      <c r="M208" s="162"/>
      <c r="N208" s="162"/>
      <c r="O208" s="163"/>
      <c r="Q208" s="161"/>
      <c r="R208" s="161"/>
      <c r="S208" s="161"/>
      <c r="T208" s="162"/>
      <c r="U208" s="162"/>
      <c r="V208" s="164"/>
      <c r="W208" s="163"/>
      <c r="X208" s="155"/>
      <c r="Y208" s="161"/>
      <c r="Z208" s="161"/>
      <c r="AA208" s="161"/>
      <c r="AB208" s="162"/>
      <c r="AC208" s="162"/>
      <c r="AD208" s="164"/>
      <c r="AE208" s="163"/>
      <c r="AF208" s="155"/>
      <c r="AG208" s="161"/>
      <c r="AH208" s="161"/>
      <c r="AI208" s="161"/>
      <c r="AJ208" s="162"/>
      <c r="AK208" s="162"/>
      <c r="AL208" s="164"/>
      <c r="AM208" s="163"/>
      <c r="AN208" s="155"/>
      <c r="AO208" s="161"/>
      <c r="AP208" s="161"/>
      <c r="AQ208" s="161"/>
      <c r="AR208" s="162"/>
      <c r="AS208" s="162"/>
      <c r="AT208" s="164"/>
      <c r="AU208" s="163"/>
    </row>
    <row r="209" spans="1:47" ht="15.95" customHeight="1" x14ac:dyDescent="0.2">
      <c r="A209" s="608"/>
      <c r="B209" s="608"/>
      <c r="C209" s="608"/>
      <c r="D209" s="609"/>
      <c r="E209" s="609"/>
      <c r="F209" s="610"/>
      <c r="G209" s="607" t="s">
        <v>169</v>
      </c>
      <c r="H209" s="113"/>
      <c r="I209" s="129"/>
      <c r="J209" s="129"/>
      <c r="K209" s="129"/>
      <c r="L209" s="130"/>
      <c r="M209" s="162"/>
      <c r="N209" s="162"/>
      <c r="O209" s="163"/>
      <c r="Q209" s="161"/>
      <c r="R209" s="161"/>
      <c r="S209" s="161"/>
      <c r="T209" s="162"/>
      <c r="U209" s="162"/>
      <c r="V209" s="164"/>
      <c r="W209" s="163"/>
      <c r="X209" s="155"/>
      <c r="Y209" s="161"/>
      <c r="Z209" s="161"/>
      <c r="AA209" s="161"/>
      <c r="AB209" s="162"/>
      <c r="AC209" s="162"/>
      <c r="AD209" s="164"/>
      <c r="AE209" s="163"/>
      <c r="AF209" s="155"/>
      <c r="AG209" s="161"/>
      <c r="AH209" s="161"/>
      <c r="AI209" s="161"/>
      <c r="AJ209" s="162"/>
      <c r="AK209" s="162"/>
      <c r="AL209" s="164"/>
      <c r="AM209" s="163"/>
      <c r="AN209" s="155"/>
      <c r="AO209" s="161"/>
      <c r="AP209" s="161"/>
      <c r="AQ209" s="161"/>
      <c r="AR209" s="162"/>
      <c r="AS209" s="162"/>
      <c r="AT209" s="164"/>
      <c r="AU209" s="163"/>
    </row>
    <row r="210" spans="1:47" ht="15.95" customHeight="1" x14ac:dyDescent="0.2">
      <c r="A210" s="608"/>
      <c r="B210" s="608"/>
      <c r="C210" s="608"/>
      <c r="D210" s="609"/>
      <c r="E210" s="609"/>
      <c r="F210" s="610"/>
      <c r="G210" s="607" t="s">
        <v>169</v>
      </c>
      <c r="H210" s="113"/>
      <c r="I210" s="129"/>
      <c r="J210" s="129"/>
      <c r="K210" s="129"/>
      <c r="L210" s="130"/>
      <c r="M210" s="162"/>
      <c r="N210" s="162"/>
      <c r="O210" s="163"/>
      <c r="Q210" s="161"/>
      <c r="R210" s="161"/>
      <c r="S210" s="161"/>
      <c r="T210" s="162"/>
      <c r="U210" s="162"/>
      <c r="V210" s="164"/>
      <c r="W210" s="163"/>
      <c r="X210" s="155"/>
      <c r="Y210" s="161"/>
      <c r="Z210" s="161"/>
      <c r="AA210" s="161"/>
      <c r="AB210" s="162"/>
      <c r="AC210" s="162"/>
      <c r="AD210" s="164"/>
      <c r="AE210" s="163"/>
      <c r="AF210" s="155"/>
      <c r="AG210" s="161"/>
      <c r="AH210" s="161"/>
      <c r="AI210" s="161"/>
      <c r="AJ210" s="162"/>
      <c r="AK210" s="162"/>
      <c r="AL210" s="164"/>
      <c r="AM210" s="163"/>
      <c r="AN210" s="155"/>
      <c r="AO210" s="161"/>
      <c r="AP210" s="161"/>
      <c r="AQ210" s="161"/>
      <c r="AR210" s="162"/>
      <c r="AS210" s="162"/>
      <c r="AT210" s="164"/>
      <c r="AU210" s="163"/>
    </row>
    <row r="211" spans="1:47" ht="15.95" customHeight="1" x14ac:dyDescent="0.2">
      <c r="A211" s="608"/>
      <c r="B211" s="608"/>
      <c r="C211" s="608"/>
      <c r="D211" s="609"/>
      <c r="E211" s="609"/>
      <c r="F211" s="610"/>
      <c r="G211" s="607" t="s">
        <v>169</v>
      </c>
      <c r="H211" s="113"/>
      <c r="I211" s="129"/>
      <c r="J211" s="129"/>
      <c r="K211" s="129"/>
      <c r="L211" s="130"/>
      <c r="M211" s="162"/>
      <c r="N211" s="162"/>
      <c r="O211" s="163"/>
      <c r="Q211" s="161"/>
      <c r="R211" s="161"/>
      <c r="S211" s="161"/>
      <c r="T211" s="162"/>
      <c r="U211" s="162"/>
      <c r="V211" s="164"/>
      <c r="W211" s="163"/>
      <c r="X211" s="155"/>
      <c r="Y211" s="161"/>
      <c r="Z211" s="161"/>
      <c r="AA211" s="161"/>
      <c r="AB211" s="162"/>
      <c r="AC211" s="162"/>
      <c r="AD211" s="164"/>
      <c r="AE211" s="163"/>
      <c r="AF211" s="155"/>
      <c r="AG211" s="161"/>
      <c r="AH211" s="161"/>
      <c r="AI211" s="161"/>
      <c r="AJ211" s="162"/>
      <c r="AK211" s="162"/>
      <c r="AL211" s="164"/>
      <c r="AM211" s="163"/>
      <c r="AN211" s="155"/>
      <c r="AO211" s="161"/>
      <c r="AP211" s="161"/>
      <c r="AQ211" s="161"/>
      <c r="AR211" s="162"/>
      <c r="AS211" s="162"/>
      <c r="AT211" s="164"/>
      <c r="AU211" s="163"/>
    </row>
    <row r="212" spans="1:47" ht="15.95" customHeight="1" x14ac:dyDescent="0.2">
      <c r="A212" s="608"/>
      <c r="B212" s="608"/>
      <c r="C212" s="608"/>
      <c r="D212" s="609"/>
      <c r="E212" s="609"/>
      <c r="F212" s="610"/>
      <c r="G212" s="607" t="s">
        <v>169</v>
      </c>
      <c r="H212" s="113"/>
      <c r="I212" s="129"/>
      <c r="J212" s="129"/>
      <c r="K212" s="129"/>
      <c r="L212" s="130"/>
      <c r="M212" s="162"/>
      <c r="N212" s="162"/>
      <c r="O212" s="163"/>
      <c r="Q212" s="161"/>
      <c r="R212" s="161"/>
      <c r="S212" s="161"/>
      <c r="T212" s="162"/>
      <c r="U212" s="162"/>
      <c r="V212" s="164"/>
      <c r="W212" s="163"/>
      <c r="X212" s="155"/>
      <c r="Y212" s="161"/>
      <c r="Z212" s="161"/>
      <c r="AA212" s="161"/>
      <c r="AB212" s="162"/>
      <c r="AC212" s="162"/>
      <c r="AD212" s="164"/>
      <c r="AE212" s="163"/>
      <c r="AF212" s="155"/>
      <c r="AG212" s="161"/>
      <c r="AH212" s="161"/>
      <c r="AI212" s="161"/>
      <c r="AJ212" s="162"/>
      <c r="AK212" s="162"/>
      <c r="AL212" s="164"/>
      <c r="AM212" s="163"/>
      <c r="AN212" s="155"/>
      <c r="AO212" s="161"/>
      <c r="AP212" s="161"/>
      <c r="AQ212" s="161"/>
      <c r="AR212" s="162"/>
      <c r="AS212" s="162"/>
      <c r="AT212" s="164"/>
      <c r="AU212" s="163"/>
    </row>
    <row r="213" spans="1:47" ht="15.95" customHeight="1" x14ac:dyDescent="0.2">
      <c r="A213" s="608"/>
      <c r="B213" s="608"/>
      <c r="C213" s="608"/>
      <c r="D213" s="609"/>
      <c r="E213" s="609"/>
      <c r="F213" s="610"/>
      <c r="G213" s="607" t="s">
        <v>169</v>
      </c>
      <c r="H213" s="113"/>
      <c r="I213" s="129"/>
      <c r="J213" s="129"/>
      <c r="K213" s="129"/>
      <c r="L213" s="130"/>
      <c r="M213" s="162"/>
      <c r="N213" s="162"/>
      <c r="O213" s="163"/>
      <c r="Q213" s="161"/>
      <c r="R213" s="161"/>
      <c r="S213" s="161"/>
      <c r="T213" s="162"/>
      <c r="U213" s="162"/>
      <c r="V213" s="164"/>
      <c r="W213" s="163"/>
      <c r="X213" s="155"/>
      <c r="Y213" s="161"/>
      <c r="Z213" s="161"/>
      <c r="AA213" s="161"/>
      <c r="AB213" s="162"/>
      <c r="AC213" s="162"/>
      <c r="AD213" s="164"/>
      <c r="AE213" s="163"/>
      <c r="AF213" s="155"/>
      <c r="AG213" s="161"/>
      <c r="AH213" s="161"/>
      <c r="AI213" s="161"/>
      <c r="AJ213" s="162"/>
      <c r="AK213" s="162"/>
      <c r="AL213" s="164"/>
      <c r="AM213" s="163"/>
      <c r="AN213" s="155"/>
      <c r="AO213" s="161"/>
      <c r="AP213" s="161"/>
      <c r="AQ213" s="161"/>
      <c r="AR213" s="162"/>
      <c r="AS213" s="162"/>
      <c r="AT213" s="164"/>
      <c r="AU213" s="163"/>
    </row>
    <row r="214" spans="1:47" ht="15.95" customHeight="1" x14ac:dyDescent="0.2">
      <c r="A214" s="608"/>
      <c r="B214" s="608"/>
      <c r="C214" s="608"/>
      <c r="D214" s="609"/>
      <c r="E214" s="609"/>
      <c r="F214" s="610"/>
      <c r="G214" s="607" t="s">
        <v>169</v>
      </c>
      <c r="H214" s="113"/>
      <c r="I214" s="129"/>
      <c r="J214" s="129"/>
      <c r="K214" s="129"/>
      <c r="L214" s="130"/>
      <c r="M214" s="162"/>
      <c r="N214" s="162"/>
      <c r="O214" s="163"/>
      <c r="Q214" s="161"/>
      <c r="R214" s="161"/>
      <c r="S214" s="161"/>
      <c r="T214" s="162"/>
      <c r="U214" s="162"/>
      <c r="V214" s="164"/>
      <c r="W214" s="163"/>
      <c r="X214" s="155"/>
      <c r="Y214" s="161"/>
      <c r="Z214" s="161"/>
      <c r="AA214" s="161"/>
      <c r="AB214" s="162"/>
      <c r="AC214" s="162"/>
      <c r="AD214" s="164"/>
      <c r="AE214" s="163"/>
      <c r="AF214" s="155"/>
      <c r="AG214" s="161"/>
      <c r="AH214" s="161"/>
      <c r="AI214" s="161"/>
      <c r="AJ214" s="162"/>
      <c r="AK214" s="162"/>
      <c r="AL214" s="164"/>
      <c r="AM214" s="163"/>
      <c r="AN214" s="155"/>
      <c r="AO214" s="161"/>
      <c r="AP214" s="161"/>
      <c r="AQ214" s="161"/>
      <c r="AR214" s="162"/>
      <c r="AS214" s="162"/>
      <c r="AT214" s="164"/>
      <c r="AU214" s="163"/>
    </row>
    <row r="215" spans="1:47" ht="15.95" customHeight="1" x14ac:dyDescent="0.2">
      <c r="A215" s="608"/>
      <c r="B215" s="608"/>
      <c r="C215" s="608"/>
      <c r="D215" s="609"/>
      <c r="E215" s="609"/>
      <c r="F215" s="610"/>
      <c r="G215" s="607" t="s">
        <v>169</v>
      </c>
      <c r="H215" s="113"/>
      <c r="I215" s="129"/>
      <c r="J215" s="129"/>
      <c r="K215" s="129"/>
      <c r="L215" s="130"/>
      <c r="M215" s="162"/>
      <c r="N215" s="162"/>
      <c r="O215" s="163"/>
      <c r="Q215" s="161"/>
      <c r="R215" s="161"/>
      <c r="S215" s="161"/>
      <c r="T215" s="162"/>
      <c r="U215" s="162"/>
      <c r="V215" s="164"/>
      <c r="W215" s="163"/>
      <c r="X215" s="155"/>
      <c r="Y215" s="161"/>
      <c r="Z215" s="161"/>
      <c r="AA215" s="161"/>
      <c r="AB215" s="162"/>
      <c r="AC215" s="162"/>
      <c r="AD215" s="164"/>
      <c r="AE215" s="163"/>
      <c r="AF215" s="155"/>
      <c r="AG215" s="161"/>
      <c r="AH215" s="161"/>
      <c r="AI215" s="161"/>
      <c r="AJ215" s="162"/>
      <c r="AK215" s="162"/>
      <c r="AL215" s="164"/>
      <c r="AM215" s="163"/>
      <c r="AN215" s="155"/>
      <c r="AO215" s="161"/>
      <c r="AP215" s="161"/>
      <c r="AQ215" s="161"/>
      <c r="AR215" s="162"/>
      <c r="AS215" s="162"/>
      <c r="AT215" s="164"/>
      <c r="AU215" s="163"/>
    </row>
    <row r="216" spans="1:47" ht="15.95" customHeight="1" x14ac:dyDescent="0.2">
      <c r="A216" s="608"/>
      <c r="B216" s="608"/>
      <c r="C216" s="608"/>
      <c r="D216" s="609"/>
      <c r="E216" s="609"/>
      <c r="F216" s="610"/>
      <c r="G216" s="607" t="s">
        <v>169</v>
      </c>
      <c r="H216" s="113"/>
      <c r="I216" s="129"/>
      <c r="J216" s="129"/>
      <c r="K216" s="129"/>
      <c r="L216" s="130"/>
      <c r="M216" s="162"/>
      <c r="N216" s="162"/>
      <c r="O216" s="163"/>
      <c r="Q216" s="161"/>
      <c r="R216" s="161"/>
      <c r="S216" s="161"/>
      <c r="T216" s="162"/>
      <c r="U216" s="162"/>
      <c r="V216" s="164"/>
      <c r="W216" s="163"/>
      <c r="X216" s="155"/>
      <c r="Y216" s="161"/>
      <c r="Z216" s="161"/>
      <c r="AA216" s="161"/>
      <c r="AB216" s="162"/>
      <c r="AC216" s="162"/>
      <c r="AD216" s="164"/>
      <c r="AE216" s="163"/>
      <c r="AF216" s="155"/>
      <c r="AG216" s="161"/>
      <c r="AH216" s="161"/>
      <c r="AI216" s="161"/>
      <c r="AJ216" s="162"/>
      <c r="AK216" s="162"/>
      <c r="AL216" s="164"/>
      <c r="AM216" s="163"/>
      <c r="AN216" s="155"/>
      <c r="AO216" s="161"/>
      <c r="AP216" s="161"/>
      <c r="AQ216" s="161"/>
      <c r="AR216" s="162"/>
      <c r="AS216" s="162"/>
      <c r="AT216" s="164"/>
      <c r="AU216" s="163"/>
    </row>
    <row r="217" spans="1:47" ht="15.95" customHeight="1" x14ac:dyDescent="0.2">
      <c r="A217" s="608"/>
      <c r="B217" s="608"/>
      <c r="C217" s="608"/>
      <c r="D217" s="609"/>
      <c r="E217" s="609"/>
      <c r="F217" s="610"/>
      <c r="G217" s="607" t="s">
        <v>169</v>
      </c>
      <c r="H217" s="113"/>
      <c r="I217" s="129"/>
      <c r="J217" s="129"/>
      <c r="K217" s="129"/>
      <c r="L217" s="130"/>
      <c r="M217" s="162"/>
      <c r="N217" s="162"/>
      <c r="O217" s="163"/>
      <c r="Q217" s="161"/>
      <c r="R217" s="161"/>
      <c r="S217" s="161"/>
      <c r="T217" s="162"/>
      <c r="U217" s="162"/>
      <c r="V217" s="164"/>
      <c r="W217" s="163"/>
      <c r="X217" s="155"/>
      <c r="Y217" s="161"/>
      <c r="Z217" s="161"/>
      <c r="AA217" s="161"/>
      <c r="AB217" s="162"/>
      <c r="AC217" s="162"/>
      <c r="AD217" s="164"/>
      <c r="AE217" s="163"/>
      <c r="AF217" s="155"/>
      <c r="AG217" s="161"/>
      <c r="AH217" s="161"/>
      <c r="AI217" s="161"/>
      <c r="AJ217" s="162"/>
      <c r="AK217" s="162"/>
      <c r="AL217" s="164"/>
      <c r="AM217" s="163"/>
      <c r="AN217" s="155"/>
      <c r="AO217" s="161"/>
      <c r="AP217" s="161"/>
      <c r="AQ217" s="161"/>
      <c r="AR217" s="162"/>
      <c r="AS217" s="162"/>
      <c r="AT217" s="164"/>
      <c r="AU217" s="163"/>
    </row>
    <row r="218" spans="1:47" ht="15.95" customHeight="1" x14ac:dyDescent="0.2">
      <c r="A218" s="608"/>
      <c r="B218" s="608"/>
      <c r="C218" s="608"/>
      <c r="D218" s="609"/>
      <c r="E218" s="609"/>
      <c r="F218" s="610"/>
      <c r="G218" s="607" t="s">
        <v>169</v>
      </c>
      <c r="H218" s="113"/>
      <c r="I218" s="129"/>
      <c r="J218" s="129"/>
      <c r="K218" s="129"/>
      <c r="L218" s="130"/>
      <c r="M218" s="162"/>
      <c r="N218" s="162"/>
      <c r="O218" s="163"/>
      <c r="Q218" s="161"/>
      <c r="R218" s="161"/>
      <c r="S218" s="161"/>
      <c r="T218" s="162"/>
      <c r="U218" s="162"/>
      <c r="V218" s="164"/>
      <c r="W218" s="163"/>
      <c r="X218" s="155"/>
      <c r="Y218" s="161"/>
      <c r="Z218" s="161"/>
      <c r="AA218" s="161"/>
      <c r="AB218" s="162"/>
      <c r="AC218" s="162"/>
      <c r="AD218" s="164"/>
      <c r="AE218" s="163"/>
      <c r="AF218" s="155"/>
      <c r="AG218" s="161"/>
      <c r="AH218" s="161"/>
      <c r="AI218" s="161"/>
      <c r="AJ218" s="162"/>
      <c r="AK218" s="162"/>
      <c r="AL218" s="164"/>
      <c r="AM218" s="163"/>
      <c r="AN218" s="155"/>
      <c r="AO218" s="161"/>
      <c r="AP218" s="161"/>
      <c r="AQ218" s="161"/>
      <c r="AR218" s="162"/>
      <c r="AS218" s="162"/>
      <c r="AT218" s="164"/>
      <c r="AU218" s="163"/>
    </row>
    <row r="219" spans="1:47" ht="15.95" customHeight="1" x14ac:dyDescent="0.2">
      <c r="A219" s="608"/>
      <c r="B219" s="608"/>
      <c r="C219" s="608"/>
      <c r="D219" s="609"/>
      <c r="E219" s="609"/>
      <c r="F219" s="610"/>
      <c r="G219" s="607" t="s">
        <v>169</v>
      </c>
      <c r="H219" s="113"/>
      <c r="I219" s="129"/>
      <c r="J219" s="129"/>
      <c r="K219" s="129"/>
      <c r="L219" s="130"/>
      <c r="M219" s="162"/>
      <c r="N219" s="162"/>
      <c r="O219" s="163"/>
      <c r="Q219" s="161"/>
      <c r="R219" s="161"/>
      <c r="S219" s="161"/>
      <c r="T219" s="162"/>
      <c r="U219" s="162"/>
      <c r="V219" s="164"/>
      <c r="W219" s="163"/>
      <c r="X219" s="155"/>
      <c r="Y219" s="161"/>
      <c r="Z219" s="161"/>
      <c r="AA219" s="161"/>
      <c r="AB219" s="162"/>
      <c r="AC219" s="162"/>
      <c r="AD219" s="164"/>
      <c r="AE219" s="163"/>
      <c r="AF219" s="155"/>
      <c r="AG219" s="161"/>
      <c r="AH219" s="161"/>
      <c r="AI219" s="161"/>
      <c r="AJ219" s="162"/>
      <c r="AK219" s="162"/>
      <c r="AL219" s="164"/>
      <c r="AM219" s="163"/>
      <c r="AN219" s="155"/>
      <c r="AO219" s="161"/>
      <c r="AP219" s="161"/>
      <c r="AQ219" s="161"/>
      <c r="AR219" s="162"/>
      <c r="AS219" s="162"/>
      <c r="AT219" s="164"/>
      <c r="AU219" s="163"/>
    </row>
    <row r="220" spans="1:47" ht="15.95" customHeight="1" x14ac:dyDescent="0.2">
      <c r="A220" s="608"/>
      <c r="B220" s="608"/>
      <c r="C220" s="608"/>
      <c r="D220" s="609"/>
      <c r="E220" s="609"/>
      <c r="F220" s="610"/>
      <c r="G220" s="607" t="s">
        <v>169</v>
      </c>
      <c r="H220" s="113"/>
      <c r="I220" s="129"/>
      <c r="J220" s="129"/>
      <c r="K220" s="129"/>
      <c r="L220" s="130"/>
      <c r="M220" s="162"/>
      <c r="N220" s="162"/>
      <c r="O220" s="163"/>
      <c r="Q220" s="161"/>
      <c r="R220" s="161"/>
      <c r="S220" s="161"/>
      <c r="T220" s="162"/>
      <c r="U220" s="162"/>
      <c r="V220" s="164"/>
      <c r="W220" s="163"/>
      <c r="X220" s="155"/>
      <c r="Y220" s="161"/>
      <c r="Z220" s="161"/>
      <c r="AA220" s="161"/>
      <c r="AB220" s="162"/>
      <c r="AC220" s="162"/>
      <c r="AD220" s="164"/>
      <c r="AE220" s="163"/>
      <c r="AF220" s="155"/>
      <c r="AG220" s="161"/>
      <c r="AH220" s="161"/>
      <c r="AI220" s="161"/>
      <c r="AJ220" s="162"/>
      <c r="AK220" s="162"/>
      <c r="AL220" s="164"/>
      <c r="AM220" s="163"/>
      <c r="AN220" s="155"/>
      <c r="AO220" s="161"/>
      <c r="AP220" s="161"/>
      <c r="AQ220" s="161"/>
      <c r="AR220" s="162"/>
      <c r="AS220" s="162"/>
      <c r="AT220" s="164"/>
      <c r="AU220" s="163"/>
    </row>
    <row r="221" spans="1:47" ht="15.95" customHeight="1" x14ac:dyDescent="0.2">
      <c r="A221" s="608"/>
      <c r="B221" s="608"/>
      <c r="C221" s="608"/>
      <c r="D221" s="609"/>
      <c r="E221" s="609"/>
      <c r="F221" s="610"/>
      <c r="G221" s="607" t="s">
        <v>169</v>
      </c>
      <c r="H221" s="113"/>
      <c r="I221" s="129"/>
      <c r="J221" s="129"/>
      <c r="K221" s="129"/>
      <c r="L221" s="130"/>
      <c r="M221" s="162"/>
      <c r="N221" s="162"/>
      <c r="O221" s="163"/>
      <c r="Q221" s="161"/>
      <c r="R221" s="161"/>
      <c r="S221" s="161"/>
      <c r="T221" s="162"/>
      <c r="U221" s="162"/>
      <c r="V221" s="164"/>
      <c r="W221" s="163"/>
      <c r="X221" s="155"/>
      <c r="Y221" s="161"/>
      <c r="Z221" s="161"/>
      <c r="AA221" s="161"/>
      <c r="AB221" s="162"/>
      <c r="AC221" s="162"/>
      <c r="AD221" s="164"/>
      <c r="AE221" s="163"/>
      <c r="AF221" s="155"/>
      <c r="AG221" s="161"/>
      <c r="AH221" s="161"/>
      <c r="AI221" s="161"/>
      <c r="AJ221" s="162"/>
      <c r="AK221" s="162"/>
      <c r="AL221" s="164"/>
      <c r="AM221" s="163"/>
      <c r="AN221" s="155"/>
      <c r="AO221" s="161"/>
      <c r="AP221" s="161"/>
      <c r="AQ221" s="161"/>
      <c r="AR221" s="162"/>
      <c r="AS221" s="162"/>
      <c r="AT221" s="164"/>
      <c r="AU221" s="163"/>
    </row>
    <row r="222" spans="1:47" ht="15.95" customHeight="1" x14ac:dyDescent="0.2">
      <c r="A222" s="608"/>
      <c r="B222" s="608"/>
      <c r="C222" s="608"/>
      <c r="D222" s="609"/>
      <c r="E222" s="609"/>
      <c r="F222" s="610"/>
      <c r="G222" s="607" t="s">
        <v>169</v>
      </c>
      <c r="H222" s="113"/>
      <c r="I222" s="129"/>
      <c r="J222" s="129"/>
      <c r="K222" s="129"/>
      <c r="L222" s="130"/>
      <c r="M222" s="162"/>
      <c r="N222" s="162"/>
      <c r="O222" s="163"/>
      <c r="Q222" s="161"/>
      <c r="R222" s="161"/>
      <c r="S222" s="161"/>
      <c r="T222" s="162"/>
      <c r="U222" s="162"/>
      <c r="V222" s="164"/>
      <c r="W222" s="163"/>
      <c r="X222" s="155"/>
      <c r="Y222" s="161"/>
      <c r="Z222" s="161"/>
      <c r="AA222" s="161"/>
      <c r="AB222" s="162"/>
      <c r="AC222" s="162"/>
      <c r="AD222" s="164"/>
      <c r="AE222" s="163"/>
      <c r="AF222" s="155"/>
      <c r="AG222" s="161"/>
      <c r="AH222" s="161"/>
      <c r="AI222" s="161"/>
      <c r="AJ222" s="162"/>
      <c r="AK222" s="162"/>
      <c r="AL222" s="164"/>
      <c r="AM222" s="163"/>
      <c r="AN222" s="155"/>
      <c r="AO222" s="161"/>
      <c r="AP222" s="161"/>
      <c r="AQ222" s="161"/>
      <c r="AR222" s="162"/>
      <c r="AS222" s="162"/>
      <c r="AT222" s="164"/>
      <c r="AU222" s="163"/>
    </row>
    <row r="223" spans="1:47" ht="15.95" customHeight="1" x14ac:dyDescent="0.2">
      <c r="A223" s="608"/>
      <c r="B223" s="608"/>
      <c r="C223" s="608"/>
      <c r="D223" s="609"/>
      <c r="E223" s="609"/>
      <c r="F223" s="610"/>
      <c r="G223" s="607" t="s">
        <v>169</v>
      </c>
      <c r="H223" s="113"/>
      <c r="I223" s="129"/>
      <c r="J223" s="129"/>
      <c r="K223" s="129"/>
      <c r="L223" s="130"/>
      <c r="M223" s="162"/>
      <c r="N223" s="162"/>
      <c r="O223" s="163"/>
      <c r="Q223" s="161"/>
      <c r="R223" s="161"/>
      <c r="S223" s="161"/>
      <c r="T223" s="162"/>
      <c r="U223" s="162"/>
      <c r="V223" s="164"/>
      <c r="W223" s="163"/>
      <c r="X223" s="155"/>
      <c r="Y223" s="161"/>
      <c r="Z223" s="161"/>
      <c r="AA223" s="161"/>
      <c r="AB223" s="162"/>
      <c r="AC223" s="162"/>
      <c r="AD223" s="164"/>
      <c r="AE223" s="163"/>
      <c r="AF223" s="155"/>
      <c r="AG223" s="161"/>
      <c r="AH223" s="161"/>
      <c r="AI223" s="161"/>
      <c r="AJ223" s="162"/>
      <c r="AK223" s="162"/>
      <c r="AL223" s="164"/>
      <c r="AM223" s="163"/>
      <c r="AN223" s="155"/>
      <c r="AO223" s="161"/>
      <c r="AP223" s="161"/>
      <c r="AQ223" s="161"/>
      <c r="AR223" s="162"/>
      <c r="AS223" s="162"/>
      <c r="AT223" s="164"/>
      <c r="AU223" s="163"/>
    </row>
    <row r="224" spans="1:47" ht="15.95" customHeight="1" x14ac:dyDescent="0.2">
      <c r="A224" s="608"/>
      <c r="B224" s="608"/>
      <c r="C224" s="608"/>
      <c r="D224" s="609"/>
      <c r="E224" s="609"/>
      <c r="F224" s="610"/>
      <c r="G224" s="607" t="s">
        <v>169</v>
      </c>
      <c r="H224" s="113"/>
      <c r="I224" s="129"/>
      <c r="J224" s="129"/>
      <c r="K224" s="129"/>
      <c r="L224" s="130"/>
      <c r="M224" s="162"/>
      <c r="N224" s="162"/>
      <c r="O224" s="163"/>
      <c r="Q224" s="161"/>
      <c r="R224" s="161"/>
      <c r="S224" s="161"/>
      <c r="T224" s="162"/>
      <c r="U224" s="162"/>
      <c r="V224" s="164"/>
      <c r="W224" s="163"/>
      <c r="X224" s="155"/>
      <c r="Y224" s="161"/>
      <c r="Z224" s="161"/>
      <c r="AA224" s="161"/>
      <c r="AB224" s="162"/>
      <c r="AC224" s="162"/>
      <c r="AD224" s="164"/>
      <c r="AE224" s="163"/>
      <c r="AF224" s="155"/>
      <c r="AG224" s="161"/>
      <c r="AH224" s="161"/>
      <c r="AI224" s="161"/>
      <c r="AJ224" s="162"/>
      <c r="AK224" s="162"/>
      <c r="AL224" s="164"/>
      <c r="AM224" s="163"/>
      <c r="AN224" s="155"/>
      <c r="AO224" s="161"/>
      <c r="AP224" s="161"/>
      <c r="AQ224" s="161"/>
      <c r="AR224" s="162"/>
      <c r="AS224" s="162"/>
      <c r="AT224" s="164"/>
      <c r="AU224" s="163"/>
    </row>
    <row r="225" spans="1:47" ht="15.95" customHeight="1" x14ac:dyDescent="0.2">
      <c r="A225" s="608"/>
      <c r="B225" s="608"/>
      <c r="C225" s="608"/>
      <c r="D225" s="609"/>
      <c r="E225" s="609"/>
      <c r="F225" s="610"/>
      <c r="G225" s="607" t="s">
        <v>169</v>
      </c>
      <c r="H225" s="113"/>
      <c r="I225" s="129"/>
      <c r="J225" s="129"/>
      <c r="K225" s="129"/>
      <c r="L225" s="130"/>
      <c r="M225" s="162"/>
      <c r="N225" s="162"/>
      <c r="O225" s="163"/>
      <c r="Q225" s="161"/>
      <c r="R225" s="161"/>
      <c r="S225" s="161"/>
      <c r="T225" s="162"/>
      <c r="U225" s="162"/>
      <c r="V225" s="164"/>
      <c r="W225" s="163"/>
      <c r="X225" s="155"/>
      <c r="Y225" s="161"/>
      <c r="Z225" s="161"/>
      <c r="AA225" s="161"/>
      <c r="AB225" s="162"/>
      <c r="AC225" s="162"/>
      <c r="AD225" s="164"/>
      <c r="AE225" s="163"/>
      <c r="AF225" s="155"/>
      <c r="AG225" s="161"/>
      <c r="AH225" s="161"/>
      <c r="AI225" s="161"/>
      <c r="AJ225" s="162"/>
      <c r="AK225" s="162"/>
      <c r="AL225" s="164"/>
      <c r="AM225" s="163"/>
      <c r="AN225" s="155"/>
      <c r="AO225" s="161"/>
      <c r="AP225" s="161"/>
      <c r="AQ225" s="161"/>
      <c r="AR225" s="162"/>
      <c r="AS225" s="162"/>
      <c r="AT225" s="164"/>
      <c r="AU225" s="163"/>
    </row>
    <row r="226" spans="1:47" ht="15.95" customHeight="1" x14ac:dyDescent="0.2">
      <c r="A226" s="608"/>
      <c r="B226" s="608"/>
      <c r="C226" s="608"/>
      <c r="D226" s="609"/>
      <c r="E226" s="609"/>
      <c r="F226" s="610"/>
      <c r="G226" s="607" t="s">
        <v>169</v>
      </c>
      <c r="H226" s="113"/>
      <c r="I226" s="129"/>
      <c r="J226" s="129"/>
      <c r="K226" s="129"/>
      <c r="L226" s="130"/>
      <c r="M226" s="162"/>
      <c r="N226" s="162"/>
      <c r="O226" s="163"/>
      <c r="Q226" s="161"/>
      <c r="R226" s="161"/>
      <c r="S226" s="161"/>
      <c r="T226" s="162"/>
      <c r="U226" s="162"/>
      <c r="V226" s="164"/>
      <c r="W226" s="163"/>
      <c r="X226" s="155"/>
      <c r="Y226" s="161"/>
      <c r="Z226" s="161"/>
      <c r="AA226" s="161"/>
      <c r="AB226" s="162"/>
      <c r="AC226" s="162"/>
      <c r="AD226" s="164"/>
      <c r="AE226" s="163"/>
      <c r="AF226" s="155"/>
      <c r="AG226" s="161"/>
      <c r="AH226" s="161"/>
      <c r="AI226" s="161"/>
      <c r="AJ226" s="162"/>
      <c r="AK226" s="162"/>
      <c r="AL226" s="164"/>
      <c r="AM226" s="163"/>
      <c r="AN226" s="155"/>
      <c r="AO226" s="161"/>
      <c r="AP226" s="161"/>
      <c r="AQ226" s="161"/>
      <c r="AR226" s="162"/>
      <c r="AS226" s="162"/>
      <c r="AT226" s="164"/>
      <c r="AU226" s="163"/>
    </row>
    <row r="227" spans="1:47" ht="15.95" customHeight="1" x14ac:dyDescent="0.2">
      <c r="A227" s="608"/>
      <c r="B227" s="608"/>
      <c r="C227" s="608"/>
      <c r="D227" s="609"/>
      <c r="E227" s="609"/>
      <c r="F227" s="610"/>
      <c r="G227" s="607" t="s">
        <v>169</v>
      </c>
      <c r="H227" s="113"/>
      <c r="I227" s="129"/>
      <c r="J227" s="129"/>
      <c r="K227" s="129"/>
      <c r="L227" s="130"/>
      <c r="M227" s="162"/>
      <c r="N227" s="162"/>
      <c r="O227" s="163"/>
      <c r="Q227" s="161"/>
      <c r="R227" s="161"/>
      <c r="S227" s="161"/>
      <c r="T227" s="162"/>
      <c r="U227" s="162"/>
      <c r="V227" s="164"/>
      <c r="W227" s="163"/>
      <c r="X227" s="155"/>
      <c r="Y227" s="161"/>
      <c r="Z227" s="161"/>
      <c r="AA227" s="161"/>
      <c r="AB227" s="162"/>
      <c r="AC227" s="162"/>
      <c r="AD227" s="164"/>
      <c r="AE227" s="163"/>
      <c r="AF227" s="155"/>
      <c r="AG227" s="161"/>
      <c r="AH227" s="161"/>
      <c r="AI227" s="161"/>
      <c r="AJ227" s="162"/>
      <c r="AK227" s="162"/>
      <c r="AL227" s="164"/>
      <c r="AM227" s="163"/>
      <c r="AN227" s="155"/>
      <c r="AO227" s="161"/>
      <c r="AP227" s="161"/>
      <c r="AQ227" s="161"/>
      <c r="AR227" s="162"/>
      <c r="AS227" s="162"/>
      <c r="AT227" s="164"/>
      <c r="AU227" s="163"/>
    </row>
    <row r="228" spans="1:47" ht="15.95" customHeight="1" x14ac:dyDescent="0.2">
      <c r="A228" s="608"/>
      <c r="B228" s="608"/>
      <c r="C228" s="608"/>
      <c r="D228" s="609"/>
      <c r="E228" s="609"/>
      <c r="F228" s="610"/>
      <c r="G228" s="607" t="s">
        <v>169</v>
      </c>
      <c r="H228" s="113"/>
      <c r="I228" s="129"/>
      <c r="J228" s="129"/>
      <c r="K228" s="129"/>
      <c r="L228" s="130"/>
      <c r="M228" s="162"/>
      <c r="N228" s="162"/>
      <c r="O228" s="163"/>
      <c r="Q228" s="161"/>
      <c r="R228" s="161"/>
      <c r="S228" s="161"/>
      <c r="T228" s="162"/>
      <c r="U228" s="162"/>
      <c r="V228" s="164"/>
      <c r="W228" s="163"/>
      <c r="X228" s="155"/>
      <c r="Y228" s="161"/>
      <c r="Z228" s="161"/>
      <c r="AA228" s="161"/>
      <c r="AB228" s="162"/>
      <c r="AC228" s="162"/>
      <c r="AD228" s="164"/>
      <c r="AE228" s="163"/>
      <c r="AF228" s="155"/>
      <c r="AG228" s="161"/>
      <c r="AH228" s="161"/>
      <c r="AI228" s="161"/>
      <c r="AJ228" s="162"/>
      <c r="AK228" s="162"/>
      <c r="AL228" s="164"/>
      <c r="AM228" s="163"/>
      <c r="AN228" s="155"/>
      <c r="AO228" s="161"/>
      <c r="AP228" s="161"/>
      <c r="AQ228" s="161"/>
      <c r="AR228" s="162"/>
      <c r="AS228" s="162"/>
      <c r="AT228" s="164"/>
      <c r="AU228" s="163"/>
    </row>
    <row r="229" spans="1:47" ht="15.95" customHeight="1" x14ac:dyDescent="0.2">
      <c r="A229" s="608"/>
      <c r="B229" s="608"/>
      <c r="C229" s="608"/>
      <c r="D229" s="609"/>
      <c r="E229" s="609"/>
      <c r="F229" s="610"/>
      <c r="G229" s="607" t="s">
        <v>169</v>
      </c>
      <c r="H229" s="113"/>
      <c r="I229" s="129"/>
      <c r="J229" s="129"/>
      <c r="K229" s="129"/>
      <c r="L229" s="130"/>
      <c r="M229" s="162"/>
      <c r="N229" s="162"/>
      <c r="O229" s="163"/>
      <c r="Q229" s="161"/>
      <c r="R229" s="161"/>
      <c r="S229" s="161"/>
      <c r="T229" s="162"/>
      <c r="U229" s="162"/>
      <c r="V229" s="164"/>
      <c r="W229" s="163"/>
      <c r="X229" s="155"/>
      <c r="Y229" s="161"/>
      <c r="Z229" s="161"/>
      <c r="AA229" s="161"/>
      <c r="AB229" s="162"/>
      <c r="AC229" s="162"/>
      <c r="AD229" s="164"/>
      <c r="AE229" s="163"/>
      <c r="AF229" s="155"/>
      <c r="AG229" s="161"/>
      <c r="AH229" s="161"/>
      <c r="AI229" s="161"/>
      <c r="AJ229" s="162"/>
      <c r="AK229" s="162"/>
      <c r="AL229" s="164"/>
      <c r="AM229" s="163"/>
      <c r="AN229" s="155"/>
      <c r="AO229" s="161"/>
      <c r="AP229" s="161"/>
      <c r="AQ229" s="161"/>
      <c r="AR229" s="162"/>
      <c r="AS229" s="162"/>
      <c r="AT229" s="164"/>
      <c r="AU229" s="163"/>
    </row>
    <row r="230" spans="1:47" ht="15.95" customHeight="1" x14ac:dyDescent="0.2">
      <c r="A230" s="608"/>
      <c r="B230" s="608"/>
      <c r="C230" s="608"/>
      <c r="D230" s="609"/>
      <c r="E230" s="609"/>
      <c r="F230" s="610"/>
      <c r="G230" s="607" t="s">
        <v>169</v>
      </c>
      <c r="H230" s="113"/>
      <c r="I230" s="129"/>
      <c r="J230" s="129"/>
      <c r="K230" s="129"/>
      <c r="L230" s="130"/>
      <c r="M230" s="162"/>
      <c r="N230" s="162"/>
      <c r="O230" s="163"/>
      <c r="Q230" s="161"/>
      <c r="R230" s="161"/>
      <c r="S230" s="161"/>
      <c r="T230" s="162"/>
      <c r="U230" s="162"/>
      <c r="V230" s="164"/>
      <c r="W230" s="163"/>
      <c r="X230" s="155"/>
      <c r="Y230" s="161"/>
      <c r="Z230" s="161"/>
      <c r="AA230" s="161"/>
      <c r="AB230" s="162"/>
      <c r="AC230" s="162"/>
      <c r="AD230" s="164"/>
      <c r="AE230" s="163"/>
      <c r="AF230" s="155"/>
      <c r="AG230" s="161"/>
      <c r="AH230" s="161"/>
      <c r="AI230" s="161"/>
      <c r="AJ230" s="162"/>
      <c r="AK230" s="162"/>
      <c r="AL230" s="164"/>
      <c r="AM230" s="163"/>
      <c r="AN230" s="155"/>
      <c r="AO230" s="161"/>
      <c r="AP230" s="161"/>
      <c r="AQ230" s="161"/>
      <c r="AR230" s="162"/>
      <c r="AS230" s="162"/>
      <c r="AT230" s="164"/>
      <c r="AU230" s="163"/>
    </row>
    <row r="231" spans="1:47" ht="15.95" customHeight="1" x14ac:dyDescent="0.2">
      <c r="A231" s="608"/>
      <c r="B231" s="608"/>
      <c r="C231" s="608"/>
      <c r="D231" s="609"/>
      <c r="E231" s="609"/>
      <c r="F231" s="610"/>
      <c r="G231" s="607" t="s">
        <v>169</v>
      </c>
      <c r="H231" s="113"/>
      <c r="I231" s="129"/>
      <c r="J231" s="129"/>
      <c r="K231" s="129"/>
      <c r="L231" s="130"/>
      <c r="M231" s="162"/>
      <c r="N231" s="162"/>
      <c r="O231" s="163"/>
      <c r="Q231" s="161"/>
      <c r="R231" s="161"/>
      <c r="S231" s="161"/>
      <c r="T231" s="162"/>
      <c r="U231" s="162"/>
      <c r="V231" s="164"/>
      <c r="W231" s="163"/>
      <c r="X231" s="155"/>
      <c r="Y231" s="161"/>
      <c r="Z231" s="161"/>
      <c r="AA231" s="161"/>
      <c r="AB231" s="162"/>
      <c r="AC231" s="162"/>
      <c r="AD231" s="164"/>
      <c r="AE231" s="163"/>
      <c r="AF231" s="155"/>
      <c r="AG231" s="161"/>
      <c r="AH231" s="161"/>
      <c r="AI231" s="161"/>
      <c r="AJ231" s="162"/>
      <c r="AK231" s="162"/>
      <c r="AL231" s="164"/>
      <c r="AM231" s="163"/>
      <c r="AN231" s="155"/>
      <c r="AO231" s="161"/>
      <c r="AP231" s="161"/>
      <c r="AQ231" s="161"/>
      <c r="AR231" s="162"/>
      <c r="AS231" s="162"/>
      <c r="AT231" s="164"/>
      <c r="AU231" s="163"/>
    </row>
    <row r="232" spans="1:47" ht="15.95" customHeight="1" x14ac:dyDescent="0.2">
      <c r="A232" s="608"/>
      <c r="B232" s="608"/>
      <c r="C232" s="608"/>
      <c r="D232" s="609"/>
      <c r="E232" s="609"/>
      <c r="F232" s="610"/>
      <c r="G232" s="607" t="s">
        <v>169</v>
      </c>
      <c r="H232" s="113"/>
      <c r="I232" s="129"/>
      <c r="J232" s="129"/>
      <c r="K232" s="129"/>
      <c r="L232" s="130"/>
      <c r="M232" s="162"/>
      <c r="N232" s="162"/>
      <c r="O232" s="163"/>
      <c r="Q232" s="161"/>
      <c r="R232" s="161"/>
      <c r="S232" s="161"/>
      <c r="T232" s="162"/>
      <c r="U232" s="162"/>
      <c r="V232" s="164"/>
      <c r="W232" s="163"/>
      <c r="X232" s="155"/>
      <c r="Y232" s="161"/>
      <c r="Z232" s="161"/>
      <c r="AA232" s="161"/>
      <c r="AB232" s="162"/>
      <c r="AC232" s="162"/>
      <c r="AD232" s="164"/>
      <c r="AE232" s="163"/>
      <c r="AF232" s="155"/>
      <c r="AG232" s="161"/>
      <c r="AH232" s="161"/>
      <c r="AI232" s="161"/>
      <c r="AJ232" s="162"/>
      <c r="AK232" s="162"/>
      <c r="AL232" s="164"/>
      <c r="AM232" s="163"/>
      <c r="AN232" s="155"/>
      <c r="AO232" s="161"/>
      <c r="AP232" s="161"/>
      <c r="AQ232" s="161"/>
      <c r="AR232" s="162"/>
      <c r="AS232" s="162"/>
      <c r="AT232" s="164"/>
      <c r="AU232" s="163"/>
    </row>
    <row r="233" spans="1:47" ht="15.95" customHeight="1" x14ac:dyDescent="0.2">
      <c r="A233" s="608"/>
      <c r="B233" s="608"/>
      <c r="C233" s="608"/>
      <c r="D233" s="609"/>
      <c r="E233" s="609"/>
      <c r="F233" s="610"/>
      <c r="G233" s="607" t="s">
        <v>169</v>
      </c>
      <c r="H233" s="113"/>
      <c r="I233" s="129"/>
      <c r="J233" s="129"/>
      <c r="K233" s="129"/>
      <c r="L233" s="130"/>
      <c r="M233" s="162"/>
      <c r="N233" s="162"/>
      <c r="O233" s="163"/>
      <c r="Q233" s="161"/>
      <c r="R233" s="161"/>
      <c r="S233" s="161"/>
      <c r="T233" s="162"/>
      <c r="U233" s="162"/>
      <c r="V233" s="164"/>
      <c r="W233" s="163"/>
      <c r="X233" s="155"/>
      <c r="Y233" s="161"/>
      <c r="Z233" s="161"/>
      <c r="AA233" s="161"/>
      <c r="AB233" s="162"/>
      <c r="AC233" s="162"/>
      <c r="AD233" s="164"/>
      <c r="AE233" s="163"/>
      <c r="AF233" s="155"/>
      <c r="AG233" s="161"/>
      <c r="AH233" s="161"/>
      <c r="AI233" s="161"/>
      <c r="AJ233" s="162"/>
      <c r="AK233" s="162"/>
      <c r="AL233" s="164"/>
      <c r="AM233" s="163"/>
      <c r="AN233" s="155"/>
      <c r="AO233" s="161"/>
      <c r="AP233" s="161"/>
      <c r="AQ233" s="161"/>
      <c r="AR233" s="162"/>
      <c r="AS233" s="162"/>
      <c r="AT233" s="164"/>
      <c r="AU233" s="163"/>
    </row>
    <row r="234" spans="1:47" ht="15.95" customHeight="1" x14ac:dyDescent="0.2">
      <c r="A234" s="608"/>
      <c r="B234" s="608"/>
      <c r="C234" s="608"/>
      <c r="D234" s="609"/>
      <c r="E234" s="609"/>
      <c r="F234" s="610"/>
      <c r="G234" s="607" t="s">
        <v>169</v>
      </c>
      <c r="H234" s="113"/>
      <c r="I234" s="129"/>
      <c r="J234" s="129"/>
      <c r="K234" s="129"/>
      <c r="L234" s="130"/>
      <c r="M234" s="162"/>
      <c r="N234" s="162"/>
      <c r="O234" s="163"/>
      <c r="Q234" s="161"/>
      <c r="R234" s="161"/>
      <c r="S234" s="161"/>
      <c r="T234" s="162"/>
      <c r="U234" s="162"/>
      <c r="V234" s="164"/>
      <c r="W234" s="163"/>
      <c r="X234" s="155"/>
      <c r="Y234" s="161"/>
      <c r="Z234" s="161"/>
      <c r="AA234" s="161"/>
      <c r="AB234" s="162"/>
      <c r="AC234" s="162"/>
      <c r="AD234" s="164"/>
      <c r="AE234" s="163"/>
      <c r="AF234" s="155"/>
      <c r="AG234" s="161"/>
      <c r="AH234" s="161"/>
      <c r="AI234" s="161"/>
      <c r="AJ234" s="162"/>
      <c r="AK234" s="162"/>
      <c r="AL234" s="164"/>
      <c r="AM234" s="163"/>
      <c r="AN234" s="155"/>
      <c r="AO234" s="161"/>
      <c r="AP234" s="161"/>
      <c r="AQ234" s="161"/>
      <c r="AR234" s="162"/>
      <c r="AS234" s="162"/>
      <c r="AT234" s="164"/>
      <c r="AU234" s="163"/>
    </row>
    <row r="235" spans="1:47" ht="15.95" customHeight="1" x14ac:dyDescent="0.2">
      <c r="A235" s="608"/>
      <c r="B235" s="608"/>
      <c r="C235" s="608"/>
      <c r="D235" s="609"/>
      <c r="E235" s="609"/>
      <c r="F235" s="610"/>
      <c r="G235" s="607" t="s">
        <v>169</v>
      </c>
      <c r="H235" s="113"/>
      <c r="I235" s="129"/>
      <c r="J235" s="129"/>
      <c r="K235" s="129"/>
      <c r="L235" s="130"/>
      <c r="M235" s="162"/>
      <c r="N235" s="162"/>
      <c r="O235" s="163"/>
      <c r="Q235" s="161"/>
      <c r="R235" s="161"/>
      <c r="S235" s="161"/>
      <c r="T235" s="162"/>
      <c r="U235" s="162"/>
      <c r="V235" s="164"/>
      <c r="W235" s="163"/>
      <c r="X235" s="155"/>
      <c r="Y235" s="161"/>
      <c r="Z235" s="161"/>
      <c r="AA235" s="161"/>
      <c r="AB235" s="162"/>
      <c r="AC235" s="162"/>
      <c r="AD235" s="164"/>
      <c r="AE235" s="163"/>
      <c r="AF235" s="155"/>
      <c r="AG235" s="161"/>
      <c r="AH235" s="161"/>
      <c r="AI235" s="161"/>
      <c r="AJ235" s="162"/>
      <c r="AK235" s="162"/>
      <c r="AL235" s="164"/>
      <c r="AM235" s="163"/>
      <c r="AN235" s="155"/>
      <c r="AO235" s="161"/>
      <c r="AP235" s="161"/>
      <c r="AQ235" s="161"/>
      <c r="AR235" s="162"/>
      <c r="AS235" s="162"/>
      <c r="AT235" s="164"/>
      <c r="AU235" s="163"/>
    </row>
    <row r="236" spans="1:47" ht="15.95" customHeight="1" x14ac:dyDescent="0.2">
      <c r="A236" s="608"/>
      <c r="B236" s="608"/>
      <c r="C236" s="608"/>
      <c r="D236" s="609"/>
      <c r="E236" s="609"/>
      <c r="F236" s="610"/>
      <c r="G236" s="607" t="s">
        <v>169</v>
      </c>
      <c r="H236" s="113"/>
      <c r="I236" s="129"/>
      <c r="J236" s="129"/>
      <c r="K236" s="129"/>
      <c r="L236" s="130"/>
      <c r="M236" s="162"/>
      <c r="N236" s="162"/>
      <c r="O236" s="163"/>
      <c r="Q236" s="161"/>
      <c r="R236" s="161"/>
      <c r="S236" s="161"/>
      <c r="T236" s="162"/>
      <c r="U236" s="162"/>
      <c r="V236" s="164"/>
      <c r="W236" s="163"/>
      <c r="X236" s="155"/>
      <c r="Y236" s="161"/>
      <c r="Z236" s="161"/>
      <c r="AA236" s="161"/>
      <c r="AB236" s="162"/>
      <c r="AC236" s="162"/>
      <c r="AD236" s="164"/>
      <c r="AE236" s="163"/>
      <c r="AF236" s="155"/>
      <c r="AG236" s="161"/>
      <c r="AH236" s="161"/>
      <c r="AI236" s="161"/>
      <c r="AJ236" s="162"/>
      <c r="AK236" s="162"/>
      <c r="AL236" s="164"/>
      <c r="AM236" s="163"/>
      <c r="AN236" s="155"/>
      <c r="AO236" s="161"/>
      <c r="AP236" s="161"/>
      <c r="AQ236" s="161"/>
      <c r="AR236" s="162"/>
      <c r="AS236" s="162"/>
      <c r="AT236" s="164"/>
      <c r="AU236" s="163"/>
    </row>
    <row r="237" spans="1:47" ht="15.95" customHeight="1" x14ac:dyDescent="0.2">
      <c r="A237" s="608"/>
      <c r="B237" s="608"/>
      <c r="C237" s="608"/>
      <c r="D237" s="609"/>
      <c r="E237" s="609"/>
      <c r="F237" s="610"/>
      <c r="G237" s="607" t="s">
        <v>169</v>
      </c>
      <c r="H237" s="113"/>
      <c r="I237" s="129"/>
      <c r="J237" s="129"/>
      <c r="K237" s="129"/>
      <c r="L237" s="130"/>
      <c r="M237" s="162"/>
      <c r="N237" s="162"/>
      <c r="O237" s="163"/>
      <c r="Q237" s="161"/>
      <c r="R237" s="161"/>
      <c r="S237" s="161"/>
      <c r="T237" s="162"/>
      <c r="U237" s="162"/>
      <c r="V237" s="164"/>
      <c r="W237" s="163"/>
      <c r="X237" s="155"/>
      <c r="Y237" s="161"/>
      <c r="Z237" s="161"/>
      <c r="AA237" s="161"/>
      <c r="AB237" s="162"/>
      <c r="AC237" s="162"/>
      <c r="AD237" s="164"/>
      <c r="AE237" s="163"/>
      <c r="AF237" s="155"/>
      <c r="AG237" s="161"/>
      <c r="AH237" s="161"/>
      <c r="AI237" s="161"/>
      <c r="AJ237" s="162"/>
      <c r="AK237" s="162"/>
      <c r="AL237" s="164"/>
      <c r="AM237" s="163"/>
      <c r="AN237" s="155"/>
      <c r="AO237" s="161"/>
      <c r="AP237" s="161"/>
      <c r="AQ237" s="161"/>
      <c r="AR237" s="162"/>
      <c r="AS237" s="162"/>
      <c r="AT237" s="164"/>
      <c r="AU237" s="163"/>
    </row>
    <row r="238" spans="1:47" ht="15.95" customHeight="1" x14ac:dyDescent="0.2">
      <c r="A238" s="608"/>
      <c r="B238" s="608"/>
      <c r="C238" s="608"/>
      <c r="D238" s="609"/>
      <c r="E238" s="609"/>
      <c r="F238" s="610"/>
      <c r="G238" s="607" t="s">
        <v>169</v>
      </c>
      <c r="H238" s="113"/>
      <c r="I238" s="129"/>
      <c r="J238" s="129"/>
      <c r="K238" s="129"/>
      <c r="L238" s="130"/>
      <c r="M238" s="162"/>
      <c r="N238" s="162"/>
      <c r="O238" s="163"/>
      <c r="Q238" s="161"/>
      <c r="R238" s="161"/>
      <c r="S238" s="161"/>
      <c r="T238" s="162"/>
      <c r="U238" s="162"/>
      <c r="V238" s="164"/>
      <c r="W238" s="163"/>
      <c r="X238" s="155"/>
      <c r="Y238" s="161"/>
      <c r="Z238" s="161"/>
      <c r="AA238" s="161"/>
      <c r="AB238" s="162"/>
      <c r="AC238" s="162"/>
      <c r="AD238" s="164"/>
      <c r="AE238" s="163"/>
      <c r="AF238" s="155"/>
      <c r="AG238" s="161"/>
      <c r="AH238" s="161"/>
      <c r="AI238" s="161"/>
      <c r="AJ238" s="162"/>
      <c r="AK238" s="162"/>
      <c r="AL238" s="164"/>
      <c r="AM238" s="163"/>
      <c r="AN238" s="155"/>
      <c r="AO238" s="161"/>
      <c r="AP238" s="161"/>
      <c r="AQ238" s="161"/>
      <c r="AR238" s="162"/>
      <c r="AS238" s="162"/>
      <c r="AT238" s="164"/>
      <c r="AU238" s="163"/>
    </row>
    <row r="239" spans="1:47" ht="15.95" customHeight="1" x14ac:dyDescent="0.2">
      <c r="A239" s="608"/>
      <c r="B239" s="608"/>
      <c r="C239" s="608"/>
      <c r="D239" s="609"/>
      <c r="E239" s="609"/>
      <c r="F239" s="610"/>
      <c r="G239" s="607" t="s">
        <v>169</v>
      </c>
      <c r="H239" s="113"/>
      <c r="I239" s="129"/>
      <c r="J239" s="129"/>
      <c r="K239" s="129"/>
      <c r="L239" s="130"/>
      <c r="M239" s="162"/>
      <c r="N239" s="162"/>
      <c r="O239" s="163"/>
      <c r="Q239" s="161"/>
      <c r="R239" s="161"/>
      <c r="S239" s="161"/>
      <c r="T239" s="162"/>
      <c r="U239" s="162"/>
      <c r="V239" s="164"/>
      <c r="W239" s="163"/>
      <c r="X239" s="155"/>
      <c r="Y239" s="161"/>
      <c r="Z239" s="161"/>
      <c r="AA239" s="161"/>
      <c r="AB239" s="162"/>
      <c r="AC239" s="162"/>
      <c r="AD239" s="164"/>
      <c r="AE239" s="163"/>
      <c r="AF239" s="155"/>
      <c r="AG239" s="161"/>
      <c r="AH239" s="161"/>
      <c r="AI239" s="161"/>
      <c r="AJ239" s="162"/>
      <c r="AK239" s="162"/>
      <c r="AL239" s="164"/>
      <c r="AM239" s="163"/>
      <c r="AN239" s="155"/>
      <c r="AO239" s="161"/>
      <c r="AP239" s="161"/>
      <c r="AQ239" s="161"/>
      <c r="AR239" s="162"/>
      <c r="AS239" s="162"/>
      <c r="AT239" s="164"/>
      <c r="AU239" s="163"/>
    </row>
    <row r="240" spans="1:47" ht="15.95" customHeight="1" x14ac:dyDescent="0.2">
      <c r="A240" s="608"/>
      <c r="B240" s="608"/>
      <c r="C240" s="608"/>
      <c r="D240" s="609"/>
      <c r="E240" s="609"/>
      <c r="F240" s="610"/>
      <c r="G240" s="607" t="s">
        <v>169</v>
      </c>
      <c r="H240" s="113"/>
      <c r="I240" s="129"/>
      <c r="J240" s="129"/>
      <c r="K240" s="129"/>
      <c r="L240" s="130"/>
      <c r="M240" s="162"/>
      <c r="N240" s="162"/>
      <c r="O240" s="163"/>
      <c r="Q240" s="161"/>
      <c r="R240" s="161"/>
      <c r="S240" s="161"/>
      <c r="T240" s="162"/>
      <c r="U240" s="162"/>
      <c r="V240" s="164"/>
      <c r="W240" s="163"/>
      <c r="X240" s="155"/>
      <c r="Y240" s="161"/>
      <c r="Z240" s="161"/>
      <c r="AA240" s="161"/>
      <c r="AB240" s="162"/>
      <c r="AC240" s="162"/>
      <c r="AD240" s="164"/>
      <c r="AE240" s="163"/>
      <c r="AF240" s="155"/>
      <c r="AG240" s="161"/>
      <c r="AH240" s="161"/>
      <c r="AI240" s="161"/>
      <c r="AJ240" s="162"/>
      <c r="AK240" s="162"/>
      <c r="AL240" s="164"/>
      <c r="AM240" s="163"/>
      <c r="AN240" s="155"/>
      <c r="AO240" s="161"/>
      <c r="AP240" s="161"/>
      <c r="AQ240" s="161"/>
      <c r="AR240" s="162"/>
      <c r="AS240" s="162"/>
      <c r="AT240" s="164"/>
      <c r="AU240" s="163"/>
    </row>
    <row r="241" spans="1:47" ht="15.95" customHeight="1" x14ac:dyDescent="0.2">
      <c r="A241" s="608"/>
      <c r="B241" s="608"/>
      <c r="C241" s="608"/>
      <c r="D241" s="609"/>
      <c r="E241" s="609"/>
      <c r="F241" s="610"/>
      <c r="G241" s="607" t="s">
        <v>169</v>
      </c>
      <c r="H241" s="113"/>
      <c r="I241" s="129"/>
      <c r="J241" s="129"/>
      <c r="K241" s="129"/>
      <c r="L241" s="130"/>
      <c r="M241" s="162"/>
      <c r="N241" s="162"/>
      <c r="O241" s="163"/>
      <c r="Q241" s="161"/>
      <c r="R241" s="161"/>
      <c r="S241" s="161"/>
      <c r="T241" s="162"/>
      <c r="U241" s="162"/>
      <c r="V241" s="164"/>
      <c r="W241" s="163"/>
      <c r="X241" s="155"/>
      <c r="Y241" s="161"/>
      <c r="Z241" s="161"/>
      <c r="AA241" s="161"/>
      <c r="AB241" s="162"/>
      <c r="AC241" s="162"/>
      <c r="AD241" s="164"/>
      <c r="AE241" s="163"/>
      <c r="AF241" s="155"/>
      <c r="AG241" s="161"/>
      <c r="AH241" s="161"/>
      <c r="AI241" s="161"/>
      <c r="AJ241" s="162"/>
      <c r="AK241" s="162"/>
      <c r="AL241" s="164"/>
      <c r="AM241" s="163"/>
      <c r="AN241" s="155"/>
      <c r="AO241" s="161"/>
      <c r="AP241" s="161"/>
      <c r="AQ241" s="161"/>
      <c r="AR241" s="162"/>
      <c r="AS241" s="162"/>
      <c r="AT241" s="164"/>
      <c r="AU241" s="163"/>
    </row>
    <row r="242" spans="1:47" ht="15.95" customHeight="1" x14ac:dyDescent="0.2">
      <c r="A242" s="608"/>
      <c r="B242" s="608"/>
      <c r="C242" s="608"/>
      <c r="D242" s="609"/>
      <c r="E242" s="609"/>
      <c r="F242" s="610"/>
      <c r="G242" s="607" t="s">
        <v>169</v>
      </c>
      <c r="H242" s="113"/>
      <c r="I242" s="129"/>
      <c r="J242" s="129"/>
      <c r="K242" s="129"/>
      <c r="L242" s="130"/>
      <c r="M242" s="162"/>
      <c r="N242" s="162"/>
      <c r="O242" s="163"/>
      <c r="Q242" s="161"/>
      <c r="R242" s="161"/>
      <c r="S242" s="161"/>
      <c r="T242" s="162"/>
      <c r="U242" s="162"/>
      <c r="V242" s="164"/>
      <c r="W242" s="163"/>
      <c r="X242" s="155"/>
      <c r="Y242" s="161"/>
      <c r="Z242" s="161"/>
      <c r="AA242" s="161"/>
      <c r="AB242" s="162"/>
      <c r="AC242" s="162"/>
      <c r="AD242" s="164"/>
      <c r="AE242" s="163"/>
      <c r="AF242" s="155"/>
      <c r="AG242" s="161"/>
      <c r="AH242" s="161"/>
      <c r="AI242" s="161"/>
      <c r="AJ242" s="162"/>
      <c r="AK242" s="162"/>
      <c r="AL242" s="164"/>
      <c r="AM242" s="163"/>
      <c r="AN242" s="155"/>
      <c r="AO242" s="161"/>
      <c r="AP242" s="161"/>
      <c r="AQ242" s="161"/>
      <c r="AR242" s="162"/>
      <c r="AS242" s="162"/>
      <c r="AT242" s="164"/>
      <c r="AU242" s="163"/>
    </row>
    <row r="243" spans="1:47" ht="15.95" customHeight="1" x14ac:dyDescent="0.2">
      <c r="A243" s="608"/>
      <c r="B243" s="608"/>
      <c r="C243" s="608"/>
      <c r="D243" s="609"/>
      <c r="E243" s="609"/>
      <c r="F243" s="610"/>
      <c r="G243" s="607" t="s">
        <v>169</v>
      </c>
      <c r="H243" s="113"/>
      <c r="I243" s="129"/>
      <c r="J243" s="129"/>
      <c r="K243" s="129"/>
      <c r="L243" s="130"/>
      <c r="M243" s="162"/>
      <c r="N243" s="162"/>
      <c r="O243" s="163"/>
      <c r="Q243" s="161"/>
      <c r="R243" s="161"/>
      <c r="S243" s="161"/>
      <c r="T243" s="162"/>
      <c r="U243" s="162"/>
      <c r="V243" s="164"/>
      <c r="W243" s="163"/>
      <c r="X243" s="155"/>
      <c r="Y243" s="161"/>
      <c r="Z243" s="161"/>
      <c r="AA243" s="161"/>
      <c r="AB243" s="162"/>
      <c r="AC243" s="162"/>
      <c r="AD243" s="164"/>
      <c r="AE243" s="163"/>
      <c r="AF243" s="155"/>
      <c r="AG243" s="161"/>
      <c r="AH243" s="161"/>
      <c r="AI243" s="161"/>
      <c r="AJ243" s="162"/>
      <c r="AK243" s="162"/>
      <c r="AL243" s="164"/>
      <c r="AM243" s="163"/>
      <c r="AN243" s="155"/>
      <c r="AO243" s="161"/>
      <c r="AP243" s="161"/>
      <c r="AQ243" s="161"/>
      <c r="AR243" s="162"/>
      <c r="AS243" s="162"/>
      <c r="AT243" s="164"/>
      <c r="AU243" s="163"/>
    </row>
    <row r="244" spans="1:47" ht="15.95" customHeight="1" x14ac:dyDescent="0.2">
      <c r="A244" s="608"/>
      <c r="B244" s="608"/>
      <c r="C244" s="608"/>
      <c r="D244" s="609"/>
      <c r="E244" s="609"/>
      <c r="F244" s="610"/>
      <c r="G244" s="607" t="s">
        <v>169</v>
      </c>
      <c r="H244" s="113"/>
      <c r="I244" s="129"/>
      <c r="J244" s="129"/>
      <c r="K244" s="129"/>
      <c r="L244" s="130"/>
      <c r="M244" s="162"/>
      <c r="N244" s="162"/>
      <c r="O244" s="163"/>
      <c r="Q244" s="161"/>
      <c r="R244" s="161"/>
      <c r="S244" s="161"/>
      <c r="T244" s="162"/>
      <c r="U244" s="162"/>
      <c r="V244" s="164"/>
      <c r="W244" s="163"/>
      <c r="X244" s="155"/>
      <c r="Y244" s="161"/>
      <c r="Z244" s="161"/>
      <c r="AA244" s="161"/>
      <c r="AB244" s="162"/>
      <c r="AC244" s="162"/>
      <c r="AD244" s="164"/>
      <c r="AE244" s="163"/>
      <c r="AF244" s="155"/>
      <c r="AG244" s="161"/>
      <c r="AH244" s="161"/>
      <c r="AI244" s="161"/>
      <c r="AJ244" s="162"/>
      <c r="AK244" s="162"/>
      <c r="AL244" s="164"/>
      <c r="AM244" s="163"/>
      <c r="AN244" s="155"/>
      <c r="AO244" s="161"/>
      <c r="AP244" s="161"/>
      <c r="AQ244" s="161"/>
      <c r="AR244" s="162"/>
      <c r="AS244" s="162"/>
      <c r="AT244" s="164"/>
      <c r="AU244" s="163"/>
    </row>
    <row r="245" spans="1:47" ht="15.95" customHeight="1" x14ac:dyDescent="0.2">
      <c r="A245" s="608"/>
      <c r="B245" s="608"/>
      <c r="C245" s="608"/>
      <c r="D245" s="609"/>
      <c r="E245" s="609"/>
      <c r="F245" s="610"/>
      <c r="G245" s="607" t="s">
        <v>169</v>
      </c>
      <c r="H245" s="113"/>
      <c r="I245" s="129"/>
      <c r="J245" s="129"/>
      <c r="K245" s="129"/>
      <c r="L245" s="130"/>
      <c r="M245" s="162"/>
      <c r="N245" s="162"/>
      <c r="O245" s="163"/>
      <c r="Q245" s="161"/>
      <c r="R245" s="161"/>
      <c r="S245" s="161"/>
      <c r="T245" s="162"/>
      <c r="U245" s="162"/>
      <c r="V245" s="164"/>
      <c r="W245" s="163"/>
      <c r="X245" s="155"/>
      <c r="Y245" s="161"/>
      <c r="Z245" s="161"/>
      <c r="AA245" s="161"/>
      <c r="AB245" s="162"/>
      <c r="AC245" s="162"/>
      <c r="AD245" s="164"/>
      <c r="AE245" s="163"/>
      <c r="AF245" s="155"/>
      <c r="AG245" s="161"/>
      <c r="AH245" s="161"/>
      <c r="AI245" s="161"/>
      <c r="AJ245" s="162"/>
      <c r="AK245" s="162"/>
      <c r="AL245" s="164"/>
      <c r="AM245" s="163"/>
      <c r="AN245" s="155"/>
      <c r="AO245" s="161"/>
      <c r="AP245" s="161"/>
      <c r="AQ245" s="161"/>
      <c r="AR245" s="162"/>
      <c r="AS245" s="162"/>
      <c r="AT245" s="164"/>
      <c r="AU245" s="163"/>
    </row>
    <row r="246" spans="1:47" ht="15.95" customHeight="1" x14ac:dyDescent="0.2">
      <c r="A246" s="608"/>
      <c r="B246" s="608"/>
      <c r="C246" s="608"/>
      <c r="D246" s="609"/>
      <c r="E246" s="609"/>
      <c r="F246" s="610"/>
      <c r="G246" s="607" t="s">
        <v>169</v>
      </c>
      <c r="H246" s="113"/>
      <c r="I246" s="129"/>
      <c r="J246" s="129"/>
      <c r="K246" s="129"/>
      <c r="L246" s="130"/>
      <c r="M246" s="162"/>
      <c r="N246" s="162"/>
      <c r="O246" s="163"/>
      <c r="Q246" s="161"/>
      <c r="R246" s="161"/>
      <c r="S246" s="161"/>
      <c r="T246" s="162"/>
      <c r="U246" s="162"/>
      <c r="V246" s="164"/>
      <c r="W246" s="163"/>
      <c r="X246" s="155"/>
      <c r="Y246" s="161"/>
      <c r="Z246" s="161"/>
      <c r="AA246" s="161"/>
      <c r="AB246" s="162"/>
      <c r="AC246" s="162"/>
      <c r="AD246" s="164"/>
      <c r="AE246" s="163"/>
      <c r="AF246" s="155"/>
      <c r="AG246" s="161"/>
      <c r="AH246" s="161"/>
      <c r="AI246" s="161"/>
      <c r="AJ246" s="162"/>
      <c r="AK246" s="162"/>
      <c r="AL246" s="164"/>
      <c r="AM246" s="163"/>
      <c r="AN246" s="155"/>
      <c r="AO246" s="161"/>
      <c r="AP246" s="161"/>
      <c r="AQ246" s="161"/>
      <c r="AR246" s="162"/>
      <c r="AS246" s="162"/>
      <c r="AT246" s="164"/>
      <c r="AU246" s="163"/>
    </row>
    <row r="247" spans="1:47" ht="15.95" customHeight="1" x14ac:dyDescent="0.2">
      <c r="A247" s="608"/>
      <c r="B247" s="608"/>
      <c r="C247" s="608"/>
      <c r="D247" s="609"/>
      <c r="E247" s="609"/>
      <c r="F247" s="610"/>
      <c r="G247" s="607" t="s">
        <v>169</v>
      </c>
      <c r="H247" s="113"/>
      <c r="I247" s="129"/>
      <c r="J247" s="129"/>
      <c r="K247" s="129"/>
      <c r="L247" s="130"/>
      <c r="M247" s="162"/>
      <c r="N247" s="162"/>
      <c r="O247" s="163"/>
      <c r="Q247" s="161"/>
      <c r="R247" s="161"/>
      <c r="S247" s="161"/>
      <c r="T247" s="162"/>
      <c r="U247" s="162"/>
      <c r="V247" s="164"/>
      <c r="W247" s="163"/>
      <c r="X247" s="155"/>
      <c r="Y247" s="161"/>
      <c r="Z247" s="161"/>
      <c r="AA247" s="161"/>
      <c r="AB247" s="162"/>
      <c r="AC247" s="162"/>
      <c r="AD247" s="164"/>
      <c r="AE247" s="163"/>
      <c r="AF247" s="155"/>
      <c r="AG247" s="161"/>
      <c r="AH247" s="161"/>
      <c r="AI247" s="161"/>
      <c r="AJ247" s="162"/>
      <c r="AK247" s="162"/>
      <c r="AL247" s="164"/>
      <c r="AM247" s="163"/>
      <c r="AN247" s="155"/>
      <c r="AO247" s="161"/>
      <c r="AP247" s="161"/>
      <c r="AQ247" s="161"/>
      <c r="AR247" s="162"/>
      <c r="AS247" s="162"/>
      <c r="AT247" s="164"/>
      <c r="AU247" s="163"/>
    </row>
    <row r="248" spans="1:47" ht="15.95" customHeight="1" x14ac:dyDescent="0.2">
      <c r="A248" s="608"/>
      <c r="B248" s="608"/>
      <c r="C248" s="608"/>
      <c r="D248" s="609"/>
      <c r="E248" s="609"/>
      <c r="F248" s="610"/>
      <c r="G248" s="607" t="s">
        <v>169</v>
      </c>
      <c r="H248" s="113"/>
      <c r="I248" s="129"/>
      <c r="J248" s="129"/>
      <c r="K248" s="129"/>
      <c r="L248" s="130"/>
      <c r="M248" s="162"/>
      <c r="N248" s="162"/>
      <c r="O248" s="163"/>
      <c r="Q248" s="161"/>
      <c r="R248" s="161"/>
      <c r="S248" s="161"/>
      <c r="T248" s="162"/>
      <c r="U248" s="162"/>
      <c r="V248" s="164"/>
      <c r="W248" s="163"/>
      <c r="X248" s="155"/>
      <c r="Y248" s="161"/>
      <c r="Z248" s="161"/>
      <c r="AA248" s="161"/>
      <c r="AB248" s="162"/>
      <c r="AC248" s="162"/>
      <c r="AD248" s="164"/>
      <c r="AE248" s="163"/>
      <c r="AF248" s="155"/>
      <c r="AG248" s="161"/>
      <c r="AH248" s="161"/>
      <c r="AI248" s="161"/>
      <c r="AJ248" s="162"/>
      <c r="AK248" s="162"/>
      <c r="AL248" s="164"/>
      <c r="AM248" s="163"/>
      <c r="AN248" s="155"/>
      <c r="AO248" s="161"/>
      <c r="AP248" s="161"/>
      <c r="AQ248" s="161"/>
      <c r="AR248" s="162"/>
      <c r="AS248" s="162"/>
      <c r="AT248" s="164"/>
      <c r="AU248" s="163"/>
    </row>
    <row r="249" spans="1:47" ht="15.95" customHeight="1" x14ac:dyDescent="0.2">
      <c r="A249" s="608"/>
      <c r="B249" s="608"/>
      <c r="C249" s="608"/>
      <c r="D249" s="609"/>
      <c r="E249" s="609"/>
      <c r="F249" s="610"/>
      <c r="G249" s="607" t="s">
        <v>169</v>
      </c>
      <c r="H249" s="113"/>
      <c r="I249" s="129"/>
      <c r="J249" s="129"/>
      <c r="K249" s="129"/>
      <c r="L249" s="130"/>
      <c r="M249" s="162"/>
      <c r="N249" s="162"/>
      <c r="O249" s="163"/>
      <c r="Q249" s="161"/>
      <c r="R249" s="161"/>
      <c r="S249" s="161"/>
      <c r="T249" s="162"/>
      <c r="U249" s="162"/>
      <c r="V249" s="164"/>
      <c r="W249" s="163"/>
      <c r="X249" s="155"/>
      <c r="Y249" s="161"/>
      <c r="Z249" s="161"/>
      <c r="AA249" s="161"/>
      <c r="AB249" s="162"/>
      <c r="AC249" s="162"/>
      <c r="AD249" s="164"/>
      <c r="AE249" s="163"/>
      <c r="AF249" s="155"/>
      <c r="AG249" s="161"/>
      <c r="AH249" s="161"/>
      <c r="AI249" s="161"/>
      <c r="AJ249" s="162"/>
      <c r="AK249" s="162"/>
      <c r="AL249" s="164"/>
      <c r="AM249" s="163"/>
      <c r="AN249" s="155"/>
      <c r="AO249" s="161"/>
      <c r="AP249" s="161"/>
      <c r="AQ249" s="161"/>
      <c r="AR249" s="162"/>
      <c r="AS249" s="162"/>
      <c r="AT249" s="164"/>
      <c r="AU249" s="163"/>
    </row>
    <row r="250" spans="1:47" ht="15.95" customHeight="1" x14ac:dyDescent="0.2">
      <c r="A250" s="608"/>
      <c r="B250" s="608"/>
      <c r="C250" s="608"/>
      <c r="D250" s="609"/>
      <c r="E250" s="609"/>
      <c r="F250" s="610"/>
      <c r="G250" s="607" t="s">
        <v>169</v>
      </c>
      <c r="H250" s="113"/>
      <c r="I250" s="129"/>
      <c r="J250" s="129"/>
      <c r="K250" s="129"/>
      <c r="L250" s="130"/>
      <c r="M250" s="162"/>
      <c r="N250" s="162"/>
      <c r="O250" s="163"/>
      <c r="Q250" s="161"/>
      <c r="R250" s="161"/>
      <c r="S250" s="161"/>
      <c r="T250" s="162"/>
      <c r="U250" s="162"/>
      <c r="V250" s="164"/>
      <c r="W250" s="163"/>
      <c r="X250" s="155"/>
      <c r="Y250" s="161"/>
      <c r="Z250" s="161"/>
      <c r="AA250" s="161"/>
      <c r="AB250" s="162"/>
      <c r="AC250" s="162"/>
      <c r="AD250" s="164"/>
      <c r="AE250" s="163"/>
      <c r="AF250" s="155"/>
      <c r="AG250" s="161"/>
      <c r="AH250" s="161"/>
      <c r="AI250" s="161"/>
      <c r="AJ250" s="162"/>
      <c r="AK250" s="162"/>
      <c r="AL250" s="164"/>
      <c r="AM250" s="163"/>
      <c r="AN250" s="155"/>
      <c r="AO250" s="161"/>
      <c r="AP250" s="161"/>
      <c r="AQ250" s="161"/>
      <c r="AR250" s="162"/>
      <c r="AS250" s="162"/>
      <c r="AT250" s="164"/>
      <c r="AU250" s="163"/>
    </row>
    <row r="251" spans="1:47" ht="15.95" customHeight="1" x14ac:dyDescent="0.2">
      <c r="A251" s="608"/>
      <c r="B251" s="608"/>
      <c r="C251" s="608"/>
      <c r="D251" s="609"/>
      <c r="E251" s="609"/>
      <c r="F251" s="610"/>
      <c r="G251" s="607" t="s">
        <v>169</v>
      </c>
      <c r="H251" s="113"/>
      <c r="I251" s="129"/>
      <c r="J251" s="129"/>
      <c r="K251" s="129"/>
      <c r="L251" s="130"/>
      <c r="M251" s="162"/>
      <c r="N251" s="162"/>
      <c r="O251" s="163"/>
      <c r="Q251" s="161"/>
      <c r="R251" s="161"/>
      <c r="S251" s="161"/>
      <c r="T251" s="162"/>
      <c r="U251" s="162"/>
      <c r="V251" s="164"/>
      <c r="W251" s="163"/>
      <c r="X251" s="155"/>
      <c r="Y251" s="161"/>
      <c r="Z251" s="161"/>
      <c r="AA251" s="161"/>
      <c r="AB251" s="162"/>
      <c r="AC251" s="162"/>
      <c r="AD251" s="164"/>
      <c r="AE251" s="163"/>
      <c r="AF251" s="155"/>
      <c r="AG251" s="161"/>
      <c r="AH251" s="161"/>
      <c r="AI251" s="161"/>
      <c r="AJ251" s="162"/>
      <c r="AK251" s="162"/>
      <c r="AL251" s="164"/>
      <c r="AM251" s="163"/>
      <c r="AN251" s="155"/>
      <c r="AO251" s="161"/>
      <c r="AP251" s="161"/>
      <c r="AQ251" s="161"/>
      <c r="AR251" s="162"/>
      <c r="AS251" s="162"/>
      <c r="AT251" s="164"/>
      <c r="AU251" s="163"/>
    </row>
    <row r="252" spans="1:47" ht="15.95" customHeight="1" x14ac:dyDescent="0.2">
      <c r="A252" s="608"/>
      <c r="B252" s="608"/>
      <c r="C252" s="608"/>
      <c r="D252" s="609"/>
      <c r="E252" s="609"/>
      <c r="F252" s="610"/>
      <c r="G252" s="607" t="s">
        <v>169</v>
      </c>
      <c r="H252" s="113"/>
      <c r="I252" s="129"/>
      <c r="J252" s="129"/>
      <c r="K252" s="129"/>
      <c r="L252" s="130"/>
      <c r="M252" s="162"/>
      <c r="N252" s="162"/>
      <c r="O252" s="163"/>
      <c r="Q252" s="161"/>
      <c r="R252" s="161"/>
      <c r="S252" s="161"/>
      <c r="T252" s="162"/>
      <c r="U252" s="162"/>
      <c r="V252" s="164"/>
      <c r="W252" s="163"/>
      <c r="X252" s="155"/>
      <c r="Y252" s="161"/>
      <c r="Z252" s="161"/>
      <c r="AA252" s="161"/>
      <c r="AB252" s="162"/>
      <c r="AC252" s="162"/>
      <c r="AD252" s="164"/>
      <c r="AE252" s="163"/>
      <c r="AF252" s="155"/>
      <c r="AG252" s="161"/>
      <c r="AH252" s="161"/>
      <c r="AI252" s="161"/>
      <c r="AJ252" s="162"/>
      <c r="AK252" s="162"/>
      <c r="AL252" s="164"/>
      <c r="AM252" s="163"/>
      <c r="AN252" s="155"/>
      <c r="AO252" s="161"/>
      <c r="AP252" s="161"/>
      <c r="AQ252" s="161"/>
      <c r="AR252" s="162"/>
      <c r="AS252" s="162"/>
      <c r="AT252" s="164"/>
      <c r="AU252" s="163"/>
    </row>
    <row r="253" spans="1:47" ht="15.95" customHeight="1" x14ac:dyDescent="0.2">
      <c r="A253" s="608"/>
      <c r="B253" s="608"/>
      <c r="C253" s="608"/>
      <c r="D253" s="609"/>
      <c r="E253" s="609"/>
      <c r="F253" s="610"/>
      <c r="G253" s="607" t="s">
        <v>169</v>
      </c>
      <c r="H253" s="113"/>
      <c r="I253" s="129"/>
      <c r="J253" s="129"/>
      <c r="K253" s="129"/>
      <c r="L253" s="130"/>
      <c r="M253" s="162"/>
      <c r="N253" s="162"/>
      <c r="O253" s="163"/>
      <c r="Q253" s="161"/>
      <c r="R253" s="161"/>
      <c r="S253" s="161"/>
      <c r="T253" s="162"/>
      <c r="U253" s="162"/>
      <c r="V253" s="164"/>
      <c r="W253" s="163"/>
      <c r="X253" s="155"/>
      <c r="Y253" s="161"/>
      <c r="Z253" s="161"/>
      <c r="AA253" s="161"/>
      <c r="AB253" s="162"/>
      <c r="AC253" s="162"/>
      <c r="AD253" s="164"/>
      <c r="AE253" s="163"/>
      <c r="AF253" s="155"/>
      <c r="AG253" s="161"/>
      <c r="AH253" s="161"/>
      <c r="AI253" s="161"/>
      <c r="AJ253" s="162"/>
      <c r="AK253" s="162"/>
      <c r="AL253" s="164"/>
      <c r="AM253" s="163"/>
      <c r="AN253" s="155"/>
      <c r="AO253" s="161"/>
      <c r="AP253" s="161"/>
      <c r="AQ253" s="161"/>
      <c r="AR253" s="162"/>
      <c r="AS253" s="162"/>
      <c r="AT253" s="164"/>
      <c r="AU253" s="163"/>
    </row>
    <row r="254" spans="1:47" ht="15.95" customHeight="1" x14ac:dyDescent="0.2">
      <c r="A254" s="608"/>
      <c r="B254" s="608"/>
      <c r="C254" s="608"/>
      <c r="D254" s="609"/>
      <c r="E254" s="609"/>
      <c r="F254" s="610"/>
      <c r="G254" s="607" t="s">
        <v>169</v>
      </c>
      <c r="H254" s="113"/>
      <c r="I254" s="129"/>
      <c r="J254" s="129"/>
      <c r="K254" s="129"/>
      <c r="L254" s="130"/>
      <c r="M254" s="162"/>
      <c r="N254" s="162"/>
      <c r="O254" s="163"/>
      <c r="Q254" s="161"/>
      <c r="R254" s="161"/>
      <c r="S254" s="161"/>
      <c r="T254" s="162"/>
      <c r="U254" s="162"/>
      <c r="V254" s="164"/>
      <c r="W254" s="163"/>
      <c r="X254" s="155"/>
      <c r="Y254" s="161"/>
      <c r="Z254" s="161"/>
      <c r="AA254" s="161"/>
      <c r="AB254" s="162"/>
      <c r="AC254" s="162"/>
      <c r="AD254" s="164"/>
      <c r="AE254" s="163"/>
      <c r="AF254" s="155"/>
      <c r="AG254" s="161"/>
      <c r="AH254" s="161"/>
      <c r="AI254" s="161"/>
      <c r="AJ254" s="162"/>
      <c r="AK254" s="162"/>
      <c r="AL254" s="164"/>
      <c r="AM254" s="163"/>
      <c r="AN254" s="155"/>
      <c r="AO254" s="161"/>
      <c r="AP254" s="161"/>
      <c r="AQ254" s="161"/>
      <c r="AR254" s="162"/>
      <c r="AS254" s="162"/>
      <c r="AT254" s="164"/>
      <c r="AU254" s="163"/>
    </row>
    <row r="255" spans="1:47" ht="15.95" customHeight="1" x14ac:dyDescent="0.2">
      <c r="A255" s="608"/>
      <c r="B255" s="608"/>
      <c r="C255" s="608"/>
      <c r="D255" s="609"/>
      <c r="E255" s="609"/>
      <c r="F255" s="610"/>
      <c r="G255" s="607" t="s">
        <v>169</v>
      </c>
      <c r="H255" s="113"/>
      <c r="I255" s="129"/>
      <c r="J255" s="129"/>
      <c r="K255" s="129"/>
      <c r="L255" s="130"/>
      <c r="M255" s="162"/>
      <c r="N255" s="162"/>
      <c r="O255" s="163"/>
      <c r="Q255" s="161"/>
      <c r="R255" s="161"/>
      <c r="S255" s="161"/>
      <c r="T255" s="162"/>
      <c r="U255" s="162"/>
      <c r="V255" s="164"/>
      <c r="W255" s="163"/>
      <c r="X255" s="155"/>
      <c r="Y255" s="161"/>
      <c r="Z255" s="161"/>
      <c r="AA255" s="161"/>
      <c r="AB255" s="162"/>
      <c r="AC255" s="162"/>
      <c r="AD255" s="164"/>
      <c r="AE255" s="163"/>
      <c r="AF255" s="155"/>
      <c r="AG255" s="161"/>
      <c r="AH255" s="161"/>
      <c r="AI255" s="161"/>
      <c r="AJ255" s="162"/>
      <c r="AK255" s="162"/>
      <c r="AL255" s="164"/>
      <c r="AM255" s="163"/>
      <c r="AN255" s="155"/>
      <c r="AO255" s="161"/>
      <c r="AP255" s="161"/>
      <c r="AQ255" s="161"/>
      <c r="AR255" s="162"/>
      <c r="AS255" s="162"/>
      <c r="AT255" s="164"/>
      <c r="AU255" s="163"/>
    </row>
    <row r="256" spans="1:47" ht="15.95" customHeight="1" x14ac:dyDescent="0.2">
      <c r="A256" s="608"/>
      <c r="B256" s="608"/>
      <c r="C256" s="608"/>
      <c r="D256" s="609"/>
      <c r="E256" s="609"/>
      <c r="F256" s="610"/>
      <c r="G256" s="607" t="s">
        <v>169</v>
      </c>
      <c r="H256" s="113"/>
      <c r="I256" s="129"/>
      <c r="J256" s="129"/>
      <c r="K256" s="129"/>
      <c r="L256" s="130"/>
      <c r="M256" s="162"/>
      <c r="N256" s="162"/>
      <c r="O256" s="163"/>
      <c r="Q256" s="161"/>
      <c r="R256" s="161"/>
      <c r="S256" s="161"/>
      <c r="T256" s="162"/>
      <c r="U256" s="162"/>
      <c r="V256" s="164"/>
      <c r="W256" s="163"/>
      <c r="X256" s="155"/>
      <c r="Y256" s="161"/>
      <c r="Z256" s="161"/>
      <c r="AA256" s="161"/>
      <c r="AB256" s="162"/>
      <c r="AC256" s="162"/>
      <c r="AD256" s="164"/>
      <c r="AE256" s="163"/>
      <c r="AF256" s="155"/>
      <c r="AG256" s="161"/>
      <c r="AH256" s="161"/>
      <c r="AI256" s="161"/>
      <c r="AJ256" s="162"/>
      <c r="AK256" s="162"/>
      <c r="AL256" s="164"/>
      <c r="AM256" s="163"/>
      <c r="AN256" s="155"/>
      <c r="AO256" s="161"/>
      <c r="AP256" s="161"/>
      <c r="AQ256" s="161"/>
      <c r="AR256" s="162"/>
      <c r="AS256" s="162"/>
      <c r="AT256" s="164"/>
      <c r="AU256" s="163"/>
    </row>
    <row r="257" spans="1:47" ht="15.95" customHeight="1" x14ac:dyDescent="0.2">
      <c r="A257" s="608"/>
      <c r="B257" s="608"/>
      <c r="C257" s="608"/>
      <c r="D257" s="609"/>
      <c r="E257" s="609"/>
      <c r="F257" s="610"/>
      <c r="G257" s="607" t="s">
        <v>169</v>
      </c>
      <c r="H257" s="113"/>
      <c r="I257" s="129"/>
      <c r="J257" s="129"/>
      <c r="K257" s="129"/>
      <c r="L257" s="130"/>
      <c r="M257" s="162"/>
      <c r="N257" s="162"/>
      <c r="O257" s="163"/>
      <c r="Q257" s="161"/>
      <c r="R257" s="161"/>
      <c r="S257" s="161"/>
      <c r="T257" s="162"/>
      <c r="U257" s="162"/>
      <c r="V257" s="164"/>
      <c r="W257" s="163"/>
      <c r="X257" s="155"/>
      <c r="Y257" s="161"/>
      <c r="Z257" s="161"/>
      <c r="AA257" s="161"/>
      <c r="AB257" s="162"/>
      <c r="AC257" s="162"/>
      <c r="AD257" s="164"/>
      <c r="AE257" s="163"/>
      <c r="AF257" s="155"/>
      <c r="AG257" s="161"/>
      <c r="AH257" s="161"/>
      <c r="AI257" s="161"/>
      <c r="AJ257" s="162"/>
      <c r="AK257" s="162"/>
      <c r="AL257" s="164"/>
      <c r="AM257" s="163"/>
      <c r="AN257" s="155"/>
      <c r="AO257" s="161"/>
      <c r="AP257" s="161"/>
      <c r="AQ257" s="161"/>
      <c r="AR257" s="162"/>
      <c r="AS257" s="162"/>
      <c r="AT257" s="164"/>
      <c r="AU257" s="163"/>
    </row>
    <row r="258" spans="1:47" ht="15.95" customHeight="1" x14ac:dyDescent="0.2">
      <c r="A258" s="608"/>
      <c r="B258" s="608"/>
      <c r="C258" s="608"/>
      <c r="D258" s="609"/>
      <c r="E258" s="609"/>
      <c r="F258" s="610"/>
      <c r="G258" s="607" t="s">
        <v>169</v>
      </c>
      <c r="H258" s="113"/>
      <c r="I258" s="129"/>
      <c r="J258" s="129"/>
      <c r="K258" s="129"/>
      <c r="L258" s="130"/>
      <c r="M258" s="162"/>
      <c r="N258" s="162"/>
      <c r="O258" s="163"/>
      <c r="Q258" s="161"/>
      <c r="R258" s="161"/>
      <c r="S258" s="161"/>
      <c r="T258" s="162"/>
      <c r="U258" s="162"/>
      <c r="V258" s="164"/>
      <c r="W258" s="163"/>
      <c r="X258" s="155"/>
      <c r="Y258" s="161"/>
      <c r="Z258" s="161"/>
      <c r="AA258" s="161"/>
      <c r="AB258" s="162"/>
      <c r="AC258" s="162"/>
      <c r="AD258" s="164"/>
      <c r="AE258" s="163"/>
      <c r="AF258" s="155"/>
      <c r="AG258" s="161"/>
      <c r="AH258" s="161"/>
      <c r="AI258" s="161"/>
      <c r="AJ258" s="162"/>
      <c r="AK258" s="162"/>
      <c r="AL258" s="164"/>
      <c r="AM258" s="163"/>
      <c r="AN258" s="155"/>
      <c r="AO258" s="161"/>
      <c r="AP258" s="161"/>
      <c r="AQ258" s="161"/>
      <c r="AR258" s="162"/>
      <c r="AS258" s="162"/>
      <c r="AT258" s="164"/>
      <c r="AU258" s="163"/>
    </row>
    <row r="259" spans="1:47" ht="15.95" customHeight="1" x14ac:dyDescent="0.2">
      <c r="A259" s="608"/>
      <c r="B259" s="608"/>
      <c r="C259" s="608"/>
      <c r="D259" s="609"/>
      <c r="E259" s="609"/>
      <c r="F259" s="610"/>
      <c r="G259" s="607" t="s">
        <v>169</v>
      </c>
      <c r="H259" s="113"/>
      <c r="I259" s="129"/>
      <c r="J259" s="129"/>
      <c r="K259" s="129"/>
      <c r="L259" s="130"/>
      <c r="M259" s="162"/>
      <c r="N259" s="162"/>
      <c r="O259" s="163"/>
      <c r="Q259" s="161"/>
      <c r="R259" s="161"/>
      <c r="S259" s="161"/>
      <c r="T259" s="162"/>
      <c r="U259" s="162"/>
      <c r="V259" s="164"/>
      <c r="W259" s="163"/>
      <c r="X259" s="155"/>
      <c r="Y259" s="161"/>
      <c r="Z259" s="161"/>
      <c r="AA259" s="161"/>
      <c r="AB259" s="162"/>
      <c r="AC259" s="162"/>
      <c r="AD259" s="164"/>
      <c r="AE259" s="163"/>
      <c r="AF259" s="155"/>
      <c r="AG259" s="161"/>
      <c r="AH259" s="161"/>
      <c r="AI259" s="161"/>
      <c r="AJ259" s="162"/>
      <c r="AK259" s="162"/>
      <c r="AL259" s="164"/>
      <c r="AM259" s="163"/>
      <c r="AN259" s="155"/>
      <c r="AO259" s="161"/>
      <c r="AP259" s="161"/>
      <c r="AQ259" s="161"/>
      <c r="AR259" s="162"/>
      <c r="AS259" s="162"/>
      <c r="AT259" s="164"/>
      <c r="AU259" s="163"/>
    </row>
    <row r="260" spans="1:47" ht="15.95" customHeight="1" x14ac:dyDescent="0.2">
      <c r="A260" s="608"/>
      <c r="B260" s="608"/>
      <c r="C260" s="608"/>
      <c r="D260" s="609"/>
      <c r="E260" s="609"/>
      <c r="F260" s="610"/>
      <c r="G260" s="607" t="s">
        <v>169</v>
      </c>
      <c r="H260" s="113"/>
      <c r="I260" s="129"/>
      <c r="J260" s="129"/>
      <c r="K260" s="129"/>
      <c r="L260" s="130"/>
      <c r="M260" s="162"/>
      <c r="N260" s="162"/>
      <c r="O260" s="163"/>
      <c r="Q260" s="161"/>
      <c r="R260" s="161"/>
      <c r="S260" s="161"/>
      <c r="T260" s="162"/>
      <c r="U260" s="162"/>
      <c r="V260" s="164"/>
      <c r="W260" s="163"/>
      <c r="X260" s="155"/>
      <c r="Y260" s="161"/>
      <c r="Z260" s="161"/>
      <c r="AA260" s="161"/>
      <c r="AB260" s="162"/>
      <c r="AC260" s="162"/>
      <c r="AD260" s="164"/>
      <c r="AE260" s="163"/>
      <c r="AF260" s="155"/>
      <c r="AG260" s="161"/>
      <c r="AH260" s="161"/>
      <c r="AI260" s="161"/>
      <c r="AJ260" s="162"/>
      <c r="AK260" s="162"/>
      <c r="AL260" s="164"/>
      <c r="AM260" s="163"/>
      <c r="AN260" s="155"/>
      <c r="AO260" s="161"/>
      <c r="AP260" s="161"/>
      <c r="AQ260" s="161"/>
      <c r="AR260" s="162"/>
      <c r="AS260" s="162"/>
      <c r="AT260" s="164"/>
      <c r="AU260" s="163"/>
    </row>
    <row r="261" spans="1:47" ht="15.95" customHeight="1" x14ac:dyDescent="0.2">
      <c r="A261" s="608"/>
      <c r="B261" s="608"/>
      <c r="C261" s="608"/>
      <c r="D261" s="609"/>
      <c r="E261" s="609"/>
      <c r="F261" s="610"/>
      <c r="G261" s="607" t="s">
        <v>169</v>
      </c>
      <c r="H261" s="113"/>
      <c r="I261" s="129"/>
      <c r="J261" s="129"/>
      <c r="K261" s="129"/>
      <c r="L261" s="130"/>
      <c r="M261" s="162"/>
      <c r="N261" s="162"/>
      <c r="O261" s="163"/>
      <c r="Q261" s="161"/>
      <c r="R261" s="161"/>
      <c r="S261" s="161"/>
      <c r="T261" s="162"/>
      <c r="U261" s="162"/>
      <c r="V261" s="164"/>
      <c r="W261" s="163"/>
      <c r="X261" s="155"/>
      <c r="Y261" s="161"/>
      <c r="Z261" s="161"/>
      <c r="AA261" s="161"/>
      <c r="AB261" s="162"/>
      <c r="AC261" s="162"/>
      <c r="AD261" s="164"/>
      <c r="AE261" s="163"/>
      <c r="AF261" s="155"/>
      <c r="AG261" s="161"/>
      <c r="AH261" s="161"/>
      <c r="AI261" s="161"/>
      <c r="AJ261" s="162"/>
      <c r="AK261" s="162"/>
      <c r="AL261" s="164"/>
      <c r="AM261" s="163"/>
      <c r="AN261" s="155"/>
      <c r="AO261" s="161"/>
      <c r="AP261" s="161"/>
      <c r="AQ261" s="161"/>
      <c r="AR261" s="162"/>
      <c r="AS261" s="162"/>
      <c r="AT261" s="164"/>
      <c r="AU261" s="163"/>
    </row>
    <row r="262" spans="1:47" ht="15.95" customHeight="1" x14ac:dyDescent="0.2">
      <c r="A262" s="608"/>
      <c r="B262" s="608"/>
      <c r="C262" s="608"/>
      <c r="D262" s="609"/>
      <c r="E262" s="609"/>
      <c r="F262" s="610"/>
      <c r="G262" s="607" t="s">
        <v>169</v>
      </c>
      <c r="H262" s="113"/>
      <c r="I262" s="129"/>
      <c r="J262" s="129"/>
      <c r="K262" s="129"/>
      <c r="L262" s="130"/>
      <c r="M262" s="162"/>
      <c r="N262" s="162"/>
      <c r="O262" s="163"/>
      <c r="Q262" s="161"/>
      <c r="R262" s="161"/>
      <c r="S262" s="161"/>
      <c r="T262" s="162"/>
      <c r="U262" s="162"/>
      <c r="V262" s="164"/>
      <c r="W262" s="163"/>
      <c r="X262" s="155"/>
      <c r="Y262" s="161"/>
      <c r="Z262" s="161"/>
      <c r="AA262" s="161"/>
      <c r="AB262" s="162"/>
      <c r="AC262" s="162"/>
      <c r="AD262" s="164"/>
      <c r="AE262" s="163"/>
      <c r="AF262" s="155"/>
      <c r="AG262" s="161"/>
      <c r="AH262" s="161"/>
      <c r="AI262" s="161"/>
      <c r="AJ262" s="162"/>
      <c r="AK262" s="162"/>
      <c r="AL262" s="164"/>
      <c r="AM262" s="163"/>
      <c r="AN262" s="155"/>
      <c r="AO262" s="161"/>
      <c r="AP262" s="161"/>
      <c r="AQ262" s="161"/>
      <c r="AR262" s="162"/>
      <c r="AS262" s="162"/>
      <c r="AT262" s="164"/>
      <c r="AU262" s="163"/>
    </row>
    <row r="263" spans="1:47" ht="15.95" customHeight="1" x14ac:dyDescent="0.2">
      <c r="A263" s="608"/>
      <c r="B263" s="608"/>
      <c r="C263" s="608"/>
      <c r="D263" s="609"/>
      <c r="E263" s="609"/>
      <c r="F263" s="610"/>
      <c r="G263" s="607" t="s">
        <v>169</v>
      </c>
      <c r="H263" s="113"/>
      <c r="I263" s="129"/>
      <c r="J263" s="129"/>
      <c r="K263" s="129"/>
      <c r="L263" s="130"/>
      <c r="M263" s="162"/>
      <c r="N263" s="162"/>
      <c r="O263" s="163"/>
      <c r="Q263" s="161"/>
      <c r="R263" s="161"/>
      <c r="S263" s="161"/>
      <c r="T263" s="162"/>
      <c r="U263" s="162"/>
      <c r="V263" s="164"/>
      <c r="W263" s="163"/>
      <c r="X263" s="155"/>
      <c r="Y263" s="161"/>
      <c r="Z263" s="161"/>
      <c r="AA263" s="161"/>
      <c r="AB263" s="162"/>
      <c r="AC263" s="162"/>
      <c r="AD263" s="164"/>
      <c r="AE263" s="163"/>
      <c r="AF263" s="155"/>
      <c r="AG263" s="161"/>
      <c r="AH263" s="161"/>
      <c r="AI263" s="161"/>
      <c r="AJ263" s="162"/>
      <c r="AK263" s="162"/>
      <c r="AL263" s="164"/>
      <c r="AM263" s="163"/>
      <c r="AN263" s="155"/>
      <c r="AO263" s="161"/>
      <c r="AP263" s="161"/>
      <c r="AQ263" s="161"/>
      <c r="AR263" s="162"/>
      <c r="AS263" s="162"/>
      <c r="AT263" s="164"/>
      <c r="AU263" s="163"/>
    </row>
    <row r="264" spans="1:47" ht="15.95" customHeight="1" x14ac:dyDescent="0.2">
      <c r="A264" s="608"/>
      <c r="B264" s="608"/>
      <c r="C264" s="608"/>
      <c r="D264" s="609"/>
      <c r="E264" s="609"/>
      <c r="F264" s="610"/>
      <c r="G264" s="607" t="s">
        <v>169</v>
      </c>
      <c r="H264" s="113"/>
      <c r="I264" s="129"/>
      <c r="J264" s="129"/>
      <c r="K264" s="129"/>
      <c r="L264" s="130"/>
      <c r="M264" s="162"/>
      <c r="N264" s="162"/>
      <c r="O264" s="163"/>
      <c r="Q264" s="161"/>
      <c r="R264" s="161"/>
      <c r="S264" s="161"/>
      <c r="T264" s="162"/>
      <c r="U264" s="162"/>
      <c r="V264" s="164"/>
      <c r="W264" s="163"/>
      <c r="X264" s="155"/>
      <c r="Y264" s="161"/>
      <c r="Z264" s="161"/>
      <c r="AA264" s="161"/>
      <c r="AB264" s="162"/>
      <c r="AC264" s="162"/>
      <c r="AD264" s="164"/>
      <c r="AE264" s="163"/>
      <c r="AF264" s="155"/>
      <c r="AG264" s="161"/>
      <c r="AH264" s="161"/>
      <c r="AI264" s="161"/>
      <c r="AJ264" s="162"/>
      <c r="AK264" s="162"/>
      <c r="AL264" s="164"/>
      <c r="AM264" s="163"/>
      <c r="AN264" s="155"/>
      <c r="AO264" s="161"/>
      <c r="AP264" s="161"/>
      <c r="AQ264" s="161"/>
      <c r="AR264" s="162"/>
      <c r="AS264" s="162"/>
      <c r="AT264" s="164"/>
      <c r="AU264" s="163"/>
    </row>
    <row r="265" spans="1:47" ht="15.95" customHeight="1" x14ac:dyDescent="0.2">
      <c r="A265" s="608"/>
      <c r="B265" s="608"/>
      <c r="C265" s="608"/>
      <c r="D265" s="609"/>
      <c r="E265" s="609"/>
      <c r="F265" s="610"/>
      <c r="G265" s="607" t="s">
        <v>169</v>
      </c>
      <c r="H265" s="113"/>
      <c r="I265" s="129"/>
      <c r="J265" s="129"/>
      <c r="K265" s="129"/>
      <c r="L265" s="130"/>
      <c r="M265" s="162"/>
      <c r="N265" s="162"/>
      <c r="O265" s="163"/>
      <c r="Q265" s="161"/>
      <c r="R265" s="161"/>
      <c r="S265" s="161"/>
      <c r="T265" s="162"/>
      <c r="U265" s="162"/>
      <c r="V265" s="164"/>
      <c r="W265" s="163"/>
      <c r="X265" s="155"/>
      <c r="Y265" s="161"/>
      <c r="Z265" s="161"/>
      <c r="AA265" s="161"/>
      <c r="AB265" s="162"/>
      <c r="AC265" s="162"/>
      <c r="AD265" s="164"/>
      <c r="AE265" s="163"/>
      <c r="AF265" s="155"/>
      <c r="AG265" s="161"/>
      <c r="AH265" s="161"/>
      <c r="AI265" s="161"/>
      <c r="AJ265" s="162"/>
      <c r="AK265" s="162"/>
      <c r="AL265" s="164"/>
      <c r="AM265" s="163"/>
      <c r="AN265" s="155"/>
      <c r="AO265" s="161"/>
      <c r="AP265" s="161"/>
      <c r="AQ265" s="161"/>
      <c r="AR265" s="162"/>
      <c r="AS265" s="162"/>
      <c r="AT265" s="164"/>
      <c r="AU265" s="163"/>
    </row>
    <row r="266" spans="1:47" ht="15.95" customHeight="1" x14ac:dyDescent="0.2">
      <c r="A266" s="608"/>
      <c r="B266" s="608"/>
      <c r="C266" s="608"/>
      <c r="D266" s="609"/>
      <c r="E266" s="609"/>
      <c r="F266" s="610"/>
      <c r="G266" s="607" t="s">
        <v>169</v>
      </c>
      <c r="H266" s="113"/>
      <c r="I266" s="129"/>
      <c r="J266" s="129"/>
      <c r="K266" s="129"/>
      <c r="L266" s="130"/>
      <c r="M266" s="162"/>
      <c r="N266" s="162"/>
      <c r="O266" s="163"/>
      <c r="Q266" s="161"/>
      <c r="R266" s="161"/>
      <c r="S266" s="161"/>
      <c r="T266" s="162"/>
      <c r="U266" s="162"/>
      <c r="V266" s="164"/>
      <c r="W266" s="163"/>
      <c r="X266" s="155"/>
      <c r="Y266" s="161"/>
      <c r="Z266" s="161"/>
      <c r="AA266" s="161"/>
      <c r="AB266" s="162"/>
      <c r="AC266" s="162"/>
      <c r="AD266" s="164"/>
      <c r="AE266" s="163"/>
      <c r="AF266" s="155"/>
      <c r="AG266" s="161"/>
      <c r="AH266" s="161"/>
      <c r="AI266" s="161"/>
      <c r="AJ266" s="162"/>
      <c r="AK266" s="162"/>
      <c r="AL266" s="164"/>
      <c r="AM266" s="163"/>
      <c r="AN266" s="155"/>
      <c r="AO266" s="161"/>
      <c r="AP266" s="161"/>
      <c r="AQ266" s="161"/>
      <c r="AR266" s="162"/>
      <c r="AS266" s="162"/>
      <c r="AT266" s="164"/>
      <c r="AU266" s="163"/>
    </row>
    <row r="267" spans="1:47" ht="15.95" customHeight="1" x14ac:dyDescent="0.2">
      <c r="A267" s="608"/>
      <c r="B267" s="608"/>
      <c r="C267" s="608"/>
      <c r="D267" s="609"/>
      <c r="E267" s="609"/>
      <c r="F267" s="610"/>
      <c r="G267" s="607" t="s">
        <v>169</v>
      </c>
      <c r="H267" s="113"/>
      <c r="I267" s="129"/>
      <c r="J267" s="129"/>
      <c r="K267" s="129"/>
      <c r="L267" s="130"/>
      <c r="M267" s="162"/>
      <c r="N267" s="162"/>
      <c r="O267" s="163"/>
      <c r="Q267" s="161"/>
      <c r="R267" s="161"/>
      <c r="S267" s="161"/>
      <c r="T267" s="162"/>
      <c r="U267" s="162"/>
      <c r="V267" s="164"/>
      <c r="W267" s="163"/>
      <c r="X267" s="155"/>
      <c r="Y267" s="161"/>
      <c r="Z267" s="161"/>
      <c r="AA267" s="161"/>
      <c r="AB267" s="162"/>
      <c r="AC267" s="162"/>
      <c r="AD267" s="164"/>
      <c r="AE267" s="163"/>
      <c r="AF267" s="155"/>
      <c r="AG267" s="161"/>
      <c r="AH267" s="161"/>
      <c r="AI267" s="161"/>
      <c r="AJ267" s="162"/>
      <c r="AK267" s="162"/>
      <c r="AL267" s="164"/>
      <c r="AM267" s="163"/>
      <c r="AN267" s="155"/>
      <c r="AO267" s="161"/>
      <c r="AP267" s="161"/>
      <c r="AQ267" s="161"/>
      <c r="AR267" s="162"/>
      <c r="AS267" s="162"/>
      <c r="AT267" s="164"/>
      <c r="AU267" s="163"/>
    </row>
    <row r="268" spans="1:47" ht="15.95" customHeight="1" x14ac:dyDescent="0.2">
      <c r="A268" s="608"/>
      <c r="B268" s="608"/>
      <c r="C268" s="608"/>
      <c r="D268" s="609"/>
      <c r="E268" s="609"/>
      <c r="F268" s="610"/>
      <c r="G268" s="607" t="s">
        <v>169</v>
      </c>
      <c r="H268" s="113"/>
      <c r="I268" s="129"/>
      <c r="J268" s="129"/>
      <c r="K268" s="129"/>
      <c r="L268" s="130"/>
      <c r="M268" s="162"/>
      <c r="N268" s="162"/>
      <c r="O268" s="163"/>
      <c r="Q268" s="161"/>
      <c r="R268" s="161"/>
      <c r="S268" s="161"/>
      <c r="T268" s="162"/>
      <c r="U268" s="162"/>
      <c r="V268" s="164"/>
      <c r="W268" s="163"/>
      <c r="X268" s="155"/>
      <c r="Y268" s="161"/>
      <c r="Z268" s="161"/>
      <c r="AA268" s="161"/>
      <c r="AB268" s="162"/>
      <c r="AC268" s="162"/>
      <c r="AD268" s="164"/>
      <c r="AE268" s="163"/>
      <c r="AF268" s="155"/>
      <c r="AG268" s="161"/>
      <c r="AH268" s="161"/>
      <c r="AI268" s="161"/>
      <c r="AJ268" s="162"/>
      <c r="AK268" s="162"/>
      <c r="AL268" s="164"/>
      <c r="AM268" s="163"/>
      <c r="AN268" s="155"/>
      <c r="AO268" s="161"/>
      <c r="AP268" s="161"/>
      <c r="AQ268" s="161"/>
      <c r="AR268" s="162"/>
      <c r="AS268" s="162"/>
      <c r="AT268" s="164"/>
      <c r="AU268" s="163"/>
    </row>
    <row r="269" spans="1:47" ht="15.95" customHeight="1" x14ac:dyDescent="0.2">
      <c r="A269" s="608"/>
      <c r="B269" s="608"/>
      <c r="C269" s="608"/>
      <c r="D269" s="609"/>
      <c r="E269" s="609"/>
      <c r="F269" s="610"/>
      <c r="G269" s="607" t="s">
        <v>169</v>
      </c>
      <c r="H269" s="113"/>
      <c r="I269" s="129"/>
      <c r="J269" s="129"/>
      <c r="K269" s="129"/>
      <c r="L269" s="130"/>
      <c r="M269" s="162"/>
      <c r="N269" s="162"/>
      <c r="O269" s="163"/>
      <c r="Q269" s="161"/>
      <c r="R269" s="161"/>
      <c r="S269" s="161"/>
      <c r="T269" s="162"/>
      <c r="U269" s="162"/>
      <c r="V269" s="164"/>
      <c r="W269" s="163"/>
      <c r="X269" s="155"/>
      <c r="Y269" s="161"/>
      <c r="Z269" s="161"/>
      <c r="AA269" s="161"/>
      <c r="AB269" s="162"/>
      <c r="AC269" s="162"/>
      <c r="AD269" s="164"/>
      <c r="AE269" s="163"/>
      <c r="AF269" s="155"/>
      <c r="AG269" s="161"/>
      <c r="AH269" s="161"/>
      <c r="AI269" s="161"/>
      <c r="AJ269" s="162"/>
      <c r="AK269" s="162"/>
      <c r="AL269" s="164"/>
      <c r="AM269" s="163"/>
      <c r="AN269" s="155"/>
      <c r="AO269" s="161"/>
      <c r="AP269" s="161"/>
      <c r="AQ269" s="161"/>
      <c r="AR269" s="162"/>
      <c r="AS269" s="162"/>
      <c r="AT269" s="164"/>
      <c r="AU269" s="163"/>
    </row>
    <row r="270" spans="1:47" ht="15.95" customHeight="1" x14ac:dyDescent="0.2">
      <c r="A270" s="608"/>
      <c r="B270" s="608"/>
      <c r="C270" s="608"/>
      <c r="D270" s="609"/>
      <c r="E270" s="609"/>
      <c r="F270" s="610"/>
      <c r="G270" s="607" t="s">
        <v>169</v>
      </c>
      <c r="H270" s="113"/>
      <c r="I270" s="129"/>
      <c r="J270" s="129"/>
      <c r="K270" s="129"/>
      <c r="L270" s="130"/>
      <c r="M270" s="162"/>
      <c r="N270" s="162"/>
      <c r="O270" s="163"/>
      <c r="Q270" s="161"/>
      <c r="R270" s="161"/>
      <c r="S270" s="161"/>
      <c r="T270" s="162"/>
      <c r="U270" s="162"/>
      <c r="V270" s="164"/>
      <c r="W270" s="163"/>
      <c r="X270" s="155"/>
      <c r="Y270" s="161"/>
      <c r="Z270" s="161"/>
      <c r="AA270" s="161"/>
      <c r="AB270" s="162"/>
      <c r="AC270" s="162"/>
      <c r="AD270" s="164"/>
      <c r="AE270" s="163"/>
      <c r="AF270" s="155"/>
      <c r="AG270" s="161"/>
      <c r="AH270" s="161"/>
      <c r="AI270" s="161"/>
      <c r="AJ270" s="162"/>
      <c r="AK270" s="162"/>
      <c r="AL270" s="164"/>
      <c r="AM270" s="163"/>
      <c r="AN270" s="155"/>
      <c r="AO270" s="161"/>
      <c r="AP270" s="161"/>
      <c r="AQ270" s="161"/>
      <c r="AR270" s="162"/>
      <c r="AS270" s="162"/>
      <c r="AT270" s="164"/>
      <c r="AU270" s="163"/>
    </row>
    <row r="271" spans="1:47" ht="15.95" customHeight="1" x14ac:dyDescent="0.2">
      <c r="A271" s="608"/>
      <c r="B271" s="608"/>
      <c r="C271" s="608"/>
      <c r="D271" s="609"/>
      <c r="E271" s="609"/>
      <c r="F271" s="610"/>
      <c r="G271" s="607" t="s">
        <v>169</v>
      </c>
      <c r="H271" s="113"/>
      <c r="I271" s="129"/>
      <c r="J271" s="129"/>
      <c r="K271" s="129"/>
      <c r="L271" s="130"/>
      <c r="M271" s="162"/>
      <c r="N271" s="162"/>
      <c r="O271" s="163"/>
      <c r="Q271" s="161"/>
      <c r="R271" s="161"/>
      <c r="S271" s="161"/>
      <c r="T271" s="162"/>
      <c r="U271" s="162"/>
      <c r="V271" s="164"/>
      <c r="W271" s="163"/>
      <c r="X271" s="155"/>
      <c r="Y271" s="161"/>
      <c r="Z271" s="161"/>
      <c r="AA271" s="161"/>
      <c r="AB271" s="162"/>
      <c r="AC271" s="162"/>
      <c r="AD271" s="164"/>
      <c r="AE271" s="163"/>
      <c r="AF271" s="155"/>
      <c r="AG271" s="161"/>
      <c r="AH271" s="161"/>
      <c r="AI271" s="161"/>
      <c r="AJ271" s="162"/>
      <c r="AK271" s="162"/>
      <c r="AL271" s="164"/>
      <c r="AM271" s="163"/>
      <c r="AN271" s="155"/>
      <c r="AO271" s="161"/>
      <c r="AP271" s="161"/>
      <c r="AQ271" s="161"/>
      <c r="AR271" s="162"/>
      <c r="AS271" s="162"/>
      <c r="AT271" s="164"/>
      <c r="AU271" s="163"/>
    </row>
    <row r="272" spans="1:47" ht="15.95" customHeight="1" x14ac:dyDescent="0.2">
      <c r="A272" s="608"/>
      <c r="B272" s="608"/>
      <c r="C272" s="608"/>
      <c r="D272" s="609"/>
      <c r="E272" s="609"/>
      <c r="F272" s="610"/>
      <c r="G272" s="607" t="s">
        <v>169</v>
      </c>
      <c r="H272" s="113"/>
      <c r="I272" s="129"/>
      <c r="J272" s="129"/>
      <c r="K272" s="129"/>
      <c r="L272" s="130"/>
      <c r="M272" s="162"/>
      <c r="N272" s="162"/>
      <c r="O272" s="163"/>
      <c r="Q272" s="161"/>
      <c r="R272" s="161"/>
      <c r="S272" s="161"/>
      <c r="T272" s="162"/>
      <c r="U272" s="162"/>
      <c r="V272" s="164"/>
      <c r="W272" s="163"/>
      <c r="X272" s="155"/>
      <c r="Y272" s="161"/>
      <c r="Z272" s="161"/>
      <c r="AA272" s="161"/>
      <c r="AB272" s="162"/>
      <c r="AC272" s="162"/>
      <c r="AD272" s="164"/>
      <c r="AE272" s="163"/>
      <c r="AF272" s="155"/>
      <c r="AG272" s="161"/>
      <c r="AH272" s="161"/>
      <c r="AI272" s="161"/>
      <c r="AJ272" s="162"/>
      <c r="AK272" s="162"/>
      <c r="AL272" s="164"/>
      <c r="AM272" s="163"/>
      <c r="AN272" s="155"/>
      <c r="AO272" s="161"/>
      <c r="AP272" s="161"/>
      <c r="AQ272" s="161"/>
      <c r="AR272" s="162"/>
      <c r="AS272" s="162"/>
      <c r="AT272" s="164"/>
      <c r="AU272" s="163"/>
    </row>
    <row r="273" spans="1:47" ht="15.95" customHeight="1" x14ac:dyDescent="0.2">
      <c r="A273" s="608"/>
      <c r="B273" s="608"/>
      <c r="C273" s="608"/>
      <c r="D273" s="609"/>
      <c r="E273" s="609"/>
      <c r="F273" s="610"/>
      <c r="G273" s="607" t="s">
        <v>169</v>
      </c>
      <c r="H273" s="113"/>
      <c r="I273" s="129"/>
      <c r="J273" s="129"/>
      <c r="K273" s="129"/>
      <c r="L273" s="130"/>
      <c r="M273" s="162"/>
      <c r="N273" s="162"/>
      <c r="O273" s="163"/>
      <c r="Q273" s="161"/>
      <c r="R273" s="161"/>
      <c r="S273" s="161"/>
      <c r="T273" s="162"/>
      <c r="U273" s="162"/>
      <c r="V273" s="164"/>
      <c r="W273" s="163"/>
      <c r="X273" s="155"/>
      <c r="Y273" s="161"/>
      <c r="Z273" s="161"/>
      <c r="AA273" s="161"/>
      <c r="AB273" s="162"/>
      <c r="AC273" s="162"/>
      <c r="AD273" s="164"/>
      <c r="AE273" s="163"/>
      <c r="AF273" s="155"/>
      <c r="AG273" s="161"/>
      <c r="AH273" s="161"/>
      <c r="AI273" s="161"/>
      <c r="AJ273" s="162"/>
      <c r="AK273" s="162"/>
      <c r="AL273" s="164"/>
      <c r="AM273" s="163"/>
      <c r="AN273" s="155"/>
      <c r="AO273" s="161"/>
      <c r="AP273" s="161"/>
      <c r="AQ273" s="161"/>
      <c r="AR273" s="162"/>
      <c r="AS273" s="162"/>
      <c r="AT273" s="164"/>
      <c r="AU273" s="163"/>
    </row>
    <row r="274" spans="1:47" ht="15.95" customHeight="1" x14ac:dyDescent="0.2">
      <c r="A274" s="608"/>
      <c r="B274" s="608"/>
      <c r="C274" s="608"/>
      <c r="D274" s="609"/>
      <c r="E274" s="609"/>
      <c r="F274" s="610"/>
      <c r="G274" s="607" t="s">
        <v>169</v>
      </c>
      <c r="H274" s="113"/>
      <c r="I274" s="129"/>
      <c r="J274" s="129"/>
      <c r="K274" s="129"/>
      <c r="L274" s="130"/>
      <c r="M274" s="162"/>
      <c r="N274" s="162"/>
      <c r="O274" s="163"/>
      <c r="Q274" s="161"/>
      <c r="R274" s="161"/>
      <c r="S274" s="161"/>
      <c r="T274" s="162"/>
      <c r="U274" s="162"/>
      <c r="V274" s="164"/>
      <c r="W274" s="163"/>
      <c r="X274" s="155"/>
      <c r="Y274" s="161"/>
      <c r="Z274" s="161"/>
      <c r="AA274" s="161"/>
      <c r="AB274" s="162"/>
      <c r="AC274" s="162"/>
      <c r="AD274" s="164"/>
      <c r="AE274" s="163"/>
      <c r="AF274" s="155"/>
      <c r="AG274" s="161"/>
      <c r="AH274" s="161"/>
      <c r="AI274" s="161"/>
      <c r="AJ274" s="162"/>
      <c r="AK274" s="162"/>
      <c r="AL274" s="164"/>
      <c r="AM274" s="163"/>
      <c r="AN274" s="155"/>
      <c r="AO274" s="161"/>
      <c r="AP274" s="161"/>
      <c r="AQ274" s="161"/>
      <c r="AR274" s="162"/>
      <c r="AS274" s="162"/>
      <c r="AT274" s="164"/>
      <c r="AU274" s="163"/>
    </row>
    <row r="275" spans="1:47" ht="15.95" customHeight="1" x14ac:dyDescent="0.2">
      <c r="A275" s="608"/>
      <c r="B275" s="608"/>
      <c r="C275" s="608"/>
      <c r="D275" s="609"/>
      <c r="E275" s="609"/>
      <c r="F275" s="610"/>
      <c r="G275" s="607" t="s">
        <v>169</v>
      </c>
      <c r="H275" s="113"/>
      <c r="I275" s="129"/>
      <c r="J275" s="129"/>
      <c r="K275" s="129"/>
      <c r="L275" s="130"/>
      <c r="M275" s="162"/>
      <c r="N275" s="162"/>
      <c r="O275" s="163"/>
      <c r="Q275" s="161"/>
      <c r="R275" s="161"/>
      <c r="S275" s="161"/>
      <c r="T275" s="162"/>
      <c r="U275" s="162"/>
      <c r="V275" s="164"/>
      <c r="W275" s="163"/>
      <c r="X275" s="155"/>
      <c r="Y275" s="161"/>
      <c r="Z275" s="161"/>
      <c r="AA275" s="161"/>
      <c r="AB275" s="162"/>
      <c r="AC275" s="162"/>
      <c r="AD275" s="164"/>
      <c r="AE275" s="163"/>
      <c r="AF275" s="155"/>
      <c r="AG275" s="161"/>
      <c r="AH275" s="161"/>
      <c r="AI275" s="161"/>
      <c r="AJ275" s="162"/>
      <c r="AK275" s="162"/>
      <c r="AL275" s="164"/>
      <c r="AM275" s="163"/>
      <c r="AN275" s="155"/>
      <c r="AO275" s="161"/>
      <c r="AP275" s="161"/>
      <c r="AQ275" s="161"/>
      <c r="AR275" s="162"/>
      <c r="AS275" s="162"/>
      <c r="AT275" s="164"/>
      <c r="AU275" s="163"/>
    </row>
    <row r="276" spans="1:47" ht="15.95" customHeight="1" x14ac:dyDescent="0.2">
      <c r="A276" s="608"/>
      <c r="B276" s="608"/>
      <c r="C276" s="608"/>
      <c r="D276" s="609"/>
      <c r="E276" s="609"/>
      <c r="F276" s="610"/>
      <c r="G276" s="607" t="s">
        <v>169</v>
      </c>
      <c r="H276" s="113"/>
      <c r="I276" s="129"/>
      <c r="J276" s="129"/>
      <c r="K276" s="129"/>
      <c r="L276" s="130"/>
      <c r="M276" s="162"/>
      <c r="N276" s="162"/>
      <c r="O276" s="163"/>
      <c r="Q276" s="161"/>
      <c r="R276" s="161"/>
      <c r="S276" s="161"/>
      <c r="T276" s="162"/>
      <c r="U276" s="162"/>
      <c r="V276" s="164"/>
      <c r="W276" s="163"/>
      <c r="X276" s="155"/>
      <c r="Y276" s="161"/>
      <c r="Z276" s="161"/>
      <c r="AA276" s="161"/>
      <c r="AB276" s="162"/>
      <c r="AC276" s="162"/>
      <c r="AD276" s="164"/>
      <c r="AE276" s="163"/>
      <c r="AF276" s="155"/>
      <c r="AG276" s="161"/>
      <c r="AH276" s="161"/>
      <c r="AI276" s="161"/>
      <c r="AJ276" s="162"/>
      <c r="AK276" s="162"/>
      <c r="AL276" s="164"/>
      <c r="AM276" s="163"/>
      <c r="AN276" s="155"/>
      <c r="AO276" s="161"/>
      <c r="AP276" s="161"/>
      <c r="AQ276" s="161"/>
      <c r="AR276" s="162"/>
      <c r="AS276" s="162"/>
      <c r="AT276" s="164"/>
      <c r="AU276" s="163"/>
    </row>
    <row r="277" spans="1:47" ht="15.95" customHeight="1" x14ac:dyDescent="0.2">
      <c r="A277" s="608"/>
      <c r="B277" s="608"/>
      <c r="C277" s="608"/>
      <c r="D277" s="609"/>
      <c r="E277" s="609"/>
      <c r="F277" s="610"/>
      <c r="G277" s="607" t="s">
        <v>169</v>
      </c>
      <c r="H277" s="113"/>
      <c r="I277" s="129"/>
      <c r="J277" s="129"/>
      <c r="K277" s="129"/>
      <c r="L277" s="130"/>
      <c r="M277" s="162"/>
      <c r="N277" s="162"/>
      <c r="O277" s="163"/>
      <c r="Q277" s="161"/>
      <c r="R277" s="161"/>
      <c r="S277" s="161"/>
      <c r="T277" s="162"/>
      <c r="U277" s="162"/>
      <c r="V277" s="164"/>
      <c r="W277" s="163"/>
      <c r="X277" s="155"/>
      <c r="Y277" s="161"/>
      <c r="Z277" s="161"/>
      <c r="AA277" s="161"/>
      <c r="AB277" s="162"/>
      <c r="AC277" s="162"/>
      <c r="AD277" s="164"/>
      <c r="AE277" s="163"/>
      <c r="AF277" s="155"/>
      <c r="AG277" s="161"/>
      <c r="AH277" s="161"/>
      <c r="AI277" s="161"/>
      <c r="AJ277" s="162"/>
      <c r="AK277" s="162"/>
      <c r="AL277" s="164"/>
      <c r="AM277" s="163"/>
      <c r="AN277" s="155"/>
      <c r="AO277" s="161"/>
      <c r="AP277" s="161"/>
      <c r="AQ277" s="161"/>
      <c r="AR277" s="162"/>
      <c r="AS277" s="162"/>
      <c r="AT277" s="164"/>
      <c r="AU277" s="163"/>
    </row>
    <row r="278" spans="1:47" ht="15.95" customHeight="1" x14ac:dyDescent="0.2">
      <c r="A278" s="608"/>
      <c r="B278" s="608"/>
      <c r="C278" s="608"/>
      <c r="D278" s="609"/>
      <c r="E278" s="609"/>
      <c r="F278" s="610"/>
      <c r="G278" s="607" t="s">
        <v>169</v>
      </c>
      <c r="H278" s="113"/>
      <c r="I278" s="129"/>
      <c r="J278" s="129"/>
      <c r="K278" s="129"/>
      <c r="L278" s="130"/>
      <c r="M278" s="162"/>
      <c r="N278" s="162"/>
      <c r="O278" s="163"/>
      <c r="Q278" s="161"/>
      <c r="R278" s="161"/>
      <c r="S278" s="161"/>
      <c r="T278" s="162"/>
      <c r="U278" s="162"/>
      <c r="V278" s="164"/>
      <c r="W278" s="163"/>
      <c r="X278" s="155"/>
      <c r="Y278" s="161"/>
      <c r="Z278" s="161"/>
      <c r="AA278" s="161"/>
      <c r="AB278" s="162"/>
      <c r="AC278" s="162"/>
      <c r="AD278" s="164"/>
      <c r="AE278" s="163"/>
      <c r="AF278" s="155"/>
      <c r="AG278" s="161"/>
      <c r="AH278" s="161"/>
      <c r="AI278" s="161"/>
      <c r="AJ278" s="162"/>
      <c r="AK278" s="162"/>
      <c r="AL278" s="164"/>
      <c r="AM278" s="163"/>
      <c r="AN278" s="155"/>
      <c r="AO278" s="161"/>
      <c r="AP278" s="161"/>
      <c r="AQ278" s="161"/>
      <c r="AR278" s="162"/>
      <c r="AS278" s="162"/>
      <c r="AT278" s="164"/>
      <c r="AU278" s="163"/>
    </row>
    <row r="279" spans="1:47" ht="15.95" customHeight="1" x14ac:dyDescent="0.2">
      <c r="A279" s="608"/>
      <c r="B279" s="608"/>
      <c r="C279" s="608"/>
      <c r="D279" s="609"/>
      <c r="E279" s="609"/>
      <c r="F279" s="610"/>
      <c r="G279" s="607" t="s">
        <v>169</v>
      </c>
      <c r="H279" s="113"/>
      <c r="I279" s="129"/>
      <c r="J279" s="129"/>
      <c r="K279" s="129"/>
      <c r="L279" s="130"/>
      <c r="M279" s="162"/>
      <c r="N279" s="162"/>
      <c r="O279" s="163"/>
      <c r="Q279" s="161"/>
      <c r="R279" s="161"/>
      <c r="S279" s="161"/>
      <c r="T279" s="162"/>
      <c r="U279" s="162"/>
      <c r="V279" s="164"/>
      <c r="W279" s="163"/>
      <c r="X279" s="155"/>
      <c r="Y279" s="161"/>
      <c r="Z279" s="161"/>
      <c r="AA279" s="161"/>
      <c r="AB279" s="162"/>
      <c r="AC279" s="162"/>
      <c r="AD279" s="164"/>
      <c r="AE279" s="163"/>
      <c r="AF279" s="155"/>
      <c r="AG279" s="161"/>
      <c r="AH279" s="161"/>
      <c r="AI279" s="161"/>
      <c r="AJ279" s="162"/>
      <c r="AK279" s="162"/>
      <c r="AL279" s="164"/>
      <c r="AM279" s="163"/>
      <c r="AN279" s="155"/>
      <c r="AO279" s="161"/>
      <c r="AP279" s="161"/>
      <c r="AQ279" s="161"/>
      <c r="AR279" s="162"/>
      <c r="AS279" s="162"/>
      <c r="AT279" s="164"/>
      <c r="AU279" s="163"/>
    </row>
    <row r="280" spans="1:47" ht="15.95" customHeight="1" x14ac:dyDescent="0.2">
      <c r="A280" s="608"/>
      <c r="B280" s="608"/>
      <c r="C280" s="608"/>
      <c r="D280" s="609"/>
      <c r="E280" s="609"/>
      <c r="F280" s="610"/>
      <c r="G280" s="607" t="s">
        <v>169</v>
      </c>
      <c r="H280" s="113"/>
      <c r="I280" s="129"/>
      <c r="J280" s="129"/>
      <c r="K280" s="129"/>
      <c r="L280" s="130"/>
      <c r="M280" s="162"/>
      <c r="N280" s="162"/>
      <c r="O280" s="163"/>
      <c r="Q280" s="161"/>
      <c r="R280" s="161"/>
      <c r="S280" s="161"/>
      <c r="T280" s="162"/>
      <c r="U280" s="162"/>
      <c r="V280" s="164"/>
      <c r="W280" s="163"/>
      <c r="X280" s="155"/>
      <c r="Y280" s="161"/>
      <c r="Z280" s="161"/>
      <c r="AA280" s="161"/>
      <c r="AB280" s="162"/>
      <c r="AC280" s="162"/>
      <c r="AD280" s="164"/>
      <c r="AE280" s="163"/>
      <c r="AF280" s="155"/>
      <c r="AG280" s="161"/>
      <c r="AH280" s="161"/>
      <c r="AI280" s="161"/>
      <c r="AJ280" s="162"/>
      <c r="AK280" s="162"/>
      <c r="AL280" s="164"/>
      <c r="AM280" s="163"/>
      <c r="AN280" s="155"/>
      <c r="AO280" s="161"/>
      <c r="AP280" s="161"/>
      <c r="AQ280" s="161"/>
      <c r="AR280" s="162"/>
      <c r="AS280" s="162"/>
      <c r="AT280" s="164"/>
      <c r="AU280" s="163"/>
    </row>
    <row r="281" spans="1:47" ht="15.95" customHeight="1" x14ac:dyDescent="0.2">
      <c r="A281" s="608"/>
      <c r="B281" s="608"/>
      <c r="C281" s="608"/>
      <c r="D281" s="609"/>
      <c r="E281" s="609"/>
      <c r="F281" s="610"/>
      <c r="G281" s="607" t="s">
        <v>169</v>
      </c>
      <c r="H281" s="113"/>
      <c r="I281" s="129"/>
      <c r="J281" s="129"/>
      <c r="K281" s="129"/>
      <c r="L281" s="130"/>
      <c r="M281" s="162"/>
      <c r="N281" s="162"/>
      <c r="O281" s="163"/>
      <c r="Q281" s="161"/>
      <c r="R281" s="161"/>
      <c r="S281" s="161"/>
      <c r="T281" s="162"/>
      <c r="U281" s="162"/>
      <c r="V281" s="164"/>
      <c r="W281" s="163"/>
      <c r="X281" s="155"/>
      <c r="Y281" s="161"/>
      <c r="Z281" s="161"/>
      <c r="AA281" s="161"/>
      <c r="AB281" s="162"/>
      <c r="AC281" s="162"/>
      <c r="AD281" s="164"/>
      <c r="AE281" s="163"/>
      <c r="AF281" s="155"/>
      <c r="AG281" s="161"/>
      <c r="AH281" s="161"/>
      <c r="AI281" s="161"/>
      <c r="AJ281" s="162"/>
      <c r="AK281" s="162"/>
      <c r="AL281" s="164"/>
      <c r="AM281" s="163"/>
      <c r="AN281" s="155"/>
      <c r="AO281" s="161"/>
      <c r="AP281" s="161"/>
      <c r="AQ281" s="161"/>
      <c r="AR281" s="162"/>
      <c r="AS281" s="162"/>
      <c r="AT281" s="164"/>
      <c r="AU281" s="163"/>
    </row>
    <row r="282" spans="1:47" ht="15.95" customHeight="1" x14ac:dyDescent="0.2">
      <c r="A282" s="608"/>
      <c r="B282" s="608"/>
      <c r="C282" s="608"/>
      <c r="D282" s="609"/>
      <c r="E282" s="609"/>
      <c r="F282" s="610"/>
      <c r="G282" s="607" t="s">
        <v>169</v>
      </c>
      <c r="H282" s="113"/>
      <c r="I282" s="129"/>
      <c r="J282" s="129"/>
      <c r="K282" s="129"/>
      <c r="L282" s="130"/>
      <c r="M282" s="162"/>
      <c r="N282" s="162"/>
      <c r="O282" s="163"/>
      <c r="Q282" s="161"/>
      <c r="R282" s="161"/>
      <c r="S282" s="161"/>
      <c r="T282" s="162"/>
      <c r="U282" s="162"/>
      <c r="V282" s="164"/>
      <c r="W282" s="163"/>
      <c r="X282" s="155"/>
      <c r="Y282" s="161"/>
      <c r="Z282" s="161"/>
      <c r="AA282" s="161"/>
      <c r="AB282" s="162"/>
      <c r="AC282" s="162"/>
      <c r="AD282" s="164"/>
      <c r="AE282" s="163"/>
      <c r="AF282" s="155"/>
      <c r="AG282" s="161"/>
      <c r="AH282" s="161"/>
      <c r="AI282" s="161"/>
      <c r="AJ282" s="162"/>
      <c r="AK282" s="162"/>
      <c r="AL282" s="164"/>
      <c r="AM282" s="163"/>
      <c r="AN282" s="155"/>
      <c r="AO282" s="161"/>
      <c r="AP282" s="161"/>
      <c r="AQ282" s="161"/>
      <c r="AR282" s="162"/>
      <c r="AS282" s="162"/>
      <c r="AT282" s="164"/>
      <c r="AU282" s="163"/>
    </row>
    <row r="283" spans="1:47" ht="15.95" customHeight="1" x14ac:dyDescent="0.2">
      <c r="A283" s="608"/>
      <c r="B283" s="608"/>
      <c r="C283" s="608"/>
      <c r="D283" s="609"/>
      <c r="E283" s="609"/>
      <c r="F283" s="610"/>
      <c r="G283" s="607" t="s">
        <v>169</v>
      </c>
      <c r="H283" s="113"/>
      <c r="I283" s="129"/>
      <c r="J283" s="129"/>
      <c r="K283" s="129"/>
      <c r="L283" s="130"/>
      <c r="M283" s="162"/>
      <c r="N283" s="162"/>
      <c r="O283" s="163"/>
      <c r="Q283" s="161"/>
      <c r="R283" s="161"/>
      <c r="S283" s="161"/>
      <c r="T283" s="162"/>
      <c r="U283" s="162"/>
      <c r="V283" s="164"/>
      <c r="W283" s="163"/>
      <c r="X283" s="155"/>
      <c r="Y283" s="161"/>
      <c r="Z283" s="161"/>
      <c r="AA283" s="161"/>
      <c r="AB283" s="162"/>
      <c r="AC283" s="162"/>
      <c r="AD283" s="164"/>
      <c r="AE283" s="163"/>
      <c r="AF283" s="155"/>
      <c r="AG283" s="161"/>
      <c r="AH283" s="161"/>
      <c r="AI283" s="161"/>
      <c r="AJ283" s="162"/>
      <c r="AK283" s="162"/>
      <c r="AL283" s="164"/>
      <c r="AM283" s="163"/>
      <c r="AN283" s="155"/>
      <c r="AO283" s="161"/>
      <c r="AP283" s="161"/>
      <c r="AQ283" s="161"/>
      <c r="AR283" s="162"/>
      <c r="AS283" s="162"/>
      <c r="AT283" s="164"/>
      <c r="AU283" s="163"/>
    </row>
    <row r="284" spans="1:47" ht="15.95" customHeight="1" x14ac:dyDescent="0.2">
      <c r="A284" s="608"/>
      <c r="B284" s="608"/>
      <c r="C284" s="608"/>
      <c r="D284" s="609"/>
      <c r="E284" s="609"/>
      <c r="F284" s="610"/>
      <c r="G284" s="607" t="s">
        <v>169</v>
      </c>
      <c r="H284" s="113"/>
      <c r="I284" s="129"/>
      <c r="J284" s="129"/>
      <c r="K284" s="129"/>
      <c r="L284" s="130"/>
      <c r="M284" s="162"/>
      <c r="N284" s="162"/>
      <c r="O284" s="163"/>
      <c r="Q284" s="161"/>
      <c r="R284" s="161"/>
      <c r="S284" s="161"/>
      <c r="T284" s="162"/>
      <c r="U284" s="162"/>
      <c r="V284" s="164"/>
      <c r="W284" s="163"/>
      <c r="X284" s="155"/>
      <c r="Y284" s="161"/>
      <c r="Z284" s="161"/>
      <c r="AA284" s="161"/>
      <c r="AB284" s="162"/>
      <c r="AC284" s="162"/>
      <c r="AD284" s="164"/>
      <c r="AE284" s="163"/>
      <c r="AF284" s="155"/>
      <c r="AG284" s="161"/>
      <c r="AH284" s="161"/>
      <c r="AI284" s="161"/>
      <c r="AJ284" s="162"/>
      <c r="AK284" s="162"/>
      <c r="AL284" s="164"/>
      <c r="AM284" s="163"/>
      <c r="AN284" s="155"/>
      <c r="AO284" s="161"/>
      <c r="AP284" s="161"/>
      <c r="AQ284" s="161"/>
      <c r="AR284" s="162"/>
      <c r="AS284" s="162"/>
      <c r="AT284" s="164"/>
      <c r="AU284" s="163"/>
    </row>
    <row r="285" spans="1:47" ht="15.95" customHeight="1" x14ac:dyDescent="0.2">
      <c r="A285" s="608"/>
      <c r="B285" s="608"/>
      <c r="C285" s="608"/>
      <c r="D285" s="609"/>
      <c r="E285" s="609"/>
      <c r="F285" s="610"/>
      <c r="G285" s="607" t="s">
        <v>169</v>
      </c>
      <c r="H285" s="113"/>
      <c r="I285" s="129"/>
      <c r="J285" s="129"/>
      <c r="K285" s="129"/>
      <c r="L285" s="130"/>
      <c r="M285" s="162"/>
      <c r="N285" s="162"/>
      <c r="O285" s="163"/>
      <c r="Q285" s="161"/>
      <c r="R285" s="161"/>
      <c r="S285" s="161"/>
      <c r="T285" s="162"/>
      <c r="U285" s="162"/>
      <c r="V285" s="164"/>
      <c r="W285" s="163"/>
      <c r="X285" s="155"/>
      <c r="Y285" s="161"/>
      <c r="Z285" s="161"/>
      <c r="AA285" s="161"/>
      <c r="AB285" s="162"/>
      <c r="AC285" s="162"/>
      <c r="AD285" s="164"/>
      <c r="AE285" s="163"/>
      <c r="AF285" s="155"/>
      <c r="AG285" s="161"/>
      <c r="AH285" s="161"/>
      <c r="AI285" s="161"/>
      <c r="AJ285" s="162"/>
      <c r="AK285" s="162"/>
      <c r="AL285" s="164"/>
      <c r="AM285" s="163"/>
      <c r="AN285" s="155"/>
      <c r="AO285" s="161"/>
      <c r="AP285" s="161"/>
      <c r="AQ285" s="161"/>
      <c r="AR285" s="162"/>
      <c r="AS285" s="162"/>
      <c r="AT285" s="164"/>
      <c r="AU285" s="163"/>
    </row>
    <row r="286" spans="1:47" ht="15.95" customHeight="1" x14ac:dyDescent="0.2">
      <c r="A286" s="608"/>
      <c r="B286" s="608"/>
      <c r="C286" s="608"/>
      <c r="D286" s="609"/>
      <c r="E286" s="609"/>
      <c r="F286" s="610"/>
      <c r="G286" s="607" t="s">
        <v>169</v>
      </c>
      <c r="H286" s="113"/>
      <c r="I286" s="129"/>
      <c r="J286" s="129"/>
      <c r="K286" s="129"/>
      <c r="L286" s="130"/>
      <c r="M286" s="162"/>
      <c r="N286" s="162"/>
      <c r="O286" s="163"/>
      <c r="Q286" s="161"/>
      <c r="R286" s="161"/>
      <c r="S286" s="161"/>
      <c r="T286" s="162"/>
      <c r="U286" s="162"/>
      <c r="V286" s="164"/>
      <c r="W286" s="163"/>
      <c r="X286" s="155"/>
      <c r="Y286" s="161"/>
      <c r="Z286" s="161"/>
      <c r="AA286" s="161"/>
      <c r="AB286" s="162"/>
      <c r="AC286" s="162"/>
      <c r="AD286" s="164"/>
      <c r="AE286" s="163"/>
      <c r="AF286" s="155"/>
      <c r="AG286" s="161"/>
      <c r="AH286" s="161"/>
      <c r="AI286" s="161"/>
      <c r="AJ286" s="162"/>
      <c r="AK286" s="162"/>
      <c r="AL286" s="164"/>
      <c r="AM286" s="163"/>
      <c r="AN286" s="155"/>
      <c r="AO286" s="161"/>
      <c r="AP286" s="161"/>
      <c r="AQ286" s="161"/>
      <c r="AR286" s="162"/>
      <c r="AS286" s="162"/>
      <c r="AT286" s="164"/>
      <c r="AU286" s="163"/>
    </row>
    <row r="287" spans="1:47" ht="15.95" customHeight="1" x14ac:dyDescent="0.2">
      <c r="A287" s="608"/>
      <c r="B287" s="608"/>
      <c r="C287" s="608"/>
      <c r="D287" s="609"/>
      <c r="E287" s="609"/>
      <c r="F287" s="610"/>
      <c r="G287" s="607" t="s">
        <v>169</v>
      </c>
      <c r="H287" s="113"/>
      <c r="I287" s="129"/>
      <c r="J287" s="129"/>
      <c r="K287" s="129"/>
      <c r="L287" s="130"/>
      <c r="M287" s="162"/>
      <c r="N287" s="162"/>
      <c r="O287" s="163"/>
      <c r="Q287" s="161"/>
      <c r="R287" s="161"/>
      <c r="S287" s="161"/>
      <c r="T287" s="162"/>
      <c r="U287" s="162"/>
      <c r="V287" s="164"/>
      <c r="W287" s="163"/>
      <c r="X287" s="155"/>
      <c r="Y287" s="161"/>
      <c r="Z287" s="161"/>
      <c r="AA287" s="161"/>
      <c r="AB287" s="162"/>
      <c r="AC287" s="162"/>
      <c r="AD287" s="164"/>
      <c r="AE287" s="163"/>
      <c r="AF287" s="155"/>
      <c r="AG287" s="161"/>
      <c r="AH287" s="161"/>
      <c r="AI287" s="161"/>
      <c r="AJ287" s="162"/>
      <c r="AK287" s="162"/>
      <c r="AL287" s="164"/>
      <c r="AM287" s="163"/>
      <c r="AN287" s="155"/>
      <c r="AO287" s="161"/>
      <c r="AP287" s="161"/>
      <c r="AQ287" s="161"/>
      <c r="AR287" s="162"/>
      <c r="AS287" s="162"/>
      <c r="AT287" s="164"/>
      <c r="AU287" s="163"/>
    </row>
    <row r="288" spans="1:47" ht="15.95" customHeight="1" x14ac:dyDescent="0.2">
      <c r="A288" s="608"/>
      <c r="B288" s="608"/>
      <c r="C288" s="608"/>
      <c r="D288" s="609"/>
      <c r="E288" s="609"/>
      <c r="F288" s="610"/>
      <c r="G288" s="607" t="s">
        <v>169</v>
      </c>
      <c r="H288" s="113"/>
      <c r="I288" s="129"/>
      <c r="J288" s="129"/>
      <c r="K288" s="129"/>
      <c r="L288" s="130"/>
      <c r="M288" s="162"/>
      <c r="N288" s="162"/>
      <c r="O288" s="163"/>
      <c r="Q288" s="161"/>
      <c r="R288" s="161"/>
      <c r="S288" s="161"/>
      <c r="T288" s="162"/>
      <c r="U288" s="162"/>
      <c r="V288" s="164"/>
      <c r="W288" s="163"/>
      <c r="X288" s="155"/>
      <c r="Y288" s="161"/>
      <c r="Z288" s="161"/>
      <c r="AA288" s="161"/>
      <c r="AB288" s="162"/>
      <c r="AC288" s="162"/>
      <c r="AD288" s="164"/>
      <c r="AE288" s="163"/>
      <c r="AF288" s="155"/>
      <c r="AG288" s="161"/>
      <c r="AH288" s="161"/>
      <c r="AI288" s="161"/>
      <c r="AJ288" s="162"/>
      <c r="AK288" s="162"/>
      <c r="AL288" s="164"/>
      <c r="AM288" s="163"/>
      <c r="AN288" s="155"/>
      <c r="AO288" s="161"/>
      <c r="AP288" s="161"/>
      <c r="AQ288" s="161"/>
      <c r="AR288" s="162"/>
      <c r="AS288" s="162"/>
      <c r="AT288" s="164"/>
      <c r="AU288" s="163"/>
    </row>
    <row r="289" spans="1:47" ht="15.95" customHeight="1" x14ac:dyDescent="0.2">
      <c r="A289" s="608"/>
      <c r="B289" s="608"/>
      <c r="C289" s="608"/>
      <c r="D289" s="609"/>
      <c r="E289" s="609"/>
      <c r="F289" s="610"/>
      <c r="G289" s="607" t="s">
        <v>169</v>
      </c>
      <c r="H289" s="113"/>
      <c r="I289" s="129"/>
      <c r="J289" s="129"/>
      <c r="K289" s="129"/>
      <c r="L289" s="130"/>
      <c r="M289" s="162"/>
      <c r="N289" s="162"/>
      <c r="O289" s="163"/>
      <c r="Q289" s="161"/>
      <c r="R289" s="161"/>
      <c r="S289" s="161"/>
      <c r="T289" s="162"/>
      <c r="U289" s="162"/>
      <c r="V289" s="164"/>
      <c r="W289" s="163"/>
      <c r="X289" s="155"/>
      <c r="Y289" s="161"/>
      <c r="Z289" s="161"/>
      <c r="AA289" s="161"/>
      <c r="AB289" s="162"/>
      <c r="AC289" s="162"/>
      <c r="AD289" s="164"/>
      <c r="AE289" s="163"/>
      <c r="AF289" s="155"/>
      <c r="AG289" s="161"/>
      <c r="AH289" s="161"/>
      <c r="AI289" s="161"/>
      <c r="AJ289" s="162"/>
      <c r="AK289" s="162"/>
      <c r="AL289" s="164"/>
      <c r="AM289" s="163"/>
      <c r="AN289" s="155"/>
      <c r="AO289" s="161"/>
      <c r="AP289" s="161"/>
      <c r="AQ289" s="161"/>
      <c r="AR289" s="162"/>
      <c r="AS289" s="162"/>
      <c r="AT289" s="164"/>
      <c r="AU289" s="163"/>
    </row>
    <row r="290" spans="1:47" ht="15.95" customHeight="1" x14ac:dyDescent="0.2">
      <c r="A290" s="608"/>
      <c r="B290" s="608"/>
      <c r="C290" s="608"/>
      <c r="D290" s="609"/>
      <c r="E290" s="609"/>
      <c r="F290" s="610"/>
      <c r="G290" s="607" t="s">
        <v>169</v>
      </c>
      <c r="H290" s="113"/>
      <c r="I290" s="129"/>
      <c r="J290" s="129"/>
      <c r="K290" s="129"/>
      <c r="L290" s="130"/>
      <c r="M290" s="162"/>
      <c r="N290" s="162"/>
      <c r="O290" s="163"/>
      <c r="Q290" s="161"/>
      <c r="R290" s="161"/>
      <c r="S290" s="161"/>
      <c r="T290" s="162"/>
      <c r="U290" s="162"/>
      <c r="V290" s="164"/>
      <c r="W290" s="163"/>
      <c r="X290" s="155"/>
      <c r="Y290" s="161"/>
      <c r="Z290" s="161"/>
      <c r="AA290" s="161"/>
      <c r="AB290" s="162"/>
      <c r="AC290" s="162"/>
      <c r="AD290" s="164"/>
      <c r="AE290" s="163"/>
      <c r="AF290" s="155"/>
      <c r="AG290" s="161"/>
      <c r="AH290" s="161"/>
      <c r="AI290" s="161"/>
      <c r="AJ290" s="162"/>
      <c r="AK290" s="162"/>
      <c r="AL290" s="164"/>
      <c r="AM290" s="163"/>
      <c r="AN290" s="155"/>
      <c r="AO290" s="161"/>
      <c r="AP290" s="161"/>
      <c r="AQ290" s="161"/>
      <c r="AR290" s="162"/>
      <c r="AS290" s="162"/>
      <c r="AT290" s="164"/>
      <c r="AU290" s="163"/>
    </row>
    <row r="291" spans="1:47" ht="15.95" customHeight="1" x14ac:dyDescent="0.2">
      <c r="A291" s="608"/>
      <c r="B291" s="608"/>
      <c r="C291" s="608"/>
      <c r="D291" s="609"/>
      <c r="E291" s="609"/>
      <c r="F291" s="610"/>
      <c r="G291" s="607" t="s">
        <v>169</v>
      </c>
      <c r="H291" s="113"/>
      <c r="I291" s="129"/>
      <c r="J291" s="129"/>
      <c r="K291" s="129"/>
      <c r="L291" s="130"/>
      <c r="M291" s="162"/>
      <c r="N291" s="162"/>
      <c r="O291" s="163"/>
      <c r="Q291" s="161"/>
      <c r="R291" s="161"/>
      <c r="S291" s="161"/>
      <c r="T291" s="162"/>
      <c r="U291" s="162"/>
      <c r="V291" s="164"/>
      <c r="W291" s="163"/>
      <c r="X291" s="155"/>
      <c r="Y291" s="161"/>
      <c r="Z291" s="161"/>
      <c r="AA291" s="161"/>
      <c r="AB291" s="162"/>
      <c r="AC291" s="162"/>
      <c r="AD291" s="164"/>
      <c r="AE291" s="163"/>
      <c r="AF291" s="155"/>
      <c r="AG291" s="161"/>
      <c r="AH291" s="161"/>
      <c r="AI291" s="161"/>
      <c r="AJ291" s="162"/>
      <c r="AK291" s="162"/>
      <c r="AL291" s="164"/>
      <c r="AM291" s="163"/>
      <c r="AN291" s="155"/>
      <c r="AO291" s="161"/>
      <c r="AP291" s="161"/>
      <c r="AQ291" s="161"/>
      <c r="AR291" s="162"/>
      <c r="AS291" s="162"/>
      <c r="AT291" s="164"/>
      <c r="AU291" s="163"/>
    </row>
    <row r="292" spans="1:47" ht="15.95" customHeight="1" x14ac:dyDescent="0.2">
      <c r="A292" s="608"/>
      <c r="B292" s="608"/>
      <c r="C292" s="608"/>
      <c r="D292" s="609"/>
      <c r="E292" s="609"/>
      <c r="F292" s="610"/>
      <c r="G292" s="607" t="s">
        <v>169</v>
      </c>
      <c r="H292" s="113"/>
      <c r="I292" s="129"/>
      <c r="J292" s="129"/>
      <c r="K292" s="129"/>
      <c r="L292" s="130"/>
      <c r="M292" s="162"/>
      <c r="N292" s="162"/>
      <c r="O292" s="163"/>
      <c r="Q292" s="161"/>
      <c r="R292" s="161"/>
      <c r="S292" s="161"/>
      <c r="T292" s="162"/>
      <c r="U292" s="162"/>
      <c r="V292" s="164"/>
      <c r="W292" s="163"/>
      <c r="X292" s="155"/>
      <c r="Y292" s="161"/>
      <c r="Z292" s="161"/>
      <c r="AA292" s="161"/>
      <c r="AB292" s="162"/>
      <c r="AC292" s="162"/>
      <c r="AD292" s="164"/>
      <c r="AE292" s="163"/>
      <c r="AF292" s="155"/>
      <c r="AG292" s="161"/>
      <c r="AH292" s="161"/>
      <c r="AI292" s="161"/>
      <c r="AJ292" s="162"/>
      <c r="AK292" s="162"/>
      <c r="AL292" s="164"/>
      <c r="AM292" s="163"/>
      <c r="AN292" s="155"/>
      <c r="AO292" s="161"/>
      <c r="AP292" s="161"/>
      <c r="AQ292" s="161"/>
      <c r="AR292" s="162"/>
      <c r="AS292" s="162"/>
      <c r="AT292" s="164"/>
      <c r="AU292" s="163"/>
    </row>
    <row r="293" spans="1:47" ht="15.95" customHeight="1" x14ac:dyDescent="0.2">
      <c r="A293" s="608"/>
      <c r="B293" s="608"/>
      <c r="C293" s="608"/>
      <c r="D293" s="609"/>
      <c r="E293" s="609"/>
      <c r="F293" s="610"/>
      <c r="G293" s="607" t="s">
        <v>169</v>
      </c>
      <c r="H293" s="113"/>
      <c r="I293" s="129"/>
      <c r="J293" s="129"/>
      <c r="K293" s="129"/>
      <c r="L293" s="130"/>
      <c r="M293" s="162"/>
      <c r="N293" s="162"/>
      <c r="O293" s="163"/>
      <c r="Q293" s="161"/>
      <c r="R293" s="161"/>
      <c r="S293" s="161"/>
      <c r="T293" s="162"/>
      <c r="U293" s="162"/>
      <c r="V293" s="164"/>
      <c r="W293" s="163"/>
      <c r="X293" s="155"/>
      <c r="Y293" s="161"/>
      <c r="Z293" s="161"/>
      <c r="AA293" s="161"/>
      <c r="AB293" s="162"/>
      <c r="AC293" s="162"/>
      <c r="AD293" s="164"/>
      <c r="AE293" s="163"/>
      <c r="AF293" s="155"/>
      <c r="AG293" s="161"/>
      <c r="AH293" s="161"/>
      <c r="AI293" s="161"/>
      <c r="AJ293" s="162"/>
      <c r="AK293" s="162"/>
      <c r="AL293" s="164"/>
      <c r="AM293" s="163"/>
      <c r="AN293" s="155"/>
      <c r="AO293" s="161"/>
      <c r="AP293" s="161"/>
      <c r="AQ293" s="161"/>
      <c r="AR293" s="162"/>
      <c r="AS293" s="162"/>
      <c r="AT293" s="164"/>
      <c r="AU293" s="163"/>
    </row>
    <row r="294" spans="1:47" ht="15.95" customHeight="1" x14ac:dyDescent="0.2">
      <c r="A294" s="608"/>
      <c r="B294" s="608"/>
      <c r="C294" s="608"/>
      <c r="D294" s="609"/>
      <c r="E294" s="609"/>
      <c r="F294" s="610"/>
      <c r="G294" s="607" t="s">
        <v>169</v>
      </c>
      <c r="H294" s="113"/>
      <c r="I294" s="129"/>
      <c r="J294" s="129"/>
      <c r="K294" s="129"/>
      <c r="L294" s="130"/>
      <c r="M294" s="162"/>
      <c r="N294" s="162"/>
      <c r="O294" s="163"/>
      <c r="Q294" s="161"/>
      <c r="R294" s="161"/>
      <c r="S294" s="161"/>
      <c r="T294" s="162"/>
      <c r="U294" s="162"/>
      <c r="V294" s="164"/>
      <c r="W294" s="163"/>
      <c r="X294" s="155"/>
      <c r="Y294" s="161"/>
      <c r="Z294" s="161"/>
      <c r="AA294" s="161"/>
      <c r="AB294" s="162"/>
      <c r="AC294" s="162"/>
      <c r="AD294" s="164"/>
      <c r="AE294" s="163"/>
      <c r="AF294" s="155"/>
      <c r="AG294" s="161"/>
      <c r="AH294" s="161"/>
      <c r="AI294" s="161"/>
      <c r="AJ294" s="162"/>
      <c r="AK294" s="162"/>
      <c r="AL294" s="164"/>
      <c r="AM294" s="163"/>
      <c r="AN294" s="155"/>
      <c r="AO294" s="161"/>
      <c r="AP294" s="161"/>
      <c r="AQ294" s="161"/>
      <c r="AR294" s="162"/>
      <c r="AS294" s="162"/>
      <c r="AT294" s="164"/>
      <c r="AU294" s="163"/>
    </row>
    <row r="295" spans="1:47" ht="15.95" customHeight="1" x14ac:dyDescent="0.2">
      <c r="A295" s="608"/>
      <c r="B295" s="608"/>
      <c r="C295" s="608"/>
      <c r="D295" s="609"/>
      <c r="E295" s="609"/>
      <c r="F295" s="610"/>
      <c r="G295" s="607" t="s">
        <v>169</v>
      </c>
      <c r="H295" s="113"/>
      <c r="I295" s="129"/>
      <c r="J295" s="129"/>
      <c r="K295" s="129"/>
      <c r="L295" s="130"/>
      <c r="M295" s="162"/>
      <c r="N295" s="162"/>
      <c r="O295" s="163"/>
      <c r="Q295" s="161"/>
      <c r="R295" s="161"/>
      <c r="S295" s="161"/>
      <c r="T295" s="162"/>
      <c r="U295" s="162"/>
      <c r="V295" s="164"/>
      <c r="W295" s="163"/>
      <c r="X295" s="155"/>
      <c r="Y295" s="161"/>
      <c r="Z295" s="161"/>
      <c r="AA295" s="161"/>
      <c r="AB295" s="162"/>
      <c r="AC295" s="162"/>
      <c r="AD295" s="164"/>
      <c r="AE295" s="163"/>
      <c r="AF295" s="155"/>
      <c r="AG295" s="161"/>
      <c r="AH295" s="161"/>
      <c r="AI295" s="161"/>
      <c r="AJ295" s="162"/>
      <c r="AK295" s="162"/>
      <c r="AL295" s="164"/>
      <c r="AM295" s="163"/>
      <c r="AN295" s="155"/>
      <c r="AO295" s="161"/>
      <c r="AP295" s="161"/>
      <c r="AQ295" s="161"/>
      <c r="AR295" s="162"/>
      <c r="AS295" s="162"/>
      <c r="AT295" s="164"/>
      <c r="AU295" s="163"/>
    </row>
    <row r="296" spans="1:47" ht="15.95" customHeight="1" x14ac:dyDescent="0.2">
      <c r="A296" s="608"/>
      <c r="B296" s="608"/>
      <c r="C296" s="608"/>
      <c r="D296" s="609"/>
      <c r="E296" s="609"/>
      <c r="F296" s="610"/>
      <c r="G296" s="607" t="s">
        <v>169</v>
      </c>
      <c r="H296" s="113"/>
      <c r="I296" s="129"/>
      <c r="J296" s="129"/>
      <c r="K296" s="129"/>
      <c r="L296" s="130"/>
      <c r="M296" s="162"/>
      <c r="N296" s="162"/>
      <c r="O296" s="163"/>
      <c r="Q296" s="161"/>
      <c r="R296" s="161"/>
      <c r="S296" s="161"/>
      <c r="T296" s="162"/>
      <c r="U296" s="162"/>
      <c r="V296" s="164"/>
      <c r="W296" s="163"/>
      <c r="X296" s="155"/>
      <c r="Y296" s="161"/>
      <c r="Z296" s="161"/>
      <c r="AA296" s="161"/>
      <c r="AB296" s="162"/>
      <c r="AC296" s="162"/>
      <c r="AD296" s="164"/>
      <c r="AE296" s="163"/>
      <c r="AF296" s="155"/>
      <c r="AG296" s="161"/>
      <c r="AH296" s="161"/>
      <c r="AI296" s="161"/>
      <c r="AJ296" s="162"/>
      <c r="AK296" s="162"/>
      <c r="AL296" s="164"/>
      <c r="AM296" s="163"/>
      <c r="AN296" s="155"/>
      <c r="AO296" s="161"/>
      <c r="AP296" s="161"/>
      <c r="AQ296" s="161"/>
      <c r="AR296" s="162"/>
      <c r="AS296" s="162"/>
      <c r="AT296" s="164"/>
      <c r="AU296" s="163"/>
    </row>
    <row r="297" spans="1:47" ht="15.95" customHeight="1" x14ac:dyDescent="0.2">
      <c r="A297" s="608"/>
      <c r="B297" s="608"/>
      <c r="C297" s="608"/>
      <c r="D297" s="609"/>
      <c r="E297" s="609"/>
      <c r="F297" s="610"/>
      <c r="G297" s="607" t="s">
        <v>169</v>
      </c>
      <c r="H297" s="113"/>
      <c r="I297" s="129"/>
      <c r="J297" s="129"/>
      <c r="K297" s="129"/>
      <c r="L297" s="130"/>
      <c r="M297" s="162"/>
      <c r="N297" s="162"/>
      <c r="O297" s="163"/>
      <c r="Q297" s="161"/>
      <c r="R297" s="161"/>
      <c r="S297" s="161"/>
      <c r="T297" s="162"/>
      <c r="U297" s="162"/>
      <c r="V297" s="164"/>
      <c r="W297" s="163"/>
      <c r="X297" s="155"/>
      <c r="Y297" s="161"/>
      <c r="Z297" s="161"/>
      <c r="AA297" s="161"/>
      <c r="AB297" s="162"/>
      <c r="AC297" s="162"/>
      <c r="AD297" s="164"/>
      <c r="AE297" s="163"/>
      <c r="AF297" s="155"/>
      <c r="AG297" s="161"/>
      <c r="AH297" s="161"/>
      <c r="AI297" s="161"/>
      <c r="AJ297" s="162"/>
      <c r="AK297" s="162"/>
      <c r="AL297" s="164"/>
      <c r="AM297" s="163"/>
      <c r="AN297" s="155"/>
      <c r="AO297" s="161"/>
      <c r="AP297" s="161"/>
      <c r="AQ297" s="161"/>
      <c r="AR297" s="162"/>
      <c r="AS297" s="162"/>
      <c r="AT297" s="164"/>
      <c r="AU297" s="163"/>
    </row>
    <row r="298" spans="1:47" ht="15.95" customHeight="1" x14ac:dyDescent="0.2">
      <c r="A298" s="608"/>
      <c r="B298" s="608"/>
      <c r="C298" s="608"/>
      <c r="D298" s="609"/>
      <c r="E298" s="609"/>
      <c r="F298" s="610"/>
      <c r="G298" s="607" t="s">
        <v>169</v>
      </c>
      <c r="H298" s="113"/>
      <c r="I298" s="129"/>
      <c r="J298" s="129"/>
      <c r="K298" s="129"/>
      <c r="L298" s="130"/>
      <c r="M298" s="162"/>
      <c r="N298" s="162"/>
      <c r="O298" s="163"/>
      <c r="Q298" s="161"/>
      <c r="R298" s="161"/>
      <c r="S298" s="161"/>
      <c r="T298" s="162"/>
      <c r="U298" s="162"/>
      <c r="V298" s="164"/>
      <c r="W298" s="163"/>
      <c r="X298" s="155"/>
      <c r="Y298" s="161"/>
      <c r="Z298" s="161"/>
      <c r="AA298" s="161"/>
      <c r="AB298" s="162"/>
      <c r="AC298" s="162"/>
      <c r="AD298" s="164"/>
      <c r="AE298" s="163"/>
      <c r="AF298" s="155"/>
      <c r="AG298" s="161"/>
      <c r="AH298" s="161"/>
      <c r="AI298" s="161"/>
      <c r="AJ298" s="162"/>
      <c r="AK298" s="162"/>
      <c r="AL298" s="164"/>
      <c r="AM298" s="163"/>
      <c r="AN298" s="155"/>
      <c r="AO298" s="161"/>
      <c r="AP298" s="161"/>
      <c r="AQ298" s="161"/>
      <c r="AR298" s="162"/>
      <c r="AS298" s="162"/>
      <c r="AT298" s="164"/>
      <c r="AU298" s="163"/>
    </row>
    <row r="299" spans="1:47" ht="15.95" customHeight="1" x14ac:dyDescent="0.2">
      <c r="A299" s="608"/>
      <c r="B299" s="608"/>
      <c r="C299" s="608"/>
      <c r="D299" s="609"/>
      <c r="E299" s="609"/>
      <c r="F299" s="610"/>
      <c r="G299" s="607" t="s">
        <v>169</v>
      </c>
      <c r="H299" s="113"/>
      <c r="I299" s="129"/>
      <c r="J299" s="129"/>
      <c r="K299" s="129"/>
      <c r="L299" s="130"/>
      <c r="M299" s="162"/>
      <c r="N299" s="162"/>
      <c r="O299" s="163"/>
      <c r="Q299" s="161"/>
      <c r="R299" s="161"/>
      <c r="S299" s="161"/>
      <c r="T299" s="162"/>
      <c r="U299" s="162"/>
      <c r="V299" s="164"/>
      <c r="W299" s="163"/>
      <c r="X299" s="155"/>
      <c r="Y299" s="161"/>
      <c r="Z299" s="161"/>
      <c r="AA299" s="161"/>
      <c r="AB299" s="162"/>
      <c r="AC299" s="162"/>
      <c r="AD299" s="164"/>
      <c r="AE299" s="163"/>
      <c r="AF299" s="155"/>
      <c r="AG299" s="161"/>
      <c r="AH299" s="161"/>
      <c r="AI299" s="161"/>
      <c r="AJ299" s="162"/>
      <c r="AK299" s="162"/>
      <c r="AL299" s="164"/>
      <c r="AM299" s="163"/>
      <c r="AN299" s="155"/>
      <c r="AO299" s="161"/>
      <c r="AP299" s="161"/>
      <c r="AQ299" s="161"/>
      <c r="AR299" s="162"/>
      <c r="AS299" s="162"/>
      <c r="AT299" s="164"/>
      <c r="AU299" s="163"/>
    </row>
    <row r="300" spans="1:47" ht="15.95" customHeight="1" x14ac:dyDescent="0.2">
      <c r="A300" s="608"/>
      <c r="B300" s="608"/>
      <c r="C300" s="608"/>
      <c r="D300" s="609"/>
      <c r="E300" s="609"/>
      <c r="F300" s="610"/>
      <c r="G300" s="607" t="s">
        <v>169</v>
      </c>
      <c r="H300" s="113"/>
      <c r="I300" s="129"/>
      <c r="J300" s="129"/>
      <c r="K300" s="129"/>
      <c r="L300" s="130"/>
      <c r="M300" s="162"/>
      <c r="N300" s="162"/>
      <c r="O300" s="163"/>
      <c r="Q300" s="161"/>
      <c r="R300" s="161"/>
      <c r="S300" s="161"/>
      <c r="T300" s="162"/>
      <c r="U300" s="162"/>
      <c r="V300" s="164"/>
      <c r="W300" s="163"/>
      <c r="X300" s="155"/>
      <c r="Y300" s="161"/>
      <c r="Z300" s="161"/>
      <c r="AA300" s="161"/>
      <c r="AB300" s="162"/>
      <c r="AC300" s="162"/>
      <c r="AD300" s="164"/>
      <c r="AE300" s="163"/>
      <c r="AF300" s="155"/>
      <c r="AG300" s="161"/>
      <c r="AH300" s="161"/>
      <c r="AI300" s="161"/>
      <c r="AJ300" s="162"/>
      <c r="AK300" s="162"/>
      <c r="AL300" s="164"/>
      <c r="AM300" s="163"/>
      <c r="AN300" s="155"/>
      <c r="AO300" s="161"/>
      <c r="AP300" s="161"/>
      <c r="AQ300" s="161"/>
      <c r="AR300" s="162"/>
      <c r="AS300" s="162"/>
      <c r="AT300" s="164"/>
      <c r="AU300" s="163"/>
    </row>
    <row r="301" spans="1:47" ht="15.95" customHeight="1" x14ac:dyDescent="0.2">
      <c r="A301" s="608"/>
      <c r="B301" s="608"/>
      <c r="C301" s="608"/>
      <c r="D301" s="609"/>
      <c r="E301" s="609"/>
      <c r="F301" s="610"/>
      <c r="G301" s="607" t="s">
        <v>169</v>
      </c>
      <c r="H301" s="113"/>
      <c r="I301" s="129"/>
      <c r="J301" s="129"/>
      <c r="K301" s="129"/>
      <c r="L301" s="130"/>
      <c r="M301" s="162"/>
      <c r="N301" s="162"/>
      <c r="O301" s="163"/>
      <c r="Q301" s="161"/>
      <c r="R301" s="161"/>
      <c r="S301" s="161"/>
      <c r="T301" s="162"/>
      <c r="U301" s="162"/>
      <c r="V301" s="164"/>
      <c r="W301" s="163"/>
      <c r="X301" s="155"/>
      <c r="Y301" s="161"/>
      <c r="Z301" s="161"/>
      <c r="AA301" s="161"/>
      <c r="AB301" s="162"/>
      <c r="AC301" s="162"/>
      <c r="AD301" s="164"/>
      <c r="AE301" s="163"/>
      <c r="AF301" s="155"/>
      <c r="AG301" s="161"/>
      <c r="AH301" s="161"/>
      <c r="AI301" s="161"/>
      <c r="AJ301" s="162"/>
      <c r="AK301" s="162"/>
      <c r="AL301" s="164"/>
      <c r="AM301" s="163"/>
      <c r="AN301" s="155"/>
      <c r="AO301" s="161"/>
      <c r="AP301" s="161"/>
      <c r="AQ301" s="161"/>
      <c r="AR301" s="162"/>
      <c r="AS301" s="162"/>
      <c r="AT301" s="164"/>
      <c r="AU301" s="163"/>
    </row>
    <row r="302" spans="1:47" ht="15.95" customHeight="1" x14ac:dyDescent="0.2">
      <c r="A302" s="608"/>
      <c r="B302" s="608"/>
      <c r="C302" s="608"/>
      <c r="D302" s="609"/>
      <c r="E302" s="609"/>
      <c r="F302" s="610"/>
      <c r="G302" s="607" t="s">
        <v>169</v>
      </c>
      <c r="H302" s="113"/>
      <c r="I302" s="129"/>
      <c r="J302" s="129"/>
      <c r="K302" s="129"/>
      <c r="L302" s="130"/>
      <c r="M302" s="162"/>
      <c r="N302" s="162"/>
      <c r="O302" s="163"/>
      <c r="Q302" s="161"/>
      <c r="R302" s="161"/>
      <c r="S302" s="161"/>
      <c r="T302" s="162"/>
      <c r="U302" s="162"/>
      <c r="V302" s="164"/>
      <c r="W302" s="163"/>
      <c r="X302" s="155"/>
      <c r="Y302" s="161"/>
      <c r="Z302" s="161"/>
      <c r="AA302" s="161"/>
      <c r="AB302" s="162"/>
      <c r="AC302" s="162"/>
      <c r="AD302" s="164"/>
      <c r="AE302" s="163"/>
      <c r="AF302" s="155"/>
      <c r="AG302" s="161"/>
      <c r="AH302" s="161"/>
      <c r="AI302" s="161"/>
      <c r="AJ302" s="162"/>
      <c r="AK302" s="162"/>
      <c r="AL302" s="164"/>
      <c r="AM302" s="163"/>
      <c r="AN302" s="155"/>
      <c r="AO302" s="161"/>
      <c r="AP302" s="161"/>
      <c r="AQ302" s="161"/>
      <c r="AR302" s="162"/>
      <c r="AS302" s="162"/>
      <c r="AT302" s="164"/>
      <c r="AU302" s="163"/>
    </row>
    <row r="303" spans="1:47" ht="15.95" customHeight="1" x14ac:dyDescent="0.2">
      <c r="A303" s="608"/>
      <c r="B303" s="608"/>
      <c r="C303" s="608"/>
      <c r="D303" s="609"/>
      <c r="E303" s="609"/>
      <c r="F303" s="610"/>
      <c r="G303" s="607" t="s">
        <v>169</v>
      </c>
      <c r="H303" s="113"/>
      <c r="I303" s="129"/>
      <c r="J303" s="129"/>
      <c r="K303" s="129"/>
      <c r="L303" s="130"/>
      <c r="M303" s="162"/>
      <c r="N303" s="162"/>
      <c r="O303" s="163"/>
      <c r="Q303" s="161"/>
      <c r="R303" s="161"/>
      <c r="S303" s="161"/>
      <c r="T303" s="162"/>
      <c r="U303" s="162"/>
      <c r="V303" s="164"/>
      <c r="W303" s="163"/>
      <c r="X303" s="155"/>
      <c r="Y303" s="161"/>
      <c r="Z303" s="161"/>
      <c r="AA303" s="161"/>
      <c r="AB303" s="162"/>
      <c r="AC303" s="162"/>
      <c r="AD303" s="164"/>
      <c r="AE303" s="163"/>
      <c r="AF303" s="155"/>
      <c r="AG303" s="161"/>
      <c r="AH303" s="161"/>
      <c r="AI303" s="161"/>
      <c r="AJ303" s="162"/>
      <c r="AK303" s="162"/>
      <c r="AL303" s="164"/>
      <c r="AM303" s="163"/>
      <c r="AN303" s="155"/>
      <c r="AO303" s="161"/>
      <c r="AP303" s="161"/>
      <c r="AQ303" s="161"/>
      <c r="AR303" s="162"/>
      <c r="AS303" s="162"/>
      <c r="AT303" s="164"/>
      <c r="AU303" s="163"/>
    </row>
    <row r="304" spans="1:47" ht="15.95" customHeight="1" x14ac:dyDescent="0.2">
      <c r="A304" s="608"/>
      <c r="B304" s="608"/>
      <c r="C304" s="608"/>
      <c r="D304" s="609"/>
      <c r="E304" s="609"/>
      <c r="F304" s="610"/>
      <c r="G304" s="607" t="s">
        <v>169</v>
      </c>
      <c r="H304" s="113"/>
      <c r="I304" s="129"/>
      <c r="J304" s="129"/>
      <c r="K304" s="129"/>
      <c r="L304" s="130"/>
      <c r="M304" s="162"/>
      <c r="N304" s="162"/>
      <c r="O304" s="163"/>
      <c r="Q304" s="161"/>
      <c r="R304" s="161"/>
      <c r="S304" s="161"/>
      <c r="T304" s="162"/>
      <c r="U304" s="162"/>
      <c r="V304" s="164"/>
      <c r="W304" s="163"/>
      <c r="X304" s="155"/>
      <c r="Y304" s="161"/>
      <c r="Z304" s="161"/>
      <c r="AA304" s="161"/>
      <c r="AB304" s="162"/>
      <c r="AC304" s="162"/>
      <c r="AD304" s="164"/>
      <c r="AE304" s="163"/>
      <c r="AF304" s="155"/>
      <c r="AG304" s="161"/>
      <c r="AH304" s="161"/>
      <c r="AI304" s="161"/>
      <c r="AJ304" s="162"/>
      <c r="AK304" s="162"/>
      <c r="AL304" s="164"/>
      <c r="AM304" s="163"/>
      <c r="AN304" s="155"/>
      <c r="AO304" s="161"/>
      <c r="AP304" s="161"/>
      <c r="AQ304" s="161"/>
      <c r="AR304" s="162"/>
      <c r="AS304" s="162"/>
      <c r="AT304" s="164"/>
      <c r="AU304" s="163"/>
    </row>
    <row r="305" spans="1:47" ht="15.95" customHeight="1" x14ac:dyDescent="0.2">
      <c r="A305" s="608"/>
      <c r="B305" s="608"/>
      <c r="C305" s="608"/>
      <c r="D305" s="609"/>
      <c r="E305" s="609"/>
      <c r="F305" s="610"/>
      <c r="G305" s="607" t="s">
        <v>169</v>
      </c>
      <c r="H305" s="113"/>
      <c r="I305" s="129"/>
      <c r="J305" s="129"/>
      <c r="K305" s="129"/>
      <c r="L305" s="130"/>
      <c r="M305" s="162"/>
      <c r="N305" s="162"/>
      <c r="O305" s="163"/>
      <c r="Q305" s="161"/>
      <c r="R305" s="161"/>
      <c r="S305" s="161"/>
      <c r="T305" s="162"/>
      <c r="U305" s="162"/>
      <c r="V305" s="164"/>
      <c r="W305" s="163"/>
      <c r="X305" s="155"/>
      <c r="Y305" s="161"/>
      <c r="Z305" s="161"/>
      <c r="AA305" s="161"/>
      <c r="AB305" s="162"/>
      <c r="AC305" s="162"/>
      <c r="AD305" s="164"/>
      <c r="AE305" s="163"/>
      <c r="AF305" s="155"/>
      <c r="AG305" s="161"/>
      <c r="AH305" s="161"/>
      <c r="AI305" s="161"/>
      <c r="AJ305" s="162"/>
      <c r="AK305" s="162"/>
      <c r="AL305" s="164"/>
      <c r="AM305" s="163"/>
      <c r="AN305" s="155"/>
      <c r="AO305" s="161"/>
      <c r="AP305" s="161"/>
      <c r="AQ305" s="161"/>
      <c r="AR305" s="162"/>
      <c r="AS305" s="162"/>
      <c r="AT305" s="164"/>
      <c r="AU305" s="163"/>
    </row>
    <row r="306" spans="1:47" ht="15.95" customHeight="1" x14ac:dyDescent="0.2">
      <c r="A306" s="608"/>
      <c r="B306" s="608"/>
      <c r="C306" s="608"/>
      <c r="D306" s="609"/>
      <c r="E306" s="609"/>
      <c r="F306" s="610"/>
      <c r="G306" s="607" t="s">
        <v>169</v>
      </c>
      <c r="H306" s="113"/>
      <c r="I306" s="129"/>
      <c r="J306" s="129"/>
      <c r="K306" s="129"/>
      <c r="L306" s="130"/>
      <c r="M306" s="162"/>
      <c r="N306" s="162"/>
      <c r="O306" s="163"/>
      <c r="Q306" s="161"/>
      <c r="R306" s="161"/>
      <c r="S306" s="161"/>
      <c r="T306" s="162"/>
      <c r="U306" s="162"/>
      <c r="V306" s="164"/>
      <c r="W306" s="163"/>
      <c r="X306" s="155"/>
      <c r="Y306" s="161"/>
      <c r="Z306" s="161"/>
      <c r="AA306" s="161"/>
      <c r="AB306" s="162"/>
      <c r="AC306" s="162"/>
      <c r="AD306" s="164"/>
      <c r="AE306" s="163"/>
      <c r="AF306" s="155"/>
      <c r="AG306" s="161"/>
      <c r="AH306" s="161"/>
      <c r="AI306" s="161"/>
      <c r="AJ306" s="162"/>
      <c r="AK306" s="162"/>
      <c r="AL306" s="164"/>
      <c r="AM306" s="163"/>
      <c r="AN306" s="155"/>
      <c r="AO306" s="161"/>
      <c r="AP306" s="161"/>
      <c r="AQ306" s="161"/>
      <c r="AR306" s="162"/>
      <c r="AS306" s="162"/>
      <c r="AT306" s="164"/>
      <c r="AU306" s="163"/>
    </row>
    <row r="307" spans="1:47" ht="15.95" customHeight="1" x14ac:dyDescent="0.2">
      <c r="A307" s="608"/>
      <c r="B307" s="608"/>
      <c r="C307" s="608"/>
      <c r="D307" s="609"/>
      <c r="E307" s="609"/>
      <c r="F307" s="610"/>
      <c r="G307" s="607" t="s">
        <v>169</v>
      </c>
      <c r="H307" s="113"/>
      <c r="I307" s="129"/>
      <c r="J307" s="129"/>
      <c r="K307" s="129"/>
      <c r="L307" s="130"/>
      <c r="M307" s="162"/>
      <c r="N307" s="162"/>
      <c r="O307" s="163"/>
      <c r="Q307" s="161"/>
      <c r="R307" s="161"/>
      <c r="S307" s="161"/>
      <c r="T307" s="162"/>
      <c r="U307" s="162"/>
      <c r="V307" s="164"/>
      <c r="W307" s="163"/>
      <c r="X307" s="155"/>
      <c r="Y307" s="161"/>
      <c r="Z307" s="161"/>
      <c r="AA307" s="161"/>
      <c r="AB307" s="162"/>
      <c r="AC307" s="162"/>
      <c r="AD307" s="164"/>
      <c r="AE307" s="163"/>
      <c r="AF307" s="155"/>
      <c r="AG307" s="161"/>
      <c r="AH307" s="161"/>
      <c r="AI307" s="161"/>
      <c r="AJ307" s="162"/>
      <c r="AK307" s="162"/>
      <c r="AL307" s="164"/>
      <c r="AM307" s="163"/>
      <c r="AN307" s="155"/>
      <c r="AO307" s="161"/>
      <c r="AP307" s="161"/>
      <c r="AQ307" s="161"/>
      <c r="AR307" s="162"/>
      <c r="AS307" s="162"/>
      <c r="AT307" s="164"/>
      <c r="AU307" s="163"/>
    </row>
    <row r="308" spans="1:47" ht="15.95" customHeight="1" x14ac:dyDescent="0.2">
      <c r="A308" s="608"/>
      <c r="B308" s="608"/>
      <c r="C308" s="608"/>
      <c r="D308" s="609"/>
      <c r="E308" s="609"/>
      <c r="F308" s="610"/>
      <c r="G308" s="607" t="s">
        <v>169</v>
      </c>
      <c r="H308" s="113"/>
      <c r="I308" s="129"/>
      <c r="J308" s="129"/>
      <c r="K308" s="129"/>
      <c r="L308" s="130"/>
      <c r="M308" s="162"/>
      <c r="N308" s="162"/>
      <c r="O308" s="163"/>
      <c r="Q308" s="161"/>
      <c r="R308" s="161"/>
      <c r="S308" s="161"/>
      <c r="T308" s="162"/>
      <c r="U308" s="162"/>
      <c r="V308" s="164"/>
      <c r="W308" s="163"/>
      <c r="X308" s="155"/>
      <c r="Y308" s="161"/>
      <c r="Z308" s="161"/>
      <c r="AA308" s="161"/>
      <c r="AB308" s="162"/>
      <c r="AC308" s="162"/>
      <c r="AD308" s="164"/>
      <c r="AE308" s="163"/>
      <c r="AF308" s="155"/>
      <c r="AG308" s="161"/>
      <c r="AH308" s="161"/>
      <c r="AI308" s="161"/>
      <c r="AJ308" s="162"/>
      <c r="AK308" s="162"/>
      <c r="AL308" s="164"/>
      <c r="AM308" s="163"/>
      <c r="AN308" s="155"/>
      <c r="AO308" s="161"/>
      <c r="AP308" s="161"/>
      <c r="AQ308" s="161"/>
      <c r="AR308" s="162"/>
      <c r="AS308" s="162"/>
      <c r="AT308" s="164"/>
      <c r="AU308" s="163"/>
    </row>
    <row r="309" spans="1:47" ht="15.95" customHeight="1" x14ac:dyDescent="0.2">
      <c r="A309" s="608"/>
      <c r="B309" s="608"/>
      <c r="C309" s="608"/>
      <c r="D309" s="609"/>
      <c r="E309" s="609"/>
      <c r="F309" s="610"/>
      <c r="G309" s="607" t="s">
        <v>169</v>
      </c>
      <c r="H309" s="113"/>
      <c r="I309" s="129"/>
      <c r="J309" s="129"/>
      <c r="K309" s="129"/>
      <c r="L309" s="130"/>
      <c r="M309" s="162"/>
      <c r="N309" s="162"/>
      <c r="O309" s="163"/>
      <c r="Q309" s="161"/>
      <c r="R309" s="161"/>
      <c r="S309" s="161"/>
      <c r="T309" s="162"/>
      <c r="U309" s="162"/>
      <c r="V309" s="164"/>
      <c r="W309" s="163"/>
      <c r="X309" s="155"/>
      <c r="Y309" s="161"/>
      <c r="Z309" s="161"/>
      <c r="AA309" s="161"/>
      <c r="AB309" s="162"/>
      <c r="AC309" s="162"/>
      <c r="AD309" s="164"/>
      <c r="AE309" s="163"/>
      <c r="AF309" s="155"/>
      <c r="AG309" s="161"/>
      <c r="AH309" s="161"/>
      <c r="AI309" s="161"/>
      <c r="AJ309" s="162"/>
      <c r="AK309" s="162"/>
      <c r="AL309" s="164"/>
      <c r="AM309" s="163"/>
      <c r="AN309" s="155"/>
      <c r="AO309" s="161"/>
      <c r="AP309" s="161"/>
      <c r="AQ309" s="161"/>
      <c r="AR309" s="162"/>
      <c r="AS309" s="162"/>
      <c r="AT309" s="164"/>
      <c r="AU309" s="163"/>
    </row>
    <row r="310" spans="1:47" ht="15.95" customHeight="1" x14ac:dyDescent="0.2">
      <c r="A310" s="608"/>
      <c r="B310" s="608"/>
      <c r="C310" s="608"/>
      <c r="D310" s="609"/>
      <c r="E310" s="609"/>
      <c r="F310" s="610"/>
      <c r="G310" s="607" t="s">
        <v>169</v>
      </c>
      <c r="H310" s="113"/>
      <c r="I310" s="129"/>
      <c r="J310" s="129"/>
      <c r="K310" s="129"/>
      <c r="L310" s="130"/>
      <c r="M310" s="162"/>
      <c r="N310" s="162"/>
      <c r="O310" s="163"/>
      <c r="Q310" s="161"/>
      <c r="R310" s="161"/>
      <c r="S310" s="161"/>
      <c r="T310" s="162"/>
      <c r="U310" s="162"/>
      <c r="V310" s="164"/>
      <c r="W310" s="163"/>
      <c r="X310" s="155"/>
      <c r="Y310" s="161"/>
      <c r="Z310" s="161"/>
      <c r="AA310" s="161"/>
      <c r="AB310" s="162"/>
      <c r="AC310" s="162"/>
      <c r="AD310" s="164"/>
      <c r="AE310" s="163"/>
      <c r="AF310" s="155"/>
      <c r="AG310" s="161"/>
      <c r="AH310" s="161"/>
      <c r="AI310" s="161"/>
      <c r="AJ310" s="162"/>
      <c r="AK310" s="162"/>
      <c r="AL310" s="164"/>
      <c r="AM310" s="163"/>
      <c r="AN310" s="155"/>
      <c r="AO310" s="161"/>
      <c r="AP310" s="161"/>
      <c r="AQ310" s="161"/>
      <c r="AR310" s="162"/>
      <c r="AS310" s="162"/>
      <c r="AT310" s="164"/>
      <c r="AU310" s="163"/>
    </row>
    <row r="311" spans="1:47" ht="15.95" customHeight="1" x14ac:dyDescent="0.2">
      <c r="A311" s="608"/>
      <c r="B311" s="608"/>
      <c r="C311" s="608"/>
      <c r="D311" s="609"/>
      <c r="E311" s="609"/>
      <c r="F311" s="610"/>
      <c r="G311" s="607" t="s">
        <v>169</v>
      </c>
      <c r="H311" s="113"/>
      <c r="I311" s="129"/>
      <c r="J311" s="129"/>
      <c r="K311" s="129"/>
      <c r="L311" s="130"/>
      <c r="M311" s="162"/>
      <c r="N311" s="162"/>
      <c r="O311" s="163"/>
      <c r="Q311" s="161"/>
      <c r="R311" s="161"/>
      <c r="S311" s="161"/>
      <c r="T311" s="162"/>
      <c r="U311" s="162"/>
      <c r="V311" s="164"/>
      <c r="W311" s="163"/>
      <c r="X311" s="155"/>
      <c r="Y311" s="161"/>
      <c r="Z311" s="161"/>
      <c r="AA311" s="161"/>
      <c r="AB311" s="162"/>
      <c r="AC311" s="162"/>
      <c r="AD311" s="164"/>
      <c r="AE311" s="163"/>
      <c r="AF311" s="155"/>
      <c r="AG311" s="161"/>
      <c r="AH311" s="161"/>
      <c r="AI311" s="161"/>
      <c r="AJ311" s="162"/>
      <c r="AK311" s="162"/>
      <c r="AL311" s="164"/>
      <c r="AM311" s="163"/>
      <c r="AN311" s="155"/>
      <c r="AO311" s="161"/>
      <c r="AP311" s="161"/>
      <c r="AQ311" s="161"/>
      <c r="AR311" s="162"/>
      <c r="AS311" s="162"/>
      <c r="AT311" s="164"/>
      <c r="AU311" s="163"/>
    </row>
    <row r="312" spans="1:47" ht="15.95" customHeight="1" x14ac:dyDescent="0.2">
      <c r="A312" s="608"/>
      <c r="B312" s="608"/>
      <c r="C312" s="608"/>
      <c r="D312" s="609"/>
      <c r="E312" s="609"/>
      <c r="F312" s="610"/>
      <c r="G312" s="607" t="s">
        <v>169</v>
      </c>
      <c r="H312" s="113"/>
      <c r="I312" s="129"/>
      <c r="J312" s="129"/>
      <c r="K312" s="129"/>
      <c r="L312" s="130"/>
      <c r="M312" s="162"/>
      <c r="N312" s="162"/>
      <c r="O312" s="163"/>
      <c r="Q312" s="161"/>
      <c r="R312" s="161"/>
      <c r="S312" s="161"/>
      <c r="T312" s="162"/>
      <c r="U312" s="162"/>
      <c r="V312" s="164"/>
      <c r="W312" s="163"/>
      <c r="X312" s="155"/>
      <c r="Y312" s="161"/>
      <c r="Z312" s="161"/>
      <c r="AA312" s="161"/>
      <c r="AB312" s="162"/>
      <c r="AC312" s="162"/>
      <c r="AD312" s="164"/>
      <c r="AE312" s="163"/>
      <c r="AF312" s="155"/>
      <c r="AG312" s="161"/>
      <c r="AH312" s="161"/>
      <c r="AI312" s="161"/>
      <c r="AJ312" s="162"/>
      <c r="AK312" s="162"/>
      <c r="AL312" s="164"/>
      <c r="AM312" s="163"/>
      <c r="AN312" s="155"/>
      <c r="AO312" s="161"/>
      <c r="AP312" s="161"/>
      <c r="AQ312" s="161"/>
      <c r="AR312" s="162"/>
      <c r="AS312" s="162"/>
      <c r="AT312" s="164"/>
      <c r="AU312" s="163"/>
    </row>
    <row r="313" spans="1:47" ht="15.95" customHeight="1" x14ac:dyDescent="0.2">
      <c r="A313" s="608"/>
      <c r="B313" s="608"/>
      <c r="C313" s="608"/>
      <c r="D313" s="609"/>
      <c r="E313" s="609"/>
      <c r="F313" s="610"/>
      <c r="G313" s="607" t="s">
        <v>169</v>
      </c>
      <c r="H313" s="113"/>
      <c r="I313" s="129"/>
      <c r="J313" s="129"/>
      <c r="K313" s="129"/>
      <c r="L313" s="130"/>
      <c r="M313" s="162"/>
      <c r="N313" s="162"/>
      <c r="O313" s="163"/>
      <c r="Q313" s="161"/>
      <c r="R313" s="161"/>
      <c r="S313" s="161"/>
      <c r="T313" s="162"/>
      <c r="U313" s="162"/>
      <c r="V313" s="164"/>
      <c r="W313" s="163"/>
      <c r="X313" s="155"/>
      <c r="Y313" s="161"/>
      <c r="Z313" s="161"/>
      <c r="AA313" s="161"/>
      <c r="AB313" s="162"/>
      <c r="AC313" s="162"/>
      <c r="AD313" s="164"/>
      <c r="AE313" s="163"/>
      <c r="AF313" s="155"/>
      <c r="AG313" s="161"/>
      <c r="AH313" s="161"/>
      <c r="AI313" s="161"/>
      <c r="AJ313" s="162"/>
      <c r="AK313" s="162"/>
      <c r="AL313" s="164"/>
      <c r="AM313" s="163"/>
      <c r="AN313" s="155"/>
      <c r="AO313" s="161"/>
      <c r="AP313" s="161"/>
      <c r="AQ313" s="161"/>
      <c r="AR313" s="162"/>
      <c r="AS313" s="162"/>
      <c r="AT313" s="164"/>
      <c r="AU313" s="163"/>
    </row>
    <row r="314" spans="1:47" ht="15.95" customHeight="1" x14ac:dyDescent="0.2">
      <c r="A314" s="608"/>
      <c r="B314" s="608"/>
      <c r="C314" s="608"/>
      <c r="D314" s="609"/>
      <c r="E314" s="609"/>
      <c r="F314" s="610"/>
      <c r="G314" s="607" t="s">
        <v>169</v>
      </c>
      <c r="H314" s="113"/>
      <c r="I314" s="129"/>
      <c r="J314" s="129"/>
      <c r="K314" s="129"/>
      <c r="L314" s="130"/>
      <c r="M314" s="162"/>
      <c r="N314" s="162"/>
      <c r="O314" s="163"/>
      <c r="Q314" s="161"/>
      <c r="R314" s="161"/>
      <c r="S314" s="161"/>
      <c r="T314" s="162"/>
      <c r="U314" s="162"/>
      <c r="V314" s="164"/>
      <c r="W314" s="163"/>
      <c r="X314" s="155"/>
      <c r="Y314" s="161"/>
      <c r="Z314" s="161"/>
      <c r="AA314" s="161"/>
      <c r="AB314" s="162"/>
      <c r="AC314" s="162"/>
      <c r="AD314" s="164"/>
      <c r="AE314" s="163"/>
      <c r="AF314" s="155"/>
      <c r="AG314" s="161"/>
      <c r="AH314" s="161"/>
      <c r="AI314" s="161"/>
      <c r="AJ314" s="162"/>
      <c r="AK314" s="162"/>
      <c r="AL314" s="164"/>
      <c r="AM314" s="163"/>
      <c r="AN314" s="155"/>
      <c r="AO314" s="161"/>
      <c r="AP314" s="161"/>
      <c r="AQ314" s="161"/>
      <c r="AR314" s="162"/>
      <c r="AS314" s="162"/>
      <c r="AT314" s="164"/>
      <c r="AU314" s="163"/>
    </row>
    <row r="315" spans="1:47" ht="15.95" customHeight="1" x14ac:dyDescent="0.2">
      <c r="A315" s="608"/>
      <c r="B315" s="608"/>
      <c r="C315" s="608"/>
      <c r="D315" s="609"/>
      <c r="E315" s="609"/>
      <c r="F315" s="610"/>
      <c r="G315" s="607" t="s">
        <v>169</v>
      </c>
      <c r="H315" s="113"/>
      <c r="I315" s="129"/>
      <c r="J315" s="129"/>
      <c r="K315" s="129"/>
      <c r="L315" s="130"/>
      <c r="M315" s="162"/>
      <c r="N315" s="162"/>
      <c r="O315" s="163"/>
      <c r="Q315" s="161"/>
      <c r="R315" s="161"/>
      <c r="S315" s="161"/>
      <c r="T315" s="162"/>
      <c r="U315" s="162"/>
      <c r="V315" s="164"/>
      <c r="W315" s="163"/>
      <c r="X315" s="155"/>
      <c r="Y315" s="161"/>
      <c r="Z315" s="161"/>
      <c r="AA315" s="161"/>
      <c r="AB315" s="162"/>
      <c r="AC315" s="162"/>
      <c r="AD315" s="164"/>
      <c r="AE315" s="163"/>
      <c r="AF315" s="155"/>
      <c r="AG315" s="161"/>
      <c r="AH315" s="161"/>
      <c r="AI315" s="161"/>
      <c r="AJ315" s="162"/>
      <c r="AK315" s="162"/>
      <c r="AL315" s="164"/>
      <c r="AM315" s="163"/>
      <c r="AN315" s="155"/>
      <c r="AO315" s="161"/>
      <c r="AP315" s="161"/>
      <c r="AQ315" s="161"/>
      <c r="AR315" s="162"/>
      <c r="AS315" s="162"/>
      <c r="AT315" s="164"/>
      <c r="AU315" s="163"/>
    </row>
    <row r="316" spans="1:47" ht="15.95" customHeight="1" x14ac:dyDescent="0.2">
      <c r="A316" s="608"/>
      <c r="B316" s="608"/>
      <c r="C316" s="608"/>
      <c r="D316" s="609"/>
      <c r="E316" s="609"/>
      <c r="F316" s="610"/>
      <c r="G316" s="607" t="s">
        <v>169</v>
      </c>
      <c r="H316" s="113"/>
      <c r="I316" s="129"/>
      <c r="J316" s="129"/>
      <c r="K316" s="129"/>
      <c r="L316" s="130"/>
      <c r="M316" s="162"/>
      <c r="N316" s="162"/>
      <c r="O316" s="163"/>
      <c r="Q316" s="161"/>
      <c r="R316" s="161"/>
      <c r="S316" s="161"/>
      <c r="T316" s="162"/>
      <c r="U316" s="162"/>
      <c r="V316" s="164"/>
      <c r="W316" s="163"/>
      <c r="X316" s="155"/>
      <c r="Y316" s="161"/>
      <c r="Z316" s="161"/>
      <c r="AA316" s="161"/>
      <c r="AB316" s="162"/>
      <c r="AC316" s="162"/>
      <c r="AD316" s="164"/>
      <c r="AE316" s="163"/>
      <c r="AF316" s="155"/>
      <c r="AG316" s="161"/>
      <c r="AH316" s="161"/>
      <c r="AI316" s="161"/>
      <c r="AJ316" s="162"/>
      <c r="AK316" s="162"/>
      <c r="AL316" s="164"/>
      <c r="AM316" s="163"/>
      <c r="AN316" s="155"/>
      <c r="AO316" s="161"/>
      <c r="AP316" s="161"/>
      <c r="AQ316" s="161"/>
      <c r="AR316" s="162"/>
      <c r="AS316" s="162"/>
      <c r="AT316" s="164"/>
      <c r="AU316" s="163"/>
    </row>
    <row r="317" spans="1:47" ht="15.95" customHeight="1" x14ac:dyDescent="0.2">
      <c r="A317" s="608"/>
      <c r="B317" s="608"/>
      <c r="C317" s="608"/>
      <c r="D317" s="609"/>
      <c r="E317" s="609"/>
      <c r="F317" s="610"/>
      <c r="G317" s="607" t="s">
        <v>169</v>
      </c>
      <c r="H317" s="113"/>
      <c r="I317" s="129"/>
      <c r="J317" s="129"/>
      <c r="K317" s="129"/>
      <c r="L317" s="130"/>
      <c r="M317" s="162"/>
      <c r="N317" s="162"/>
      <c r="O317" s="163"/>
      <c r="Q317" s="161"/>
      <c r="R317" s="161"/>
      <c r="S317" s="161"/>
      <c r="T317" s="162"/>
      <c r="U317" s="162"/>
      <c r="V317" s="164"/>
      <c r="W317" s="163"/>
      <c r="X317" s="155"/>
      <c r="Y317" s="161"/>
      <c r="Z317" s="161"/>
      <c r="AA317" s="161"/>
      <c r="AB317" s="162"/>
      <c r="AC317" s="162"/>
      <c r="AD317" s="164"/>
      <c r="AE317" s="163"/>
      <c r="AF317" s="155"/>
      <c r="AG317" s="161"/>
      <c r="AH317" s="161"/>
      <c r="AI317" s="161"/>
      <c r="AJ317" s="162"/>
      <c r="AK317" s="162"/>
      <c r="AL317" s="164"/>
      <c r="AM317" s="163"/>
      <c r="AN317" s="155"/>
      <c r="AO317" s="161"/>
      <c r="AP317" s="161"/>
      <c r="AQ317" s="161"/>
      <c r="AR317" s="162"/>
      <c r="AS317" s="162"/>
      <c r="AT317" s="164"/>
      <c r="AU317" s="163"/>
    </row>
    <row r="318" spans="1:47" ht="15.95" customHeight="1" x14ac:dyDescent="0.2">
      <c r="A318" s="608"/>
      <c r="B318" s="608"/>
      <c r="C318" s="608"/>
      <c r="D318" s="609"/>
      <c r="E318" s="609"/>
      <c r="F318" s="610"/>
      <c r="G318" s="607" t="s">
        <v>169</v>
      </c>
      <c r="H318" s="113"/>
      <c r="I318" s="129"/>
      <c r="J318" s="129"/>
      <c r="K318" s="129"/>
      <c r="L318" s="130"/>
      <c r="M318" s="162"/>
      <c r="N318" s="162"/>
      <c r="O318" s="163"/>
      <c r="Q318" s="161"/>
      <c r="R318" s="161"/>
      <c r="S318" s="161"/>
      <c r="T318" s="162"/>
      <c r="U318" s="162"/>
      <c r="V318" s="164"/>
      <c r="W318" s="163"/>
      <c r="X318" s="155"/>
      <c r="Y318" s="161"/>
      <c r="Z318" s="161"/>
      <c r="AA318" s="161"/>
      <c r="AB318" s="162"/>
      <c r="AC318" s="162"/>
      <c r="AD318" s="164"/>
      <c r="AE318" s="163"/>
      <c r="AF318" s="155"/>
      <c r="AG318" s="161"/>
      <c r="AH318" s="161"/>
      <c r="AI318" s="161"/>
      <c r="AJ318" s="162"/>
      <c r="AK318" s="162"/>
      <c r="AL318" s="164"/>
      <c r="AM318" s="163"/>
      <c r="AN318" s="155"/>
      <c r="AO318" s="161"/>
      <c r="AP318" s="161"/>
      <c r="AQ318" s="161"/>
      <c r="AR318" s="162"/>
      <c r="AS318" s="162"/>
      <c r="AT318" s="164"/>
      <c r="AU318" s="163"/>
    </row>
    <row r="319" spans="1:47" ht="15.95" customHeight="1" x14ac:dyDescent="0.2">
      <c r="A319" s="608"/>
      <c r="B319" s="608"/>
      <c r="C319" s="608"/>
      <c r="D319" s="609"/>
      <c r="E319" s="609"/>
      <c r="F319" s="610"/>
      <c r="G319" s="607" t="s">
        <v>169</v>
      </c>
      <c r="H319" s="113"/>
      <c r="I319" s="129"/>
      <c r="J319" s="129"/>
      <c r="K319" s="129"/>
      <c r="L319" s="130"/>
      <c r="M319" s="162"/>
      <c r="N319" s="162"/>
      <c r="O319" s="163"/>
      <c r="Q319" s="161"/>
      <c r="R319" s="161"/>
      <c r="S319" s="161"/>
      <c r="T319" s="162"/>
      <c r="U319" s="162"/>
      <c r="V319" s="164"/>
      <c r="W319" s="163"/>
      <c r="X319" s="155"/>
      <c r="Y319" s="161"/>
      <c r="Z319" s="161"/>
      <c r="AA319" s="161"/>
      <c r="AB319" s="162"/>
      <c r="AC319" s="162"/>
      <c r="AD319" s="164"/>
      <c r="AE319" s="163"/>
      <c r="AF319" s="155"/>
      <c r="AG319" s="161"/>
      <c r="AH319" s="161"/>
      <c r="AI319" s="161"/>
      <c r="AJ319" s="162"/>
      <c r="AK319" s="162"/>
      <c r="AL319" s="164"/>
      <c r="AM319" s="163"/>
      <c r="AN319" s="155"/>
      <c r="AO319" s="161"/>
      <c r="AP319" s="161"/>
      <c r="AQ319" s="161"/>
      <c r="AR319" s="162"/>
      <c r="AS319" s="162"/>
      <c r="AT319" s="164"/>
      <c r="AU319" s="163"/>
    </row>
    <row r="320" spans="1:47" ht="15.95" customHeight="1" x14ac:dyDescent="0.2">
      <c r="A320" s="608"/>
      <c r="B320" s="608"/>
      <c r="C320" s="608"/>
      <c r="D320" s="609"/>
      <c r="E320" s="609"/>
      <c r="F320" s="610"/>
      <c r="G320" s="607" t="s">
        <v>169</v>
      </c>
      <c r="H320" s="113"/>
      <c r="I320" s="129"/>
      <c r="J320" s="129"/>
      <c r="K320" s="129"/>
      <c r="L320" s="130"/>
      <c r="M320" s="162"/>
      <c r="N320" s="162"/>
      <c r="O320" s="163"/>
      <c r="Q320" s="161"/>
      <c r="R320" s="161"/>
      <c r="S320" s="161"/>
      <c r="T320" s="162"/>
      <c r="U320" s="162"/>
      <c r="V320" s="164"/>
      <c r="W320" s="163"/>
      <c r="X320" s="155"/>
      <c r="Y320" s="161"/>
      <c r="Z320" s="161"/>
      <c r="AA320" s="161"/>
      <c r="AB320" s="162"/>
      <c r="AC320" s="162"/>
      <c r="AD320" s="164"/>
      <c r="AE320" s="163"/>
      <c r="AF320" s="155"/>
      <c r="AG320" s="161"/>
      <c r="AH320" s="161"/>
      <c r="AI320" s="161"/>
      <c r="AJ320" s="162"/>
      <c r="AK320" s="162"/>
      <c r="AL320" s="164"/>
      <c r="AM320" s="163"/>
      <c r="AN320" s="155"/>
      <c r="AO320" s="161"/>
      <c r="AP320" s="161"/>
      <c r="AQ320" s="161"/>
      <c r="AR320" s="162"/>
      <c r="AS320" s="162"/>
      <c r="AT320" s="164"/>
      <c r="AU320" s="163"/>
    </row>
    <row r="321" spans="1:47" ht="15.95" customHeight="1" x14ac:dyDescent="0.2">
      <c r="A321" s="608"/>
      <c r="B321" s="608"/>
      <c r="C321" s="608"/>
      <c r="D321" s="609"/>
      <c r="E321" s="609"/>
      <c r="F321" s="610"/>
      <c r="G321" s="607" t="s">
        <v>169</v>
      </c>
      <c r="H321" s="113"/>
      <c r="I321" s="129"/>
      <c r="J321" s="129"/>
      <c r="K321" s="129"/>
      <c r="L321" s="130"/>
      <c r="M321" s="162"/>
      <c r="N321" s="162"/>
      <c r="O321" s="163"/>
      <c r="Q321" s="161"/>
      <c r="R321" s="161"/>
      <c r="S321" s="161"/>
      <c r="T321" s="162"/>
      <c r="U321" s="162"/>
      <c r="V321" s="164"/>
      <c r="W321" s="163"/>
      <c r="X321" s="155"/>
      <c r="Y321" s="161"/>
      <c r="Z321" s="161"/>
      <c r="AA321" s="161"/>
      <c r="AB321" s="162"/>
      <c r="AC321" s="162"/>
      <c r="AD321" s="164"/>
      <c r="AE321" s="163"/>
      <c r="AF321" s="155"/>
      <c r="AG321" s="161"/>
      <c r="AH321" s="161"/>
      <c r="AI321" s="161"/>
      <c r="AJ321" s="162"/>
      <c r="AK321" s="162"/>
      <c r="AL321" s="164"/>
      <c r="AM321" s="163"/>
      <c r="AN321" s="155"/>
      <c r="AO321" s="161"/>
      <c r="AP321" s="161"/>
      <c r="AQ321" s="161"/>
      <c r="AR321" s="162"/>
      <c r="AS321" s="162"/>
      <c r="AT321" s="164"/>
      <c r="AU321" s="163"/>
    </row>
    <row r="322" spans="1:47" ht="15.95" customHeight="1" x14ac:dyDescent="0.2">
      <c r="A322" s="608"/>
      <c r="B322" s="608"/>
      <c r="C322" s="608"/>
      <c r="D322" s="609"/>
      <c r="E322" s="609"/>
      <c r="F322" s="610"/>
      <c r="G322" s="607" t="s">
        <v>169</v>
      </c>
      <c r="H322" s="113"/>
      <c r="I322" s="129"/>
      <c r="J322" s="129"/>
      <c r="K322" s="129"/>
      <c r="L322" s="130"/>
      <c r="M322" s="162"/>
      <c r="N322" s="162"/>
      <c r="O322" s="163"/>
      <c r="Q322" s="161"/>
      <c r="R322" s="161"/>
      <c r="S322" s="161"/>
      <c r="T322" s="162"/>
      <c r="U322" s="162"/>
      <c r="V322" s="164"/>
      <c r="W322" s="163"/>
      <c r="X322" s="155"/>
      <c r="Y322" s="161"/>
      <c r="Z322" s="161"/>
      <c r="AA322" s="161"/>
      <c r="AB322" s="162"/>
      <c r="AC322" s="162"/>
      <c r="AD322" s="164"/>
      <c r="AE322" s="163"/>
      <c r="AF322" s="155"/>
      <c r="AG322" s="161"/>
      <c r="AH322" s="161"/>
      <c r="AI322" s="161"/>
      <c r="AJ322" s="162"/>
      <c r="AK322" s="162"/>
      <c r="AL322" s="164"/>
      <c r="AM322" s="163"/>
      <c r="AN322" s="155"/>
      <c r="AO322" s="161"/>
      <c r="AP322" s="161"/>
      <c r="AQ322" s="161"/>
      <c r="AR322" s="162"/>
      <c r="AS322" s="162"/>
      <c r="AT322" s="164"/>
      <c r="AU322" s="163"/>
    </row>
    <row r="323" spans="1:47" ht="15.95" customHeight="1" x14ac:dyDescent="0.2">
      <c r="A323" s="608"/>
      <c r="B323" s="608"/>
      <c r="C323" s="608"/>
      <c r="D323" s="609"/>
      <c r="E323" s="609"/>
      <c r="F323" s="610"/>
      <c r="G323" s="607" t="s">
        <v>169</v>
      </c>
      <c r="H323" s="113"/>
      <c r="I323" s="129"/>
      <c r="J323" s="129"/>
      <c r="K323" s="129"/>
      <c r="L323" s="130"/>
      <c r="M323" s="162"/>
      <c r="N323" s="162"/>
      <c r="O323" s="163"/>
      <c r="Q323" s="161"/>
      <c r="R323" s="161"/>
      <c r="S323" s="161"/>
      <c r="T323" s="162"/>
      <c r="U323" s="162"/>
      <c r="V323" s="164"/>
      <c r="W323" s="163"/>
      <c r="X323" s="155"/>
      <c r="Y323" s="161"/>
      <c r="Z323" s="161"/>
      <c r="AA323" s="161"/>
      <c r="AB323" s="162"/>
      <c r="AC323" s="162"/>
      <c r="AD323" s="164"/>
      <c r="AE323" s="163"/>
      <c r="AF323" s="155"/>
      <c r="AG323" s="161"/>
      <c r="AH323" s="161"/>
      <c r="AI323" s="161"/>
      <c r="AJ323" s="162"/>
      <c r="AK323" s="162"/>
      <c r="AL323" s="164"/>
      <c r="AM323" s="163"/>
      <c r="AN323" s="155"/>
      <c r="AO323" s="161"/>
      <c r="AP323" s="161"/>
      <c r="AQ323" s="161"/>
      <c r="AR323" s="162"/>
      <c r="AS323" s="162"/>
      <c r="AT323" s="164"/>
      <c r="AU323" s="163"/>
    </row>
    <row r="324" spans="1:47" ht="15.95" customHeight="1" x14ac:dyDescent="0.2">
      <c r="A324" s="608"/>
      <c r="B324" s="608"/>
      <c r="C324" s="608"/>
      <c r="D324" s="609"/>
      <c r="E324" s="609"/>
      <c r="F324" s="610"/>
      <c r="G324" s="607" t="s">
        <v>169</v>
      </c>
      <c r="H324" s="113"/>
      <c r="I324" s="129"/>
      <c r="J324" s="129"/>
      <c r="K324" s="129"/>
      <c r="L324" s="130"/>
      <c r="M324" s="162"/>
      <c r="N324" s="162"/>
      <c r="O324" s="163"/>
      <c r="Q324" s="161"/>
      <c r="R324" s="161"/>
      <c r="S324" s="161"/>
      <c r="T324" s="162"/>
      <c r="U324" s="162"/>
      <c r="V324" s="164"/>
      <c r="W324" s="163"/>
      <c r="X324" s="155"/>
      <c r="Y324" s="161"/>
      <c r="Z324" s="161"/>
      <c r="AA324" s="161"/>
      <c r="AB324" s="162"/>
      <c r="AC324" s="162"/>
      <c r="AD324" s="164"/>
      <c r="AE324" s="163"/>
      <c r="AF324" s="155"/>
      <c r="AG324" s="161"/>
      <c r="AH324" s="161"/>
      <c r="AI324" s="161"/>
      <c r="AJ324" s="162"/>
      <c r="AK324" s="162"/>
      <c r="AL324" s="164"/>
      <c r="AM324" s="163"/>
      <c r="AN324" s="155"/>
      <c r="AO324" s="161"/>
      <c r="AP324" s="161"/>
      <c r="AQ324" s="161"/>
      <c r="AR324" s="162"/>
      <c r="AS324" s="162"/>
      <c r="AT324" s="164"/>
      <c r="AU324" s="163"/>
    </row>
    <row r="325" spans="1:47" ht="15.95" customHeight="1" x14ac:dyDescent="0.2">
      <c r="A325" s="608"/>
      <c r="B325" s="608"/>
      <c r="C325" s="608"/>
      <c r="D325" s="609"/>
      <c r="E325" s="609"/>
      <c r="F325" s="610"/>
      <c r="G325" s="607" t="s">
        <v>169</v>
      </c>
      <c r="H325" s="113"/>
      <c r="I325" s="129"/>
      <c r="J325" s="129"/>
      <c r="K325" s="129"/>
      <c r="L325" s="130"/>
      <c r="M325" s="162"/>
      <c r="N325" s="162"/>
      <c r="O325" s="163"/>
      <c r="Q325" s="161"/>
      <c r="R325" s="161"/>
      <c r="S325" s="161"/>
      <c r="T325" s="162"/>
      <c r="U325" s="162"/>
      <c r="V325" s="164"/>
      <c r="W325" s="163"/>
      <c r="X325" s="155"/>
      <c r="Y325" s="161"/>
      <c r="Z325" s="161"/>
      <c r="AA325" s="161"/>
      <c r="AB325" s="162"/>
      <c r="AC325" s="162"/>
      <c r="AD325" s="164"/>
      <c r="AE325" s="163"/>
      <c r="AF325" s="155"/>
      <c r="AG325" s="161"/>
      <c r="AH325" s="161"/>
      <c r="AI325" s="161"/>
      <c r="AJ325" s="162"/>
      <c r="AK325" s="162"/>
      <c r="AL325" s="164"/>
      <c r="AM325" s="163"/>
      <c r="AN325" s="155"/>
      <c r="AO325" s="161"/>
      <c r="AP325" s="161"/>
      <c r="AQ325" s="161"/>
      <c r="AR325" s="162"/>
      <c r="AS325" s="162"/>
      <c r="AT325" s="164"/>
      <c r="AU325" s="163"/>
    </row>
    <row r="326" spans="1:47" ht="15.95" customHeight="1" x14ac:dyDescent="0.2">
      <c r="A326" s="608"/>
      <c r="B326" s="608"/>
      <c r="C326" s="608"/>
      <c r="D326" s="609"/>
      <c r="E326" s="609"/>
      <c r="F326" s="610"/>
      <c r="G326" s="607" t="s">
        <v>169</v>
      </c>
      <c r="H326" s="113"/>
      <c r="I326" s="129"/>
      <c r="J326" s="129"/>
      <c r="K326" s="129"/>
      <c r="L326" s="130"/>
      <c r="M326" s="162"/>
      <c r="N326" s="162"/>
      <c r="O326" s="163"/>
      <c r="Q326" s="161"/>
      <c r="R326" s="161"/>
      <c r="S326" s="161"/>
      <c r="T326" s="162"/>
      <c r="U326" s="162"/>
      <c r="V326" s="164"/>
      <c r="W326" s="163"/>
      <c r="X326" s="155"/>
      <c r="Y326" s="161"/>
      <c r="Z326" s="161"/>
      <c r="AA326" s="161"/>
      <c r="AB326" s="162"/>
      <c r="AC326" s="162"/>
      <c r="AD326" s="164"/>
      <c r="AE326" s="163"/>
      <c r="AF326" s="155"/>
      <c r="AG326" s="161"/>
      <c r="AH326" s="161"/>
      <c r="AI326" s="161"/>
      <c r="AJ326" s="162"/>
      <c r="AK326" s="162"/>
      <c r="AL326" s="164"/>
      <c r="AM326" s="163"/>
      <c r="AN326" s="155"/>
      <c r="AO326" s="161"/>
      <c r="AP326" s="161"/>
      <c r="AQ326" s="161"/>
      <c r="AR326" s="162"/>
      <c r="AS326" s="162"/>
      <c r="AT326" s="164"/>
      <c r="AU326" s="163"/>
    </row>
    <row r="327" spans="1:47" ht="15.95" customHeight="1" x14ac:dyDescent="0.2">
      <c r="A327" s="608"/>
      <c r="B327" s="608"/>
      <c r="C327" s="608"/>
      <c r="D327" s="609"/>
      <c r="E327" s="609"/>
      <c r="F327" s="610"/>
      <c r="G327" s="607" t="s">
        <v>169</v>
      </c>
      <c r="H327" s="113"/>
      <c r="I327" s="129"/>
      <c r="J327" s="129"/>
      <c r="K327" s="129"/>
      <c r="L327" s="130"/>
      <c r="M327" s="162"/>
      <c r="N327" s="162"/>
      <c r="O327" s="163"/>
      <c r="Q327" s="161"/>
      <c r="R327" s="161"/>
      <c r="S327" s="161"/>
      <c r="T327" s="162"/>
      <c r="U327" s="162"/>
      <c r="V327" s="164"/>
      <c r="W327" s="163"/>
      <c r="X327" s="155"/>
      <c r="Y327" s="161"/>
      <c r="Z327" s="161"/>
      <c r="AA327" s="161"/>
      <c r="AB327" s="162"/>
      <c r="AC327" s="162"/>
      <c r="AD327" s="164"/>
      <c r="AE327" s="163"/>
      <c r="AF327" s="155"/>
      <c r="AG327" s="161"/>
      <c r="AH327" s="161"/>
      <c r="AI327" s="161"/>
      <c r="AJ327" s="162"/>
      <c r="AK327" s="162"/>
      <c r="AL327" s="164"/>
      <c r="AM327" s="163"/>
      <c r="AN327" s="155"/>
      <c r="AO327" s="161"/>
      <c r="AP327" s="161"/>
      <c r="AQ327" s="161"/>
      <c r="AR327" s="162"/>
      <c r="AS327" s="162"/>
      <c r="AT327" s="164"/>
      <c r="AU327" s="163"/>
    </row>
    <row r="328" spans="1:47" ht="15.95" customHeight="1" x14ac:dyDescent="0.2">
      <c r="A328" s="608"/>
      <c r="B328" s="608"/>
      <c r="C328" s="608"/>
      <c r="D328" s="609"/>
      <c r="E328" s="609"/>
      <c r="F328" s="610"/>
      <c r="G328" s="607" t="s">
        <v>169</v>
      </c>
      <c r="H328" s="113"/>
      <c r="I328" s="129"/>
      <c r="J328" s="129"/>
      <c r="K328" s="129"/>
      <c r="L328" s="130"/>
      <c r="M328" s="162"/>
      <c r="N328" s="162"/>
      <c r="O328" s="163"/>
      <c r="Q328" s="161"/>
      <c r="R328" s="161"/>
      <c r="S328" s="161"/>
      <c r="T328" s="162"/>
      <c r="U328" s="162"/>
      <c r="V328" s="164"/>
      <c r="W328" s="163"/>
      <c r="X328" s="155"/>
      <c r="Y328" s="161"/>
      <c r="Z328" s="161"/>
      <c r="AA328" s="161"/>
      <c r="AB328" s="162"/>
      <c r="AC328" s="162"/>
      <c r="AD328" s="164"/>
      <c r="AE328" s="163"/>
      <c r="AF328" s="155"/>
      <c r="AG328" s="161"/>
      <c r="AH328" s="161"/>
      <c r="AI328" s="161"/>
      <c r="AJ328" s="162"/>
      <c r="AK328" s="162"/>
      <c r="AL328" s="164"/>
      <c r="AM328" s="163"/>
      <c r="AN328" s="155"/>
      <c r="AO328" s="161"/>
      <c r="AP328" s="161"/>
      <c r="AQ328" s="161"/>
      <c r="AR328" s="162"/>
      <c r="AS328" s="162"/>
      <c r="AT328" s="164"/>
      <c r="AU328" s="163"/>
    </row>
    <row r="329" spans="1:47" ht="15.95" customHeight="1" x14ac:dyDescent="0.2">
      <c r="A329" s="608"/>
      <c r="B329" s="608"/>
      <c r="C329" s="608"/>
      <c r="D329" s="609"/>
      <c r="E329" s="609"/>
      <c r="F329" s="610"/>
      <c r="G329" s="607" t="s">
        <v>169</v>
      </c>
      <c r="H329" s="113"/>
      <c r="I329" s="129"/>
      <c r="J329" s="129"/>
      <c r="K329" s="129"/>
      <c r="L329" s="130"/>
      <c r="M329" s="162"/>
      <c r="N329" s="162"/>
      <c r="O329" s="163"/>
      <c r="Q329" s="161"/>
      <c r="R329" s="161"/>
      <c r="S329" s="161"/>
      <c r="T329" s="162"/>
      <c r="U329" s="162"/>
      <c r="V329" s="164"/>
      <c r="W329" s="163"/>
      <c r="X329" s="155"/>
      <c r="Y329" s="161"/>
      <c r="Z329" s="161"/>
      <c r="AA329" s="161"/>
      <c r="AB329" s="162"/>
      <c r="AC329" s="162"/>
      <c r="AD329" s="164"/>
      <c r="AE329" s="163"/>
      <c r="AF329" s="155"/>
      <c r="AG329" s="161"/>
      <c r="AH329" s="161"/>
      <c r="AI329" s="161"/>
      <c r="AJ329" s="162"/>
      <c r="AK329" s="162"/>
      <c r="AL329" s="164"/>
      <c r="AM329" s="163"/>
      <c r="AN329" s="155"/>
      <c r="AO329" s="161"/>
      <c r="AP329" s="161"/>
      <c r="AQ329" s="161"/>
      <c r="AR329" s="162"/>
      <c r="AS329" s="162"/>
      <c r="AT329" s="164"/>
      <c r="AU329" s="163"/>
    </row>
    <row r="330" spans="1:47" ht="15.95" customHeight="1" x14ac:dyDescent="0.2">
      <c r="A330" s="608"/>
      <c r="B330" s="608"/>
      <c r="C330" s="608"/>
      <c r="D330" s="609"/>
      <c r="E330" s="609"/>
      <c r="F330" s="610"/>
      <c r="G330" s="607" t="s">
        <v>169</v>
      </c>
      <c r="H330" s="113"/>
      <c r="I330" s="129"/>
      <c r="J330" s="129"/>
      <c r="K330" s="129"/>
      <c r="L330" s="130"/>
      <c r="M330" s="162"/>
      <c r="N330" s="162"/>
      <c r="O330" s="163"/>
      <c r="Q330" s="161"/>
      <c r="R330" s="161"/>
      <c r="S330" s="161"/>
      <c r="T330" s="162"/>
      <c r="U330" s="162"/>
      <c r="V330" s="164"/>
      <c r="W330" s="163"/>
      <c r="X330" s="155"/>
      <c r="Y330" s="161"/>
      <c r="Z330" s="161"/>
      <c r="AA330" s="161"/>
      <c r="AB330" s="162"/>
      <c r="AC330" s="162"/>
      <c r="AD330" s="164"/>
      <c r="AE330" s="163"/>
      <c r="AF330" s="155"/>
      <c r="AG330" s="161"/>
      <c r="AH330" s="161"/>
      <c r="AI330" s="161"/>
      <c r="AJ330" s="162"/>
      <c r="AK330" s="162"/>
      <c r="AL330" s="164"/>
      <c r="AM330" s="163"/>
      <c r="AN330" s="155"/>
      <c r="AO330" s="161"/>
      <c r="AP330" s="161"/>
      <c r="AQ330" s="161"/>
      <c r="AR330" s="162"/>
      <c r="AS330" s="162"/>
      <c r="AT330" s="164"/>
      <c r="AU330" s="163"/>
    </row>
    <row r="331" spans="1:47" ht="15.95" customHeight="1" x14ac:dyDescent="0.2">
      <c r="A331" s="608"/>
      <c r="B331" s="608"/>
      <c r="C331" s="608"/>
      <c r="D331" s="609"/>
      <c r="E331" s="609"/>
      <c r="F331" s="610"/>
      <c r="G331" s="607" t="s">
        <v>169</v>
      </c>
      <c r="H331" s="113"/>
      <c r="I331" s="129"/>
      <c r="J331" s="129"/>
      <c r="K331" s="129"/>
      <c r="L331" s="130"/>
      <c r="M331" s="162"/>
      <c r="N331" s="162"/>
      <c r="O331" s="163"/>
      <c r="Q331" s="161"/>
      <c r="R331" s="161"/>
      <c r="S331" s="161"/>
      <c r="T331" s="162"/>
      <c r="U331" s="162"/>
      <c r="V331" s="164"/>
      <c r="W331" s="163"/>
      <c r="X331" s="155"/>
      <c r="Y331" s="161"/>
      <c r="Z331" s="161"/>
      <c r="AA331" s="161"/>
      <c r="AB331" s="162"/>
      <c r="AC331" s="162"/>
      <c r="AD331" s="164"/>
      <c r="AE331" s="163"/>
      <c r="AF331" s="155"/>
      <c r="AG331" s="161"/>
      <c r="AH331" s="161"/>
      <c r="AI331" s="161"/>
      <c r="AJ331" s="162"/>
      <c r="AK331" s="162"/>
      <c r="AL331" s="164"/>
      <c r="AM331" s="163"/>
      <c r="AN331" s="155"/>
      <c r="AO331" s="161"/>
      <c r="AP331" s="161"/>
      <c r="AQ331" s="161"/>
      <c r="AR331" s="162"/>
      <c r="AS331" s="162"/>
      <c r="AT331" s="164"/>
      <c r="AU331" s="163"/>
    </row>
    <row r="332" spans="1:47" ht="15.95" customHeight="1" x14ac:dyDescent="0.2">
      <c r="A332" s="608"/>
      <c r="B332" s="608"/>
      <c r="C332" s="608"/>
      <c r="D332" s="609"/>
      <c r="E332" s="609"/>
      <c r="F332" s="610"/>
      <c r="G332" s="607" t="s">
        <v>169</v>
      </c>
      <c r="H332" s="113"/>
      <c r="I332" s="129"/>
      <c r="J332" s="129"/>
      <c r="K332" s="129"/>
      <c r="L332" s="130"/>
      <c r="M332" s="162"/>
      <c r="N332" s="162"/>
      <c r="O332" s="163"/>
      <c r="Q332" s="161"/>
      <c r="R332" s="161"/>
      <c r="S332" s="161"/>
      <c r="T332" s="162"/>
      <c r="U332" s="162"/>
      <c r="V332" s="164"/>
      <c r="W332" s="163"/>
      <c r="X332" s="155"/>
      <c r="Y332" s="161"/>
      <c r="Z332" s="161"/>
      <c r="AA332" s="161"/>
      <c r="AB332" s="162"/>
      <c r="AC332" s="162"/>
      <c r="AD332" s="164"/>
      <c r="AE332" s="163"/>
      <c r="AF332" s="155"/>
      <c r="AG332" s="161"/>
      <c r="AH332" s="161"/>
      <c r="AI332" s="161"/>
      <c r="AJ332" s="162"/>
      <c r="AK332" s="162"/>
      <c r="AL332" s="164"/>
      <c r="AM332" s="163"/>
      <c r="AN332" s="155"/>
      <c r="AO332" s="161"/>
      <c r="AP332" s="161"/>
      <c r="AQ332" s="161"/>
      <c r="AR332" s="162"/>
      <c r="AS332" s="162"/>
      <c r="AT332" s="164"/>
      <c r="AU332" s="163"/>
    </row>
    <row r="333" spans="1:47" ht="15.95" customHeight="1" x14ac:dyDescent="0.2">
      <c r="A333" s="608"/>
      <c r="B333" s="608"/>
      <c r="C333" s="608"/>
      <c r="D333" s="609"/>
      <c r="E333" s="609"/>
      <c r="F333" s="610"/>
      <c r="G333" s="607" t="s">
        <v>169</v>
      </c>
      <c r="H333" s="113"/>
      <c r="I333" s="129"/>
      <c r="J333" s="129"/>
      <c r="K333" s="129"/>
      <c r="L333" s="130"/>
      <c r="M333" s="162"/>
      <c r="N333" s="162"/>
      <c r="O333" s="163"/>
      <c r="Q333" s="161"/>
      <c r="R333" s="161"/>
      <c r="S333" s="161"/>
      <c r="T333" s="162"/>
      <c r="U333" s="162"/>
      <c r="V333" s="164"/>
      <c r="W333" s="163"/>
      <c r="X333" s="155"/>
      <c r="Y333" s="161"/>
      <c r="Z333" s="161"/>
      <c r="AA333" s="161"/>
      <c r="AB333" s="162"/>
      <c r="AC333" s="162"/>
      <c r="AD333" s="164"/>
      <c r="AE333" s="163"/>
      <c r="AF333" s="155"/>
      <c r="AG333" s="161"/>
      <c r="AH333" s="161"/>
      <c r="AI333" s="161"/>
      <c r="AJ333" s="162"/>
      <c r="AK333" s="162"/>
      <c r="AL333" s="164"/>
      <c r="AM333" s="163"/>
      <c r="AN333" s="155"/>
      <c r="AO333" s="161"/>
      <c r="AP333" s="161"/>
      <c r="AQ333" s="161"/>
      <c r="AR333" s="162"/>
      <c r="AS333" s="162"/>
      <c r="AT333" s="164"/>
      <c r="AU333" s="163"/>
    </row>
    <row r="334" spans="1:47" ht="15.95" customHeight="1" x14ac:dyDescent="0.2">
      <c r="A334" s="608"/>
      <c r="B334" s="608"/>
      <c r="C334" s="608"/>
      <c r="D334" s="609"/>
      <c r="E334" s="609"/>
      <c r="F334" s="610"/>
      <c r="G334" s="607" t="s">
        <v>169</v>
      </c>
      <c r="H334" s="113"/>
      <c r="I334" s="129"/>
      <c r="J334" s="129"/>
      <c r="K334" s="129"/>
      <c r="L334" s="130"/>
      <c r="M334" s="162"/>
      <c r="N334" s="162"/>
      <c r="O334" s="163"/>
      <c r="Q334" s="161"/>
      <c r="R334" s="161"/>
      <c r="S334" s="161"/>
      <c r="T334" s="162"/>
      <c r="U334" s="162"/>
      <c r="V334" s="164"/>
      <c r="W334" s="163"/>
      <c r="X334" s="155"/>
      <c r="Y334" s="161"/>
      <c r="Z334" s="161"/>
      <c r="AA334" s="161"/>
      <c r="AB334" s="162"/>
      <c r="AC334" s="162"/>
      <c r="AD334" s="164"/>
      <c r="AE334" s="163"/>
      <c r="AF334" s="155"/>
      <c r="AG334" s="161"/>
      <c r="AH334" s="161"/>
      <c r="AI334" s="161"/>
      <c r="AJ334" s="162"/>
      <c r="AK334" s="162"/>
      <c r="AL334" s="164"/>
      <c r="AM334" s="163"/>
      <c r="AN334" s="155"/>
      <c r="AO334" s="161"/>
      <c r="AP334" s="161"/>
      <c r="AQ334" s="161"/>
      <c r="AR334" s="162"/>
      <c r="AS334" s="162"/>
      <c r="AT334" s="164"/>
      <c r="AU334" s="163"/>
    </row>
    <row r="335" spans="1:47" ht="15.95" customHeight="1" x14ac:dyDescent="0.2">
      <c r="A335" s="608"/>
      <c r="B335" s="608"/>
      <c r="C335" s="608"/>
      <c r="D335" s="609"/>
      <c r="E335" s="609"/>
      <c r="F335" s="610"/>
      <c r="G335" s="607" t="s">
        <v>169</v>
      </c>
      <c r="H335" s="113"/>
      <c r="I335" s="129"/>
      <c r="J335" s="129"/>
      <c r="K335" s="129"/>
      <c r="L335" s="130"/>
      <c r="M335" s="162"/>
      <c r="N335" s="162"/>
      <c r="O335" s="163"/>
      <c r="Q335" s="161"/>
      <c r="R335" s="161"/>
      <c r="S335" s="161"/>
      <c r="T335" s="162"/>
      <c r="U335" s="162"/>
      <c r="V335" s="164"/>
      <c r="W335" s="163"/>
      <c r="X335" s="155"/>
      <c r="Y335" s="161"/>
      <c r="Z335" s="161"/>
      <c r="AA335" s="161"/>
      <c r="AB335" s="162"/>
      <c r="AC335" s="162"/>
      <c r="AD335" s="164"/>
      <c r="AE335" s="163"/>
      <c r="AF335" s="155"/>
      <c r="AG335" s="161"/>
      <c r="AH335" s="161"/>
      <c r="AI335" s="161"/>
      <c r="AJ335" s="162"/>
      <c r="AK335" s="162"/>
      <c r="AL335" s="164"/>
      <c r="AM335" s="163"/>
      <c r="AN335" s="155"/>
      <c r="AO335" s="161"/>
      <c r="AP335" s="161"/>
      <c r="AQ335" s="161"/>
      <c r="AR335" s="162"/>
      <c r="AS335" s="162"/>
      <c r="AT335" s="164"/>
      <c r="AU335" s="163"/>
    </row>
    <row r="336" spans="1:47" ht="15.95" customHeight="1" x14ac:dyDescent="0.2">
      <c r="A336" s="608"/>
      <c r="B336" s="608"/>
      <c r="C336" s="608"/>
      <c r="D336" s="609"/>
      <c r="E336" s="609"/>
      <c r="F336" s="610"/>
      <c r="G336" s="607" t="s">
        <v>169</v>
      </c>
      <c r="H336" s="113"/>
      <c r="I336" s="129"/>
      <c r="J336" s="129"/>
      <c r="K336" s="129"/>
      <c r="L336" s="130"/>
      <c r="M336" s="162"/>
      <c r="N336" s="162"/>
      <c r="O336" s="163"/>
      <c r="Q336" s="161"/>
      <c r="R336" s="161"/>
      <c r="S336" s="161"/>
      <c r="T336" s="162"/>
      <c r="U336" s="162"/>
      <c r="V336" s="164"/>
      <c r="W336" s="163"/>
      <c r="X336" s="155"/>
      <c r="Y336" s="161"/>
      <c r="Z336" s="161"/>
      <c r="AA336" s="161"/>
      <c r="AB336" s="162"/>
      <c r="AC336" s="162"/>
      <c r="AD336" s="164"/>
      <c r="AE336" s="163"/>
      <c r="AF336" s="155"/>
      <c r="AG336" s="161"/>
      <c r="AH336" s="161"/>
      <c r="AI336" s="161"/>
      <c r="AJ336" s="162"/>
      <c r="AK336" s="162"/>
      <c r="AL336" s="164"/>
      <c r="AM336" s="163"/>
      <c r="AN336" s="155"/>
      <c r="AO336" s="161"/>
      <c r="AP336" s="161"/>
      <c r="AQ336" s="161"/>
      <c r="AR336" s="162"/>
      <c r="AS336" s="162"/>
      <c r="AT336" s="164"/>
      <c r="AU336" s="163"/>
    </row>
    <row r="337" spans="1:47" ht="15.95" customHeight="1" x14ac:dyDescent="0.2">
      <c r="A337" s="608"/>
      <c r="B337" s="608"/>
      <c r="C337" s="608"/>
      <c r="D337" s="609"/>
      <c r="E337" s="609"/>
      <c r="F337" s="610"/>
      <c r="G337" s="607" t="s">
        <v>169</v>
      </c>
      <c r="H337" s="113"/>
      <c r="I337" s="129"/>
      <c r="J337" s="129"/>
      <c r="K337" s="129"/>
      <c r="L337" s="130"/>
      <c r="M337" s="162"/>
      <c r="N337" s="162"/>
      <c r="O337" s="163"/>
      <c r="Q337" s="161"/>
      <c r="R337" s="161"/>
      <c r="S337" s="161"/>
      <c r="T337" s="162"/>
      <c r="U337" s="162"/>
      <c r="V337" s="164"/>
      <c r="W337" s="163"/>
      <c r="X337" s="155"/>
      <c r="Y337" s="161"/>
      <c r="Z337" s="161"/>
      <c r="AA337" s="161"/>
      <c r="AB337" s="162"/>
      <c r="AC337" s="162"/>
      <c r="AD337" s="164"/>
      <c r="AE337" s="163"/>
      <c r="AF337" s="155"/>
      <c r="AG337" s="161"/>
      <c r="AH337" s="161"/>
      <c r="AI337" s="161"/>
      <c r="AJ337" s="162"/>
      <c r="AK337" s="162"/>
      <c r="AL337" s="164"/>
      <c r="AM337" s="163"/>
      <c r="AN337" s="155"/>
      <c r="AO337" s="161"/>
      <c r="AP337" s="161"/>
      <c r="AQ337" s="161"/>
      <c r="AR337" s="162"/>
      <c r="AS337" s="162"/>
      <c r="AT337" s="164"/>
      <c r="AU337" s="163"/>
    </row>
    <row r="338" spans="1:47" ht="15.95" customHeight="1" x14ac:dyDescent="0.2">
      <c r="A338" s="608"/>
      <c r="B338" s="608"/>
      <c r="C338" s="608"/>
      <c r="D338" s="609"/>
      <c r="E338" s="609"/>
      <c r="F338" s="610"/>
      <c r="G338" s="607" t="s">
        <v>169</v>
      </c>
      <c r="H338" s="113"/>
      <c r="I338" s="129"/>
      <c r="J338" s="129"/>
      <c r="K338" s="129"/>
      <c r="L338" s="130"/>
      <c r="M338" s="162"/>
      <c r="N338" s="162"/>
      <c r="O338" s="163"/>
      <c r="Q338" s="161"/>
      <c r="R338" s="161"/>
      <c r="S338" s="161"/>
      <c r="T338" s="162"/>
      <c r="U338" s="162"/>
      <c r="V338" s="164"/>
      <c r="W338" s="163"/>
      <c r="X338" s="155"/>
      <c r="Y338" s="161"/>
      <c r="Z338" s="161"/>
      <c r="AA338" s="161"/>
      <c r="AB338" s="162"/>
      <c r="AC338" s="162"/>
      <c r="AD338" s="164"/>
      <c r="AE338" s="163"/>
      <c r="AF338" s="155"/>
      <c r="AG338" s="161"/>
      <c r="AH338" s="161"/>
      <c r="AI338" s="161"/>
      <c r="AJ338" s="162"/>
      <c r="AK338" s="162"/>
      <c r="AL338" s="164"/>
      <c r="AM338" s="163"/>
      <c r="AN338" s="155"/>
      <c r="AO338" s="161"/>
      <c r="AP338" s="161"/>
      <c r="AQ338" s="161"/>
      <c r="AR338" s="162"/>
      <c r="AS338" s="162"/>
      <c r="AT338" s="164"/>
      <c r="AU338" s="163"/>
    </row>
    <row r="339" spans="1:47" ht="15.95" customHeight="1" x14ac:dyDescent="0.2">
      <c r="A339" s="608"/>
      <c r="B339" s="608"/>
      <c r="C339" s="608"/>
      <c r="D339" s="609"/>
      <c r="E339" s="609"/>
      <c r="F339" s="610"/>
      <c r="G339" s="607" t="s">
        <v>169</v>
      </c>
      <c r="H339" s="113"/>
      <c r="I339" s="129"/>
      <c r="J339" s="129"/>
      <c r="K339" s="129"/>
      <c r="L339" s="130"/>
      <c r="M339" s="162"/>
      <c r="N339" s="162"/>
      <c r="O339" s="163"/>
      <c r="Q339" s="161"/>
      <c r="R339" s="161"/>
      <c r="S339" s="161"/>
      <c r="T339" s="162"/>
      <c r="U339" s="162"/>
      <c r="V339" s="164"/>
      <c r="W339" s="163"/>
      <c r="X339" s="155"/>
      <c r="Y339" s="161"/>
      <c r="Z339" s="161"/>
      <c r="AA339" s="161"/>
      <c r="AB339" s="162"/>
      <c r="AC339" s="162"/>
      <c r="AD339" s="164"/>
      <c r="AE339" s="163"/>
      <c r="AF339" s="155"/>
      <c r="AG339" s="161"/>
      <c r="AH339" s="161"/>
      <c r="AI339" s="161"/>
      <c r="AJ339" s="162"/>
      <c r="AK339" s="162"/>
      <c r="AL339" s="164"/>
      <c r="AM339" s="163"/>
      <c r="AN339" s="155"/>
      <c r="AO339" s="161"/>
      <c r="AP339" s="161"/>
      <c r="AQ339" s="161"/>
      <c r="AR339" s="162"/>
      <c r="AS339" s="162"/>
      <c r="AT339" s="164"/>
      <c r="AU339" s="163"/>
    </row>
    <row r="340" spans="1:47" ht="15.95" customHeight="1" x14ac:dyDescent="0.2">
      <c r="A340" s="608"/>
      <c r="B340" s="608"/>
      <c r="C340" s="608"/>
      <c r="D340" s="609"/>
      <c r="E340" s="609"/>
      <c r="F340" s="610"/>
      <c r="G340" s="607" t="s">
        <v>169</v>
      </c>
      <c r="H340" s="113"/>
      <c r="I340" s="129"/>
      <c r="J340" s="129"/>
      <c r="K340" s="129"/>
      <c r="L340" s="130"/>
      <c r="M340" s="162"/>
      <c r="N340" s="162"/>
      <c r="O340" s="163"/>
      <c r="Q340" s="161"/>
      <c r="R340" s="161"/>
      <c r="S340" s="161"/>
      <c r="T340" s="162"/>
      <c r="U340" s="162"/>
      <c r="V340" s="164"/>
      <c r="W340" s="163"/>
      <c r="X340" s="155"/>
      <c r="Y340" s="161"/>
      <c r="Z340" s="161"/>
      <c r="AA340" s="161"/>
      <c r="AB340" s="162"/>
      <c r="AC340" s="162"/>
      <c r="AD340" s="164"/>
      <c r="AE340" s="163"/>
      <c r="AF340" s="155"/>
      <c r="AG340" s="161"/>
      <c r="AH340" s="161"/>
      <c r="AI340" s="161"/>
      <c r="AJ340" s="162"/>
      <c r="AK340" s="162"/>
      <c r="AL340" s="164"/>
      <c r="AM340" s="163"/>
      <c r="AN340" s="155"/>
      <c r="AO340" s="161"/>
      <c r="AP340" s="161"/>
      <c r="AQ340" s="161"/>
      <c r="AR340" s="162"/>
      <c r="AS340" s="162"/>
      <c r="AT340" s="164"/>
      <c r="AU340" s="163"/>
    </row>
    <row r="341" spans="1:47" ht="15.95" customHeight="1" x14ac:dyDescent="0.2">
      <c r="A341" s="608"/>
      <c r="B341" s="608"/>
      <c r="C341" s="608"/>
      <c r="D341" s="609"/>
      <c r="E341" s="609"/>
      <c r="F341" s="610"/>
      <c r="G341" s="607" t="s">
        <v>169</v>
      </c>
      <c r="H341" s="113"/>
      <c r="I341" s="129"/>
      <c r="J341" s="129"/>
      <c r="K341" s="129"/>
      <c r="L341" s="130"/>
      <c r="M341" s="162"/>
      <c r="N341" s="162"/>
      <c r="O341" s="163"/>
      <c r="Q341" s="161"/>
      <c r="R341" s="161"/>
      <c r="S341" s="161"/>
      <c r="T341" s="162"/>
      <c r="U341" s="162"/>
      <c r="V341" s="164"/>
      <c r="W341" s="163"/>
      <c r="X341" s="155"/>
      <c r="Y341" s="161"/>
      <c r="Z341" s="161"/>
      <c r="AA341" s="161"/>
      <c r="AB341" s="162"/>
      <c r="AC341" s="162"/>
      <c r="AD341" s="164"/>
      <c r="AE341" s="163"/>
      <c r="AF341" s="155"/>
      <c r="AG341" s="161"/>
      <c r="AH341" s="161"/>
      <c r="AI341" s="161"/>
      <c r="AJ341" s="162"/>
      <c r="AK341" s="162"/>
      <c r="AL341" s="164"/>
      <c r="AM341" s="163"/>
      <c r="AN341" s="155"/>
      <c r="AO341" s="161"/>
      <c r="AP341" s="161"/>
      <c r="AQ341" s="161"/>
      <c r="AR341" s="162"/>
      <c r="AS341" s="162"/>
      <c r="AT341" s="164"/>
      <c r="AU341" s="163"/>
    </row>
    <row r="342" spans="1:47" ht="15.95" customHeight="1" x14ac:dyDescent="0.2">
      <c r="A342" s="608"/>
      <c r="B342" s="608"/>
      <c r="C342" s="608"/>
      <c r="D342" s="609"/>
      <c r="E342" s="609"/>
      <c r="F342" s="610"/>
      <c r="G342" s="607" t="s">
        <v>169</v>
      </c>
      <c r="H342" s="113"/>
      <c r="I342" s="129"/>
      <c r="J342" s="129"/>
      <c r="K342" s="129"/>
      <c r="L342" s="130"/>
      <c r="M342" s="162"/>
      <c r="N342" s="162"/>
      <c r="O342" s="163"/>
      <c r="Q342" s="161"/>
      <c r="R342" s="161"/>
      <c r="S342" s="161"/>
      <c r="T342" s="162"/>
      <c r="U342" s="162"/>
      <c r="V342" s="164"/>
      <c r="W342" s="163"/>
      <c r="X342" s="155"/>
      <c r="Y342" s="161"/>
      <c r="Z342" s="161"/>
      <c r="AA342" s="161"/>
      <c r="AB342" s="162"/>
      <c r="AC342" s="162"/>
      <c r="AD342" s="164"/>
      <c r="AE342" s="163"/>
      <c r="AF342" s="155"/>
      <c r="AG342" s="161"/>
      <c r="AH342" s="161"/>
      <c r="AI342" s="161"/>
      <c r="AJ342" s="162"/>
      <c r="AK342" s="162"/>
      <c r="AL342" s="164"/>
      <c r="AM342" s="163"/>
      <c r="AN342" s="155"/>
      <c r="AO342" s="161"/>
      <c r="AP342" s="161"/>
      <c r="AQ342" s="161"/>
      <c r="AR342" s="162"/>
      <c r="AS342" s="162"/>
      <c r="AT342" s="164"/>
      <c r="AU342" s="163"/>
    </row>
    <row r="343" spans="1:47" ht="15.95" customHeight="1" x14ac:dyDescent="0.2">
      <c r="A343" s="608"/>
      <c r="B343" s="608"/>
      <c r="C343" s="608"/>
      <c r="D343" s="609"/>
      <c r="E343" s="609"/>
      <c r="F343" s="610"/>
      <c r="G343" s="607" t="s">
        <v>169</v>
      </c>
      <c r="H343" s="113"/>
      <c r="I343" s="129"/>
      <c r="J343" s="129"/>
      <c r="K343" s="129"/>
      <c r="L343" s="130"/>
      <c r="M343" s="162"/>
      <c r="N343" s="162"/>
      <c r="O343" s="163"/>
      <c r="Q343" s="161"/>
      <c r="R343" s="161"/>
      <c r="S343" s="161"/>
      <c r="T343" s="162"/>
      <c r="U343" s="162"/>
      <c r="V343" s="164"/>
      <c r="W343" s="163"/>
      <c r="X343" s="155"/>
      <c r="Y343" s="161"/>
      <c r="Z343" s="161"/>
      <c r="AA343" s="161"/>
      <c r="AB343" s="162"/>
      <c r="AC343" s="162"/>
      <c r="AD343" s="164"/>
      <c r="AE343" s="163"/>
      <c r="AF343" s="155"/>
      <c r="AG343" s="161"/>
      <c r="AH343" s="161"/>
      <c r="AI343" s="161"/>
      <c r="AJ343" s="162"/>
      <c r="AK343" s="162"/>
      <c r="AL343" s="164"/>
      <c r="AM343" s="163"/>
      <c r="AN343" s="155"/>
      <c r="AO343" s="161"/>
      <c r="AP343" s="161"/>
      <c r="AQ343" s="161"/>
      <c r="AR343" s="162"/>
      <c r="AS343" s="162"/>
      <c r="AT343" s="164"/>
      <c r="AU343" s="163"/>
    </row>
    <row r="344" spans="1:47" ht="15.95" customHeight="1" x14ac:dyDescent="0.2">
      <c r="A344" s="608"/>
      <c r="B344" s="608"/>
      <c r="C344" s="608"/>
      <c r="D344" s="609"/>
      <c r="E344" s="609"/>
      <c r="F344" s="610"/>
      <c r="G344" s="607" t="s">
        <v>169</v>
      </c>
      <c r="H344" s="113"/>
      <c r="I344" s="129"/>
      <c r="J344" s="129"/>
      <c r="K344" s="129"/>
      <c r="L344" s="130"/>
      <c r="M344" s="162"/>
      <c r="N344" s="162"/>
      <c r="O344" s="163"/>
      <c r="Q344" s="161"/>
      <c r="R344" s="161"/>
      <c r="S344" s="161"/>
      <c r="T344" s="162"/>
      <c r="U344" s="162"/>
      <c r="V344" s="164"/>
      <c r="W344" s="163"/>
      <c r="X344" s="155"/>
      <c r="Y344" s="161"/>
      <c r="Z344" s="161"/>
      <c r="AA344" s="161"/>
      <c r="AB344" s="162"/>
      <c r="AC344" s="162"/>
      <c r="AD344" s="164"/>
      <c r="AE344" s="163"/>
      <c r="AF344" s="155"/>
      <c r="AG344" s="161"/>
      <c r="AH344" s="161"/>
      <c r="AI344" s="161"/>
      <c r="AJ344" s="162"/>
      <c r="AK344" s="162"/>
      <c r="AL344" s="164"/>
      <c r="AM344" s="163"/>
      <c r="AN344" s="155"/>
      <c r="AO344" s="161"/>
      <c r="AP344" s="161"/>
      <c r="AQ344" s="161"/>
      <c r="AR344" s="162"/>
      <c r="AS344" s="162"/>
      <c r="AT344" s="164"/>
      <c r="AU344" s="163"/>
    </row>
    <row r="345" spans="1:47" ht="15.95" customHeight="1" x14ac:dyDescent="0.2">
      <c r="A345" s="608"/>
      <c r="B345" s="608"/>
      <c r="C345" s="608"/>
      <c r="D345" s="609"/>
      <c r="E345" s="609"/>
      <c r="F345" s="610"/>
      <c r="G345" s="607" t="s">
        <v>169</v>
      </c>
      <c r="H345" s="113"/>
      <c r="I345" s="129"/>
      <c r="J345" s="129"/>
      <c r="K345" s="129"/>
      <c r="L345" s="130"/>
      <c r="M345" s="162"/>
      <c r="N345" s="162"/>
      <c r="O345" s="163"/>
      <c r="Q345" s="161"/>
      <c r="R345" s="161"/>
      <c r="S345" s="161"/>
      <c r="T345" s="162"/>
      <c r="U345" s="162"/>
      <c r="V345" s="164"/>
      <c r="W345" s="163"/>
      <c r="X345" s="155"/>
      <c r="Y345" s="161"/>
      <c r="Z345" s="161"/>
      <c r="AA345" s="161"/>
      <c r="AB345" s="162"/>
      <c r="AC345" s="162"/>
      <c r="AD345" s="164"/>
      <c r="AE345" s="163"/>
      <c r="AF345" s="155"/>
      <c r="AG345" s="161"/>
      <c r="AH345" s="161"/>
      <c r="AI345" s="161"/>
      <c r="AJ345" s="162"/>
      <c r="AK345" s="162"/>
      <c r="AL345" s="164"/>
      <c r="AM345" s="163"/>
      <c r="AN345" s="155"/>
      <c r="AO345" s="161"/>
      <c r="AP345" s="161"/>
      <c r="AQ345" s="161"/>
      <c r="AR345" s="162"/>
      <c r="AS345" s="162"/>
      <c r="AT345" s="164"/>
      <c r="AU345" s="163"/>
    </row>
    <row r="346" spans="1:47" ht="15.95" customHeight="1" x14ac:dyDescent="0.2">
      <c r="A346" s="608"/>
      <c r="B346" s="608"/>
      <c r="C346" s="608"/>
      <c r="D346" s="609"/>
      <c r="E346" s="609"/>
      <c r="F346" s="610"/>
      <c r="G346" s="607" t="s">
        <v>169</v>
      </c>
      <c r="H346" s="113"/>
      <c r="I346" s="129"/>
      <c r="J346" s="129"/>
      <c r="K346" s="129"/>
      <c r="L346" s="130"/>
      <c r="M346" s="162"/>
      <c r="N346" s="162"/>
      <c r="O346" s="163"/>
      <c r="Q346" s="161"/>
      <c r="R346" s="161"/>
      <c r="S346" s="161"/>
      <c r="T346" s="162"/>
      <c r="U346" s="162"/>
      <c r="V346" s="164"/>
      <c r="W346" s="163"/>
      <c r="X346" s="155"/>
      <c r="Y346" s="161"/>
      <c r="Z346" s="161"/>
      <c r="AA346" s="161"/>
      <c r="AB346" s="162"/>
      <c r="AC346" s="162"/>
      <c r="AD346" s="164"/>
      <c r="AE346" s="163"/>
      <c r="AF346" s="155"/>
      <c r="AG346" s="161"/>
      <c r="AH346" s="161"/>
      <c r="AI346" s="161"/>
      <c r="AJ346" s="162"/>
      <c r="AK346" s="162"/>
      <c r="AL346" s="164"/>
      <c r="AM346" s="163"/>
      <c r="AN346" s="155"/>
      <c r="AO346" s="161"/>
      <c r="AP346" s="161"/>
      <c r="AQ346" s="161"/>
      <c r="AR346" s="162"/>
      <c r="AS346" s="162"/>
      <c r="AT346" s="164"/>
      <c r="AU346" s="163"/>
    </row>
    <row r="347" spans="1:47" ht="15.95" customHeight="1" x14ac:dyDescent="0.2">
      <c r="A347" s="608"/>
      <c r="B347" s="608"/>
      <c r="C347" s="608"/>
      <c r="D347" s="609"/>
      <c r="E347" s="609"/>
      <c r="F347" s="610"/>
      <c r="G347" s="607" t="s">
        <v>169</v>
      </c>
      <c r="H347" s="113"/>
      <c r="I347" s="129"/>
      <c r="J347" s="129"/>
      <c r="K347" s="129"/>
      <c r="L347" s="130"/>
      <c r="M347" s="162"/>
      <c r="N347" s="162"/>
      <c r="O347" s="163"/>
      <c r="Q347" s="161"/>
      <c r="R347" s="161"/>
      <c r="S347" s="161"/>
      <c r="T347" s="162"/>
      <c r="U347" s="162"/>
      <c r="V347" s="164"/>
      <c r="W347" s="163"/>
      <c r="X347" s="155"/>
      <c r="Y347" s="161"/>
      <c r="Z347" s="161"/>
      <c r="AA347" s="161"/>
      <c r="AB347" s="162"/>
      <c r="AC347" s="162"/>
      <c r="AD347" s="164"/>
      <c r="AE347" s="163"/>
      <c r="AF347" s="155"/>
      <c r="AG347" s="161"/>
      <c r="AH347" s="161"/>
      <c r="AI347" s="161"/>
      <c r="AJ347" s="162"/>
      <c r="AK347" s="162"/>
      <c r="AL347" s="164"/>
      <c r="AM347" s="163"/>
      <c r="AN347" s="155"/>
      <c r="AO347" s="161"/>
      <c r="AP347" s="161"/>
      <c r="AQ347" s="161"/>
      <c r="AR347" s="162"/>
      <c r="AS347" s="162"/>
      <c r="AT347" s="164"/>
      <c r="AU347" s="163"/>
    </row>
    <row r="348" spans="1:47" ht="15.95" customHeight="1" x14ac:dyDescent="0.2">
      <c r="A348" s="608"/>
      <c r="B348" s="608"/>
      <c r="C348" s="608"/>
      <c r="D348" s="609"/>
      <c r="E348" s="609"/>
      <c r="F348" s="610"/>
      <c r="G348" s="607" t="s">
        <v>169</v>
      </c>
      <c r="H348" s="113"/>
      <c r="I348" s="129"/>
      <c r="J348" s="129"/>
      <c r="K348" s="129"/>
      <c r="L348" s="130"/>
      <c r="M348" s="162"/>
      <c r="N348" s="162"/>
      <c r="O348" s="163"/>
      <c r="Q348" s="161"/>
      <c r="R348" s="161"/>
      <c r="S348" s="161"/>
      <c r="T348" s="162"/>
      <c r="U348" s="162"/>
      <c r="V348" s="164"/>
      <c r="W348" s="163"/>
      <c r="X348" s="155"/>
      <c r="Y348" s="161"/>
      <c r="Z348" s="161"/>
      <c r="AA348" s="161"/>
      <c r="AB348" s="162"/>
      <c r="AC348" s="162"/>
      <c r="AD348" s="164"/>
      <c r="AE348" s="163"/>
      <c r="AF348" s="155"/>
      <c r="AG348" s="161"/>
      <c r="AH348" s="161"/>
      <c r="AI348" s="161"/>
      <c r="AJ348" s="162"/>
      <c r="AK348" s="162"/>
      <c r="AL348" s="164"/>
      <c r="AM348" s="163"/>
      <c r="AN348" s="155"/>
      <c r="AO348" s="161"/>
      <c r="AP348" s="161"/>
      <c r="AQ348" s="161"/>
      <c r="AR348" s="162"/>
      <c r="AS348" s="162"/>
      <c r="AT348" s="164"/>
      <c r="AU348" s="163"/>
    </row>
    <row r="349" spans="1:47" ht="15.95" customHeight="1" x14ac:dyDescent="0.2">
      <c r="A349" s="608"/>
      <c r="B349" s="608"/>
      <c r="C349" s="608"/>
      <c r="D349" s="609"/>
      <c r="E349" s="609"/>
      <c r="F349" s="610"/>
      <c r="G349" s="607" t="s">
        <v>169</v>
      </c>
      <c r="H349" s="113"/>
      <c r="I349" s="129"/>
      <c r="J349" s="129"/>
      <c r="K349" s="129"/>
      <c r="L349" s="130"/>
      <c r="M349" s="162"/>
      <c r="N349" s="162"/>
      <c r="O349" s="163"/>
      <c r="Q349" s="161"/>
      <c r="R349" s="161"/>
      <c r="S349" s="161"/>
      <c r="T349" s="162"/>
      <c r="U349" s="162"/>
      <c r="V349" s="164"/>
      <c r="W349" s="163"/>
      <c r="X349" s="155"/>
      <c r="Y349" s="161"/>
      <c r="Z349" s="161"/>
      <c r="AA349" s="161"/>
      <c r="AB349" s="162"/>
      <c r="AC349" s="162"/>
      <c r="AD349" s="164"/>
      <c r="AE349" s="163"/>
      <c r="AF349" s="155"/>
      <c r="AG349" s="161"/>
      <c r="AH349" s="161"/>
      <c r="AI349" s="161"/>
      <c r="AJ349" s="162"/>
      <c r="AK349" s="162"/>
      <c r="AL349" s="164"/>
      <c r="AM349" s="163"/>
      <c r="AN349" s="155"/>
      <c r="AO349" s="161"/>
      <c r="AP349" s="161"/>
      <c r="AQ349" s="161"/>
      <c r="AR349" s="162"/>
      <c r="AS349" s="162"/>
      <c r="AT349" s="164"/>
      <c r="AU349" s="163"/>
    </row>
    <row r="350" spans="1:47" ht="15.95" customHeight="1" x14ac:dyDescent="0.2">
      <c r="A350" s="608"/>
      <c r="B350" s="608"/>
      <c r="C350" s="608"/>
      <c r="D350" s="609"/>
      <c r="E350" s="609"/>
      <c r="F350" s="610"/>
      <c r="G350" s="607" t="s">
        <v>169</v>
      </c>
      <c r="H350" s="113"/>
      <c r="I350" s="129"/>
      <c r="J350" s="129"/>
      <c r="K350" s="129"/>
      <c r="L350" s="130"/>
      <c r="M350" s="162"/>
      <c r="N350" s="162"/>
      <c r="O350" s="163"/>
      <c r="Q350" s="161"/>
      <c r="R350" s="161"/>
      <c r="S350" s="161"/>
      <c r="T350" s="162"/>
      <c r="U350" s="162"/>
      <c r="V350" s="164"/>
      <c r="W350" s="163"/>
      <c r="X350" s="155"/>
      <c r="Y350" s="161"/>
      <c r="Z350" s="161"/>
      <c r="AA350" s="161"/>
      <c r="AB350" s="162"/>
      <c r="AC350" s="162"/>
      <c r="AD350" s="164"/>
      <c r="AE350" s="163"/>
      <c r="AF350" s="155"/>
      <c r="AG350" s="161"/>
      <c r="AH350" s="161"/>
      <c r="AI350" s="161"/>
      <c r="AJ350" s="162"/>
      <c r="AK350" s="162"/>
      <c r="AL350" s="164"/>
      <c r="AM350" s="163"/>
      <c r="AN350" s="155"/>
      <c r="AO350" s="161"/>
      <c r="AP350" s="161"/>
      <c r="AQ350" s="161"/>
      <c r="AR350" s="162"/>
      <c r="AS350" s="162"/>
      <c r="AT350" s="164"/>
      <c r="AU350" s="163"/>
    </row>
    <row r="351" spans="1:47" ht="15.95" customHeight="1" x14ac:dyDescent="0.2">
      <c r="A351" s="608"/>
      <c r="B351" s="608"/>
      <c r="C351" s="608"/>
      <c r="D351" s="609"/>
      <c r="E351" s="609"/>
      <c r="F351" s="610"/>
      <c r="G351" s="607" t="s">
        <v>169</v>
      </c>
      <c r="H351" s="113"/>
      <c r="I351" s="129"/>
      <c r="J351" s="129"/>
      <c r="K351" s="129"/>
      <c r="L351" s="130"/>
      <c r="M351" s="162"/>
      <c r="N351" s="162"/>
      <c r="O351" s="163"/>
      <c r="Q351" s="161"/>
      <c r="R351" s="161"/>
      <c r="S351" s="161"/>
      <c r="T351" s="162"/>
      <c r="U351" s="162"/>
      <c r="V351" s="164"/>
      <c r="W351" s="163"/>
      <c r="X351" s="155"/>
      <c r="Y351" s="161"/>
      <c r="Z351" s="161"/>
      <c r="AA351" s="161"/>
      <c r="AB351" s="162"/>
      <c r="AC351" s="162"/>
      <c r="AD351" s="164"/>
      <c r="AE351" s="163"/>
      <c r="AF351" s="155"/>
      <c r="AG351" s="161"/>
      <c r="AH351" s="161"/>
      <c r="AI351" s="161"/>
      <c r="AJ351" s="162"/>
      <c r="AK351" s="162"/>
      <c r="AL351" s="164"/>
      <c r="AM351" s="163"/>
      <c r="AN351" s="155"/>
      <c r="AO351" s="161"/>
      <c r="AP351" s="161"/>
      <c r="AQ351" s="161"/>
      <c r="AR351" s="162"/>
      <c r="AS351" s="162"/>
      <c r="AT351" s="164"/>
      <c r="AU351" s="163"/>
    </row>
    <row r="352" spans="1:47" ht="15.95" customHeight="1" x14ac:dyDescent="0.2">
      <c r="A352" s="608"/>
      <c r="B352" s="608"/>
      <c r="C352" s="608"/>
      <c r="D352" s="609"/>
      <c r="E352" s="609"/>
      <c r="F352" s="610"/>
      <c r="G352" s="607" t="s">
        <v>169</v>
      </c>
      <c r="H352" s="113"/>
      <c r="I352" s="129"/>
      <c r="J352" s="129"/>
      <c r="K352" s="129"/>
      <c r="L352" s="130"/>
      <c r="M352" s="162"/>
      <c r="N352" s="162"/>
      <c r="O352" s="163"/>
      <c r="Q352" s="161"/>
      <c r="R352" s="161"/>
      <c r="S352" s="161"/>
      <c r="T352" s="162"/>
      <c r="U352" s="162"/>
      <c r="V352" s="164"/>
      <c r="W352" s="163"/>
      <c r="X352" s="155"/>
      <c r="Y352" s="161"/>
      <c r="Z352" s="161"/>
      <c r="AA352" s="161"/>
      <c r="AB352" s="162"/>
      <c r="AC352" s="162"/>
      <c r="AD352" s="164"/>
      <c r="AE352" s="163"/>
      <c r="AF352" s="155"/>
      <c r="AG352" s="161"/>
      <c r="AH352" s="161"/>
      <c r="AI352" s="161"/>
      <c r="AJ352" s="162"/>
      <c r="AK352" s="162"/>
      <c r="AL352" s="164"/>
      <c r="AM352" s="163"/>
      <c r="AN352" s="155"/>
      <c r="AO352" s="161"/>
      <c r="AP352" s="161"/>
      <c r="AQ352" s="161"/>
      <c r="AR352" s="162"/>
      <c r="AS352" s="162"/>
      <c r="AT352" s="164"/>
      <c r="AU352" s="163"/>
    </row>
    <row r="353" spans="1:47" ht="15.95" customHeight="1" x14ac:dyDescent="0.2">
      <c r="A353" s="608"/>
      <c r="B353" s="608"/>
      <c r="C353" s="608"/>
      <c r="D353" s="609"/>
      <c r="E353" s="609"/>
      <c r="F353" s="610"/>
      <c r="G353" s="607" t="s">
        <v>169</v>
      </c>
      <c r="H353" s="113"/>
      <c r="I353" s="129"/>
      <c r="J353" s="129"/>
      <c r="K353" s="129"/>
      <c r="L353" s="130"/>
      <c r="M353" s="162"/>
      <c r="N353" s="162"/>
      <c r="O353" s="163"/>
      <c r="Q353" s="161"/>
      <c r="R353" s="161"/>
      <c r="S353" s="161"/>
      <c r="T353" s="162"/>
      <c r="U353" s="162"/>
      <c r="V353" s="164"/>
      <c r="W353" s="163"/>
      <c r="X353" s="155"/>
      <c r="Y353" s="161"/>
      <c r="Z353" s="161"/>
      <c r="AA353" s="161"/>
      <c r="AB353" s="162"/>
      <c r="AC353" s="162"/>
      <c r="AD353" s="164"/>
      <c r="AE353" s="163"/>
      <c r="AF353" s="155"/>
      <c r="AG353" s="161"/>
      <c r="AH353" s="161"/>
      <c r="AI353" s="161"/>
      <c r="AJ353" s="162"/>
      <c r="AK353" s="162"/>
      <c r="AL353" s="164"/>
      <c r="AM353" s="163"/>
      <c r="AN353" s="155"/>
      <c r="AO353" s="161"/>
      <c r="AP353" s="161"/>
      <c r="AQ353" s="161"/>
      <c r="AR353" s="162"/>
      <c r="AS353" s="162"/>
      <c r="AT353" s="164"/>
      <c r="AU353" s="163"/>
    </row>
    <row r="354" spans="1:47" ht="15.95" customHeight="1" x14ac:dyDescent="0.2">
      <c r="A354" s="608"/>
      <c r="B354" s="608"/>
      <c r="C354" s="608"/>
      <c r="D354" s="609"/>
      <c r="E354" s="609"/>
      <c r="F354" s="610"/>
      <c r="G354" s="607" t="s">
        <v>169</v>
      </c>
      <c r="H354" s="113"/>
      <c r="I354" s="129"/>
      <c r="J354" s="129"/>
      <c r="K354" s="129"/>
      <c r="L354" s="130"/>
      <c r="M354" s="162"/>
      <c r="N354" s="162"/>
      <c r="O354" s="163"/>
      <c r="Q354" s="161"/>
      <c r="R354" s="161"/>
      <c r="S354" s="161"/>
      <c r="T354" s="162"/>
      <c r="U354" s="162"/>
      <c r="V354" s="164"/>
      <c r="W354" s="163"/>
      <c r="X354" s="155"/>
      <c r="Y354" s="161"/>
      <c r="Z354" s="161"/>
      <c r="AA354" s="161"/>
      <c r="AB354" s="162"/>
      <c r="AC354" s="162"/>
      <c r="AD354" s="164"/>
      <c r="AE354" s="163"/>
      <c r="AF354" s="155"/>
      <c r="AG354" s="161"/>
      <c r="AH354" s="161"/>
      <c r="AI354" s="161"/>
      <c r="AJ354" s="162"/>
      <c r="AK354" s="162"/>
      <c r="AL354" s="164"/>
      <c r="AM354" s="163"/>
      <c r="AN354" s="155"/>
      <c r="AO354" s="161"/>
      <c r="AP354" s="161"/>
      <c r="AQ354" s="161"/>
      <c r="AR354" s="162"/>
      <c r="AS354" s="162"/>
      <c r="AT354" s="164"/>
      <c r="AU354" s="163"/>
    </row>
    <row r="355" spans="1:47" ht="15.95" customHeight="1" x14ac:dyDescent="0.2">
      <c r="A355" s="608"/>
      <c r="B355" s="608"/>
      <c r="C355" s="608"/>
      <c r="D355" s="609"/>
      <c r="E355" s="609"/>
      <c r="F355" s="610"/>
      <c r="G355" s="607" t="s">
        <v>169</v>
      </c>
      <c r="H355" s="113"/>
      <c r="I355" s="129"/>
      <c r="J355" s="129"/>
      <c r="K355" s="129"/>
      <c r="L355" s="130"/>
      <c r="M355" s="162"/>
      <c r="N355" s="162"/>
      <c r="O355" s="163"/>
      <c r="Q355" s="161"/>
      <c r="R355" s="161"/>
      <c r="S355" s="161"/>
      <c r="T355" s="162"/>
      <c r="U355" s="162"/>
      <c r="V355" s="164"/>
      <c r="W355" s="163"/>
      <c r="X355" s="155"/>
      <c r="Y355" s="161"/>
      <c r="Z355" s="161"/>
      <c r="AA355" s="161"/>
      <c r="AB355" s="162"/>
      <c r="AC355" s="162"/>
      <c r="AD355" s="164"/>
      <c r="AE355" s="163"/>
      <c r="AF355" s="155"/>
      <c r="AG355" s="161"/>
      <c r="AH355" s="161"/>
      <c r="AI355" s="161"/>
      <c r="AJ355" s="162"/>
      <c r="AK355" s="162"/>
      <c r="AL355" s="164"/>
      <c r="AM355" s="163"/>
      <c r="AN355" s="155"/>
      <c r="AO355" s="161"/>
      <c r="AP355" s="161"/>
      <c r="AQ355" s="161"/>
      <c r="AR355" s="162"/>
      <c r="AS355" s="162"/>
      <c r="AT355" s="164"/>
      <c r="AU355" s="163"/>
    </row>
    <row r="356" spans="1:47" ht="15.95" customHeight="1" x14ac:dyDescent="0.2">
      <c r="A356" s="608"/>
      <c r="B356" s="608"/>
      <c r="C356" s="608"/>
      <c r="D356" s="609"/>
      <c r="E356" s="609"/>
      <c r="F356" s="610"/>
      <c r="G356" s="607" t="s">
        <v>169</v>
      </c>
      <c r="H356" s="113"/>
      <c r="I356" s="129"/>
      <c r="J356" s="129"/>
      <c r="K356" s="129"/>
      <c r="L356" s="130"/>
      <c r="M356" s="162"/>
      <c r="N356" s="162"/>
      <c r="O356" s="163"/>
      <c r="Q356" s="161"/>
      <c r="R356" s="161"/>
      <c r="S356" s="161"/>
      <c r="T356" s="162"/>
      <c r="U356" s="162"/>
      <c r="V356" s="164"/>
      <c r="W356" s="163"/>
      <c r="X356" s="155"/>
      <c r="Y356" s="161"/>
      <c r="Z356" s="161"/>
      <c r="AA356" s="161"/>
      <c r="AB356" s="162"/>
      <c r="AC356" s="162"/>
      <c r="AD356" s="164"/>
      <c r="AE356" s="163"/>
      <c r="AF356" s="155"/>
      <c r="AG356" s="161"/>
      <c r="AH356" s="161"/>
      <c r="AI356" s="161"/>
      <c r="AJ356" s="162"/>
      <c r="AK356" s="162"/>
      <c r="AL356" s="164"/>
      <c r="AM356" s="163"/>
      <c r="AN356" s="155"/>
      <c r="AO356" s="161"/>
      <c r="AP356" s="161"/>
      <c r="AQ356" s="161"/>
      <c r="AR356" s="162"/>
      <c r="AS356" s="162"/>
      <c r="AT356" s="164"/>
      <c r="AU356" s="163"/>
    </row>
    <row r="357" spans="1:47" ht="15.95" customHeight="1" x14ac:dyDescent="0.2">
      <c r="A357" s="608"/>
      <c r="B357" s="608"/>
      <c r="C357" s="608"/>
      <c r="D357" s="609"/>
      <c r="E357" s="609"/>
      <c r="F357" s="610"/>
      <c r="G357" s="607" t="s">
        <v>169</v>
      </c>
      <c r="H357" s="113"/>
      <c r="I357" s="129"/>
      <c r="J357" s="129"/>
      <c r="K357" s="129"/>
      <c r="L357" s="130"/>
      <c r="M357" s="162"/>
      <c r="N357" s="162"/>
      <c r="O357" s="163"/>
      <c r="Q357" s="161"/>
      <c r="R357" s="161"/>
      <c r="S357" s="161"/>
      <c r="T357" s="162"/>
      <c r="U357" s="162"/>
      <c r="V357" s="164"/>
      <c r="W357" s="163"/>
      <c r="X357" s="155"/>
      <c r="Y357" s="161"/>
      <c r="Z357" s="161"/>
      <c r="AA357" s="161"/>
      <c r="AB357" s="162"/>
      <c r="AC357" s="162"/>
      <c r="AD357" s="164"/>
      <c r="AE357" s="163"/>
      <c r="AF357" s="155"/>
      <c r="AG357" s="161"/>
      <c r="AH357" s="161"/>
      <c r="AI357" s="161"/>
      <c r="AJ357" s="162"/>
      <c r="AK357" s="162"/>
      <c r="AL357" s="164"/>
      <c r="AM357" s="163"/>
      <c r="AN357" s="155"/>
      <c r="AO357" s="161"/>
      <c r="AP357" s="161"/>
      <c r="AQ357" s="161"/>
      <c r="AR357" s="162"/>
      <c r="AS357" s="162"/>
      <c r="AT357" s="164"/>
      <c r="AU357" s="163"/>
    </row>
    <row r="358" spans="1:47" ht="15.95" customHeight="1" x14ac:dyDescent="0.2">
      <c r="A358" s="608"/>
      <c r="B358" s="608"/>
      <c r="C358" s="608"/>
      <c r="D358" s="609"/>
      <c r="E358" s="609"/>
      <c r="F358" s="610"/>
      <c r="G358" s="607" t="s">
        <v>169</v>
      </c>
      <c r="H358" s="113"/>
      <c r="I358" s="129"/>
      <c r="J358" s="129"/>
      <c r="K358" s="129"/>
      <c r="L358" s="130"/>
      <c r="M358" s="162"/>
      <c r="N358" s="162"/>
      <c r="O358" s="163"/>
      <c r="Q358" s="161"/>
      <c r="R358" s="161"/>
      <c r="S358" s="161"/>
      <c r="T358" s="162"/>
      <c r="U358" s="162"/>
      <c r="V358" s="164"/>
      <c r="W358" s="163"/>
      <c r="X358" s="155"/>
      <c r="Y358" s="161"/>
      <c r="Z358" s="161"/>
      <c r="AA358" s="161"/>
      <c r="AB358" s="162"/>
      <c r="AC358" s="162"/>
      <c r="AD358" s="164"/>
      <c r="AE358" s="163"/>
      <c r="AF358" s="155"/>
      <c r="AG358" s="161"/>
      <c r="AH358" s="161"/>
      <c r="AI358" s="161"/>
      <c r="AJ358" s="162"/>
      <c r="AK358" s="162"/>
      <c r="AL358" s="164"/>
      <c r="AM358" s="163"/>
      <c r="AN358" s="155"/>
      <c r="AO358" s="161"/>
      <c r="AP358" s="161"/>
      <c r="AQ358" s="161"/>
      <c r="AR358" s="162"/>
      <c r="AS358" s="162"/>
      <c r="AT358" s="164"/>
      <c r="AU358" s="163"/>
    </row>
    <row r="359" spans="1:47" ht="15.95" customHeight="1" x14ac:dyDescent="0.2">
      <c r="A359" s="608"/>
      <c r="B359" s="608"/>
      <c r="C359" s="608"/>
      <c r="D359" s="609"/>
      <c r="E359" s="609"/>
      <c r="F359" s="610"/>
      <c r="G359" s="607" t="s">
        <v>169</v>
      </c>
      <c r="H359" s="113"/>
      <c r="I359" s="129"/>
      <c r="J359" s="129"/>
      <c r="K359" s="129"/>
      <c r="L359" s="130"/>
      <c r="M359" s="162"/>
      <c r="N359" s="162"/>
      <c r="O359" s="163"/>
      <c r="Q359" s="161"/>
      <c r="R359" s="161"/>
      <c r="S359" s="161"/>
      <c r="T359" s="162"/>
      <c r="U359" s="162"/>
      <c r="V359" s="164"/>
      <c r="W359" s="163"/>
      <c r="X359" s="155"/>
      <c r="Y359" s="161"/>
      <c r="Z359" s="161"/>
      <c r="AA359" s="161"/>
      <c r="AB359" s="162"/>
      <c r="AC359" s="162"/>
      <c r="AD359" s="164"/>
      <c r="AE359" s="163"/>
      <c r="AF359" s="155"/>
      <c r="AG359" s="161"/>
      <c r="AH359" s="161"/>
      <c r="AI359" s="161"/>
      <c r="AJ359" s="162"/>
      <c r="AK359" s="162"/>
      <c r="AL359" s="164"/>
      <c r="AM359" s="163"/>
      <c r="AN359" s="155"/>
      <c r="AO359" s="161"/>
      <c r="AP359" s="161"/>
      <c r="AQ359" s="161"/>
      <c r="AR359" s="162"/>
      <c r="AS359" s="162"/>
      <c r="AT359" s="164"/>
      <c r="AU359" s="163"/>
    </row>
    <row r="360" spans="1:47" ht="15.95" customHeight="1" x14ac:dyDescent="0.2">
      <c r="A360" s="608"/>
      <c r="B360" s="608"/>
      <c r="C360" s="608"/>
      <c r="D360" s="609"/>
      <c r="E360" s="609"/>
      <c r="F360" s="610"/>
      <c r="G360" s="607" t="s">
        <v>169</v>
      </c>
      <c r="H360" s="113"/>
      <c r="I360" s="129"/>
      <c r="J360" s="129"/>
      <c r="K360" s="129"/>
      <c r="L360" s="130"/>
      <c r="M360" s="162"/>
      <c r="N360" s="162"/>
      <c r="O360" s="163"/>
      <c r="Q360" s="161"/>
      <c r="R360" s="161"/>
      <c r="S360" s="161"/>
      <c r="T360" s="162"/>
      <c r="U360" s="162"/>
      <c r="V360" s="164"/>
      <c r="W360" s="163"/>
      <c r="X360" s="155"/>
      <c r="Y360" s="161"/>
      <c r="Z360" s="161"/>
      <c r="AA360" s="161"/>
      <c r="AB360" s="162"/>
      <c r="AC360" s="162"/>
      <c r="AD360" s="164"/>
      <c r="AE360" s="163"/>
      <c r="AF360" s="155"/>
      <c r="AG360" s="161"/>
      <c r="AH360" s="161"/>
      <c r="AI360" s="161"/>
      <c r="AJ360" s="162"/>
      <c r="AK360" s="162"/>
      <c r="AL360" s="164"/>
      <c r="AM360" s="163"/>
      <c r="AN360" s="155"/>
      <c r="AO360" s="161"/>
      <c r="AP360" s="161"/>
      <c r="AQ360" s="161"/>
      <c r="AR360" s="162"/>
      <c r="AS360" s="162"/>
      <c r="AT360" s="164"/>
      <c r="AU360" s="163"/>
    </row>
    <row r="361" spans="1:47" ht="15.95" customHeight="1" x14ac:dyDescent="0.2">
      <c r="A361" s="608"/>
      <c r="B361" s="608"/>
      <c r="C361" s="608"/>
      <c r="D361" s="609"/>
      <c r="E361" s="609"/>
      <c r="F361" s="610"/>
      <c r="G361" s="607" t="s">
        <v>169</v>
      </c>
      <c r="H361" s="113"/>
      <c r="I361" s="129"/>
      <c r="J361" s="129"/>
      <c r="K361" s="129"/>
      <c r="L361" s="130"/>
      <c r="M361" s="162"/>
      <c r="N361" s="162"/>
      <c r="O361" s="163"/>
      <c r="Q361" s="161"/>
      <c r="R361" s="161"/>
      <c r="S361" s="161"/>
      <c r="T361" s="162"/>
      <c r="U361" s="162"/>
      <c r="V361" s="164"/>
      <c r="W361" s="163"/>
      <c r="X361" s="155"/>
      <c r="Y361" s="161"/>
      <c r="Z361" s="161"/>
      <c r="AA361" s="161"/>
      <c r="AB361" s="162"/>
      <c r="AC361" s="162"/>
      <c r="AD361" s="164"/>
      <c r="AE361" s="163"/>
      <c r="AF361" s="155"/>
      <c r="AG361" s="161"/>
      <c r="AH361" s="161"/>
      <c r="AI361" s="161"/>
      <c r="AJ361" s="162"/>
      <c r="AK361" s="162"/>
      <c r="AL361" s="164"/>
      <c r="AM361" s="163"/>
      <c r="AN361" s="155"/>
      <c r="AO361" s="161"/>
      <c r="AP361" s="161"/>
      <c r="AQ361" s="161"/>
      <c r="AR361" s="162"/>
      <c r="AS361" s="162"/>
      <c r="AT361" s="164"/>
      <c r="AU361" s="163"/>
    </row>
    <row r="362" spans="1:47" ht="15.95" customHeight="1" x14ac:dyDescent="0.2">
      <c r="A362" s="608"/>
      <c r="B362" s="608"/>
      <c r="C362" s="608"/>
      <c r="D362" s="609"/>
      <c r="E362" s="609"/>
      <c r="F362" s="610"/>
      <c r="G362" s="607" t="s">
        <v>169</v>
      </c>
      <c r="H362" s="113"/>
      <c r="I362" s="129"/>
      <c r="J362" s="129"/>
      <c r="K362" s="129"/>
      <c r="L362" s="130"/>
      <c r="M362" s="162"/>
      <c r="N362" s="162"/>
      <c r="O362" s="163"/>
      <c r="Q362" s="161"/>
      <c r="R362" s="161"/>
      <c r="S362" s="161"/>
      <c r="T362" s="162"/>
      <c r="U362" s="162"/>
      <c r="V362" s="164"/>
      <c r="W362" s="163"/>
      <c r="X362" s="155"/>
      <c r="Y362" s="161"/>
      <c r="Z362" s="161"/>
      <c r="AA362" s="161"/>
      <c r="AB362" s="162"/>
      <c r="AC362" s="162"/>
      <c r="AD362" s="164"/>
      <c r="AE362" s="163"/>
      <c r="AF362" s="155"/>
      <c r="AG362" s="161"/>
      <c r="AH362" s="161"/>
      <c r="AI362" s="161"/>
      <c r="AJ362" s="162"/>
      <c r="AK362" s="162"/>
      <c r="AL362" s="164"/>
      <c r="AM362" s="163"/>
      <c r="AN362" s="155"/>
      <c r="AO362" s="161"/>
      <c r="AP362" s="161"/>
      <c r="AQ362" s="161"/>
      <c r="AR362" s="162"/>
      <c r="AS362" s="162"/>
      <c r="AT362" s="164"/>
      <c r="AU362" s="163"/>
    </row>
    <row r="363" spans="1:47" ht="15.95" customHeight="1" x14ac:dyDescent="0.2">
      <c r="A363" s="608"/>
      <c r="B363" s="608"/>
      <c r="C363" s="608"/>
      <c r="D363" s="609"/>
      <c r="E363" s="609"/>
      <c r="F363" s="610"/>
      <c r="G363" s="607" t="s">
        <v>169</v>
      </c>
      <c r="H363" s="113"/>
      <c r="I363" s="129"/>
      <c r="J363" s="129"/>
      <c r="K363" s="129"/>
      <c r="L363" s="130"/>
      <c r="M363" s="162"/>
      <c r="N363" s="162"/>
      <c r="O363" s="163"/>
      <c r="Q363" s="161"/>
      <c r="R363" s="161"/>
      <c r="S363" s="161"/>
      <c r="T363" s="162"/>
      <c r="U363" s="162"/>
      <c r="V363" s="164"/>
      <c r="W363" s="163"/>
      <c r="X363" s="155"/>
      <c r="Y363" s="161"/>
      <c r="Z363" s="161"/>
      <c r="AA363" s="161"/>
      <c r="AB363" s="162"/>
      <c r="AC363" s="162"/>
      <c r="AD363" s="164"/>
      <c r="AE363" s="163"/>
      <c r="AF363" s="155"/>
      <c r="AG363" s="161"/>
      <c r="AH363" s="161"/>
      <c r="AI363" s="161"/>
      <c r="AJ363" s="162"/>
      <c r="AK363" s="162"/>
      <c r="AL363" s="164"/>
      <c r="AM363" s="163"/>
      <c r="AN363" s="155"/>
      <c r="AO363" s="161"/>
      <c r="AP363" s="161"/>
      <c r="AQ363" s="161"/>
      <c r="AR363" s="162"/>
      <c r="AS363" s="162"/>
      <c r="AT363" s="164"/>
      <c r="AU363" s="163"/>
    </row>
    <row r="364" spans="1:47" ht="15.95" customHeight="1" x14ac:dyDescent="0.2">
      <c r="A364" s="608"/>
      <c r="B364" s="608"/>
      <c r="C364" s="608"/>
      <c r="D364" s="609"/>
      <c r="E364" s="609"/>
      <c r="F364" s="610"/>
      <c r="G364" s="607" t="s">
        <v>169</v>
      </c>
      <c r="H364" s="113"/>
      <c r="I364" s="129"/>
      <c r="J364" s="129"/>
      <c r="K364" s="129"/>
      <c r="L364" s="130"/>
      <c r="M364" s="162"/>
      <c r="N364" s="162"/>
      <c r="O364" s="163"/>
      <c r="Q364" s="161"/>
      <c r="R364" s="161"/>
      <c r="S364" s="161"/>
      <c r="T364" s="162"/>
      <c r="U364" s="162"/>
      <c r="V364" s="164"/>
      <c r="W364" s="163"/>
      <c r="X364" s="155"/>
      <c r="Y364" s="161"/>
      <c r="Z364" s="161"/>
      <c r="AA364" s="161"/>
      <c r="AB364" s="162"/>
      <c r="AC364" s="162"/>
      <c r="AD364" s="164"/>
      <c r="AE364" s="163"/>
      <c r="AF364" s="155"/>
      <c r="AG364" s="161"/>
      <c r="AH364" s="161"/>
      <c r="AI364" s="161"/>
      <c r="AJ364" s="162"/>
      <c r="AK364" s="162"/>
      <c r="AL364" s="164"/>
      <c r="AM364" s="163"/>
      <c r="AN364" s="155"/>
      <c r="AO364" s="161"/>
      <c r="AP364" s="161"/>
      <c r="AQ364" s="161"/>
      <c r="AR364" s="162"/>
      <c r="AS364" s="162"/>
      <c r="AT364" s="164"/>
      <c r="AU364" s="163"/>
    </row>
    <row r="365" spans="1:47" ht="15.95" customHeight="1" x14ac:dyDescent="0.2">
      <c r="A365" s="608"/>
      <c r="B365" s="608"/>
      <c r="C365" s="608"/>
      <c r="D365" s="609"/>
      <c r="E365" s="609"/>
      <c r="F365" s="610"/>
      <c r="G365" s="607" t="s">
        <v>169</v>
      </c>
      <c r="H365" s="113"/>
      <c r="I365" s="129"/>
      <c r="J365" s="129"/>
      <c r="K365" s="129"/>
      <c r="L365" s="130"/>
      <c r="M365" s="162"/>
      <c r="N365" s="162"/>
      <c r="O365" s="163"/>
      <c r="Q365" s="161"/>
      <c r="R365" s="161"/>
      <c r="S365" s="161"/>
      <c r="T365" s="162"/>
      <c r="U365" s="162"/>
      <c r="V365" s="164"/>
      <c r="W365" s="163"/>
      <c r="X365" s="155"/>
      <c r="Y365" s="161"/>
      <c r="Z365" s="161"/>
      <c r="AA365" s="161"/>
      <c r="AB365" s="162"/>
      <c r="AC365" s="162"/>
      <c r="AD365" s="164"/>
      <c r="AE365" s="163"/>
      <c r="AF365" s="155"/>
      <c r="AG365" s="161"/>
      <c r="AH365" s="161"/>
      <c r="AI365" s="161"/>
      <c r="AJ365" s="162"/>
      <c r="AK365" s="162"/>
      <c r="AL365" s="164"/>
      <c r="AM365" s="163"/>
      <c r="AN365" s="155"/>
      <c r="AO365" s="161"/>
      <c r="AP365" s="161"/>
      <c r="AQ365" s="161"/>
      <c r="AR365" s="162"/>
      <c r="AS365" s="162"/>
      <c r="AT365" s="164"/>
      <c r="AU365" s="163"/>
    </row>
    <row r="366" spans="1:47" ht="15.95" customHeight="1" x14ac:dyDescent="0.2">
      <c r="A366" s="608"/>
      <c r="B366" s="608"/>
      <c r="C366" s="608"/>
      <c r="D366" s="609"/>
      <c r="E366" s="609"/>
      <c r="F366" s="610"/>
      <c r="G366" s="607" t="s">
        <v>169</v>
      </c>
      <c r="H366" s="113"/>
      <c r="I366" s="129"/>
      <c r="J366" s="129"/>
      <c r="K366" s="129"/>
      <c r="L366" s="130"/>
      <c r="M366" s="162"/>
      <c r="N366" s="162"/>
      <c r="O366" s="163"/>
      <c r="Q366" s="161"/>
      <c r="R366" s="161"/>
      <c r="S366" s="161"/>
      <c r="T366" s="162"/>
      <c r="U366" s="162"/>
      <c r="V366" s="164"/>
      <c r="W366" s="163"/>
      <c r="X366" s="155"/>
      <c r="Y366" s="161"/>
      <c r="Z366" s="161"/>
      <c r="AA366" s="161"/>
      <c r="AB366" s="162"/>
      <c r="AC366" s="162"/>
      <c r="AD366" s="164"/>
      <c r="AE366" s="163"/>
      <c r="AF366" s="155"/>
      <c r="AG366" s="161"/>
      <c r="AH366" s="161"/>
      <c r="AI366" s="161"/>
      <c r="AJ366" s="162"/>
      <c r="AK366" s="162"/>
      <c r="AL366" s="164"/>
      <c r="AM366" s="163"/>
      <c r="AN366" s="155"/>
      <c r="AO366" s="161"/>
      <c r="AP366" s="161"/>
      <c r="AQ366" s="161"/>
      <c r="AR366" s="162"/>
      <c r="AS366" s="162"/>
      <c r="AT366" s="164"/>
      <c r="AU366" s="163"/>
    </row>
    <row r="367" spans="1:47" ht="15.95" customHeight="1" x14ac:dyDescent="0.2">
      <c r="A367" s="608"/>
      <c r="B367" s="608"/>
      <c r="C367" s="608"/>
      <c r="D367" s="609"/>
      <c r="E367" s="609"/>
      <c r="F367" s="610"/>
      <c r="G367" s="607" t="s">
        <v>169</v>
      </c>
      <c r="H367" s="113"/>
      <c r="I367" s="129"/>
      <c r="J367" s="129"/>
      <c r="K367" s="129"/>
      <c r="L367" s="130"/>
      <c r="M367" s="162"/>
      <c r="N367" s="162"/>
      <c r="O367" s="163"/>
      <c r="Q367" s="161"/>
      <c r="R367" s="161"/>
      <c r="S367" s="161"/>
      <c r="T367" s="162"/>
      <c r="U367" s="162"/>
      <c r="V367" s="164"/>
      <c r="W367" s="163"/>
      <c r="X367" s="155"/>
      <c r="Y367" s="161"/>
      <c r="Z367" s="161"/>
      <c r="AA367" s="161"/>
      <c r="AB367" s="162"/>
      <c r="AC367" s="162"/>
      <c r="AD367" s="164"/>
      <c r="AE367" s="163"/>
      <c r="AF367" s="155"/>
      <c r="AG367" s="161"/>
      <c r="AH367" s="161"/>
      <c r="AI367" s="161"/>
      <c r="AJ367" s="162"/>
      <c r="AK367" s="162"/>
      <c r="AL367" s="164"/>
      <c r="AM367" s="163"/>
      <c r="AN367" s="155"/>
      <c r="AO367" s="161"/>
      <c r="AP367" s="161"/>
      <c r="AQ367" s="161"/>
      <c r="AR367" s="162"/>
      <c r="AS367" s="162"/>
      <c r="AT367" s="164"/>
      <c r="AU367" s="163"/>
    </row>
    <row r="368" spans="1:47" ht="15.95" customHeight="1" x14ac:dyDescent="0.2">
      <c r="A368" s="608"/>
      <c r="B368" s="608"/>
      <c r="C368" s="608"/>
      <c r="D368" s="609"/>
      <c r="E368" s="609"/>
      <c r="F368" s="610"/>
      <c r="G368" s="607" t="s">
        <v>169</v>
      </c>
      <c r="H368" s="113"/>
      <c r="I368" s="129"/>
      <c r="J368" s="129"/>
      <c r="K368" s="129"/>
      <c r="L368" s="130"/>
      <c r="M368" s="162"/>
      <c r="N368" s="162"/>
      <c r="O368" s="163"/>
      <c r="Q368" s="161"/>
      <c r="R368" s="161"/>
      <c r="S368" s="161"/>
      <c r="T368" s="162"/>
      <c r="U368" s="162"/>
      <c r="V368" s="164"/>
      <c r="W368" s="163"/>
      <c r="X368" s="155"/>
      <c r="Y368" s="161"/>
      <c r="Z368" s="161"/>
      <c r="AA368" s="161"/>
      <c r="AB368" s="162"/>
      <c r="AC368" s="162"/>
      <c r="AD368" s="164"/>
      <c r="AE368" s="163"/>
      <c r="AF368" s="155"/>
      <c r="AG368" s="161"/>
      <c r="AH368" s="161"/>
      <c r="AI368" s="161"/>
      <c r="AJ368" s="162"/>
      <c r="AK368" s="162"/>
      <c r="AL368" s="164"/>
      <c r="AM368" s="163"/>
      <c r="AN368" s="155"/>
      <c r="AO368" s="161"/>
      <c r="AP368" s="161"/>
      <c r="AQ368" s="161"/>
      <c r="AR368" s="162"/>
      <c r="AS368" s="162"/>
      <c r="AT368" s="164"/>
      <c r="AU368" s="163"/>
    </row>
    <row r="369" spans="1:47" ht="15.95" customHeight="1" x14ac:dyDescent="0.2">
      <c r="A369" s="608"/>
      <c r="B369" s="608"/>
      <c r="C369" s="608"/>
      <c r="D369" s="609"/>
      <c r="E369" s="609"/>
      <c r="F369" s="610"/>
      <c r="G369" s="607" t="s">
        <v>169</v>
      </c>
      <c r="H369" s="113"/>
      <c r="I369" s="129"/>
      <c r="J369" s="129"/>
      <c r="K369" s="129"/>
      <c r="L369" s="130"/>
      <c r="M369" s="162"/>
      <c r="N369" s="162"/>
      <c r="O369" s="163"/>
      <c r="Q369" s="161"/>
      <c r="R369" s="161"/>
      <c r="S369" s="161"/>
      <c r="T369" s="162"/>
      <c r="U369" s="162"/>
      <c r="V369" s="164"/>
      <c r="W369" s="163"/>
      <c r="X369" s="155"/>
      <c r="Y369" s="161"/>
      <c r="Z369" s="161"/>
      <c r="AA369" s="161"/>
      <c r="AB369" s="162"/>
      <c r="AC369" s="162"/>
      <c r="AD369" s="164"/>
      <c r="AE369" s="163"/>
      <c r="AF369" s="155"/>
      <c r="AG369" s="161"/>
      <c r="AH369" s="161"/>
      <c r="AI369" s="161"/>
      <c r="AJ369" s="162"/>
      <c r="AK369" s="162"/>
      <c r="AL369" s="164"/>
      <c r="AM369" s="163"/>
      <c r="AN369" s="155"/>
      <c r="AO369" s="161"/>
      <c r="AP369" s="161"/>
      <c r="AQ369" s="161"/>
      <c r="AR369" s="162"/>
      <c r="AS369" s="162"/>
      <c r="AT369" s="164"/>
      <c r="AU369" s="163"/>
    </row>
    <row r="370" spans="1:47" ht="15.95" customHeight="1" x14ac:dyDescent="0.2">
      <c r="A370" s="608"/>
      <c r="B370" s="608"/>
      <c r="C370" s="608"/>
      <c r="D370" s="609"/>
      <c r="E370" s="609"/>
      <c r="F370" s="610"/>
      <c r="G370" s="607" t="s">
        <v>169</v>
      </c>
      <c r="H370" s="113"/>
      <c r="I370" s="129"/>
      <c r="J370" s="129"/>
      <c r="K370" s="129"/>
      <c r="L370" s="130"/>
      <c r="M370" s="162"/>
      <c r="N370" s="162"/>
      <c r="O370" s="163"/>
      <c r="Q370" s="161"/>
      <c r="R370" s="161"/>
      <c r="S370" s="161"/>
      <c r="T370" s="162"/>
      <c r="U370" s="162"/>
      <c r="V370" s="164"/>
      <c r="W370" s="163"/>
      <c r="X370" s="155"/>
      <c r="Y370" s="161"/>
      <c r="Z370" s="161"/>
      <c r="AA370" s="161"/>
      <c r="AB370" s="162"/>
      <c r="AC370" s="162"/>
      <c r="AD370" s="164"/>
      <c r="AE370" s="163"/>
      <c r="AF370" s="155"/>
      <c r="AG370" s="161"/>
      <c r="AH370" s="161"/>
      <c r="AI370" s="161"/>
      <c r="AJ370" s="162"/>
      <c r="AK370" s="162"/>
      <c r="AL370" s="164"/>
      <c r="AM370" s="163"/>
      <c r="AN370" s="155"/>
      <c r="AO370" s="161"/>
      <c r="AP370" s="161"/>
      <c r="AQ370" s="161"/>
      <c r="AR370" s="162"/>
      <c r="AS370" s="162"/>
      <c r="AT370" s="164"/>
      <c r="AU370" s="163"/>
    </row>
    <row r="371" spans="1:47" ht="15.95" customHeight="1" x14ac:dyDescent="0.2">
      <c r="A371" s="608"/>
      <c r="B371" s="608"/>
      <c r="C371" s="608"/>
      <c r="D371" s="609"/>
      <c r="E371" s="609"/>
      <c r="F371" s="610"/>
      <c r="G371" s="607" t="s">
        <v>169</v>
      </c>
      <c r="H371" s="113"/>
      <c r="I371" s="129"/>
      <c r="J371" s="129"/>
      <c r="K371" s="129"/>
      <c r="L371" s="130"/>
      <c r="M371" s="162"/>
      <c r="N371" s="162"/>
      <c r="O371" s="163"/>
      <c r="Q371" s="161"/>
      <c r="R371" s="161"/>
      <c r="S371" s="161"/>
      <c r="T371" s="162"/>
      <c r="U371" s="162"/>
      <c r="V371" s="164"/>
      <c r="W371" s="163"/>
      <c r="X371" s="155"/>
      <c r="Y371" s="161"/>
      <c r="Z371" s="161"/>
      <c r="AA371" s="161"/>
      <c r="AB371" s="162"/>
      <c r="AC371" s="162"/>
      <c r="AD371" s="164"/>
      <c r="AE371" s="163"/>
      <c r="AF371" s="155"/>
      <c r="AG371" s="161"/>
      <c r="AH371" s="161"/>
      <c r="AI371" s="161"/>
      <c r="AJ371" s="162"/>
      <c r="AK371" s="162"/>
      <c r="AL371" s="164"/>
      <c r="AM371" s="163"/>
      <c r="AN371" s="155"/>
      <c r="AO371" s="161"/>
      <c r="AP371" s="161"/>
      <c r="AQ371" s="161"/>
      <c r="AR371" s="162"/>
      <c r="AS371" s="162"/>
      <c r="AT371" s="164"/>
      <c r="AU371" s="163"/>
    </row>
    <row r="372" spans="1:47" ht="15.95" customHeight="1" x14ac:dyDescent="0.2">
      <c r="A372" s="608"/>
      <c r="B372" s="608"/>
      <c r="C372" s="608"/>
      <c r="D372" s="609"/>
      <c r="E372" s="609"/>
      <c r="F372" s="610"/>
      <c r="G372" s="607" t="s">
        <v>169</v>
      </c>
      <c r="H372" s="113"/>
      <c r="I372" s="129"/>
      <c r="J372" s="129"/>
      <c r="K372" s="129"/>
      <c r="L372" s="130"/>
      <c r="M372" s="162"/>
      <c r="N372" s="162"/>
      <c r="O372" s="163"/>
      <c r="Q372" s="161"/>
      <c r="R372" s="161"/>
      <c r="S372" s="161"/>
      <c r="T372" s="162"/>
      <c r="U372" s="162"/>
      <c r="V372" s="164"/>
      <c r="W372" s="163"/>
      <c r="X372" s="155"/>
      <c r="Y372" s="161"/>
      <c r="Z372" s="161"/>
      <c r="AA372" s="161"/>
      <c r="AB372" s="162"/>
      <c r="AC372" s="162"/>
      <c r="AD372" s="164"/>
      <c r="AE372" s="163"/>
      <c r="AF372" s="155"/>
      <c r="AG372" s="161"/>
      <c r="AH372" s="161"/>
      <c r="AI372" s="161"/>
      <c r="AJ372" s="162"/>
      <c r="AK372" s="162"/>
      <c r="AL372" s="164"/>
      <c r="AM372" s="163"/>
      <c r="AN372" s="155"/>
      <c r="AO372" s="161"/>
      <c r="AP372" s="161"/>
      <c r="AQ372" s="161"/>
      <c r="AR372" s="162"/>
      <c r="AS372" s="162"/>
      <c r="AT372" s="164"/>
      <c r="AU372" s="163"/>
    </row>
    <row r="373" spans="1:47" ht="15.95" customHeight="1" x14ac:dyDescent="0.2">
      <c r="A373" s="608"/>
      <c r="B373" s="608"/>
      <c r="C373" s="608"/>
      <c r="D373" s="609"/>
      <c r="E373" s="609"/>
      <c r="F373" s="610"/>
      <c r="G373" s="607" t="s">
        <v>169</v>
      </c>
      <c r="H373" s="113"/>
      <c r="I373" s="129"/>
      <c r="J373" s="129"/>
      <c r="K373" s="129"/>
      <c r="L373" s="130"/>
      <c r="M373" s="162"/>
      <c r="N373" s="162"/>
      <c r="O373" s="163"/>
      <c r="Q373" s="161"/>
      <c r="R373" s="161"/>
      <c r="S373" s="161"/>
      <c r="T373" s="162"/>
      <c r="U373" s="162"/>
      <c r="V373" s="164"/>
      <c r="W373" s="163"/>
      <c r="X373" s="155"/>
      <c r="Y373" s="161"/>
      <c r="Z373" s="161"/>
      <c r="AA373" s="161"/>
      <c r="AB373" s="162"/>
      <c r="AC373" s="162"/>
      <c r="AD373" s="164"/>
      <c r="AE373" s="163"/>
      <c r="AF373" s="155"/>
      <c r="AG373" s="161"/>
      <c r="AH373" s="161"/>
      <c r="AI373" s="161"/>
      <c r="AJ373" s="162"/>
      <c r="AK373" s="162"/>
      <c r="AL373" s="164"/>
      <c r="AM373" s="163"/>
      <c r="AN373" s="155"/>
      <c r="AO373" s="161"/>
      <c r="AP373" s="161"/>
      <c r="AQ373" s="161"/>
      <c r="AR373" s="162"/>
      <c r="AS373" s="162"/>
      <c r="AT373" s="164"/>
      <c r="AU373" s="163"/>
    </row>
    <row r="374" spans="1:47" ht="15.95" customHeight="1" x14ac:dyDescent="0.2">
      <c r="A374" s="608"/>
      <c r="B374" s="608"/>
      <c r="C374" s="608"/>
      <c r="D374" s="609"/>
      <c r="E374" s="609"/>
      <c r="F374" s="610"/>
      <c r="G374" s="607" t="s">
        <v>169</v>
      </c>
      <c r="H374" s="113"/>
      <c r="I374" s="129"/>
      <c r="J374" s="129"/>
      <c r="K374" s="129"/>
      <c r="L374" s="130"/>
      <c r="M374" s="162"/>
      <c r="N374" s="162"/>
      <c r="O374" s="163"/>
      <c r="Q374" s="161"/>
      <c r="R374" s="161"/>
      <c r="S374" s="161"/>
      <c r="T374" s="162"/>
      <c r="U374" s="162"/>
      <c r="V374" s="164"/>
      <c r="W374" s="163"/>
      <c r="X374" s="155"/>
      <c r="Y374" s="161"/>
      <c r="Z374" s="161"/>
      <c r="AA374" s="161"/>
      <c r="AB374" s="162"/>
      <c r="AC374" s="162"/>
      <c r="AD374" s="164"/>
      <c r="AE374" s="163"/>
      <c r="AF374" s="155"/>
      <c r="AG374" s="161"/>
      <c r="AH374" s="161"/>
      <c r="AI374" s="161"/>
      <c r="AJ374" s="162"/>
      <c r="AK374" s="162"/>
      <c r="AL374" s="164"/>
      <c r="AM374" s="163"/>
      <c r="AN374" s="155"/>
      <c r="AO374" s="161"/>
      <c r="AP374" s="161"/>
      <c r="AQ374" s="161"/>
      <c r="AR374" s="162"/>
      <c r="AS374" s="162"/>
      <c r="AT374" s="164"/>
      <c r="AU374" s="163"/>
    </row>
    <row r="375" spans="1:47" ht="15.95" customHeight="1" x14ac:dyDescent="0.2">
      <c r="A375" s="608"/>
      <c r="B375" s="608"/>
      <c r="C375" s="608"/>
      <c r="D375" s="609"/>
      <c r="E375" s="609"/>
      <c r="F375" s="610"/>
      <c r="G375" s="607" t="s">
        <v>169</v>
      </c>
      <c r="H375" s="113"/>
      <c r="I375" s="129"/>
      <c r="J375" s="129"/>
      <c r="K375" s="129"/>
      <c r="L375" s="130"/>
      <c r="M375" s="162"/>
      <c r="N375" s="162"/>
      <c r="O375" s="163"/>
      <c r="Q375" s="161"/>
      <c r="R375" s="161"/>
      <c r="S375" s="161"/>
      <c r="T375" s="162"/>
      <c r="U375" s="162"/>
      <c r="V375" s="164"/>
      <c r="W375" s="163"/>
      <c r="X375" s="155"/>
      <c r="Y375" s="161"/>
      <c r="Z375" s="161"/>
      <c r="AA375" s="161"/>
      <c r="AB375" s="162"/>
      <c r="AC375" s="162"/>
      <c r="AD375" s="164"/>
      <c r="AE375" s="163"/>
      <c r="AF375" s="155"/>
      <c r="AG375" s="161"/>
      <c r="AH375" s="161"/>
      <c r="AI375" s="161"/>
      <c r="AJ375" s="162"/>
      <c r="AK375" s="162"/>
      <c r="AL375" s="164"/>
      <c r="AM375" s="163"/>
      <c r="AN375" s="155"/>
      <c r="AO375" s="161"/>
      <c r="AP375" s="161"/>
      <c r="AQ375" s="161"/>
      <c r="AR375" s="162"/>
      <c r="AS375" s="162"/>
      <c r="AT375" s="164"/>
      <c r="AU375" s="163"/>
    </row>
    <row r="376" spans="1:47" ht="15.95" customHeight="1" x14ac:dyDescent="0.2">
      <c r="A376" s="608"/>
      <c r="B376" s="608"/>
      <c r="C376" s="608"/>
      <c r="D376" s="609"/>
      <c r="E376" s="609"/>
      <c r="F376" s="610"/>
      <c r="G376" s="607" t="s">
        <v>169</v>
      </c>
      <c r="H376" s="113"/>
      <c r="I376" s="129"/>
      <c r="J376" s="129"/>
      <c r="K376" s="129"/>
      <c r="L376" s="130"/>
      <c r="M376" s="162"/>
      <c r="N376" s="162"/>
      <c r="O376" s="163"/>
      <c r="Q376" s="161"/>
      <c r="R376" s="161"/>
      <c r="S376" s="161"/>
      <c r="T376" s="162"/>
      <c r="U376" s="162"/>
      <c r="V376" s="164"/>
      <c r="W376" s="163"/>
      <c r="X376" s="155"/>
      <c r="Y376" s="161"/>
      <c r="Z376" s="161"/>
      <c r="AA376" s="161"/>
      <c r="AB376" s="162"/>
      <c r="AC376" s="162"/>
      <c r="AD376" s="164"/>
      <c r="AE376" s="163"/>
      <c r="AF376" s="155"/>
      <c r="AG376" s="161"/>
      <c r="AH376" s="161"/>
      <c r="AI376" s="161"/>
      <c r="AJ376" s="162"/>
      <c r="AK376" s="162"/>
      <c r="AL376" s="164"/>
      <c r="AM376" s="163"/>
      <c r="AN376" s="155"/>
      <c r="AO376" s="161"/>
      <c r="AP376" s="161"/>
      <c r="AQ376" s="161"/>
      <c r="AR376" s="162"/>
      <c r="AS376" s="162"/>
      <c r="AT376" s="164"/>
      <c r="AU376" s="163"/>
    </row>
    <row r="377" spans="1:47" ht="15.95" customHeight="1" x14ac:dyDescent="0.2">
      <c r="A377" s="608"/>
      <c r="B377" s="608"/>
      <c r="C377" s="608"/>
      <c r="D377" s="609"/>
      <c r="E377" s="609"/>
      <c r="F377" s="610"/>
      <c r="G377" s="607" t="s">
        <v>169</v>
      </c>
      <c r="H377" s="113"/>
      <c r="I377" s="129"/>
      <c r="J377" s="129"/>
      <c r="K377" s="129"/>
      <c r="L377" s="130"/>
      <c r="M377" s="162"/>
      <c r="N377" s="162"/>
      <c r="O377" s="163"/>
      <c r="Q377" s="161"/>
      <c r="R377" s="161"/>
      <c r="S377" s="161"/>
      <c r="T377" s="162"/>
      <c r="U377" s="162"/>
      <c r="V377" s="164"/>
      <c r="W377" s="163"/>
      <c r="X377" s="155"/>
      <c r="Y377" s="161"/>
      <c r="Z377" s="161"/>
      <c r="AA377" s="161"/>
      <c r="AB377" s="162"/>
      <c r="AC377" s="162"/>
      <c r="AD377" s="164"/>
      <c r="AE377" s="163"/>
      <c r="AF377" s="155"/>
      <c r="AG377" s="161"/>
      <c r="AH377" s="161"/>
      <c r="AI377" s="161"/>
      <c r="AJ377" s="162"/>
      <c r="AK377" s="162"/>
      <c r="AL377" s="164"/>
      <c r="AM377" s="163"/>
      <c r="AN377" s="155"/>
      <c r="AO377" s="161"/>
      <c r="AP377" s="161"/>
      <c r="AQ377" s="161"/>
      <c r="AR377" s="162"/>
      <c r="AS377" s="162"/>
      <c r="AT377" s="164"/>
      <c r="AU377" s="163"/>
    </row>
    <row r="378" spans="1:47" ht="15.95" customHeight="1" x14ac:dyDescent="0.2">
      <c r="A378" s="608"/>
      <c r="B378" s="608"/>
      <c r="C378" s="608"/>
      <c r="D378" s="609"/>
      <c r="E378" s="609"/>
      <c r="F378" s="610"/>
      <c r="G378" s="607" t="s">
        <v>169</v>
      </c>
      <c r="H378" s="113"/>
      <c r="I378" s="129"/>
      <c r="J378" s="129"/>
      <c r="K378" s="129"/>
      <c r="L378" s="130"/>
      <c r="M378" s="162"/>
      <c r="N378" s="162"/>
      <c r="O378" s="163"/>
      <c r="Q378" s="161"/>
      <c r="R378" s="161"/>
      <c r="S378" s="161"/>
      <c r="T378" s="162"/>
      <c r="U378" s="162"/>
      <c r="V378" s="164"/>
      <c r="W378" s="163"/>
      <c r="X378" s="155"/>
      <c r="Y378" s="161"/>
      <c r="Z378" s="161"/>
      <c r="AA378" s="161"/>
      <c r="AB378" s="162"/>
      <c r="AC378" s="162"/>
      <c r="AD378" s="164"/>
      <c r="AE378" s="163"/>
      <c r="AF378" s="155"/>
      <c r="AG378" s="161"/>
      <c r="AH378" s="161"/>
      <c r="AI378" s="161"/>
      <c r="AJ378" s="162"/>
      <c r="AK378" s="162"/>
      <c r="AL378" s="164"/>
      <c r="AM378" s="163"/>
      <c r="AN378" s="155"/>
      <c r="AO378" s="161"/>
      <c r="AP378" s="161"/>
      <c r="AQ378" s="161"/>
      <c r="AR378" s="162"/>
      <c r="AS378" s="162"/>
      <c r="AT378" s="164"/>
      <c r="AU378" s="163"/>
    </row>
    <row r="379" spans="1:47" ht="15.95" customHeight="1" x14ac:dyDescent="0.2">
      <c r="A379" s="608"/>
      <c r="B379" s="608"/>
      <c r="C379" s="608"/>
      <c r="D379" s="609"/>
      <c r="E379" s="609"/>
      <c r="F379" s="610"/>
      <c r="G379" s="607" t="s">
        <v>169</v>
      </c>
      <c r="H379" s="113"/>
      <c r="I379" s="129"/>
      <c r="J379" s="129"/>
      <c r="K379" s="129"/>
      <c r="L379" s="130"/>
      <c r="M379" s="162"/>
      <c r="N379" s="162"/>
      <c r="O379" s="163"/>
      <c r="Q379" s="161"/>
      <c r="R379" s="161"/>
      <c r="S379" s="161"/>
      <c r="T379" s="162"/>
      <c r="U379" s="162"/>
      <c r="V379" s="164"/>
      <c r="W379" s="163"/>
      <c r="X379" s="155"/>
      <c r="Y379" s="161"/>
      <c r="Z379" s="161"/>
      <c r="AA379" s="161"/>
      <c r="AB379" s="162"/>
      <c r="AC379" s="162"/>
      <c r="AD379" s="164"/>
      <c r="AE379" s="163"/>
      <c r="AF379" s="155"/>
      <c r="AG379" s="161"/>
      <c r="AH379" s="161"/>
      <c r="AI379" s="161"/>
      <c r="AJ379" s="162"/>
      <c r="AK379" s="162"/>
      <c r="AL379" s="164"/>
      <c r="AM379" s="163"/>
      <c r="AN379" s="155"/>
      <c r="AO379" s="161"/>
      <c r="AP379" s="161"/>
      <c r="AQ379" s="161"/>
      <c r="AR379" s="162"/>
      <c r="AS379" s="162"/>
      <c r="AT379" s="164"/>
      <c r="AU379" s="163"/>
    </row>
    <row r="380" spans="1:47" ht="15.95" customHeight="1" x14ac:dyDescent="0.2">
      <c r="A380" s="608"/>
      <c r="B380" s="608"/>
      <c r="C380" s="608"/>
      <c r="D380" s="609"/>
      <c r="E380" s="609"/>
      <c r="F380" s="610"/>
      <c r="G380" s="607" t="s">
        <v>169</v>
      </c>
      <c r="H380" s="113"/>
      <c r="I380" s="129"/>
      <c r="J380" s="129"/>
      <c r="K380" s="129"/>
      <c r="L380" s="130"/>
      <c r="M380" s="162"/>
      <c r="N380" s="162"/>
      <c r="O380" s="163"/>
      <c r="Q380" s="161"/>
      <c r="R380" s="161"/>
      <c r="S380" s="161"/>
      <c r="T380" s="162"/>
      <c r="U380" s="162"/>
      <c r="V380" s="164"/>
      <c r="W380" s="163"/>
      <c r="X380" s="155"/>
      <c r="Y380" s="161"/>
      <c r="Z380" s="161"/>
      <c r="AA380" s="161"/>
      <c r="AB380" s="162"/>
      <c r="AC380" s="162"/>
      <c r="AD380" s="164"/>
      <c r="AE380" s="163"/>
      <c r="AF380" s="155"/>
      <c r="AG380" s="161"/>
      <c r="AH380" s="161"/>
      <c r="AI380" s="161"/>
      <c r="AJ380" s="162"/>
      <c r="AK380" s="162"/>
      <c r="AL380" s="164"/>
      <c r="AM380" s="163"/>
      <c r="AN380" s="155"/>
      <c r="AO380" s="161"/>
      <c r="AP380" s="161"/>
      <c r="AQ380" s="161"/>
      <c r="AR380" s="162"/>
      <c r="AS380" s="162"/>
      <c r="AT380" s="164"/>
      <c r="AU380" s="163"/>
    </row>
    <row r="381" spans="1:47" ht="15.95" customHeight="1" x14ac:dyDescent="0.2">
      <c r="A381" s="608"/>
      <c r="B381" s="608"/>
      <c r="C381" s="608"/>
      <c r="D381" s="609"/>
      <c r="E381" s="609"/>
      <c r="F381" s="610"/>
      <c r="G381" s="607" t="s">
        <v>169</v>
      </c>
      <c r="H381" s="113"/>
      <c r="I381" s="129"/>
      <c r="J381" s="129"/>
      <c r="K381" s="129"/>
      <c r="L381" s="130"/>
      <c r="M381" s="162"/>
      <c r="N381" s="162"/>
      <c r="O381" s="163"/>
      <c r="Q381" s="161"/>
      <c r="R381" s="161"/>
      <c r="S381" s="161"/>
      <c r="T381" s="162"/>
      <c r="U381" s="162"/>
      <c r="V381" s="164"/>
      <c r="W381" s="163"/>
      <c r="X381" s="155"/>
      <c r="Y381" s="161"/>
      <c r="Z381" s="161"/>
      <c r="AA381" s="161"/>
      <c r="AB381" s="162"/>
      <c r="AC381" s="162"/>
      <c r="AD381" s="164"/>
      <c r="AE381" s="163"/>
      <c r="AF381" s="155"/>
      <c r="AG381" s="161"/>
      <c r="AH381" s="161"/>
      <c r="AI381" s="161"/>
      <c r="AJ381" s="162"/>
      <c r="AK381" s="162"/>
      <c r="AL381" s="164"/>
      <c r="AM381" s="163"/>
      <c r="AN381" s="155"/>
      <c r="AO381" s="161"/>
      <c r="AP381" s="161"/>
      <c r="AQ381" s="161"/>
      <c r="AR381" s="162"/>
      <c r="AS381" s="162"/>
      <c r="AT381" s="164"/>
      <c r="AU381" s="163"/>
    </row>
    <row r="382" spans="1:47" ht="15.95" customHeight="1" x14ac:dyDescent="0.2">
      <c r="A382" s="608"/>
      <c r="B382" s="608"/>
      <c r="C382" s="608"/>
      <c r="D382" s="609"/>
      <c r="E382" s="609"/>
      <c r="F382" s="610"/>
      <c r="G382" s="607" t="s">
        <v>169</v>
      </c>
      <c r="H382" s="113"/>
      <c r="I382" s="129"/>
      <c r="J382" s="129"/>
      <c r="K382" s="129"/>
      <c r="L382" s="130"/>
      <c r="M382" s="162"/>
      <c r="N382" s="162"/>
      <c r="O382" s="163"/>
      <c r="Q382" s="161"/>
      <c r="R382" s="161"/>
      <c r="S382" s="161"/>
      <c r="T382" s="162"/>
      <c r="U382" s="162"/>
      <c r="V382" s="164"/>
      <c r="W382" s="163"/>
      <c r="X382" s="155"/>
      <c r="Y382" s="161"/>
      <c r="Z382" s="161"/>
      <c r="AA382" s="161"/>
      <c r="AB382" s="162"/>
      <c r="AC382" s="162"/>
      <c r="AD382" s="164"/>
      <c r="AE382" s="163"/>
      <c r="AF382" s="155"/>
      <c r="AG382" s="161"/>
      <c r="AH382" s="161"/>
      <c r="AI382" s="161"/>
      <c r="AJ382" s="162"/>
      <c r="AK382" s="162"/>
      <c r="AL382" s="164"/>
      <c r="AM382" s="163"/>
      <c r="AN382" s="155"/>
      <c r="AO382" s="161"/>
      <c r="AP382" s="161"/>
      <c r="AQ382" s="161"/>
      <c r="AR382" s="162"/>
      <c r="AS382" s="162"/>
      <c r="AT382" s="164"/>
      <c r="AU382" s="163"/>
    </row>
    <row r="383" spans="1:47" ht="15.95" customHeight="1" x14ac:dyDescent="0.2">
      <c r="A383" s="608"/>
      <c r="B383" s="608"/>
      <c r="C383" s="608"/>
      <c r="D383" s="609"/>
      <c r="E383" s="609"/>
      <c r="F383" s="610"/>
      <c r="G383" s="607" t="s">
        <v>169</v>
      </c>
      <c r="H383" s="113"/>
      <c r="I383" s="129"/>
      <c r="J383" s="129"/>
      <c r="K383" s="129"/>
      <c r="L383" s="130"/>
      <c r="M383" s="162"/>
      <c r="N383" s="162"/>
      <c r="O383" s="163"/>
      <c r="Q383" s="161"/>
      <c r="R383" s="161"/>
      <c r="S383" s="161"/>
      <c r="T383" s="162"/>
      <c r="U383" s="162"/>
      <c r="V383" s="164"/>
      <c r="W383" s="163"/>
      <c r="X383" s="155"/>
      <c r="Y383" s="161"/>
      <c r="Z383" s="161"/>
      <c r="AA383" s="161"/>
      <c r="AB383" s="162"/>
      <c r="AC383" s="162"/>
      <c r="AD383" s="164"/>
      <c r="AE383" s="163"/>
      <c r="AF383" s="155"/>
      <c r="AG383" s="161"/>
      <c r="AH383" s="161"/>
      <c r="AI383" s="161"/>
      <c r="AJ383" s="162"/>
      <c r="AK383" s="162"/>
      <c r="AL383" s="164"/>
      <c r="AM383" s="163"/>
      <c r="AN383" s="155"/>
      <c r="AO383" s="161"/>
      <c r="AP383" s="161"/>
      <c r="AQ383" s="161"/>
      <c r="AR383" s="162"/>
      <c r="AS383" s="162"/>
      <c r="AT383" s="164"/>
      <c r="AU383" s="163"/>
    </row>
    <row r="384" spans="1:47" ht="15.95" customHeight="1" x14ac:dyDescent="0.2">
      <c r="A384" s="608"/>
      <c r="B384" s="608"/>
      <c r="C384" s="608"/>
      <c r="D384" s="609"/>
      <c r="E384" s="609"/>
      <c r="F384" s="610"/>
      <c r="G384" s="607" t="s">
        <v>169</v>
      </c>
      <c r="H384" s="113"/>
      <c r="I384" s="129"/>
      <c r="J384" s="129"/>
      <c r="K384" s="129"/>
      <c r="L384" s="130"/>
      <c r="M384" s="162"/>
      <c r="N384" s="162"/>
      <c r="O384" s="163"/>
      <c r="Q384" s="161"/>
      <c r="R384" s="161"/>
      <c r="S384" s="161"/>
      <c r="T384" s="162"/>
      <c r="U384" s="162"/>
      <c r="V384" s="164"/>
      <c r="W384" s="163"/>
      <c r="X384" s="155"/>
      <c r="Y384" s="161"/>
      <c r="Z384" s="161"/>
      <c r="AA384" s="161"/>
      <c r="AB384" s="162"/>
      <c r="AC384" s="162"/>
      <c r="AD384" s="164"/>
      <c r="AE384" s="163"/>
      <c r="AF384" s="155"/>
      <c r="AG384" s="161"/>
      <c r="AH384" s="161"/>
      <c r="AI384" s="161"/>
      <c r="AJ384" s="162"/>
      <c r="AK384" s="162"/>
      <c r="AL384" s="164"/>
      <c r="AM384" s="163"/>
      <c r="AN384" s="155"/>
      <c r="AO384" s="161"/>
      <c r="AP384" s="161"/>
      <c r="AQ384" s="161"/>
      <c r="AR384" s="162"/>
      <c r="AS384" s="162"/>
      <c r="AT384" s="164"/>
      <c r="AU384" s="163"/>
    </row>
    <row r="385" spans="1:47" x14ac:dyDescent="0.2">
      <c r="A385" s="611"/>
      <c r="B385" s="611"/>
      <c r="C385" s="611"/>
      <c r="D385" s="611"/>
      <c r="E385" s="611"/>
      <c r="F385" s="612"/>
      <c r="G385" s="611"/>
      <c r="I385" s="105"/>
      <c r="J385" s="105"/>
      <c r="K385" s="105"/>
      <c r="L385" s="105"/>
      <c r="M385" s="155"/>
      <c r="N385" s="155"/>
      <c r="O385" s="155"/>
      <c r="Q385" s="155"/>
      <c r="R385" s="155"/>
      <c r="S385" s="155"/>
      <c r="T385" s="155"/>
      <c r="U385" s="155"/>
      <c r="V385" s="156"/>
      <c r="W385" s="155"/>
      <c r="X385" s="155"/>
      <c r="Y385" s="155"/>
      <c r="Z385" s="155"/>
      <c r="AA385" s="155"/>
      <c r="AB385" s="155"/>
      <c r="AC385" s="155"/>
      <c r="AD385" s="156"/>
      <c r="AE385" s="155"/>
      <c r="AF385" s="155"/>
      <c r="AG385" s="155"/>
      <c r="AH385" s="155"/>
      <c r="AI385" s="155"/>
      <c r="AJ385" s="155"/>
      <c r="AK385" s="155"/>
      <c r="AL385" s="156"/>
      <c r="AM385" s="155"/>
      <c r="AN385" s="155"/>
      <c r="AO385" s="155"/>
      <c r="AP385" s="155"/>
      <c r="AQ385" s="155"/>
      <c r="AR385" s="155"/>
      <c r="AS385" s="155"/>
      <c r="AT385" s="156"/>
      <c r="AU385" s="155"/>
    </row>
    <row r="386" spans="1:47" x14ac:dyDescent="0.2">
      <c r="A386" s="611"/>
      <c r="B386" s="611"/>
      <c r="C386" s="611"/>
      <c r="D386" s="611"/>
      <c r="E386" s="611"/>
      <c r="F386" s="612"/>
      <c r="G386" s="611"/>
      <c r="I386" s="105"/>
      <c r="J386" s="105"/>
      <c r="K386" s="105"/>
      <c r="L386" s="105"/>
      <c r="M386" s="155"/>
      <c r="N386" s="155"/>
      <c r="O386" s="155"/>
      <c r="Q386" s="155"/>
      <c r="R386" s="155"/>
      <c r="S386" s="155"/>
      <c r="T386" s="155"/>
      <c r="U386" s="155"/>
      <c r="V386" s="156"/>
      <c r="W386" s="155"/>
      <c r="X386" s="155"/>
      <c r="Y386" s="155"/>
      <c r="Z386" s="155"/>
      <c r="AA386" s="155"/>
      <c r="AB386" s="155"/>
      <c r="AC386" s="155"/>
      <c r="AD386" s="156"/>
      <c r="AE386" s="155"/>
      <c r="AF386" s="155"/>
      <c r="AG386" s="155"/>
      <c r="AH386" s="155"/>
      <c r="AI386" s="155"/>
      <c r="AJ386" s="155"/>
      <c r="AK386" s="155"/>
      <c r="AL386" s="156"/>
      <c r="AM386" s="155"/>
      <c r="AN386" s="155"/>
      <c r="AO386" s="155"/>
      <c r="AP386" s="155"/>
      <c r="AQ386" s="155"/>
      <c r="AR386" s="155"/>
      <c r="AS386" s="155"/>
      <c r="AT386" s="156"/>
      <c r="AU386" s="155"/>
    </row>
    <row r="387" spans="1:47" ht="13.5" x14ac:dyDescent="0.2">
      <c r="A387" s="611"/>
      <c r="B387" s="611"/>
      <c r="C387" s="1177" t="s">
        <v>169</v>
      </c>
      <c r="D387" s="1177"/>
      <c r="E387" s="613"/>
      <c r="F387" s="614"/>
      <c r="G387" s="605">
        <f>SUM(G66:G386)</f>
        <v>0</v>
      </c>
      <c r="H387" s="119"/>
      <c r="I387" s="105"/>
      <c r="J387" s="105"/>
      <c r="K387" s="1161"/>
      <c r="L387" s="1161"/>
      <c r="M387" s="165"/>
      <c r="N387" s="165"/>
      <c r="O387" s="166"/>
      <c r="Q387" s="155"/>
      <c r="R387" s="155"/>
      <c r="S387" s="1167"/>
      <c r="T387" s="1167"/>
      <c r="U387" s="165"/>
      <c r="V387" s="167"/>
      <c r="W387" s="166"/>
      <c r="X387" s="155"/>
      <c r="Y387" s="155"/>
      <c r="Z387" s="155"/>
      <c r="AA387" s="1167"/>
      <c r="AB387" s="1167"/>
      <c r="AC387" s="165"/>
      <c r="AD387" s="167"/>
      <c r="AE387" s="166"/>
      <c r="AF387" s="155"/>
      <c r="AG387" s="155"/>
      <c r="AH387" s="155"/>
      <c r="AI387" s="1167"/>
      <c r="AJ387" s="1167"/>
      <c r="AK387" s="165"/>
      <c r="AL387" s="167"/>
      <c r="AM387" s="166"/>
      <c r="AN387" s="155"/>
      <c r="AO387" s="155"/>
      <c r="AP387" s="155"/>
      <c r="AQ387" s="1167"/>
      <c r="AR387" s="1167"/>
      <c r="AS387" s="165"/>
      <c r="AT387" s="167"/>
      <c r="AU387" s="166"/>
    </row>
    <row r="388" spans="1:47" x14ac:dyDescent="0.2">
      <c r="A388" s="611"/>
      <c r="B388" s="611"/>
      <c r="C388" s="611"/>
      <c r="D388" s="611"/>
      <c r="E388" s="611"/>
      <c r="F388" s="612"/>
      <c r="G388" s="611"/>
      <c r="I388" s="105"/>
      <c r="J388" s="105"/>
      <c r="K388" s="105"/>
      <c r="L388" s="105"/>
      <c r="M388" s="155"/>
      <c r="N388" s="155"/>
      <c r="O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  <c r="AS388" s="155"/>
      <c r="AT388" s="155"/>
      <c r="AU388" s="155"/>
    </row>
    <row r="389" spans="1:47" x14ac:dyDescent="0.2">
      <c r="I389" s="105"/>
      <c r="J389" s="105"/>
      <c r="K389" s="105"/>
      <c r="L389" s="105"/>
      <c r="M389" s="155"/>
      <c r="N389" s="155"/>
      <c r="O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  <c r="AS389" s="155"/>
      <c r="AT389" s="155"/>
      <c r="AU389" s="155"/>
    </row>
    <row r="390" spans="1:47" x14ac:dyDescent="0.2">
      <c r="I390" s="105"/>
      <c r="J390" s="105"/>
      <c r="K390" s="105"/>
      <c r="L390" s="105"/>
      <c r="M390" s="155"/>
      <c r="N390" s="155"/>
      <c r="O390" s="155"/>
    </row>
    <row r="420" spans="5:7" ht="13.5" thickBot="1" x14ac:dyDescent="0.25"/>
    <row r="421" spans="5:7" ht="13.5" thickBot="1" x14ac:dyDescent="0.25">
      <c r="E421" s="1180" t="s">
        <v>232</v>
      </c>
      <c r="F421" s="1181"/>
      <c r="G421" s="616">
        <f>+G387+O387</f>
        <v>0</v>
      </c>
    </row>
  </sheetData>
  <protectedRanges>
    <protectedRange sqref="AO66:AT384" name="Rango7"/>
    <protectedRange sqref="Y66:AD384" name="Rango5"/>
    <protectedRange sqref="I66:N384" name="Rango3"/>
    <protectedRange sqref="Q66:V383" name="Rango4"/>
    <protectedRange sqref="AG66:AL384" name="Rango6"/>
  </protectedRanges>
  <mergeCells count="50">
    <mergeCell ref="AQ62:AR62"/>
    <mergeCell ref="A58:C58"/>
    <mergeCell ref="A62:C62"/>
    <mergeCell ref="K62:L62"/>
    <mergeCell ref="S62:T62"/>
    <mergeCell ref="AA62:AB62"/>
    <mergeCell ref="E421:F421"/>
    <mergeCell ref="A38:C38"/>
    <mergeCell ref="A39:C39"/>
    <mergeCell ref="A41:D41"/>
    <mergeCell ref="A42:C42"/>
    <mergeCell ref="A43:C43"/>
    <mergeCell ref="A53:C53"/>
    <mergeCell ref="A54:C54"/>
    <mergeCell ref="A55:C55"/>
    <mergeCell ref="A40:C40"/>
    <mergeCell ref="AI387:AJ387"/>
    <mergeCell ref="C387:D387"/>
    <mergeCell ref="A44:C44"/>
    <mergeCell ref="A45:C45"/>
    <mergeCell ref="A51:C51"/>
    <mergeCell ref="A52:C52"/>
    <mergeCell ref="A65:F65"/>
    <mergeCell ref="A66:F66"/>
    <mergeCell ref="AI62:AJ62"/>
    <mergeCell ref="A57:C57"/>
    <mergeCell ref="K387:L387"/>
    <mergeCell ref="A24:D24"/>
    <mergeCell ref="A25:C25"/>
    <mergeCell ref="A19:E19"/>
    <mergeCell ref="B20:H20"/>
    <mergeCell ref="A21:E21"/>
    <mergeCell ref="B22:H22"/>
    <mergeCell ref="A23:D23"/>
    <mergeCell ref="AQ387:AR387"/>
    <mergeCell ref="Y22:AE22"/>
    <mergeCell ref="A37:C37"/>
    <mergeCell ref="A26:C26"/>
    <mergeCell ref="A36:C36"/>
    <mergeCell ref="AO22:AU22"/>
    <mergeCell ref="A27:C27"/>
    <mergeCell ref="A28:C28"/>
    <mergeCell ref="AA387:AB387"/>
    <mergeCell ref="AG22:AM22"/>
    <mergeCell ref="A33:C33"/>
    <mergeCell ref="Q22:W22"/>
    <mergeCell ref="S387:T387"/>
    <mergeCell ref="A34:C34"/>
    <mergeCell ref="A35:C35"/>
    <mergeCell ref="A56:C56"/>
  </mergeCells>
  <phoneticPr fontId="27" type="noConversion"/>
  <dataValidations disablePrompts="1" count="1">
    <dataValidation type="list" allowBlank="1" showInputMessage="1" showErrorMessage="1" sqref="H2:H17">
      <formula1>$CC$2:$CC$18</formula1>
    </dataValidation>
  </dataValidations>
  <pageMargins left="0.19685039370078741" right="0.19685039370078741" top="0.39370078740157483" bottom="0.19685039370078741" header="0" footer="0"/>
  <pageSetup scale="5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A25" sqref="A25"/>
    </sheetView>
  </sheetViews>
  <sheetFormatPr baseColWidth="10" defaultRowHeight="12.75" x14ac:dyDescent="0.2"/>
  <cols>
    <col min="1" max="1" width="11" customWidth="1"/>
    <col min="2" max="2" width="28.42578125" customWidth="1"/>
    <col min="3" max="3" width="14.2851562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196" t="s">
        <v>462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4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4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4" ht="12.75" customHeight="1" x14ac:dyDescent="0.2">
      <c r="A5" s="1198" t="s">
        <v>440</v>
      </c>
      <c r="B5" s="1200" t="s">
        <v>441</v>
      </c>
      <c r="C5" s="1190" t="s">
        <v>715</v>
      </c>
      <c r="D5" s="1190" t="s">
        <v>715</v>
      </c>
      <c r="E5" s="1190" t="s">
        <v>715</v>
      </c>
      <c r="F5" s="1190" t="s">
        <v>715</v>
      </c>
      <c r="G5" s="1190" t="s">
        <v>715</v>
      </c>
      <c r="H5" s="1190" t="s">
        <v>715</v>
      </c>
      <c r="I5" s="1190" t="s">
        <v>715</v>
      </c>
      <c r="J5" s="1190" t="s">
        <v>715</v>
      </c>
      <c r="K5" s="1190" t="s">
        <v>715</v>
      </c>
      <c r="L5" s="1190" t="s">
        <v>715</v>
      </c>
      <c r="M5" s="1190" t="s">
        <v>715</v>
      </c>
      <c r="N5" s="1190" t="s">
        <v>811</v>
      </c>
    </row>
    <row r="6" spans="1:14" ht="42" customHeight="1" thickBot="1" x14ac:dyDescent="0.25">
      <c r="A6" s="1199"/>
      <c r="B6" s="1201"/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191"/>
    </row>
    <row r="7" spans="1:14" ht="13.5" thickBot="1" x14ac:dyDescent="0.25">
      <c r="A7" s="1192" t="s">
        <v>0</v>
      </c>
      <c r="B7" s="1193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546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194" t="s">
        <v>444</v>
      </c>
      <c r="B9" s="1193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194" t="s">
        <v>445</v>
      </c>
      <c r="B11" s="1193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/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/>
      <c r="F15" s="269"/>
      <c r="G15" s="269"/>
      <c r="H15" s="269"/>
      <c r="I15" s="269"/>
      <c r="J15" s="269"/>
      <c r="K15" s="269"/>
      <c r="L15" s="269"/>
      <c r="M15" s="269"/>
      <c r="N15" s="270">
        <f t="shared" si="1"/>
        <v>0</v>
      </c>
    </row>
    <row r="16" spans="1:14" x14ac:dyDescent="0.2">
      <c r="A16" s="242">
        <v>5135950500</v>
      </c>
      <c r="B16" s="245" t="s">
        <v>449</v>
      </c>
      <c r="C16" s="269"/>
      <c r="D16" s="269"/>
      <c r="E16" s="325"/>
      <c r="F16" s="325"/>
      <c r="G16" s="325"/>
      <c r="H16" s="325"/>
      <c r="I16" s="325"/>
      <c r="J16" s="269"/>
      <c r="K16" s="269"/>
      <c r="L16" s="269"/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233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1"/>
        <v>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/>
      <c r="F20" s="269"/>
      <c r="G20" s="269"/>
      <c r="H20" s="269"/>
      <c r="I20" s="269"/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70">
        <f t="shared" si="1"/>
        <v>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70">
        <f t="shared" si="1"/>
        <v>0</v>
      </c>
    </row>
    <row r="23" spans="1:14" x14ac:dyDescent="0.2">
      <c r="A23" s="242">
        <v>5195951600</v>
      </c>
      <c r="B23" s="246" t="s">
        <v>456</v>
      </c>
      <c r="C23" s="269"/>
      <c r="D23" s="269"/>
      <c r="E23" s="269"/>
      <c r="F23" s="269"/>
      <c r="G23" s="269"/>
      <c r="H23" s="269"/>
      <c r="I23" s="269"/>
      <c r="J23" s="269"/>
      <c r="K23" s="269"/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0</v>
      </c>
    </row>
    <row r="25" spans="1:14" ht="13.5" thickBot="1" x14ac:dyDescent="0.25">
      <c r="A25" s="243"/>
      <c r="B25" s="246" t="s">
        <v>459</v>
      </c>
      <c r="C25" s="529">
        <f t="shared" ref="C25:M25" si="2">+C9*0.15</f>
        <v>0</v>
      </c>
      <c r="D25" s="529">
        <f t="shared" si="2"/>
        <v>0</v>
      </c>
      <c r="E25" s="529">
        <f t="shared" si="2"/>
        <v>0</v>
      </c>
      <c r="F25" s="529">
        <f t="shared" si="2"/>
        <v>0</v>
      </c>
      <c r="G25" s="529">
        <f t="shared" si="2"/>
        <v>0</v>
      </c>
      <c r="H25" s="529">
        <f t="shared" si="2"/>
        <v>0</v>
      </c>
      <c r="I25" s="529">
        <f t="shared" si="2"/>
        <v>0</v>
      </c>
      <c r="J25" s="529">
        <f t="shared" si="2"/>
        <v>0</v>
      </c>
      <c r="K25" s="529">
        <f t="shared" si="2"/>
        <v>0</v>
      </c>
      <c r="L25" s="529">
        <f t="shared" si="2"/>
        <v>0</v>
      </c>
      <c r="M25" s="529">
        <f t="shared" si="2"/>
        <v>0</v>
      </c>
      <c r="N25" s="270">
        <f t="shared" si="1"/>
        <v>0</v>
      </c>
    </row>
    <row r="26" spans="1:14" ht="13.5" thickBot="1" x14ac:dyDescent="0.25">
      <c r="A26" s="1194" t="s">
        <v>458</v>
      </c>
      <c r="B26" s="1193"/>
      <c r="C26" s="272">
        <f t="shared" ref="C26:M26" si="3">SUM(C12:C25)</f>
        <v>0</v>
      </c>
      <c r="D26" s="272">
        <f t="shared" si="3"/>
        <v>0</v>
      </c>
      <c r="E26" s="272">
        <f t="shared" si="3"/>
        <v>0</v>
      </c>
      <c r="F26" s="272">
        <f t="shared" si="3"/>
        <v>0</v>
      </c>
      <c r="G26" s="272">
        <f t="shared" si="3"/>
        <v>0</v>
      </c>
      <c r="H26" s="272">
        <f t="shared" si="3"/>
        <v>0</v>
      </c>
      <c r="I26" s="272">
        <f t="shared" si="3"/>
        <v>0</v>
      </c>
      <c r="J26" s="272">
        <f t="shared" si="3"/>
        <v>0</v>
      </c>
      <c r="K26" s="272">
        <f t="shared" si="3"/>
        <v>0</v>
      </c>
      <c r="L26" s="272">
        <f t="shared" si="3"/>
        <v>0</v>
      </c>
      <c r="M26" s="272">
        <f t="shared" si="3"/>
        <v>0</v>
      </c>
      <c r="N26" s="268">
        <f>SUM(C26:M26)</f>
        <v>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188" t="s">
        <v>460</v>
      </c>
      <c r="B28" s="1189"/>
      <c r="C28" s="274">
        <f t="shared" ref="C28:M28" si="4">+C9-C26</f>
        <v>0</v>
      </c>
      <c r="D28" s="274">
        <f t="shared" si="4"/>
        <v>0</v>
      </c>
      <c r="E28" s="274">
        <f t="shared" si="4"/>
        <v>0</v>
      </c>
      <c r="F28" s="274">
        <f t="shared" si="4"/>
        <v>0</v>
      </c>
      <c r="G28" s="274">
        <f t="shared" si="4"/>
        <v>0</v>
      </c>
      <c r="H28" s="274">
        <f t="shared" si="4"/>
        <v>0</v>
      </c>
      <c r="I28" s="274">
        <f t="shared" si="4"/>
        <v>0</v>
      </c>
      <c r="J28" s="274">
        <f t="shared" si="4"/>
        <v>0</v>
      </c>
      <c r="K28" s="274">
        <f t="shared" si="4"/>
        <v>0</v>
      </c>
      <c r="L28" s="274">
        <f t="shared" si="4"/>
        <v>0</v>
      </c>
      <c r="M28" s="274">
        <f t="shared" si="4"/>
        <v>0</v>
      </c>
      <c r="N28" s="275">
        <f>SUM(C28:M28)</f>
        <v>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465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s="237" customFormat="1" x14ac:dyDescent="0.2"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17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C20" sqref="C20"/>
    </sheetView>
  </sheetViews>
  <sheetFormatPr baseColWidth="10" defaultRowHeight="12.75" x14ac:dyDescent="0.2"/>
  <cols>
    <col min="1" max="1" width="11.42578125" customWidth="1"/>
    <col min="2" max="2" width="28.42578125" customWidth="1"/>
    <col min="3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196" t="s">
        <v>601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4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4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4" ht="12.75" customHeight="1" x14ac:dyDescent="0.2">
      <c r="A5" s="1198" t="s">
        <v>440</v>
      </c>
      <c r="B5" s="1200" t="s">
        <v>441</v>
      </c>
      <c r="C5" s="1190" t="s">
        <v>463</v>
      </c>
      <c r="D5" s="1190" t="s">
        <v>463</v>
      </c>
      <c r="E5" s="1190" t="s">
        <v>463</v>
      </c>
      <c r="F5" s="1190" t="s">
        <v>463</v>
      </c>
      <c r="G5" s="1190" t="s">
        <v>463</v>
      </c>
      <c r="H5" s="1190" t="s">
        <v>463</v>
      </c>
      <c r="I5" s="1190" t="s">
        <v>463</v>
      </c>
      <c r="J5" s="1190" t="s">
        <v>463</v>
      </c>
      <c r="K5" s="1190" t="s">
        <v>463</v>
      </c>
      <c r="L5" s="1190" t="s">
        <v>463</v>
      </c>
      <c r="M5" s="1190" t="s">
        <v>463</v>
      </c>
      <c r="N5" s="1202" t="s">
        <v>811</v>
      </c>
    </row>
    <row r="6" spans="1:14" ht="13.5" thickBot="1" x14ac:dyDescent="0.25">
      <c r="A6" s="1199"/>
      <c r="B6" s="1201"/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203"/>
    </row>
    <row r="7" spans="1:14" ht="13.5" thickBot="1" x14ac:dyDescent="0.25">
      <c r="A7" s="1192" t="s">
        <v>0</v>
      </c>
      <c r="B7" s="1193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305"/>
      <c r="D8" s="305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194" t="s">
        <v>444</v>
      </c>
      <c r="B9" s="1193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194" t="s">
        <v>445</v>
      </c>
      <c r="B11" s="1193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/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 t="s">
        <v>169</v>
      </c>
      <c r="G13" s="269" t="s">
        <v>169</v>
      </c>
      <c r="H13" s="269" t="s">
        <v>169</v>
      </c>
      <c r="I13" s="269" t="s">
        <v>169</v>
      </c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 t="s">
        <v>169</v>
      </c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/>
      <c r="F15" s="269"/>
      <c r="G15" s="269"/>
      <c r="H15" s="269"/>
      <c r="I15" s="269"/>
      <c r="J15" s="269"/>
      <c r="K15" s="269" t="s">
        <v>169</v>
      </c>
      <c r="L15" s="269"/>
      <c r="M15" s="269"/>
      <c r="N15" s="270">
        <f t="shared" si="1"/>
        <v>0</v>
      </c>
    </row>
    <row r="16" spans="1:14" x14ac:dyDescent="0.2">
      <c r="A16" s="242">
        <v>5135950700</v>
      </c>
      <c r="B16" s="245" t="s">
        <v>466</v>
      </c>
      <c r="C16" s="269"/>
      <c r="D16" s="269"/>
      <c r="E16" s="269"/>
      <c r="F16" s="269"/>
      <c r="G16" s="269"/>
      <c r="H16" s="269"/>
      <c r="I16" s="269"/>
      <c r="J16" s="269"/>
      <c r="K16" s="269"/>
      <c r="L16" s="269" t="s">
        <v>169</v>
      </c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481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 t="s">
        <v>169</v>
      </c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1"/>
        <v>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/>
      <c r="F20" s="269" t="s">
        <v>169</v>
      </c>
      <c r="G20" s="269" t="s">
        <v>169</v>
      </c>
      <c r="H20" s="269" t="s">
        <v>169</v>
      </c>
      <c r="I20" s="269" t="s">
        <v>169</v>
      </c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/>
      <c r="D21" s="269"/>
      <c r="E21" s="269"/>
      <c r="F21" s="269"/>
      <c r="G21" s="269"/>
      <c r="H21" s="269"/>
      <c r="I21" s="269"/>
      <c r="J21" s="269" t="s">
        <v>169</v>
      </c>
      <c r="K21" s="269"/>
      <c r="L21" s="269"/>
      <c r="M21" s="269"/>
      <c r="N21" s="270">
        <f t="shared" si="1"/>
        <v>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70">
        <f t="shared" si="1"/>
        <v>0</v>
      </c>
    </row>
    <row r="23" spans="1:14" x14ac:dyDescent="0.2">
      <c r="A23" s="242">
        <v>5195950100</v>
      </c>
      <c r="B23" s="246" t="s">
        <v>235</v>
      </c>
      <c r="C23" s="269"/>
      <c r="D23" s="269"/>
      <c r="E23" s="269"/>
      <c r="F23" s="269"/>
      <c r="G23" s="269"/>
      <c r="H23" s="269"/>
      <c r="I23" s="269"/>
      <c r="J23" s="269"/>
      <c r="K23" s="269" t="s">
        <v>169</v>
      </c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0</v>
      </c>
    </row>
    <row r="25" spans="1:14" ht="13.5" thickBot="1" x14ac:dyDescent="0.25">
      <c r="A25" s="243"/>
      <c r="B25" s="246" t="s">
        <v>467</v>
      </c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70">
        <f t="shared" si="1"/>
        <v>0</v>
      </c>
    </row>
    <row r="26" spans="1:14" ht="13.5" thickBot="1" x14ac:dyDescent="0.25">
      <c r="A26" s="1194" t="s">
        <v>458</v>
      </c>
      <c r="B26" s="1193"/>
      <c r="C26" s="272">
        <f>SUM(C12:C25)</f>
        <v>0</v>
      </c>
      <c r="D26" s="272">
        <f t="shared" ref="D26:M26" si="2">SUM(D12:D25)</f>
        <v>0</v>
      </c>
      <c r="E26" s="272">
        <f t="shared" si="2"/>
        <v>0</v>
      </c>
      <c r="F26" s="272">
        <f>SUM(F12:F25)</f>
        <v>0</v>
      </c>
      <c r="G26" s="272">
        <f>SUM(G12:G25)</f>
        <v>0</v>
      </c>
      <c r="H26" s="272">
        <f>SUM(H12:H25)</f>
        <v>0</v>
      </c>
      <c r="I26" s="272">
        <f>SUM(I12:I25)</f>
        <v>0</v>
      </c>
      <c r="J26" s="272">
        <f t="shared" si="2"/>
        <v>0</v>
      </c>
      <c r="K26" s="272">
        <f t="shared" si="2"/>
        <v>0</v>
      </c>
      <c r="L26" s="272">
        <f t="shared" si="2"/>
        <v>0</v>
      </c>
      <c r="M26" s="272">
        <f t="shared" si="2"/>
        <v>0</v>
      </c>
      <c r="N26" s="268">
        <f>SUM(C26:M26)</f>
        <v>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188" t="s">
        <v>460</v>
      </c>
      <c r="B28" s="1189"/>
      <c r="C28" s="274">
        <f t="shared" ref="C28:M28" si="3">+C9-C26</f>
        <v>0</v>
      </c>
      <c r="D28" s="274">
        <f t="shared" si="3"/>
        <v>0</v>
      </c>
      <c r="E28" s="274">
        <f t="shared" si="3"/>
        <v>0</v>
      </c>
      <c r="F28" s="274">
        <f>+F9-F26</f>
        <v>0</v>
      </c>
      <c r="G28" s="274">
        <f>+G9-G26</f>
        <v>0</v>
      </c>
      <c r="H28" s="274">
        <f>+H9-H26</f>
        <v>0</v>
      </c>
      <c r="I28" s="274">
        <f>+I9-I26</f>
        <v>0</v>
      </c>
      <c r="J28" s="274">
        <f t="shared" si="3"/>
        <v>0</v>
      </c>
      <c r="K28" s="274">
        <f t="shared" si="3"/>
        <v>0</v>
      </c>
      <c r="L28" s="274">
        <f t="shared" si="3"/>
        <v>0</v>
      </c>
      <c r="M28" s="274">
        <f t="shared" si="3"/>
        <v>0</v>
      </c>
      <c r="N28" s="275">
        <f>SUM(C28:M28)</f>
        <v>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465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7" right="0.7" top="0.75" bottom="0.75" header="0.3" footer="0.3"/>
  <pageSetup scale="8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3"/>
  <sheetViews>
    <sheetView workbookViewId="0">
      <selection activeCell="C5" sqref="C5:C6"/>
    </sheetView>
  </sheetViews>
  <sheetFormatPr baseColWidth="10" defaultRowHeight="12.75" x14ac:dyDescent="0.2"/>
  <cols>
    <col min="1" max="1" width="10.7109375" customWidth="1"/>
    <col min="2" max="2" width="28.42578125" customWidth="1"/>
    <col min="3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196" t="s">
        <v>468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4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4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4" ht="12.75" customHeight="1" x14ac:dyDescent="0.2">
      <c r="A5" s="1198" t="s">
        <v>440</v>
      </c>
      <c r="B5" s="1200" t="s">
        <v>441</v>
      </c>
      <c r="C5" s="1190" t="s">
        <v>979</v>
      </c>
      <c r="D5" s="1190" t="s">
        <v>988</v>
      </c>
      <c r="E5" s="1190" t="s">
        <v>463</v>
      </c>
      <c r="F5" s="1190" t="s">
        <v>463</v>
      </c>
      <c r="G5" s="1190" t="s">
        <v>463</v>
      </c>
      <c r="H5" s="1190" t="s">
        <v>463</v>
      </c>
      <c r="I5" s="1190" t="s">
        <v>463</v>
      </c>
      <c r="J5" s="1190" t="s">
        <v>463</v>
      </c>
      <c r="K5" s="1190" t="s">
        <v>463</v>
      </c>
      <c r="L5" s="1190" t="s">
        <v>463</v>
      </c>
      <c r="M5" s="1190" t="s">
        <v>463</v>
      </c>
      <c r="N5" s="1202" t="s">
        <v>811</v>
      </c>
    </row>
    <row r="6" spans="1:14" ht="43.5" customHeight="1" thickBot="1" x14ac:dyDescent="0.25">
      <c r="A6" s="1199"/>
      <c r="B6" s="1201"/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203"/>
    </row>
    <row r="7" spans="1:14" ht="13.5" thickBot="1" x14ac:dyDescent="0.25">
      <c r="A7" s="1192" t="s">
        <v>0</v>
      </c>
      <c r="B7" s="1193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8"/>
    </row>
    <row r="8" spans="1:14" x14ac:dyDescent="0.2">
      <c r="A8" s="249"/>
      <c r="B8" s="245" t="s">
        <v>464</v>
      </c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270">
        <f>SUM(C8:M8)</f>
        <v>0</v>
      </c>
    </row>
    <row r="9" spans="1:14" ht="13.5" thickBot="1" x14ac:dyDescent="0.25">
      <c r="A9" s="1194" t="s">
        <v>444</v>
      </c>
      <c r="B9" s="1193"/>
      <c r="C9" s="271">
        <f t="shared" ref="C9:M9" si="0">SUM(C8:C8)</f>
        <v>0</v>
      </c>
      <c r="D9" s="271">
        <f t="shared" si="0"/>
        <v>0</v>
      </c>
      <c r="E9" s="271">
        <f t="shared" si="0"/>
        <v>0</v>
      </c>
      <c r="F9" s="271">
        <f t="shared" si="0"/>
        <v>0</v>
      </c>
      <c r="G9" s="271">
        <f t="shared" si="0"/>
        <v>0</v>
      </c>
      <c r="H9" s="271">
        <f t="shared" si="0"/>
        <v>0</v>
      </c>
      <c r="I9" s="271">
        <f t="shared" si="0"/>
        <v>0</v>
      </c>
      <c r="J9" s="271">
        <f t="shared" si="0"/>
        <v>0</v>
      </c>
      <c r="K9" s="271">
        <f t="shared" si="0"/>
        <v>0</v>
      </c>
      <c r="L9" s="271">
        <f t="shared" si="0"/>
        <v>0</v>
      </c>
      <c r="M9" s="271">
        <f t="shared" si="0"/>
        <v>0</v>
      </c>
      <c r="N9" s="268">
        <f>SUM(C9:M9)</f>
        <v>0</v>
      </c>
    </row>
    <row r="10" spans="1:14" ht="13.5" thickBot="1" x14ac:dyDescent="0.25">
      <c r="A10" s="247"/>
      <c r="B10" s="244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</row>
    <row r="11" spans="1:14" ht="13.5" thickBot="1" x14ac:dyDescent="0.25">
      <c r="A11" s="1194" t="s">
        <v>445</v>
      </c>
      <c r="B11" s="1193"/>
      <c r="C11" s="272"/>
      <c r="D11" s="272"/>
      <c r="E11" s="272"/>
      <c r="F11" s="272"/>
      <c r="G11" s="272"/>
      <c r="H11" s="272"/>
      <c r="I11" s="272"/>
      <c r="J11" s="272"/>
      <c r="K11" s="272"/>
      <c r="L11" s="272"/>
      <c r="M11" s="272"/>
      <c r="N11" s="268"/>
    </row>
    <row r="12" spans="1:14" x14ac:dyDescent="0.2">
      <c r="A12" s="241">
        <v>5110950000</v>
      </c>
      <c r="B12" s="245" t="s">
        <v>223</v>
      </c>
      <c r="C12" s="269"/>
      <c r="D12" s="269">
        <v>3000000</v>
      </c>
      <c r="E12" s="269"/>
      <c r="F12" s="269"/>
      <c r="G12" s="269"/>
      <c r="H12" s="269"/>
      <c r="I12" s="269"/>
      <c r="J12" s="269"/>
      <c r="K12" s="269"/>
      <c r="L12" s="269"/>
      <c r="M12" s="269"/>
      <c r="N12" s="270">
        <f t="shared" ref="N12:N25" si="1">SUM(C12:M12)</f>
        <v>3000000</v>
      </c>
    </row>
    <row r="13" spans="1:14" x14ac:dyDescent="0.2">
      <c r="A13" s="242">
        <v>5120100000</v>
      </c>
      <c r="B13" s="245" t="s">
        <v>446</v>
      </c>
      <c r="C13" s="269"/>
      <c r="D13" s="269"/>
      <c r="E13" s="269"/>
      <c r="F13" s="269"/>
      <c r="G13" s="269"/>
      <c r="H13" s="269"/>
      <c r="I13" s="269"/>
      <c r="J13" s="269"/>
      <c r="K13" s="269"/>
      <c r="L13" s="269"/>
      <c r="M13" s="269"/>
      <c r="N13" s="270">
        <f t="shared" si="1"/>
        <v>0</v>
      </c>
    </row>
    <row r="14" spans="1:14" x14ac:dyDescent="0.2">
      <c r="A14" s="242">
        <v>5130100000</v>
      </c>
      <c r="B14" s="245" t="s">
        <v>447</v>
      </c>
      <c r="C14" s="269"/>
      <c r="D14" s="269"/>
      <c r="E14" s="269"/>
      <c r="F14" s="269"/>
      <c r="G14" s="269"/>
      <c r="H14" s="269"/>
      <c r="I14" s="269"/>
      <c r="J14" s="269" t="s">
        <v>169</v>
      </c>
      <c r="K14" s="269"/>
      <c r="L14" s="269"/>
      <c r="M14" s="269"/>
      <c r="N14" s="270">
        <f t="shared" si="1"/>
        <v>0</v>
      </c>
    </row>
    <row r="15" spans="1:14" x14ac:dyDescent="0.2">
      <c r="A15" s="242">
        <v>5135400000</v>
      </c>
      <c r="B15" s="245" t="s">
        <v>448</v>
      </c>
      <c r="C15" s="269"/>
      <c r="D15" s="269"/>
      <c r="E15" s="269" t="s">
        <v>169</v>
      </c>
      <c r="F15" s="269"/>
      <c r="G15" s="269" t="s">
        <v>169</v>
      </c>
      <c r="H15" s="269" t="s">
        <v>169</v>
      </c>
      <c r="I15" s="269" t="s">
        <v>169</v>
      </c>
      <c r="J15" s="269"/>
      <c r="K15" s="269"/>
      <c r="L15" s="269"/>
      <c r="M15" s="269"/>
      <c r="N15" s="270">
        <f t="shared" si="1"/>
        <v>0</v>
      </c>
    </row>
    <row r="16" spans="1:14" x14ac:dyDescent="0.2">
      <c r="A16" s="242">
        <v>5135950700</v>
      </c>
      <c r="B16" s="245" t="s">
        <v>466</v>
      </c>
      <c r="C16" s="269"/>
      <c r="D16" s="269"/>
      <c r="E16" s="269"/>
      <c r="F16" s="269"/>
      <c r="G16" s="269"/>
      <c r="H16" s="269"/>
      <c r="I16" s="269"/>
      <c r="J16" s="269"/>
      <c r="K16" s="269" t="s">
        <v>169</v>
      </c>
      <c r="L16" s="269"/>
      <c r="M16" s="269"/>
      <c r="N16" s="270">
        <f t="shared" si="1"/>
        <v>0</v>
      </c>
    </row>
    <row r="17" spans="1:14" x14ac:dyDescent="0.2">
      <c r="A17" s="242">
        <v>5155050000</v>
      </c>
      <c r="B17" s="245" t="s">
        <v>420</v>
      </c>
      <c r="C17" s="269"/>
      <c r="D17" s="269"/>
      <c r="E17" s="269"/>
      <c r="F17" s="269"/>
      <c r="G17" s="269"/>
      <c r="H17" s="269"/>
      <c r="I17" s="269"/>
      <c r="J17" s="269"/>
      <c r="K17" s="269"/>
      <c r="L17" s="269" t="s">
        <v>169</v>
      </c>
      <c r="M17" s="269"/>
      <c r="N17" s="270">
        <f t="shared" si="1"/>
        <v>0</v>
      </c>
    </row>
    <row r="18" spans="1:14" x14ac:dyDescent="0.2">
      <c r="A18" s="242">
        <v>5155150000</v>
      </c>
      <c r="B18" s="245" t="s">
        <v>233</v>
      </c>
      <c r="C18" s="269"/>
      <c r="D18" s="269"/>
      <c r="E18" s="269"/>
      <c r="F18" s="269"/>
      <c r="G18" s="269"/>
      <c r="H18" s="269"/>
      <c r="I18" s="269"/>
      <c r="J18" s="269"/>
      <c r="K18" s="269"/>
      <c r="L18" s="269"/>
      <c r="M18" s="269"/>
      <c r="N18" s="270">
        <f t="shared" si="1"/>
        <v>0</v>
      </c>
    </row>
    <row r="19" spans="1:14" x14ac:dyDescent="0.2">
      <c r="A19" s="242">
        <v>5195200000</v>
      </c>
      <c r="B19" s="245" t="s">
        <v>452</v>
      </c>
      <c r="C19" s="269"/>
      <c r="D19" s="269">
        <v>300000</v>
      </c>
      <c r="E19" s="269"/>
      <c r="F19" s="269"/>
      <c r="G19" s="269"/>
      <c r="H19" s="269"/>
      <c r="I19" s="269"/>
      <c r="J19" s="269" t="s">
        <v>169</v>
      </c>
      <c r="K19" s="269"/>
      <c r="L19" s="269"/>
      <c r="M19" s="269"/>
      <c r="N19" s="270">
        <f t="shared" si="1"/>
        <v>300000</v>
      </c>
    </row>
    <row r="20" spans="1:14" x14ac:dyDescent="0.2">
      <c r="A20" s="242">
        <v>5195300000</v>
      </c>
      <c r="B20" s="245" t="s">
        <v>453</v>
      </c>
      <c r="C20" s="269"/>
      <c r="D20" s="269"/>
      <c r="E20" s="269" t="s">
        <v>169</v>
      </c>
      <c r="F20" s="269" t="s">
        <v>169</v>
      </c>
      <c r="G20" s="269" t="s">
        <v>169</v>
      </c>
      <c r="H20" s="269" t="s">
        <v>169</v>
      </c>
      <c r="I20" s="269" t="s">
        <v>169</v>
      </c>
      <c r="J20" s="269"/>
      <c r="K20" s="269"/>
      <c r="L20" s="269"/>
      <c r="M20" s="269"/>
      <c r="N20" s="270">
        <f t="shared" si="1"/>
        <v>0</v>
      </c>
    </row>
    <row r="21" spans="1:14" x14ac:dyDescent="0.2">
      <c r="A21" s="242">
        <v>5195450000</v>
      </c>
      <c r="B21" s="245" t="s">
        <v>454</v>
      </c>
      <c r="C21" s="269">
        <v>600000</v>
      </c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70">
        <f t="shared" si="1"/>
        <v>600000</v>
      </c>
    </row>
    <row r="22" spans="1:14" x14ac:dyDescent="0.2">
      <c r="A22" s="242">
        <v>5195950200</v>
      </c>
      <c r="B22" s="245" t="s">
        <v>455</v>
      </c>
      <c r="C22" s="269"/>
      <c r="D22" s="269"/>
      <c r="E22" s="269"/>
      <c r="F22" s="269"/>
      <c r="G22" s="269"/>
      <c r="H22" s="269"/>
      <c r="I22" s="269"/>
      <c r="J22" s="269"/>
      <c r="K22" s="269" t="s">
        <v>169</v>
      </c>
      <c r="L22" s="269"/>
      <c r="M22" s="269"/>
      <c r="N22" s="270">
        <f t="shared" si="1"/>
        <v>0</v>
      </c>
    </row>
    <row r="23" spans="1:14" x14ac:dyDescent="0.2">
      <c r="A23" s="242">
        <v>5195950100</v>
      </c>
      <c r="B23" s="246" t="s">
        <v>235</v>
      </c>
      <c r="C23" s="269"/>
      <c r="D23" s="269"/>
      <c r="E23" s="269" t="s">
        <v>169</v>
      </c>
      <c r="F23" s="269"/>
      <c r="G23" s="269" t="s">
        <v>169</v>
      </c>
      <c r="H23" s="269" t="s">
        <v>169</v>
      </c>
      <c r="I23" s="269" t="s">
        <v>169</v>
      </c>
      <c r="J23" s="269"/>
      <c r="K23" s="269"/>
      <c r="L23" s="269"/>
      <c r="M23" s="269"/>
      <c r="N23" s="270">
        <f t="shared" si="1"/>
        <v>0</v>
      </c>
    </row>
    <row r="24" spans="1:14" x14ac:dyDescent="0.2">
      <c r="A24" s="242">
        <v>5395950000</v>
      </c>
      <c r="B24" s="246" t="s">
        <v>457</v>
      </c>
      <c r="C24" s="269">
        <v>400000</v>
      </c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70">
        <f t="shared" si="1"/>
        <v>400000</v>
      </c>
    </row>
    <row r="25" spans="1:14" x14ac:dyDescent="0.2">
      <c r="A25" s="242" t="s">
        <v>417</v>
      </c>
      <c r="B25" s="246" t="s">
        <v>467</v>
      </c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70">
        <f t="shared" si="1"/>
        <v>0</v>
      </c>
    </row>
    <row r="26" spans="1:14" ht="13.5" thickBot="1" x14ac:dyDescent="0.25">
      <c r="A26" s="1194" t="s">
        <v>458</v>
      </c>
      <c r="B26" s="1193"/>
      <c r="C26" s="272">
        <f>SUM(C12:C25)</f>
        <v>1000000</v>
      </c>
      <c r="D26" s="272">
        <f t="shared" ref="D26:M26" si="2">SUM(D12:D25)</f>
        <v>3300000</v>
      </c>
      <c r="E26" s="272">
        <f t="shared" si="2"/>
        <v>0</v>
      </c>
      <c r="F26" s="272">
        <f>SUM(F12:F25)</f>
        <v>0</v>
      </c>
      <c r="G26" s="272">
        <f>SUM(G12:G25)</f>
        <v>0</v>
      </c>
      <c r="H26" s="272">
        <f>SUM(H12:H25)</f>
        <v>0</v>
      </c>
      <c r="I26" s="272">
        <f>SUM(I12:I25)</f>
        <v>0</v>
      </c>
      <c r="J26" s="272">
        <f t="shared" si="2"/>
        <v>0</v>
      </c>
      <c r="K26" s="272">
        <f t="shared" si="2"/>
        <v>0</v>
      </c>
      <c r="L26" s="272">
        <f t="shared" si="2"/>
        <v>0</v>
      </c>
      <c r="M26" s="272">
        <f t="shared" si="2"/>
        <v>0</v>
      </c>
      <c r="N26" s="268">
        <f>SUM(C26:M26)</f>
        <v>4300000</v>
      </c>
    </row>
    <row r="27" spans="1:14" ht="13.5" thickBot="1" x14ac:dyDescent="0.25">
      <c r="A27" s="247"/>
      <c r="B27" s="248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</row>
    <row r="28" spans="1:14" ht="13.5" thickBot="1" x14ac:dyDescent="0.25">
      <c r="A28" s="1188" t="s">
        <v>460</v>
      </c>
      <c r="B28" s="1189"/>
      <c r="C28" s="274">
        <f t="shared" ref="C28:M28" si="3">+C9-C26</f>
        <v>-1000000</v>
      </c>
      <c r="D28" s="274">
        <f t="shared" si="3"/>
        <v>-3300000</v>
      </c>
      <c r="E28" s="274">
        <f t="shared" si="3"/>
        <v>0</v>
      </c>
      <c r="F28" s="274">
        <f>+F9-F26</f>
        <v>0</v>
      </c>
      <c r="G28" s="274">
        <f>+G9-G26</f>
        <v>0</v>
      </c>
      <c r="H28" s="274">
        <f>+H9-H26</f>
        <v>0</v>
      </c>
      <c r="I28" s="274">
        <f>+I9-I26</f>
        <v>0</v>
      </c>
      <c r="J28" s="274">
        <f t="shared" si="3"/>
        <v>0</v>
      </c>
      <c r="K28" s="274">
        <f t="shared" si="3"/>
        <v>0</v>
      </c>
      <c r="L28" s="274">
        <f t="shared" si="3"/>
        <v>0</v>
      </c>
      <c r="M28" s="274">
        <f t="shared" si="3"/>
        <v>0</v>
      </c>
      <c r="N28" s="275">
        <f>SUM(C28:M28)</f>
        <v>-4300000</v>
      </c>
    </row>
    <row r="29" spans="1:14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x14ac:dyDescent="0.2">
      <c r="A30" s="251" t="s">
        <v>482</v>
      </c>
      <c r="B30" s="252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66"/>
    </row>
    <row r="31" spans="1:14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</sheetData>
  <mergeCells count="22">
    <mergeCell ref="A3:N3"/>
    <mergeCell ref="A2:N2"/>
    <mergeCell ref="A4:N4"/>
    <mergeCell ref="A5:A6"/>
    <mergeCell ref="B5:B6"/>
    <mergeCell ref="C5:C6"/>
    <mergeCell ref="D5:D6"/>
    <mergeCell ref="E5:E6"/>
    <mergeCell ref="J5:J6"/>
    <mergeCell ref="F5:F6"/>
    <mergeCell ref="G5:G6"/>
    <mergeCell ref="H5:H6"/>
    <mergeCell ref="I5:I6"/>
    <mergeCell ref="A28:B28"/>
    <mergeCell ref="L5:L6"/>
    <mergeCell ref="M5:M6"/>
    <mergeCell ref="K5:K6"/>
    <mergeCell ref="N5:N6"/>
    <mergeCell ref="A7:B7"/>
    <mergeCell ref="A9:B9"/>
    <mergeCell ref="A11:B11"/>
    <mergeCell ref="A26:B26"/>
  </mergeCells>
  <phoneticPr fontId="0" type="noConversion"/>
  <pageMargins left="0.16" right="0.7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A12:A25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B264"/>
  <sheetViews>
    <sheetView topLeftCell="A14" zoomScaleNormal="100" workbookViewId="0">
      <selection activeCell="E35" sqref="E35"/>
    </sheetView>
  </sheetViews>
  <sheetFormatPr baseColWidth="10" defaultRowHeight="12.75" x14ac:dyDescent="0.2"/>
  <cols>
    <col min="1" max="1" width="11.28515625" customWidth="1"/>
    <col min="2" max="2" width="26.7109375" customWidth="1"/>
    <col min="3" max="4" width="14.42578125" style="277" customWidth="1"/>
    <col min="5" max="8" width="12.7109375" style="277" customWidth="1"/>
    <col min="9" max="9" width="13.42578125" style="277" customWidth="1"/>
    <col min="10" max="12" width="12.7109375" style="277" customWidth="1"/>
    <col min="13" max="13" width="12.85546875" style="277" customWidth="1"/>
    <col min="14" max="80" width="11.42578125" style="237"/>
  </cols>
  <sheetData>
    <row r="1" spans="1:13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</row>
    <row r="2" spans="1:13" ht="20.25" customHeight="1" x14ac:dyDescent="0.25">
      <c r="A2" s="1196" t="s">
        <v>471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</row>
    <row r="3" spans="1:13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</row>
    <row r="4" spans="1:13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</row>
    <row r="5" spans="1:13" ht="12.75" customHeight="1" thickBot="1" x14ac:dyDescent="0.25">
      <c r="A5" s="1211" t="s">
        <v>770</v>
      </c>
      <c r="B5" s="1212"/>
      <c r="C5" s="1212"/>
      <c r="D5" s="1212"/>
      <c r="E5" s="1212"/>
      <c r="F5" s="1212"/>
      <c r="G5" s="1212"/>
      <c r="H5" s="1212"/>
      <c r="I5" s="1212"/>
      <c r="J5" s="1212"/>
      <c r="K5" s="1212"/>
      <c r="L5" s="1212"/>
      <c r="M5" s="1213"/>
    </row>
    <row r="6" spans="1:13" ht="12.75" customHeight="1" x14ac:dyDescent="0.2">
      <c r="A6" s="1198" t="s">
        <v>440</v>
      </c>
      <c r="B6" s="1200" t="s">
        <v>441</v>
      </c>
      <c r="C6" s="1190" t="s">
        <v>980</v>
      </c>
      <c r="D6" s="1190" t="s">
        <v>985</v>
      </c>
      <c r="E6" s="1190" t="s">
        <v>994</v>
      </c>
      <c r="F6" s="1190" t="s">
        <v>1001</v>
      </c>
      <c r="G6" s="1190" t="s">
        <v>609</v>
      </c>
      <c r="H6" s="1190" t="s">
        <v>609</v>
      </c>
      <c r="I6" s="1190" t="s">
        <v>609</v>
      </c>
      <c r="J6" s="1190" t="s">
        <v>609</v>
      </c>
      <c r="K6" s="1190" t="s">
        <v>609</v>
      </c>
      <c r="L6" s="1190" t="s">
        <v>609</v>
      </c>
      <c r="M6" s="1190" t="s">
        <v>811</v>
      </c>
    </row>
    <row r="7" spans="1:13" ht="33" customHeight="1" thickBot="1" x14ac:dyDescent="0.25">
      <c r="A7" s="1199"/>
      <c r="B7" s="1201"/>
      <c r="C7" s="1191"/>
      <c r="D7" s="1191"/>
      <c r="E7" s="1191"/>
      <c r="F7" s="1191"/>
      <c r="G7" s="1191"/>
      <c r="H7" s="1191"/>
      <c r="I7" s="1191"/>
      <c r="J7" s="1191"/>
      <c r="K7" s="1191"/>
      <c r="L7" s="1191"/>
      <c r="M7" s="1191"/>
    </row>
    <row r="8" spans="1:13" ht="48" customHeight="1" thickBot="1" x14ac:dyDescent="0.25">
      <c r="A8" s="1204" t="s">
        <v>504</v>
      </c>
      <c r="B8" s="1205"/>
      <c r="C8" s="501" t="s">
        <v>986</v>
      </c>
      <c r="D8" s="309" t="s">
        <v>987</v>
      </c>
      <c r="E8" s="309" t="s">
        <v>995</v>
      </c>
      <c r="F8" s="309" t="s">
        <v>1002</v>
      </c>
      <c r="G8" s="309" t="s">
        <v>169</v>
      </c>
      <c r="H8" s="309" t="s">
        <v>169</v>
      </c>
      <c r="I8" s="309" t="s">
        <v>169</v>
      </c>
      <c r="J8" s="309" t="s">
        <v>169</v>
      </c>
      <c r="K8" s="267"/>
      <c r="L8" s="267"/>
      <c r="M8" s="268"/>
    </row>
    <row r="9" spans="1:13" x14ac:dyDescent="0.2">
      <c r="A9" s="249"/>
      <c r="B9" s="245" t="s">
        <v>469</v>
      </c>
      <c r="C9" s="956" t="s">
        <v>982</v>
      </c>
      <c r="D9" s="973" t="s">
        <v>981</v>
      </c>
      <c r="E9" s="962" t="s">
        <v>998</v>
      </c>
      <c r="F9" s="292" t="s">
        <v>996</v>
      </c>
      <c r="G9" s="292" t="s">
        <v>169</v>
      </c>
      <c r="H9" s="292" t="s">
        <v>169</v>
      </c>
      <c r="I9" s="292" t="s">
        <v>169</v>
      </c>
      <c r="J9" s="269"/>
      <c r="K9" s="269"/>
      <c r="L9" s="269"/>
      <c r="M9" s="279" t="s">
        <v>169</v>
      </c>
    </row>
    <row r="10" spans="1:13" ht="22.5" x14ac:dyDescent="0.2">
      <c r="A10" s="239"/>
      <c r="B10" s="307" t="s">
        <v>474</v>
      </c>
      <c r="C10" s="970" t="s">
        <v>1071</v>
      </c>
      <c r="D10" s="970" t="s">
        <v>1003</v>
      </c>
      <c r="E10" s="963" t="s">
        <v>1068</v>
      </c>
      <c r="F10" s="296" t="s">
        <v>1003</v>
      </c>
      <c r="G10" s="296" t="s">
        <v>169</v>
      </c>
      <c r="H10" s="296" t="s">
        <v>169</v>
      </c>
      <c r="I10" s="296" t="s">
        <v>169</v>
      </c>
      <c r="J10" s="269"/>
      <c r="K10" s="269"/>
      <c r="L10" s="269"/>
      <c r="M10" s="279" t="s">
        <v>169</v>
      </c>
    </row>
    <row r="11" spans="1:13" ht="13.5" thickBot="1" x14ac:dyDescent="0.25">
      <c r="A11" s="250"/>
      <c r="B11" s="245" t="s">
        <v>505</v>
      </c>
      <c r="C11" s="957" t="s">
        <v>984</v>
      </c>
      <c r="D11" s="974" t="s">
        <v>1005</v>
      </c>
      <c r="E11" s="964" t="s">
        <v>997</v>
      </c>
      <c r="F11" s="293" t="s">
        <v>1004</v>
      </c>
      <c r="G11" s="293" t="s">
        <v>169</v>
      </c>
      <c r="H11" s="293" t="s">
        <v>169</v>
      </c>
      <c r="I11" s="313" t="s">
        <v>169</v>
      </c>
      <c r="J11" s="269"/>
      <c r="K11" s="269"/>
      <c r="L11" s="269"/>
      <c r="M11" s="270"/>
    </row>
    <row r="12" spans="1:13" ht="13.5" thickBot="1" x14ac:dyDescent="0.25">
      <c r="A12" s="247"/>
      <c r="B12" s="245" t="s">
        <v>472</v>
      </c>
      <c r="C12" s="958"/>
      <c r="D12" s="975"/>
      <c r="E12" s="965"/>
      <c r="F12" s="280"/>
      <c r="G12" s="280"/>
      <c r="H12" s="280"/>
      <c r="I12" s="308"/>
      <c r="J12" s="280"/>
      <c r="K12" s="280"/>
      <c r="L12" s="280"/>
      <c r="M12" s="270"/>
    </row>
    <row r="13" spans="1:13" ht="13.5" thickBot="1" x14ac:dyDescent="0.25">
      <c r="A13" s="1194" t="s">
        <v>445</v>
      </c>
      <c r="B13" s="1210"/>
      <c r="C13" s="959"/>
      <c r="D13" s="976"/>
      <c r="E13" s="966"/>
      <c r="F13" s="876"/>
      <c r="G13" s="876"/>
      <c r="H13" s="876"/>
      <c r="I13" s="876"/>
      <c r="J13" s="876"/>
      <c r="K13" s="876"/>
      <c r="L13" s="876"/>
      <c r="M13" s="268"/>
    </row>
    <row r="14" spans="1:13" x14ac:dyDescent="0.2">
      <c r="A14" s="890">
        <v>5105630000</v>
      </c>
      <c r="B14" s="880" t="s">
        <v>680</v>
      </c>
      <c r="C14" s="960">
        <v>6000000</v>
      </c>
      <c r="D14" s="977">
        <v>2000000</v>
      </c>
      <c r="E14" s="967">
        <v>1200000</v>
      </c>
      <c r="F14" s="902">
        <v>3000000</v>
      </c>
      <c r="G14" s="902"/>
      <c r="H14" s="902"/>
      <c r="I14" s="902"/>
      <c r="J14" s="902"/>
      <c r="K14" s="902"/>
      <c r="L14" s="902"/>
      <c r="M14" s="893">
        <f t="shared" ref="M14:M21" si="0">SUM(C14:L14)</f>
        <v>12200000</v>
      </c>
    </row>
    <row r="15" spans="1:13" x14ac:dyDescent="0.2">
      <c r="A15" s="891">
        <v>5110950000</v>
      </c>
      <c r="B15" s="245" t="s">
        <v>223</v>
      </c>
      <c r="C15" s="961"/>
      <c r="D15" s="977"/>
      <c r="E15" s="968"/>
      <c r="F15" s="289"/>
      <c r="G15" s="289"/>
      <c r="H15" s="289"/>
      <c r="I15" s="289"/>
      <c r="J15" s="289"/>
      <c r="K15" s="289"/>
      <c r="L15" s="289"/>
      <c r="M15" s="270">
        <f t="shared" si="0"/>
        <v>0</v>
      </c>
    </row>
    <row r="16" spans="1:13" x14ac:dyDescent="0.2">
      <c r="A16" s="891">
        <v>5155050000</v>
      </c>
      <c r="B16" s="245" t="s">
        <v>420</v>
      </c>
      <c r="C16" s="961"/>
      <c r="D16" s="977"/>
      <c r="E16" s="968">
        <v>1000000</v>
      </c>
      <c r="F16" s="289"/>
      <c r="G16" s="289"/>
      <c r="H16" s="289"/>
      <c r="I16" s="289"/>
      <c r="J16" s="289"/>
      <c r="K16" s="289"/>
      <c r="L16" s="289"/>
      <c r="M16" s="270">
        <f t="shared" si="0"/>
        <v>1000000</v>
      </c>
    </row>
    <row r="17" spans="1:13" x14ac:dyDescent="0.2">
      <c r="A17" s="891">
        <v>5155150000</v>
      </c>
      <c r="B17" s="245" t="s">
        <v>473</v>
      </c>
      <c r="C17" s="961"/>
      <c r="D17" s="977"/>
      <c r="E17" s="968">
        <v>1400000</v>
      </c>
      <c r="F17" s="289"/>
      <c r="G17" s="289"/>
      <c r="H17" s="289"/>
      <c r="I17" s="289"/>
      <c r="J17" s="289"/>
      <c r="K17" s="289"/>
      <c r="L17" s="289"/>
      <c r="M17" s="270">
        <f t="shared" si="0"/>
        <v>1400000</v>
      </c>
    </row>
    <row r="18" spans="1:13" x14ac:dyDescent="0.2">
      <c r="A18" s="891">
        <v>5195200000</v>
      </c>
      <c r="B18" s="245" t="s">
        <v>451</v>
      </c>
      <c r="C18" s="961"/>
      <c r="D18" s="977"/>
      <c r="E18" s="968"/>
      <c r="F18" s="289"/>
      <c r="G18" s="289"/>
      <c r="H18" s="289"/>
      <c r="I18" s="289"/>
      <c r="J18" s="289"/>
      <c r="K18" s="289"/>
      <c r="L18" s="289"/>
      <c r="M18" s="270">
        <f t="shared" si="0"/>
        <v>0</v>
      </c>
    </row>
    <row r="19" spans="1:13" x14ac:dyDescent="0.2">
      <c r="A19" s="891">
        <v>5195450000</v>
      </c>
      <c r="B19" s="245" t="s">
        <v>454</v>
      </c>
      <c r="C19" s="961"/>
      <c r="D19" s="977"/>
      <c r="E19" s="968">
        <v>200000</v>
      </c>
      <c r="F19" s="289"/>
      <c r="G19" s="289"/>
      <c r="H19" s="289"/>
      <c r="I19" s="289"/>
      <c r="J19" s="289"/>
      <c r="K19" s="289"/>
      <c r="L19" s="289"/>
      <c r="M19" s="270">
        <f t="shared" si="0"/>
        <v>200000</v>
      </c>
    </row>
    <row r="20" spans="1:13" ht="13.5" thickBot="1" x14ac:dyDescent="0.25">
      <c r="A20" s="892">
        <v>5395950000</v>
      </c>
      <c r="B20" s="894" t="s">
        <v>457</v>
      </c>
      <c r="C20" s="971"/>
      <c r="D20" s="977"/>
      <c r="E20" s="972">
        <v>400000</v>
      </c>
      <c r="F20" s="903"/>
      <c r="G20" s="903"/>
      <c r="H20" s="903"/>
      <c r="I20" s="903"/>
      <c r="J20" s="903"/>
      <c r="K20" s="903"/>
      <c r="L20" s="903"/>
      <c r="M20" s="897">
        <f t="shared" si="0"/>
        <v>400000</v>
      </c>
    </row>
    <row r="21" spans="1:13" ht="13.5" thickBot="1" x14ac:dyDescent="0.25">
      <c r="A21" s="1206" t="s">
        <v>458</v>
      </c>
      <c r="B21" s="1207"/>
      <c r="C21" s="899">
        <f>SUM(C14:C20)</f>
        <v>6000000</v>
      </c>
      <c r="D21" s="899">
        <f>SUM(D14:D20)</f>
        <v>2000000</v>
      </c>
      <c r="E21" s="275">
        <f>SUM(E14:E20)</f>
        <v>4200000</v>
      </c>
      <c r="F21" s="275">
        <f>SUM(F20:F20)</f>
        <v>0</v>
      </c>
      <c r="G21" s="275">
        <f t="shared" ref="G21:L21" si="1">SUM(G14:G20)</f>
        <v>0</v>
      </c>
      <c r="H21" s="275">
        <f t="shared" si="1"/>
        <v>0</v>
      </c>
      <c r="I21" s="275">
        <f t="shared" si="1"/>
        <v>0</v>
      </c>
      <c r="J21" s="275">
        <f t="shared" si="1"/>
        <v>0</v>
      </c>
      <c r="K21" s="275">
        <f t="shared" si="1"/>
        <v>0</v>
      </c>
      <c r="L21" s="900">
        <f t="shared" si="1"/>
        <v>0</v>
      </c>
      <c r="M21" s="901">
        <f t="shared" si="0"/>
        <v>12200000</v>
      </c>
    </row>
    <row r="22" spans="1:13" s="550" customFormat="1" ht="13.5" thickBot="1" x14ac:dyDescent="0.25">
      <c r="A22" s="653"/>
      <c r="B22" s="653"/>
      <c r="C22" s="654"/>
      <c r="D22" s="654"/>
      <c r="E22" s="655"/>
      <c r="F22" s="655"/>
      <c r="G22" s="655"/>
      <c r="H22" s="655"/>
      <c r="I22" s="655"/>
      <c r="J22" s="655"/>
      <c r="K22" s="655"/>
      <c r="L22" s="655"/>
      <c r="M22" s="655"/>
    </row>
    <row r="23" spans="1:13" ht="13.5" thickBot="1" x14ac:dyDescent="0.25">
      <c r="A23" s="1211" t="s">
        <v>794</v>
      </c>
      <c r="B23" s="1212"/>
      <c r="C23" s="1212"/>
      <c r="D23" s="1212"/>
      <c r="E23" s="1212"/>
      <c r="F23" s="1212"/>
      <c r="G23" s="1212"/>
      <c r="H23" s="1212"/>
      <c r="I23" s="1212"/>
      <c r="J23" s="1212"/>
      <c r="K23" s="1212"/>
      <c r="L23" s="1212"/>
      <c r="M23" s="1213"/>
    </row>
    <row r="24" spans="1:13" ht="12.75" customHeight="1" x14ac:dyDescent="0.2">
      <c r="A24" s="1214" t="s">
        <v>418</v>
      </c>
      <c r="B24" s="1200" t="s">
        <v>441</v>
      </c>
      <c r="C24" s="1190" t="s">
        <v>989</v>
      </c>
      <c r="D24" s="1190" t="s">
        <v>609</v>
      </c>
      <c r="E24" s="1190" t="s">
        <v>609</v>
      </c>
      <c r="F24" s="1190" t="s">
        <v>609</v>
      </c>
      <c r="G24" s="1190" t="s">
        <v>609</v>
      </c>
      <c r="H24" s="1190" t="s">
        <v>609</v>
      </c>
      <c r="I24" s="1190" t="s">
        <v>609</v>
      </c>
      <c r="J24" s="1190" t="s">
        <v>609</v>
      </c>
      <c r="K24" s="1190" t="s">
        <v>609</v>
      </c>
      <c r="L24" s="1190" t="s">
        <v>609</v>
      </c>
      <c r="M24" s="1190" t="s">
        <v>811</v>
      </c>
    </row>
    <row r="25" spans="1:13" ht="13.5" thickBot="1" x14ac:dyDescent="0.25">
      <c r="A25" s="1215"/>
      <c r="B25" s="1201"/>
      <c r="C25" s="1191"/>
      <c r="D25" s="1191"/>
      <c r="E25" s="1191"/>
      <c r="F25" s="1191"/>
      <c r="G25" s="1191"/>
      <c r="H25" s="1191"/>
      <c r="I25" s="1191"/>
      <c r="J25" s="1191"/>
      <c r="K25" s="1191"/>
      <c r="L25" s="1191"/>
      <c r="M25" s="1191"/>
    </row>
    <row r="26" spans="1:13" ht="45.75" thickBot="1" x14ac:dyDescent="0.25">
      <c r="A26" s="1204" t="s">
        <v>504</v>
      </c>
      <c r="B26" s="1205"/>
      <c r="C26" s="969" t="s">
        <v>990</v>
      </c>
      <c r="D26" s="309" t="s">
        <v>1006</v>
      </c>
      <c r="E26" s="309" t="s">
        <v>1084</v>
      </c>
      <c r="F26" s="309" t="s">
        <v>169</v>
      </c>
      <c r="G26" s="309" t="s">
        <v>169</v>
      </c>
      <c r="H26" s="309" t="s">
        <v>169</v>
      </c>
      <c r="I26" s="309" t="s">
        <v>169</v>
      </c>
      <c r="J26" s="309" t="s">
        <v>169</v>
      </c>
      <c r="K26" s="267"/>
      <c r="L26" s="267"/>
      <c r="M26" s="268"/>
    </row>
    <row r="27" spans="1:13" x14ac:dyDescent="0.2">
      <c r="A27" s="249"/>
      <c r="B27" s="245" t="s">
        <v>469</v>
      </c>
      <c r="C27" s="292" t="s">
        <v>991</v>
      </c>
      <c r="D27" s="292" t="s">
        <v>169</v>
      </c>
      <c r="E27" s="292" t="s">
        <v>169</v>
      </c>
      <c r="F27" s="292" t="s">
        <v>169</v>
      </c>
      <c r="G27" s="292" t="s">
        <v>169</v>
      </c>
      <c r="H27" s="292" t="s">
        <v>169</v>
      </c>
      <c r="I27" s="292" t="s">
        <v>169</v>
      </c>
      <c r="J27" s="269"/>
      <c r="K27" s="269"/>
      <c r="L27" s="269"/>
      <c r="M27" s="279" t="s">
        <v>169</v>
      </c>
    </row>
    <row r="28" spans="1:13" x14ac:dyDescent="0.2">
      <c r="A28" s="239"/>
      <c r="B28" s="307" t="s">
        <v>474</v>
      </c>
      <c r="C28" s="296" t="s">
        <v>993</v>
      </c>
      <c r="D28" s="296" t="s">
        <v>169</v>
      </c>
      <c r="E28" s="296" t="s">
        <v>169</v>
      </c>
      <c r="F28" s="296" t="s">
        <v>169</v>
      </c>
      <c r="G28" s="296" t="s">
        <v>169</v>
      </c>
      <c r="H28" s="296" t="s">
        <v>169</v>
      </c>
      <c r="I28" s="296" t="s">
        <v>169</v>
      </c>
      <c r="J28" s="269"/>
      <c r="K28" s="269"/>
      <c r="L28" s="269"/>
      <c r="M28" s="279" t="s">
        <v>169</v>
      </c>
    </row>
    <row r="29" spans="1:13" ht="13.5" thickBot="1" x14ac:dyDescent="0.25">
      <c r="A29" s="250"/>
      <c r="B29" s="245" t="s">
        <v>505</v>
      </c>
      <c r="C29" s="293" t="s">
        <v>992</v>
      </c>
      <c r="D29" s="293" t="s">
        <v>169</v>
      </c>
      <c r="E29" s="293" t="s">
        <v>169</v>
      </c>
      <c r="F29" s="293" t="s">
        <v>169</v>
      </c>
      <c r="G29" s="293" t="s">
        <v>169</v>
      </c>
      <c r="H29" s="293" t="s">
        <v>169</v>
      </c>
      <c r="I29" s="313" t="s">
        <v>169</v>
      </c>
      <c r="J29" s="269"/>
      <c r="K29" s="269"/>
      <c r="L29" s="269"/>
      <c r="M29" s="270"/>
    </row>
    <row r="30" spans="1:13" ht="13.5" thickBot="1" x14ac:dyDescent="0.25">
      <c r="A30" s="247"/>
      <c r="B30" s="245" t="s">
        <v>472</v>
      </c>
      <c r="C30" s="280"/>
      <c r="D30" s="294"/>
      <c r="E30" s="280"/>
      <c r="F30" s="280"/>
      <c r="G30" s="280"/>
      <c r="H30" s="280"/>
      <c r="I30" s="308"/>
      <c r="J30" s="280"/>
      <c r="K30" s="280"/>
      <c r="L30" s="280"/>
      <c r="M30" s="270"/>
    </row>
    <row r="31" spans="1:13" ht="13.5" thickBot="1" x14ac:dyDescent="0.25">
      <c r="A31" s="1194" t="s">
        <v>445</v>
      </c>
      <c r="B31" s="1193"/>
      <c r="C31" s="876"/>
      <c r="D31" s="295"/>
      <c r="E31" s="272"/>
      <c r="F31" s="272"/>
      <c r="G31" s="272"/>
      <c r="H31" s="272"/>
      <c r="I31" s="272"/>
      <c r="J31" s="272"/>
      <c r="K31" s="272"/>
      <c r="L31" s="272"/>
      <c r="M31" s="268"/>
    </row>
    <row r="32" spans="1:13" x14ac:dyDescent="0.2">
      <c r="A32" s="242">
        <v>5105630000</v>
      </c>
      <c r="B32" s="245" t="s">
        <v>680</v>
      </c>
      <c r="C32" s="902">
        <v>2500000</v>
      </c>
      <c r="D32" s="289">
        <v>1500000</v>
      </c>
      <c r="E32" s="289"/>
      <c r="F32" s="289"/>
      <c r="G32" s="289"/>
      <c r="H32" s="289"/>
      <c r="I32" s="289"/>
      <c r="J32" s="289"/>
      <c r="K32" s="289"/>
      <c r="L32" s="289"/>
      <c r="M32" s="270">
        <f t="shared" ref="M32:M39" si="2">SUM(C32:L32)</f>
        <v>4000000</v>
      </c>
    </row>
    <row r="33" spans="1:13" x14ac:dyDescent="0.2">
      <c r="A33" s="242">
        <v>5110950000</v>
      </c>
      <c r="B33" s="245" t="s">
        <v>223</v>
      </c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70">
        <f t="shared" si="2"/>
        <v>0</v>
      </c>
    </row>
    <row r="34" spans="1:13" x14ac:dyDescent="0.2">
      <c r="A34" s="242">
        <v>5155050000</v>
      </c>
      <c r="B34" s="245" t="s">
        <v>420</v>
      </c>
      <c r="C34" s="289">
        <v>2000000</v>
      </c>
      <c r="D34" s="289"/>
      <c r="E34" s="289">
        <v>-2000000</v>
      </c>
      <c r="F34" s="289"/>
      <c r="G34" s="289"/>
      <c r="H34" s="289"/>
      <c r="I34" s="289"/>
      <c r="J34" s="289"/>
      <c r="K34" s="289"/>
      <c r="L34" s="289"/>
      <c r="M34" s="270">
        <f t="shared" si="2"/>
        <v>0</v>
      </c>
    </row>
    <row r="35" spans="1:13" x14ac:dyDescent="0.2">
      <c r="A35" s="242">
        <v>5155150000</v>
      </c>
      <c r="B35" s="245" t="s">
        <v>473</v>
      </c>
      <c r="C35" s="289">
        <v>1800000</v>
      </c>
      <c r="D35" s="289"/>
      <c r="E35" s="289">
        <v>-800000</v>
      </c>
      <c r="F35" s="289"/>
      <c r="G35" s="289"/>
      <c r="H35" s="289"/>
      <c r="I35" s="289"/>
      <c r="J35" s="289"/>
      <c r="K35" s="289"/>
      <c r="L35" s="289"/>
      <c r="M35" s="270">
        <f t="shared" si="2"/>
        <v>1000000</v>
      </c>
    </row>
    <row r="36" spans="1:13" x14ac:dyDescent="0.2">
      <c r="A36" s="242">
        <v>5195200000</v>
      </c>
      <c r="B36" s="245" t="s">
        <v>451</v>
      </c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70">
        <f t="shared" si="2"/>
        <v>0</v>
      </c>
    </row>
    <row r="37" spans="1:13" x14ac:dyDescent="0.2">
      <c r="A37" s="242">
        <v>5195450000</v>
      </c>
      <c r="B37" s="245" t="s">
        <v>454</v>
      </c>
      <c r="C37" s="289">
        <v>400000</v>
      </c>
      <c r="D37" s="289"/>
      <c r="E37" s="289"/>
      <c r="F37" s="289"/>
      <c r="G37" s="289"/>
      <c r="H37" s="289"/>
      <c r="I37" s="289"/>
      <c r="J37" s="289"/>
      <c r="K37" s="289"/>
      <c r="L37" s="289"/>
      <c r="M37" s="270">
        <f t="shared" si="2"/>
        <v>400000</v>
      </c>
    </row>
    <row r="38" spans="1:13" ht="13.5" thickBot="1" x14ac:dyDescent="0.25">
      <c r="A38" s="242">
        <v>5395950000</v>
      </c>
      <c r="B38" s="245" t="s">
        <v>457</v>
      </c>
      <c r="C38" s="903">
        <v>500000</v>
      </c>
      <c r="D38" s="289"/>
      <c r="E38" s="289"/>
      <c r="F38" s="289"/>
      <c r="G38" s="289"/>
      <c r="H38" s="289"/>
      <c r="I38" s="289"/>
      <c r="J38" s="289"/>
      <c r="K38" s="289"/>
      <c r="L38" s="289"/>
      <c r="M38" s="270">
        <f t="shared" si="2"/>
        <v>500000</v>
      </c>
    </row>
    <row r="39" spans="1:13" ht="13.5" thickBot="1" x14ac:dyDescent="0.25">
      <c r="A39" s="1206" t="s">
        <v>458</v>
      </c>
      <c r="B39" s="1208"/>
      <c r="C39" s="306">
        <f>SUM(C32:C38)</f>
        <v>7200000</v>
      </c>
      <c r="D39" s="306">
        <f t="shared" ref="D39" si="3">SUM(D32:D38)</f>
        <v>1500000</v>
      </c>
      <c r="E39" s="281">
        <f t="shared" ref="E39" si="4">SUM(E32:E38)</f>
        <v>-2800000</v>
      </c>
      <c r="F39" s="281">
        <f t="shared" ref="F39" si="5">SUM(F32:F38)</f>
        <v>0</v>
      </c>
      <c r="G39" s="281">
        <f t="shared" ref="G39" si="6">SUM(G32:G38)</f>
        <v>0</v>
      </c>
      <c r="H39" s="281">
        <f t="shared" ref="H39" si="7">SUM(H32:H38)</f>
        <v>0</v>
      </c>
      <c r="I39" s="281">
        <f t="shared" ref="I39" si="8">SUM(I32:I38)</f>
        <v>0</v>
      </c>
      <c r="J39" s="281">
        <f t="shared" ref="J39" si="9">SUM(J32:J38)</f>
        <v>0</v>
      </c>
      <c r="K39" s="281">
        <f t="shared" ref="K39" si="10">SUM(K32:K38)</f>
        <v>0</v>
      </c>
      <c r="L39" s="282">
        <f t="shared" ref="L39" si="11">SUM(L32:L38)</f>
        <v>0</v>
      </c>
      <c r="M39" s="283">
        <f t="shared" si="2"/>
        <v>5900000</v>
      </c>
    </row>
    <row r="40" spans="1:13" x14ac:dyDescent="0.2">
      <c r="A40" s="1209"/>
      <c r="B40" s="1209"/>
      <c r="C40" s="1209"/>
      <c r="D40" s="1209"/>
      <c r="E40" s="1209"/>
      <c r="F40" s="1209"/>
      <c r="G40" s="1209"/>
      <c r="H40" s="1209"/>
      <c r="I40" s="1209"/>
      <c r="J40" s="1209"/>
      <c r="K40" s="1209"/>
      <c r="L40" s="1209"/>
      <c r="M40" s="1209"/>
    </row>
    <row r="41" spans="1:13" x14ac:dyDescent="0.2">
      <c r="A41" s="530" t="s">
        <v>773</v>
      </c>
      <c r="B41" s="252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66"/>
    </row>
    <row r="42" spans="1:13" x14ac:dyDescent="0.2">
      <c r="A42" s="237"/>
      <c r="B42" s="237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</row>
    <row r="43" spans="1:13" x14ac:dyDescent="0.2">
      <c r="A43" s="237"/>
      <c r="B43" s="237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</row>
    <row r="44" spans="1:13" x14ac:dyDescent="0.2">
      <c r="A44" s="237"/>
      <c r="B44" s="237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</row>
    <row r="45" spans="1:13" x14ac:dyDescent="0.2">
      <c r="A45" s="237"/>
      <c r="B45" s="237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</row>
    <row r="46" spans="1:13" x14ac:dyDescent="0.2">
      <c r="A46" s="237"/>
      <c r="B46" s="237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</row>
    <row r="47" spans="1:13" x14ac:dyDescent="0.2">
      <c r="A47" s="237"/>
      <c r="B47" s="237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</row>
    <row r="48" spans="1:13" x14ac:dyDescent="0.2">
      <c r="A48" s="237"/>
      <c r="B48" s="237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</row>
    <row r="49" spans="1:13" x14ac:dyDescent="0.2">
      <c r="A49" s="237"/>
      <c r="B49" s="237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</row>
    <row r="50" spans="1:13" x14ac:dyDescent="0.2">
      <c r="A50" s="237"/>
      <c r="B50" s="237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</row>
    <row r="51" spans="1:13" x14ac:dyDescent="0.2">
      <c r="A51" s="237"/>
      <c r="B51" s="237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</row>
    <row r="52" spans="1:13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</row>
    <row r="53" spans="1:13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</row>
    <row r="54" spans="1:13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</row>
    <row r="55" spans="1:13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</row>
    <row r="56" spans="1:13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</row>
    <row r="57" spans="1:13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</row>
    <row r="58" spans="1:13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</row>
    <row r="59" spans="1:13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</row>
    <row r="60" spans="1:13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</row>
    <row r="61" spans="1:13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</row>
    <row r="62" spans="1:13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</row>
    <row r="63" spans="1:13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</row>
    <row r="64" spans="1:13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</row>
    <row r="65" spans="3:13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</row>
    <row r="66" spans="3:13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</row>
    <row r="67" spans="3:13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</row>
    <row r="68" spans="3:13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</row>
    <row r="69" spans="3:13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</row>
    <row r="70" spans="3:13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</row>
    <row r="71" spans="3:13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</row>
    <row r="72" spans="3:13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</row>
    <row r="73" spans="3:13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</row>
    <row r="74" spans="3:13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</row>
    <row r="75" spans="3:13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</row>
    <row r="76" spans="3:13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</row>
    <row r="77" spans="3:13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</row>
    <row r="78" spans="3:13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</row>
    <row r="79" spans="3:13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</row>
    <row r="80" spans="3:13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</row>
    <row r="81" spans="3:13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</row>
    <row r="82" spans="3:13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</row>
    <row r="83" spans="3:13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</row>
    <row r="84" spans="3:13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</row>
    <row r="85" spans="3:13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</row>
    <row r="86" spans="3:13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</row>
    <row r="87" spans="3:13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</row>
    <row r="88" spans="3:13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</row>
    <row r="89" spans="3:13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</row>
    <row r="90" spans="3:13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</row>
    <row r="91" spans="3:13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</row>
    <row r="92" spans="3:13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</row>
    <row r="93" spans="3:13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</row>
    <row r="94" spans="3:13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</row>
    <row r="95" spans="3:13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</row>
    <row r="96" spans="3:13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</row>
    <row r="97" spans="3:13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</row>
    <row r="98" spans="3:13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</row>
    <row r="99" spans="3:13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</row>
    <row r="100" spans="3:13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</row>
    <row r="101" spans="3:13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</row>
    <row r="102" spans="3:13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</row>
    <row r="103" spans="3:13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</row>
    <row r="104" spans="3:13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</row>
    <row r="105" spans="3:13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</row>
    <row r="106" spans="3:13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</row>
    <row r="107" spans="3:13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</row>
    <row r="108" spans="3:13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</row>
    <row r="109" spans="3:13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</row>
    <row r="110" spans="3:13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</row>
    <row r="111" spans="3:13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</row>
    <row r="112" spans="3:13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</row>
    <row r="113" spans="3:13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</row>
    <row r="114" spans="3:13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</row>
    <row r="115" spans="3:13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</row>
    <row r="116" spans="3:13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</row>
    <row r="117" spans="3:13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</row>
    <row r="118" spans="3:13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</row>
    <row r="119" spans="3:13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</row>
    <row r="120" spans="3:13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</row>
    <row r="121" spans="3:13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</row>
    <row r="122" spans="3:13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</row>
    <row r="123" spans="3:13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</row>
    <row r="124" spans="3:13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</row>
    <row r="125" spans="3:13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</row>
    <row r="126" spans="3:13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</row>
    <row r="127" spans="3:13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</row>
    <row r="128" spans="3:13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</row>
    <row r="129" spans="3:13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</row>
    <row r="130" spans="3:13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</row>
    <row r="131" spans="3:13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</row>
    <row r="132" spans="3:13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</row>
    <row r="133" spans="3:13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</row>
    <row r="134" spans="3:13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</row>
    <row r="135" spans="3:13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</row>
    <row r="136" spans="3:13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</row>
    <row r="137" spans="3:13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</row>
    <row r="138" spans="3:13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</row>
    <row r="139" spans="3:13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</row>
    <row r="140" spans="3:13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</row>
    <row r="141" spans="3:13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</row>
    <row r="142" spans="3:13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</row>
    <row r="143" spans="3:13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</row>
    <row r="144" spans="3:13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</row>
    <row r="145" spans="3:13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</row>
    <row r="146" spans="3:13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</row>
    <row r="147" spans="3:13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</row>
    <row r="148" spans="3:13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</row>
    <row r="149" spans="3:13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</row>
    <row r="150" spans="3:13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</row>
    <row r="151" spans="3:13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</row>
    <row r="152" spans="3:13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</row>
    <row r="153" spans="3:13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</row>
    <row r="154" spans="3:13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</row>
    <row r="155" spans="3:13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</row>
    <row r="156" spans="3:13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</row>
    <row r="157" spans="3:13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</row>
    <row r="158" spans="3:13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</row>
    <row r="159" spans="3:13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</row>
    <row r="160" spans="3:13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</row>
    <row r="161" spans="3:13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</row>
    <row r="162" spans="3:13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</row>
    <row r="163" spans="3:13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</row>
    <row r="164" spans="3:13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</row>
    <row r="165" spans="3:13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</row>
    <row r="166" spans="3:13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</row>
    <row r="167" spans="3:13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</row>
    <row r="168" spans="3:13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</row>
    <row r="169" spans="3:13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</row>
    <row r="170" spans="3:13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</row>
    <row r="171" spans="3:13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</row>
    <row r="172" spans="3:13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</row>
    <row r="173" spans="3:13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</row>
    <row r="174" spans="3:13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</row>
    <row r="175" spans="3:13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</row>
    <row r="176" spans="3:13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</row>
    <row r="177" spans="3:13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</row>
    <row r="178" spans="3:13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</row>
    <row r="179" spans="3:13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</row>
    <row r="180" spans="3:13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</row>
    <row r="181" spans="3:13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</row>
    <row r="182" spans="3:13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</row>
    <row r="183" spans="3:13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</row>
    <row r="184" spans="3:13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</row>
    <row r="185" spans="3:13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</row>
    <row r="186" spans="3:13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</row>
    <row r="187" spans="3:13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</row>
    <row r="188" spans="3:13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</row>
    <row r="189" spans="3:13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</row>
    <row r="190" spans="3:13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</row>
    <row r="191" spans="3:13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</row>
    <row r="192" spans="3:13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</row>
    <row r="193" spans="3:13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</row>
    <row r="194" spans="3:13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</row>
    <row r="195" spans="3:13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</row>
    <row r="196" spans="3:13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</row>
    <row r="197" spans="3:13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</row>
    <row r="198" spans="3:13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</row>
    <row r="199" spans="3:13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</row>
    <row r="200" spans="3:13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</row>
    <row r="201" spans="3:13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</row>
    <row r="202" spans="3:13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</row>
    <row r="203" spans="3:13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</row>
    <row r="204" spans="3:13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</row>
    <row r="205" spans="3:13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</row>
    <row r="206" spans="3:13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</row>
    <row r="207" spans="3:13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</row>
    <row r="208" spans="3:13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</row>
    <row r="209" spans="3:13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</row>
    <row r="210" spans="3:13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</row>
    <row r="211" spans="3:13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</row>
    <row r="212" spans="3:13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</row>
    <row r="213" spans="3:13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</row>
    <row r="214" spans="3:13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</row>
    <row r="215" spans="3:13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</row>
    <row r="216" spans="3:13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</row>
    <row r="217" spans="3:13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</row>
    <row r="218" spans="3:13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</row>
    <row r="219" spans="3:13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</row>
    <row r="220" spans="3:13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</row>
    <row r="221" spans="3:13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</row>
    <row r="222" spans="3:13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</row>
    <row r="223" spans="3:13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</row>
    <row r="224" spans="3:13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</row>
    <row r="225" spans="3:13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</row>
    <row r="226" spans="3:13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</row>
    <row r="227" spans="3:13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</row>
    <row r="228" spans="3:13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</row>
    <row r="229" spans="3:13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</row>
    <row r="230" spans="3:13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</row>
    <row r="231" spans="3:13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</row>
    <row r="232" spans="3:13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</row>
    <row r="233" spans="3:13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</row>
    <row r="234" spans="3:13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</row>
    <row r="235" spans="3:13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</row>
    <row r="236" spans="3:13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</row>
    <row r="237" spans="3:13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</row>
    <row r="238" spans="3:13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</row>
    <row r="239" spans="3:13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</row>
    <row r="240" spans="3:13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</row>
    <row r="241" spans="3:13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</row>
    <row r="242" spans="3:13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</row>
    <row r="243" spans="3:13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</row>
    <row r="244" spans="3:13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</row>
    <row r="245" spans="3:13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</row>
    <row r="246" spans="3:13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</row>
    <row r="247" spans="3:13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</row>
    <row r="248" spans="3:13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</row>
    <row r="249" spans="3:13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</row>
    <row r="250" spans="3:13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</row>
    <row r="251" spans="3:13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</row>
    <row r="252" spans="3:13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</row>
    <row r="253" spans="3:13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</row>
    <row r="254" spans="3:13" s="237" customFormat="1" x14ac:dyDescent="0.2"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</row>
    <row r="255" spans="3:13" s="237" customFormat="1" x14ac:dyDescent="0.2"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</row>
    <row r="256" spans="3:13" s="237" customFormat="1" x14ac:dyDescent="0.2"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</row>
    <row r="257" spans="3:13" s="237" customFormat="1" x14ac:dyDescent="0.2"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</row>
    <row r="258" spans="3:13" s="237" customFormat="1" x14ac:dyDescent="0.2"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</row>
    <row r="259" spans="3:13" s="237" customFormat="1" x14ac:dyDescent="0.2"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</row>
    <row r="260" spans="3:13" s="237" customFormat="1" x14ac:dyDescent="0.2"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</row>
    <row r="261" spans="3:13" s="237" customFormat="1" x14ac:dyDescent="0.2"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</row>
    <row r="262" spans="3:13" s="237" customFormat="1" x14ac:dyDescent="0.2"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</row>
    <row r="263" spans="3:13" s="237" customFormat="1" x14ac:dyDescent="0.2">
      <c r="C263" s="266"/>
      <c r="D263" s="266"/>
      <c r="E263" s="266"/>
      <c r="F263" s="266"/>
      <c r="G263" s="266"/>
      <c r="H263" s="266"/>
      <c r="I263" s="266"/>
      <c r="J263" s="266"/>
      <c r="K263" s="266"/>
      <c r="L263" s="266"/>
      <c r="M263" s="266"/>
    </row>
    <row r="264" spans="3:13" s="237" customFormat="1" x14ac:dyDescent="0.2">
      <c r="C264" s="266"/>
      <c r="D264" s="266"/>
      <c r="E264" s="266"/>
      <c r="F264" s="266"/>
      <c r="G264" s="266"/>
      <c r="H264" s="266"/>
      <c r="I264" s="266"/>
      <c r="J264" s="266"/>
      <c r="K264" s="266"/>
      <c r="L264" s="266"/>
      <c r="M264" s="266"/>
    </row>
  </sheetData>
  <protectedRanges>
    <protectedRange sqref="B9:B12 B14:B20 C6:C7 B27:B30 B32:B38 D6:D9 D11:D13 C24:L31 E6:L13" name="Rango1"/>
  </protectedRanges>
  <mergeCells count="38">
    <mergeCell ref="A3:M3"/>
    <mergeCell ref="A2:M2"/>
    <mergeCell ref="A4:M4"/>
    <mergeCell ref="A6:A7"/>
    <mergeCell ref="B6:B7"/>
    <mergeCell ref="C6:C7"/>
    <mergeCell ref="D6:D7"/>
    <mergeCell ref="I6:I7"/>
    <mergeCell ref="J6:J7"/>
    <mergeCell ref="A5:M5"/>
    <mergeCell ref="J24:J25"/>
    <mergeCell ref="K24:K25"/>
    <mergeCell ref="A40:M40"/>
    <mergeCell ref="K6:K7"/>
    <mergeCell ref="L6:L7"/>
    <mergeCell ref="M6:M7"/>
    <mergeCell ref="A8:B8"/>
    <mergeCell ref="A13:B13"/>
    <mergeCell ref="E6:E7"/>
    <mergeCell ref="F6:F7"/>
    <mergeCell ref="G6:G7"/>
    <mergeCell ref="H6:H7"/>
    <mergeCell ref="A23:M23"/>
    <mergeCell ref="A24:A25"/>
    <mergeCell ref="L24:L25"/>
    <mergeCell ref="M24:M25"/>
    <mergeCell ref="A26:B26"/>
    <mergeCell ref="A31:B31"/>
    <mergeCell ref="A21:B21"/>
    <mergeCell ref="A39:B39"/>
    <mergeCell ref="G24:G25"/>
    <mergeCell ref="C24:C25"/>
    <mergeCell ref="B24:B25"/>
    <mergeCell ref="H24:H25"/>
    <mergeCell ref="I24:I25"/>
    <mergeCell ref="D24:D25"/>
    <mergeCell ref="E24:E25"/>
    <mergeCell ref="F24:F25"/>
  </mergeCells>
  <phoneticPr fontId="0" type="noConversion"/>
  <pageMargins left="0.24" right="0.17" top="0.75" bottom="0.75" header="0.3" footer="0.3"/>
  <pageSetup scale="9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A14:A20 A32:A38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62"/>
  <sheetViews>
    <sheetView topLeftCell="A16" zoomScaleNormal="100" workbookViewId="0">
      <selection activeCell="F29" sqref="F29"/>
    </sheetView>
  </sheetViews>
  <sheetFormatPr baseColWidth="10" defaultRowHeight="12.75" x14ac:dyDescent="0.2"/>
  <cols>
    <col min="1" max="1" width="11.5703125" customWidth="1"/>
    <col min="2" max="2" width="27" customWidth="1"/>
    <col min="3" max="3" width="12.8554687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196" t="s">
        <v>608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4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4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4" ht="12.75" customHeight="1" thickBot="1" x14ac:dyDescent="0.25">
      <c r="A5" s="1211" t="s">
        <v>771</v>
      </c>
      <c r="B5" s="1212"/>
      <c r="C5" s="1212"/>
      <c r="D5" s="1212"/>
      <c r="E5" s="1212"/>
      <c r="F5" s="1212"/>
      <c r="G5" s="1212"/>
      <c r="H5" s="1212"/>
      <c r="I5" s="1212"/>
      <c r="J5" s="1212"/>
      <c r="K5" s="1212"/>
      <c r="L5" s="1212"/>
      <c r="M5" s="1212"/>
      <c r="N5" s="1213"/>
    </row>
    <row r="6" spans="1:14" ht="12.75" customHeight="1" x14ac:dyDescent="0.2">
      <c r="A6" s="1198" t="s">
        <v>440</v>
      </c>
      <c r="B6" s="1200" t="s">
        <v>441</v>
      </c>
      <c r="C6" s="1190" t="s">
        <v>1007</v>
      </c>
      <c r="D6" s="1190" t="s">
        <v>1011</v>
      </c>
      <c r="E6" s="1190" t="s">
        <v>1012</v>
      </c>
      <c r="F6" s="1190" t="s">
        <v>1020</v>
      </c>
      <c r="G6" s="1190" t="s">
        <v>1029</v>
      </c>
      <c r="H6" s="1190" t="s">
        <v>999</v>
      </c>
      <c r="I6" s="1190" t="s">
        <v>609</v>
      </c>
      <c r="J6" s="1190" t="s">
        <v>609</v>
      </c>
      <c r="K6" s="1190" t="s">
        <v>609</v>
      </c>
      <c r="L6" s="1190" t="s">
        <v>609</v>
      </c>
      <c r="M6" s="1190" t="s">
        <v>609</v>
      </c>
      <c r="N6" s="1190" t="s">
        <v>811</v>
      </c>
    </row>
    <row r="7" spans="1:14" ht="46.9" customHeight="1" thickBot="1" x14ac:dyDescent="0.25">
      <c r="A7" s="1199"/>
      <c r="B7" s="1201"/>
      <c r="C7" s="1191"/>
      <c r="D7" s="1191"/>
      <c r="E7" s="1191"/>
      <c r="F7" s="1191"/>
      <c r="G7" s="1191"/>
      <c r="H7" s="1191"/>
      <c r="I7" s="1191"/>
      <c r="J7" s="1191"/>
      <c r="K7" s="1191"/>
      <c r="L7" s="1191"/>
      <c r="M7" s="1191"/>
      <c r="N7" s="1191"/>
    </row>
    <row r="8" spans="1:14" ht="45" customHeight="1" thickBot="1" x14ac:dyDescent="0.25">
      <c r="A8" s="1204" t="s">
        <v>504</v>
      </c>
      <c r="B8" s="1205"/>
      <c r="C8" s="290" t="s">
        <v>1021</v>
      </c>
      <c r="D8" s="290" t="s">
        <v>1023</v>
      </c>
      <c r="E8" s="290" t="s">
        <v>1022</v>
      </c>
      <c r="F8" s="997" t="s">
        <v>1025</v>
      </c>
      <c r="G8" s="267"/>
      <c r="H8" s="290" t="s">
        <v>1000</v>
      </c>
      <c r="I8" s="267"/>
      <c r="J8" s="267"/>
      <c r="K8" s="267"/>
      <c r="L8" s="267"/>
      <c r="M8" s="267"/>
      <c r="N8" s="268"/>
    </row>
    <row r="9" spans="1:14" ht="27" customHeight="1" x14ac:dyDescent="0.2">
      <c r="A9" s="249"/>
      <c r="B9" s="245" t="s">
        <v>469</v>
      </c>
      <c r="C9" s="291" t="s">
        <v>982</v>
      </c>
      <c r="D9" s="291" t="s">
        <v>1008</v>
      </c>
      <c r="E9" s="980" t="s">
        <v>1013</v>
      </c>
      <c r="F9" s="980" t="s">
        <v>982</v>
      </c>
      <c r="G9" s="269"/>
      <c r="H9" s="292" t="s">
        <v>169</v>
      </c>
      <c r="I9" s="269"/>
      <c r="J9" s="269"/>
      <c r="K9" s="269"/>
      <c r="L9" s="269"/>
      <c r="M9" s="269"/>
      <c r="N9" s="270">
        <f>SUM(C9:M9)</f>
        <v>0</v>
      </c>
    </row>
    <row r="10" spans="1:14" ht="38.25" x14ac:dyDescent="0.2">
      <c r="A10" s="239"/>
      <c r="B10" s="245" t="s">
        <v>474</v>
      </c>
      <c r="C10" s="291" t="s">
        <v>983</v>
      </c>
      <c r="D10" s="291" t="s">
        <v>1009</v>
      </c>
      <c r="E10" s="980" t="s">
        <v>1014</v>
      </c>
      <c r="F10" s="980" t="s">
        <v>1026</v>
      </c>
      <c r="G10" s="269"/>
      <c r="H10" s="296" t="s">
        <v>169</v>
      </c>
      <c r="I10" s="269"/>
      <c r="J10" s="269"/>
      <c r="K10" s="269"/>
      <c r="L10" s="269"/>
      <c r="M10" s="269"/>
      <c r="N10" s="270">
        <f>SUM(C10:M10)</f>
        <v>0</v>
      </c>
    </row>
    <row r="11" spans="1:14" ht="26.25" thickBot="1" x14ac:dyDescent="0.25">
      <c r="A11" s="250"/>
      <c r="B11" s="245" t="s">
        <v>470</v>
      </c>
      <c r="C11" s="978" t="s">
        <v>1018</v>
      </c>
      <c r="D11" s="979" t="s">
        <v>1010</v>
      </c>
      <c r="E11" s="979" t="s">
        <v>1015</v>
      </c>
      <c r="F11" s="980" t="s">
        <v>1028</v>
      </c>
      <c r="G11" s="269"/>
      <c r="H11" s="293" t="s">
        <v>169</v>
      </c>
      <c r="I11" s="269"/>
      <c r="J11" s="269"/>
      <c r="K11" s="269"/>
      <c r="L11" s="269"/>
      <c r="M11" s="269"/>
      <c r="N11" s="270"/>
    </row>
    <row r="12" spans="1:14" ht="13.5" thickBot="1" x14ac:dyDescent="0.25">
      <c r="A12" s="247"/>
      <c r="B12" s="245" t="s">
        <v>472</v>
      </c>
      <c r="C12" s="304" t="s">
        <v>169</v>
      </c>
      <c r="D12" s="304" t="s">
        <v>169</v>
      </c>
      <c r="E12" s="280"/>
      <c r="F12" s="280"/>
      <c r="G12" s="280"/>
      <c r="H12" s="280"/>
      <c r="I12" s="280"/>
      <c r="J12" s="280"/>
      <c r="K12" s="280"/>
      <c r="L12" s="280"/>
      <c r="M12" s="280"/>
      <c r="N12" s="270"/>
    </row>
    <row r="13" spans="1:14" ht="13.5" thickBot="1" x14ac:dyDescent="0.25">
      <c r="A13" s="1194" t="s">
        <v>445</v>
      </c>
      <c r="B13" s="1210"/>
      <c r="C13" s="876"/>
      <c r="D13" s="876"/>
      <c r="E13" s="876"/>
      <c r="F13" s="876"/>
      <c r="G13" s="876"/>
      <c r="H13" s="876"/>
      <c r="I13" s="876"/>
      <c r="J13" s="876"/>
      <c r="K13" s="876"/>
      <c r="L13" s="876"/>
      <c r="M13" s="876"/>
      <c r="N13" s="268"/>
    </row>
    <row r="14" spans="1:14" x14ac:dyDescent="0.2">
      <c r="A14" s="890">
        <v>5105630000</v>
      </c>
      <c r="B14" s="880" t="s">
        <v>680</v>
      </c>
      <c r="C14" s="898"/>
      <c r="E14" s="882"/>
      <c r="F14" s="882">
        <v>1000000</v>
      </c>
      <c r="G14" s="882"/>
      <c r="H14" s="902"/>
      <c r="I14" s="882"/>
      <c r="J14" s="882" t="s">
        <v>169</v>
      </c>
      <c r="K14" s="882"/>
      <c r="L14" s="882"/>
      <c r="M14" s="882"/>
      <c r="N14" s="893">
        <f t="shared" ref="N14:N20" si="0">SUM(C14:M14)</f>
        <v>1000000</v>
      </c>
    </row>
    <row r="15" spans="1:14" x14ac:dyDescent="0.2">
      <c r="A15" s="891">
        <v>5110950000</v>
      </c>
      <c r="B15" s="245" t="s">
        <v>223</v>
      </c>
      <c r="C15" s="314"/>
      <c r="D15" s="314"/>
      <c r="E15" s="269"/>
      <c r="F15" s="269"/>
      <c r="G15" s="269"/>
      <c r="H15" s="289"/>
      <c r="I15" s="269"/>
      <c r="J15" s="269"/>
      <c r="K15" s="269"/>
      <c r="L15" s="269"/>
      <c r="M15" s="269"/>
      <c r="N15" s="270">
        <f t="shared" si="0"/>
        <v>0</v>
      </c>
    </row>
    <row r="16" spans="1:14" x14ac:dyDescent="0.2">
      <c r="A16" s="891">
        <v>5155050000</v>
      </c>
      <c r="B16" s="245" t="s">
        <v>420</v>
      </c>
      <c r="C16" s="305"/>
      <c r="D16" s="305"/>
      <c r="E16" s="269">
        <v>1800000</v>
      </c>
      <c r="F16" s="269"/>
      <c r="G16" s="269" t="s">
        <v>169</v>
      </c>
      <c r="H16" s="289"/>
      <c r="I16" s="269" t="s">
        <v>169</v>
      </c>
      <c r="J16" s="269"/>
      <c r="K16" s="269"/>
      <c r="L16" s="269"/>
      <c r="M16" s="269"/>
      <c r="N16" s="270">
        <f t="shared" si="0"/>
        <v>1800000</v>
      </c>
    </row>
    <row r="17" spans="1:14" x14ac:dyDescent="0.2">
      <c r="A17" s="891">
        <v>5155150000</v>
      </c>
      <c r="B17" s="245" t="s">
        <v>473</v>
      </c>
      <c r="C17" s="305"/>
      <c r="D17" s="305"/>
      <c r="E17" s="269">
        <v>1600000</v>
      </c>
      <c r="F17" s="269"/>
      <c r="G17" s="269"/>
      <c r="H17" s="289"/>
      <c r="I17" s="269"/>
      <c r="J17" s="269"/>
      <c r="K17" s="269" t="s">
        <v>169</v>
      </c>
      <c r="L17" s="269"/>
      <c r="M17" s="269"/>
      <c r="N17" s="270">
        <f t="shared" si="0"/>
        <v>1600000</v>
      </c>
    </row>
    <row r="18" spans="1:14" ht="13.5" thickBot="1" x14ac:dyDescent="0.25">
      <c r="A18" s="891">
        <v>5195200000</v>
      </c>
      <c r="B18" s="245" t="s">
        <v>451</v>
      </c>
      <c r="C18" s="314">
        <v>5000000</v>
      </c>
      <c r="D18" s="314"/>
      <c r="E18" s="269"/>
      <c r="F18" s="269">
        <v>800000</v>
      </c>
      <c r="G18" s="269">
        <v>1000000</v>
      </c>
      <c r="H18" s="289">
        <v>4000000</v>
      </c>
      <c r="I18" s="269"/>
      <c r="J18" s="269"/>
      <c r="K18" s="269"/>
      <c r="L18" s="269" t="s">
        <v>169</v>
      </c>
      <c r="M18" s="269"/>
      <c r="N18" s="270">
        <f t="shared" si="0"/>
        <v>10800000</v>
      </c>
    </row>
    <row r="19" spans="1:14" x14ac:dyDescent="0.2">
      <c r="A19" s="891">
        <v>5195450000</v>
      </c>
      <c r="B19" s="245" t="s">
        <v>454</v>
      </c>
      <c r="C19" s="305"/>
      <c r="D19" s="898">
        <v>2000000</v>
      </c>
      <c r="E19" s="269">
        <v>200000</v>
      </c>
      <c r="F19" s="269"/>
      <c r="G19" s="269">
        <v>500000</v>
      </c>
      <c r="H19" s="289"/>
      <c r="I19" s="269"/>
      <c r="J19" s="269"/>
      <c r="K19" s="269"/>
      <c r="L19" s="269"/>
      <c r="M19" s="269" t="s">
        <v>169</v>
      </c>
      <c r="N19" s="270">
        <f t="shared" si="0"/>
        <v>2700000</v>
      </c>
    </row>
    <row r="20" spans="1:14" ht="13.5" thickBot="1" x14ac:dyDescent="0.25">
      <c r="A20" s="892">
        <v>5395950000</v>
      </c>
      <c r="B20" s="894" t="s">
        <v>457</v>
      </c>
      <c r="C20" s="895"/>
      <c r="D20" s="895"/>
      <c r="E20" s="896">
        <v>400000</v>
      </c>
      <c r="F20" s="896">
        <v>500000</v>
      </c>
      <c r="G20" s="896"/>
      <c r="H20" s="896"/>
      <c r="I20" s="896"/>
      <c r="J20" s="896" t="s">
        <v>169</v>
      </c>
      <c r="K20" s="896"/>
      <c r="L20" s="896"/>
      <c r="M20" s="896"/>
      <c r="N20" s="897">
        <f t="shared" si="0"/>
        <v>900000</v>
      </c>
    </row>
    <row r="21" spans="1:14" ht="13.5" thickBot="1" x14ac:dyDescent="0.25">
      <c r="A21" s="1206" t="s">
        <v>458</v>
      </c>
      <c r="B21" s="1207"/>
      <c r="C21" s="275">
        <f t="shared" ref="C21:M21" si="1">SUM(C14:C20)</f>
        <v>5000000</v>
      </c>
      <c r="D21" s="275">
        <f>SUM(D15:D20)</f>
        <v>2000000</v>
      </c>
      <c r="E21" s="275">
        <f t="shared" si="1"/>
        <v>4000000</v>
      </c>
      <c r="F21" s="275">
        <f t="shared" si="1"/>
        <v>2300000</v>
      </c>
      <c r="G21" s="275">
        <f t="shared" si="1"/>
        <v>1500000</v>
      </c>
      <c r="H21" s="275">
        <f>SUM(H20:H20)</f>
        <v>0</v>
      </c>
      <c r="I21" s="275">
        <f t="shared" si="1"/>
        <v>0</v>
      </c>
      <c r="J21" s="275">
        <f t="shared" si="1"/>
        <v>0</v>
      </c>
      <c r="K21" s="275">
        <f t="shared" si="1"/>
        <v>0</v>
      </c>
      <c r="L21" s="275">
        <f t="shared" si="1"/>
        <v>0</v>
      </c>
      <c r="M21" s="275">
        <f t="shared" si="1"/>
        <v>0</v>
      </c>
      <c r="N21" s="275">
        <f>SUM(C21:M21)</f>
        <v>14800000</v>
      </c>
    </row>
    <row r="22" spans="1:14" s="550" customFormat="1" ht="13.5" thickBot="1" x14ac:dyDescent="0.25">
      <c r="A22" s="653"/>
      <c r="B22" s="653"/>
      <c r="C22" s="655"/>
      <c r="D22" s="655"/>
      <c r="E22" s="655"/>
      <c r="F22" s="655"/>
      <c r="G22" s="655"/>
      <c r="H22" s="655"/>
      <c r="I22" s="655"/>
      <c r="J22" s="655"/>
      <c r="K22" s="655"/>
      <c r="L22" s="655"/>
      <c r="M22" s="655"/>
      <c r="N22" s="655"/>
    </row>
    <row r="23" spans="1:14" ht="13.5" thickBot="1" x14ac:dyDescent="0.25">
      <c r="A23" s="1211" t="s">
        <v>772</v>
      </c>
      <c r="B23" s="1212"/>
      <c r="C23" s="1212"/>
      <c r="D23" s="1212"/>
      <c r="E23" s="1212"/>
      <c r="F23" s="1212"/>
      <c r="G23" s="1212"/>
      <c r="H23" s="1212"/>
      <c r="I23" s="1212"/>
      <c r="J23" s="1212"/>
      <c r="K23" s="1212"/>
      <c r="L23" s="1212"/>
      <c r="M23" s="1212"/>
      <c r="N23" s="1213"/>
    </row>
    <row r="24" spans="1:14" ht="12.75" customHeight="1" x14ac:dyDescent="0.2">
      <c r="A24" s="1214" t="s">
        <v>418</v>
      </c>
      <c r="B24" s="1200" t="s">
        <v>441</v>
      </c>
      <c r="C24" s="1190" t="s">
        <v>1016</v>
      </c>
      <c r="D24" s="1190" t="s">
        <v>1031</v>
      </c>
      <c r="E24" s="1190" t="s">
        <v>609</v>
      </c>
      <c r="F24" s="1190" t="s">
        <v>609</v>
      </c>
      <c r="G24" s="1190" t="s">
        <v>609</v>
      </c>
      <c r="H24" s="1190" t="s">
        <v>609</v>
      </c>
      <c r="I24" s="1190" t="s">
        <v>609</v>
      </c>
      <c r="J24" s="1190" t="s">
        <v>609</v>
      </c>
      <c r="K24" s="1190" t="s">
        <v>609</v>
      </c>
      <c r="L24" s="1190" t="s">
        <v>609</v>
      </c>
      <c r="M24" s="1190" t="s">
        <v>609</v>
      </c>
      <c r="N24" s="1190" t="s">
        <v>811</v>
      </c>
    </row>
    <row r="25" spans="1:14" ht="29.25" customHeight="1" thickBot="1" x14ac:dyDescent="0.25">
      <c r="A25" s="1215"/>
      <c r="B25" s="1201"/>
      <c r="C25" s="1191"/>
      <c r="D25" s="1191"/>
      <c r="E25" s="1191"/>
      <c r="F25" s="1191"/>
      <c r="G25" s="1191"/>
      <c r="H25" s="1191"/>
      <c r="I25" s="1191"/>
      <c r="J25" s="1191"/>
      <c r="K25" s="1191"/>
      <c r="L25" s="1191"/>
      <c r="M25" s="1191"/>
      <c r="N25" s="1191"/>
    </row>
    <row r="26" spans="1:14" ht="57" thickBot="1" x14ac:dyDescent="0.25">
      <c r="A26" s="1204" t="s">
        <v>504</v>
      </c>
      <c r="B26" s="1205"/>
      <c r="C26" s="290" t="s">
        <v>1024</v>
      </c>
      <c r="D26" s="290" t="s">
        <v>1030</v>
      </c>
      <c r="E26" s="1258" t="s">
        <v>1084</v>
      </c>
      <c r="F26" s="267"/>
      <c r="G26" s="267"/>
      <c r="H26" s="267"/>
      <c r="I26" s="267"/>
      <c r="J26" s="267"/>
      <c r="K26" s="267"/>
      <c r="L26" s="267"/>
      <c r="M26" s="267"/>
      <c r="N26" s="268"/>
    </row>
    <row r="27" spans="1:14" x14ac:dyDescent="0.2">
      <c r="A27" s="249"/>
      <c r="B27" s="245" t="s">
        <v>469</v>
      </c>
      <c r="C27" s="291" t="s">
        <v>1017</v>
      </c>
      <c r="D27" s="291" t="s">
        <v>169</v>
      </c>
      <c r="E27" s="1259"/>
      <c r="F27" s="269"/>
      <c r="G27" s="269"/>
      <c r="H27" s="269"/>
      <c r="I27" s="269"/>
      <c r="J27" s="269"/>
      <c r="K27" s="269"/>
      <c r="L27" s="269"/>
      <c r="M27" s="269"/>
      <c r="N27" s="270">
        <f>SUM(C27:M27)</f>
        <v>0</v>
      </c>
    </row>
    <row r="28" spans="1:14" x14ac:dyDescent="0.2">
      <c r="A28" s="239"/>
      <c r="B28" s="245" t="s">
        <v>474</v>
      </c>
      <c r="C28" s="291" t="s">
        <v>1003</v>
      </c>
      <c r="D28" s="291" t="s">
        <v>169</v>
      </c>
      <c r="E28" s="1259"/>
      <c r="F28" s="269"/>
      <c r="G28" s="269"/>
      <c r="H28" s="269"/>
      <c r="I28" s="269"/>
      <c r="J28" s="269"/>
      <c r="K28" s="269"/>
      <c r="L28" s="269"/>
      <c r="M28" s="269"/>
      <c r="N28" s="270">
        <f>SUM(C28:M28)</f>
        <v>0</v>
      </c>
    </row>
    <row r="29" spans="1:14" ht="13.5" thickBot="1" x14ac:dyDescent="0.25">
      <c r="A29" s="250"/>
      <c r="B29" s="245" t="s">
        <v>470</v>
      </c>
      <c r="C29" s="978" t="s">
        <v>1019</v>
      </c>
      <c r="D29" s="289" t="s">
        <v>169</v>
      </c>
      <c r="E29" s="1259"/>
      <c r="F29" s="269"/>
      <c r="G29" s="269"/>
      <c r="H29" s="269"/>
      <c r="I29" s="269"/>
      <c r="J29" s="269"/>
      <c r="K29" s="269"/>
      <c r="L29" s="269"/>
      <c r="M29" s="269"/>
      <c r="N29" s="270"/>
    </row>
    <row r="30" spans="1:14" ht="13.5" thickBot="1" x14ac:dyDescent="0.25">
      <c r="A30" s="247"/>
      <c r="B30" s="245" t="s">
        <v>472</v>
      </c>
      <c r="C30" s="304" t="s">
        <v>169</v>
      </c>
      <c r="D30" s="304" t="s">
        <v>169</v>
      </c>
      <c r="E30" s="1259"/>
      <c r="F30" s="280"/>
      <c r="G30" s="280"/>
      <c r="H30" s="280"/>
      <c r="I30" s="280"/>
      <c r="J30" s="280"/>
      <c r="K30" s="280"/>
      <c r="L30" s="280"/>
      <c r="M30" s="280"/>
      <c r="N30" s="270"/>
    </row>
    <row r="31" spans="1:14" ht="13.5" thickBot="1" x14ac:dyDescent="0.25">
      <c r="A31" s="1194" t="s">
        <v>445</v>
      </c>
      <c r="B31" s="1210"/>
      <c r="C31" s="876"/>
      <c r="D31" s="876"/>
      <c r="E31" s="1260"/>
      <c r="F31" s="876"/>
      <c r="G31" s="876"/>
      <c r="H31" s="876"/>
      <c r="I31" s="876"/>
      <c r="J31" s="876"/>
      <c r="K31" s="876"/>
      <c r="L31" s="876"/>
      <c r="M31" s="876"/>
      <c r="N31" s="268"/>
    </row>
    <row r="32" spans="1:14" x14ac:dyDescent="0.2">
      <c r="A32" s="890">
        <v>5105630000</v>
      </c>
      <c r="B32" s="880" t="s">
        <v>680</v>
      </c>
      <c r="C32" s="898"/>
      <c r="D32" s="898" t="s">
        <v>169</v>
      </c>
      <c r="E32" s="1261"/>
      <c r="F32" s="882"/>
      <c r="G32" s="882"/>
      <c r="H32" s="882"/>
      <c r="I32" s="882"/>
      <c r="J32" s="882" t="s">
        <v>169</v>
      </c>
      <c r="K32" s="882"/>
      <c r="L32" s="882"/>
      <c r="M32" s="882"/>
      <c r="N32" s="893">
        <f t="shared" ref="N32:N38" si="2">SUM(C32:M32)</f>
        <v>0</v>
      </c>
    </row>
    <row r="33" spans="1:14" x14ac:dyDescent="0.2">
      <c r="A33" s="891">
        <v>5110950000</v>
      </c>
      <c r="B33" s="245" t="s">
        <v>223</v>
      </c>
      <c r="C33" s="314"/>
      <c r="D33" s="314"/>
      <c r="E33" s="1259"/>
      <c r="F33" s="269"/>
      <c r="G33" s="269"/>
      <c r="H33" s="269"/>
      <c r="I33" s="269"/>
      <c r="J33" s="269"/>
      <c r="K33" s="269"/>
      <c r="L33" s="269"/>
      <c r="M33" s="269"/>
      <c r="N33" s="270">
        <f t="shared" si="2"/>
        <v>0</v>
      </c>
    </row>
    <row r="34" spans="1:14" x14ac:dyDescent="0.2">
      <c r="A34" s="891">
        <v>5155050000</v>
      </c>
      <c r="B34" s="245" t="s">
        <v>420</v>
      </c>
      <c r="C34" s="305">
        <v>3600000</v>
      </c>
      <c r="D34" s="305">
        <v>2000000</v>
      </c>
      <c r="E34" s="1259">
        <v>-2000000</v>
      </c>
      <c r="F34" s="269" t="s">
        <v>169</v>
      </c>
      <c r="G34" s="269" t="s">
        <v>169</v>
      </c>
      <c r="H34" s="269" t="s">
        <v>169</v>
      </c>
      <c r="I34" s="269" t="s">
        <v>169</v>
      </c>
      <c r="J34" s="269"/>
      <c r="K34" s="269"/>
      <c r="L34" s="269"/>
      <c r="M34" s="269"/>
      <c r="N34" s="270">
        <f t="shared" si="2"/>
        <v>3600000</v>
      </c>
    </row>
    <row r="35" spans="1:14" x14ac:dyDescent="0.2">
      <c r="A35" s="891">
        <v>5155150000</v>
      </c>
      <c r="B35" s="245" t="s">
        <v>473</v>
      </c>
      <c r="C35" s="305">
        <v>3500000</v>
      </c>
      <c r="D35" s="305">
        <v>2000000</v>
      </c>
      <c r="E35" s="1259">
        <v>-2000000</v>
      </c>
      <c r="F35" s="269"/>
      <c r="G35" s="269"/>
      <c r="H35" s="269"/>
      <c r="I35" s="269"/>
      <c r="J35" s="269"/>
      <c r="K35" s="269" t="s">
        <v>169</v>
      </c>
      <c r="L35" s="269"/>
      <c r="M35" s="269"/>
      <c r="N35" s="270">
        <f t="shared" si="2"/>
        <v>3500000</v>
      </c>
    </row>
    <row r="36" spans="1:14" x14ac:dyDescent="0.2">
      <c r="A36" s="891">
        <v>5195200000</v>
      </c>
      <c r="B36" s="245" t="s">
        <v>451</v>
      </c>
      <c r="C36" s="314"/>
      <c r="D36" s="314" t="s">
        <v>169</v>
      </c>
      <c r="E36" s="1259"/>
      <c r="F36" s="269"/>
      <c r="G36" s="269"/>
      <c r="H36" s="269"/>
      <c r="I36" s="269"/>
      <c r="J36" s="269"/>
      <c r="K36" s="269"/>
      <c r="M36" s="269"/>
      <c r="N36" s="270">
        <f t="shared" si="2"/>
        <v>0</v>
      </c>
    </row>
    <row r="37" spans="1:14" x14ac:dyDescent="0.2">
      <c r="A37" s="891">
        <v>5195450000</v>
      </c>
      <c r="B37" s="245" t="s">
        <v>454</v>
      </c>
      <c r="C37" s="305">
        <v>300000</v>
      </c>
      <c r="D37" s="305">
        <v>300000</v>
      </c>
      <c r="E37" s="1259"/>
      <c r="F37" s="269"/>
      <c r="G37" s="269"/>
      <c r="H37" s="269"/>
      <c r="I37" s="269"/>
      <c r="J37" s="269"/>
      <c r="K37" s="269"/>
      <c r="L37" s="269" t="s">
        <v>169</v>
      </c>
      <c r="M37" s="269" t="s">
        <v>169</v>
      </c>
      <c r="N37" s="270">
        <f t="shared" si="2"/>
        <v>600000</v>
      </c>
    </row>
    <row r="38" spans="1:14" ht="13.5" thickBot="1" x14ac:dyDescent="0.25">
      <c r="A38" s="892">
        <v>5395950000</v>
      </c>
      <c r="B38" s="894" t="s">
        <v>457</v>
      </c>
      <c r="C38" s="895">
        <v>400000</v>
      </c>
      <c r="D38" s="895">
        <v>300000</v>
      </c>
      <c r="E38" s="1262"/>
      <c r="F38" s="896"/>
      <c r="G38" s="896"/>
      <c r="H38" s="896"/>
      <c r="I38" s="896"/>
      <c r="J38" s="896" t="s">
        <v>169</v>
      </c>
      <c r="K38" s="896"/>
      <c r="L38" s="269"/>
      <c r="M38" s="896"/>
      <c r="N38" s="897">
        <f t="shared" si="2"/>
        <v>700000</v>
      </c>
    </row>
    <row r="39" spans="1:14" ht="13.5" thickBot="1" x14ac:dyDescent="0.25">
      <c r="A39" s="1206" t="s">
        <v>458</v>
      </c>
      <c r="B39" s="1207"/>
      <c r="C39" s="275">
        <f t="shared" ref="C39" si="3">SUM(C32:C38)</f>
        <v>7800000</v>
      </c>
      <c r="D39" s="275">
        <f t="shared" ref="D39" si="4">SUM(D32:D38)</f>
        <v>4600000</v>
      </c>
      <c r="E39" s="1263">
        <f t="shared" ref="E39" si="5">SUM(E32:E38)</f>
        <v>-4000000</v>
      </c>
      <c r="F39" s="275">
        <f t="shared" ref="F39" si="6">SUM(F32:F38)</f>
        <v>0</v>
      </c>
      <c r="G39" s="275">
        <f t="shared" ref="G39" si="7">SUM(G32:G38)</f>
        <v>0</v>
      </c>
      <c r="H39" s="275">
        <f t="shared" ref="H39" si="8">SUM(H32:H38)</f>
        <v>0</v>
      </c>
      <c r="I39" s="275">
        <f t="shared" ref="I39" si="9">SUM(I32:I38)</f>
        <v>0</v>
      </c>
      <c r="J39" s="275">
        <f t="shared" ref="J39" si="10">SUM(J32:J38)</f>
        <v>0</v>
      </c>
      <c r="K39" s="275">
        <f t="shared" ref="K39" si="11">SUM(K32:K38)</f>
        <v>0</v>
      </c>
      <c r="L39" s="275">
        <f>SUM(L32:L38)</f>
        <v>0</v>
      </c>
      <c r="M39" s="275">
        <f t="shared" ref="M39" si="12">SUM(M32:M38)</f>
        <v>0</v>
      </c>
      <c r="N39" s="275">
        <f>SUM(C39:M39)</f>
        <v>8400000</v>
      </c>
    </row>
    <row r="40" spans="1:14" x14ac:dyDescent="0.2">
      <c r="A40" s="237"/>
      <c r="B40" s="237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1:14" x14ac:dyDescent="0.2">
      <c r="A41" s="530" t="s">
        <v>773</v>
      </c>
      <c r="B41" s="252"/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266"/>
    </row>
    <row r="42" spans="1:14" x14ac:dyDescent="0.2">
      <c r="A42" s="237"/>
      <c r="B42" s="237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1:14" x14ac:dyDescent="0.2">
      <c r="A43" s="237"/>
      <c r="B43" s="237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1:14" x14ac:dyDescent="0.2">
      <c r="A44" s="237"/>
      <c r="B44" s="237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1:14" x14ac:dyDescent="0.2">
      <c r="A45" s="237"/>
      <c r="B45" s="237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1:14" x14ac:dyDescent="0.2">
      <c r="A46" s="237"/>
      <c r="B46" s="237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1:14" x14ac:dyDescent="0.2">
      <c r="A47" s="237"/>
      <c r="B47" s="237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1:14" x14ac:dyDescent="0.2">
      <c r="A48" s="237"/>
      <c r="B48" s="237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1:14" x14ac:dyDescent="0.2">
      <c r="A49" s="237"/>
      <c r="B49" s="237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1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1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1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1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1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1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1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1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1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1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1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1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1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1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1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  <row r="249" spans="3:14" s="237" customFormat="1" x14ac:dyDescent="0.2">
      <c r="C249" s="266"/>
      <c r="D249" s="266"/>
      <c r="E249" s="266"/>
      <c r="F249" s="266"/>
      <c r="G249" s="266"/>
      <c r="H249" s="266"/>
      <c r="I249" s="266"/>
      <c r="J249" s="266"/>
      <c r="K249" s="266"/>
      <c r="L249" s="266"/>
      <c r="M249" s="266"/>
      <c r="N249" s="266"/>
    </row>
    <row r="250" spans="3:14" s="237" customFormat="1" x14ac:dyDescent="0.2">
      <c r="C250" s="266"/>
      <c r="D250" s="266"/>
      <c r="E250" s="266"/>
      <c r="F250" s="266"/>
      <c r="G250" s="266"/>
      <c r="H250" s="266"/>
      <c r="I250" s="266"/>
      <c r="J250" s="266"/>
      <c r="K250" s="266"/>
      <c r="L250" s="266"/>
      <c r="M250" s="266"/>
      <c r="N250" s="266"/>
    </row>
    <row r="251" spans="3:14" s="237" customFormat="1" x14ac:dyDescent="0.2">
      <c r="C251" s="266"/>
      <c r="D251" s="266"/>
      <c r="E251" s="266"/>
      <c r="F251" s="266"/>
      <c r="G251" s="266"/>
      <c r="H251" s="266"/>
      <c r="I251" s="266"/>
      <c r="J251" s="266"/>
      <c r="K251" s="266"/>
      <c r="L251" s="266"/>
      <c r="M251" s="266"/>
      <c r="N251" s="266"/>
    </row>
    <row r="252" spans="3:14" s="237" customFormat="1" x14ac:dyDescent="0.2">
      <c r="C252" s="266"/>
      <c r="D252" s="266"/>
      <c r="E252" s="266"/>
      <c r="F252" s="266"/>
      <c r="G252" s="266"/>
      <c r="H252" s="266"/>
      <c r="I252" s="266"/>
      <c r="J252" s="266"/>
      <c r="K252" s="266"/>
      <c r="L252" s="266"/>
      <c r="M252" s="266"/>
      <c r="N252" s="266"/>
    </row>
    <row r="253" spans="3:14" s="237" customFormat="1" x14ac:dyDescent="0.2">
      <c r="C253" s="266"/>
      <c r="D253" s="266"/>
      <c r="E253" s="266"/>
      <c r="F253" s="266"/>
      <c r="G253" s="266"/>
      <c r="H253" s="266"/>
      <c r="I253" s="266"/>
      <c r="J253" s="266"/>
      <c r="K253" s="266"/>
      <c r="L253" s="266"/>
      <c r="M253" s="266"/>
      <c r="N253" s="266"/>
    </row>
    <row r="254" spans="3:14" s="237" customFormat="1" x14ac:dyDescent="0.2">
      <c r="C254" s="266"/>
      <c r="D254" s="266"/>
      <c r="E254" s="266"/>
      <c r="F254" s="266"/>
      <c r="G254" s="266"/>
      <c r="H254" s="266"/>
      <c r="I254" s="266"/>
      <c r="J254" s="266"/>
      <c r="K254" s="266"/>
      <c r="L254" s="266"/>
      <c r="M254" s="266"/>
      <c r="N254" s="266"/>
    </row>
    <row r="255" spans="3:14" s="237" customFormat="1" x14ac:dyDescent="0.2">
      <c r="C255" s="266"/>
      <c r="D255" s="266"/>
      <c r="E255" s="266"/>
      <c r="F255" s="266"/>
      <c r="G255" s="266"/>
      <c r="H255" s="266"/>
      <c r="I255" s="266"/>
      <c r="J255" s="266"/>
      <c r="K255" s="266"/>
      <c r="L255" s="266"/>
      <c r="M255" s="266"/>
      <c r="N255" s="266"/>
    </row>
    <row r="256" spans="3:14" s="237" customFormat="1" x14ac:dyDescent="0.2">
      <c r="C256" s="266"/>
      <c r="D256" s="266"/>
      <c r="E256" s="266"/>
      <c r="F256" s="266"/>
      <c r="G256" s="266"/>
      <c r="H256" s="266"/>
      <c r="I256" s="266"/>
      <c r="J256" s="266"/>
      <c r="K256" s="266"/>
      <c r="L256" s="266"/>
      <c r="M256" s="266"/>
      <c r="N256" s="266"/>
    </row>
    <row r="257" spans="3:14" s="237" customFormat="1" x14ac:dyDescent="0.2">
      <c r="C257" s="266"/>
      <c r="D257" s="266"/>
      <c r="E257" s="266"/>
      <c r="F257" s="266"/>
      <c r="G257" s="266"/>
      <c r="H257" s="266"/>
      <c r="I257" s="266"/>
      <c r="J257" s="266"/>
      <c r="K257" s="266"/>
      <c r="L257" s="266"/>
      <c r="M257" s="266"/>
      <c r="N257" s="266"/>
    </row>
    <row r="258" spans="3:14" s="237" customFormat="1" x14ac:dyDescent="0.2">
      <c r="C258" s="266"/>
      <c r="D258" s="266"/>
      <c r="E258" s="266"/>
      <c r="F258" s="266"/>
      <c r="G258" s="266"/>
      <c r="H258" s="266"/>
      <c r="I258" s="266"/>
      <c r="J258" s="266"/>
      <c r="K258" s="266"/>
      <c r="L258" s="266"/>
      <c r="M258" s="266"/>
      <c r="N258" s="266"/>
    </row>
    <row r="259" spans="3:14" s="237" customFormat="1" x14ac:dyDescent="0.2">
      <c r="C259" s="266"/>
      <c r="D259" s="266"/>
      <c r="E259" s="266"/>
      <c r="F259" s="266"/>
      <c r="G259" s="266"/>
      <c r="H259" s="266"/>
      <c r="I259" s="266"/>
      <c r="J259" s="266"/>
      <c r="K259" s="266"/>
      <c r="L259" s="266"/>
      <c r="M259" s="266"/>
      <c r="N259" s="266"/>
    </row>
    <row r="260" spans="3:14" s="237" customFormat="1" x14ac:dyDescent="0.2">
      <c r="C260" s="266"/>
      <c r="D260" s="266"/>
      <c r="E260" s="266"/>
      <c r="F260" s="266"/>
      <c r="G260" s="266"/>
      <c r="H260" s="266"/>
      <c r="I260" s="266"/>
      <c r="J260" s="266"/>
      <c r="K260" s="266"/>
      <c r="L260" s="266"/>
      <c r="M260" s="266"/>
      <c r="N260" s="266"/>
    </row>
    <row r="261" spans="3:14" s="237" customFormat="1" x14ac:dyDescent="0.2">
      <c r="C261" s="266"/>
      <c r="D261" s="266"/>
      <c r="E261" s="266"/>
      <c r="F261" s="266"/>
      <c r="G261" s="266"/>
      <c r="H261" s="266"/>
      <c r="I261" s="266"/>
      <c r="J261" s="266"/>
      <c r="K261" s="266"/>
      <c r="L261" s="266"/>
      <c r="M261" s="266"/>
      <c r="N261" s="266"/>
    </row>
    <row r="262" spans="3:14" s="237" customFormat="1" x14ac:dyDescent="0.2">
      <c r="C262" s="266"/>
      <c r="D262" s="266"/>
      <c r="E262" s="266"/>
      <c r="F262" s="266"/>
      <c r="G262" s="266"/>
      <c r="H262" s="266"/>
      <c r="I262" s="266"/>
      <c r="J262" s="266"/>
      <c r="K262" s="266"/>
      <c r="L262" s="266"/>
      <c r="M262" s="266"/>
      <c r="N262" s="266"/>
    </row>
  </sheetData>
  <protectedRanges>
    <protectedRange sqref="B14:B15 B32:B33" name="Rango1_1"/>
    <protectedRange sqref="H6:H13" name="Rango1"/>
  </protectedRanges>
  <mergeCells count="39">
    <mergeCell ref="A2:N2"/>
    <mergeCell ref="A4:N4"/>
    <mergeCell ref="A5:N5"/>
    <mergeCell ref="A6:A7"/>
    <mergeCell ref="B6:B7"/>
    <mergeCell ref="C6:C7"/>
    <mergeCell ref="D6:D7"/>
    <mergeCell ref="E6:E7"/>
    <mergeCell ref="J6:J7"/>
    <mergeCell ref="A23:N23"/>
    <mergeCell ref="A24:A25"/>
    <mergeCell ref="B24:B25"/>
    <mergeCell ref="A3:N3"/>
    <mergeCell ref="A21:B21"/>
    <mergeCell ref="K6:K7"/>
    <mergeCell ref="L6:L7"/>
    <mergeCell ref="M6:M7"/>
    <mergeCell ref="N6:N7"/>
    <mergeCell ref="A8:B8"/>
    <mergeCell ref="A13:B13"/>
    <mergeCell ref="F6:F7"/>
    <mergeCell ref="G6:G7"/>
    <mergeCell ref="H6:H7"/>
    <mergeCell ref="I6:I7"/>
    <mergeCell ref="M24:M25"/>
    <mergeCell ref="N24:N25"/>
    <mergeCell ref="A26:B26"/>
    <mergeCell ref="A31:B31"/>
    <mergeCell ref="A39:B39"/>
    <mergeCell ref="H24:H25"/>
    <mergeCell ref="I24:I25"/>
    <mergeCell ref="J24:J25"/>
    <mergeCell ref="K24:K25"/>
    <mergeCell ref="L24:L25"/>
    <mergeCell ref="C24:C25"/>
    <mergeCell ref="D24:D25"/>
    <mergeCell ref="E24:E25"/>
    <mergeCell ref="F24:F25"/>
    <mergeCell ref="G24:G25"/>
  </mergeCells>
  <phoneticPr fontId="0" type="noConversion"/>
  <pageMargins left="0.16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A14:A20 A32:A38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48"/>
  <sheetViews>
    <sheetView zoomScaleNormal="100" workbookViewId="0">
      <selection activeCell="C19" sqref="C19"/>
    </sheetView>
  </sheetViews>
  <sheetFormatPr baseColWidth="10" defaultRowHeight="12.75" x14ac:dyDescent="0.2"/>
  <cols>
    <col min="1" max="1" width="12" customWidth="1"/>
    <col min="2" max="2" width="27" customWidth="1"/>
    <col min="3" max="3" width="12.85546875" style="277" customWidth="1"/>
    <col min="4" max="13" width="12.7109375" style="277" customWidth="1"/>
    <col min="14" max="14" width="12.85546875" style="277" customWidth="1"/>
    <col min="15" max="81" width="11.42578125" style="237"/>
  </cols>
  <sheetData>
    <row r="1" spans="1:14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</row>
    <row r="2" spans="1:14" ht="20.25" customHeight="1" x14ac:dyDescent="0.25">
      <c r="A2" s="1196" t="s">
        <v>636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4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4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4" ht="12.75" customHeight="1" thickBot="1" x14ac:dyDescent="0.25">
      <c r="A5" s="1211" t="s">
        <v>169</v>
      </c>
      <c r="B5" s="1212"/>
      <c r="C5" s="1212"/>
      <c r="D5" s="1212"/>
      <c r="E5" s="1212"/>
      <c r="F5" s="1212"/>
      <c r="G5" s="1212"/>
      <c r="H5" s="1212"/>
      <c r="I5" s="1212"/>
      <c r="J5" s="1212"/>
      <c r="K5" s="1212"/>
      <c r="L5" s="1212"/>
      <c r="M5" s="1212"/>
      <c r="N5" s="1213"/>
    </row>
    <row r="6" spans="1:14" ht="12.75" customHeight="1" x14ac:dyDescent="0.2">
      <c r="A6" s="1214" t="s">
        <v>418</v>
      </c>
      <c r="B6" s="1200" t="s">
        <v>441</v>
      </c>
      <c r="C6" s="1190" t="s">
        <v>609</v>
      </c>
      <c r="D6" s="1190" t="s">
        <v>609</v>
      </c>
      <c r="E6" s="1190" t="s">
        <v>609</v>
      </c>
      <c r="F6" s="1190" t="s">
        <v>609</v>
      </c>
      <c r="G6" s="1190" t="s">
        <v>609</v>
      </c>
      <c r="H6" s="1190" t="s">
        <v>609</v>
      </c>
      <c r="I6" s="1190" t="s">
        <v>609</v>
      </c>
      <c r="J6" s="1190" t="s">
        <v>609</v>
      </c>
      <c r="K6" s="1190" t="s">
        <v>609</v>
      </c>
      <c r="L6" s="1190" t="s">
        <v>609</v>
      </c>
      <c r="M6" s="1190" t="s">
        <v>609</v>
      </c>
      <c r="N6" s="1190" t="s">
        <v>811</v>
      </c>
    </row>
    <row r="7" spans="1:14" ht="46.9" customHeight="1" thickBot="1" x14ac:dyDescent="0.25">
      <c r="A7" s="1215"/>
      <c r="B7" s="1201"/>
      <c r="C7" s="1191"/>
      <c r="D7" s="1191"/>
      <c r="E7" s="1191"/>
      <c r="F7" s="1191"/>
      <c r="G7" s="1191"/>
      <c r="H7" s="1191"/>
      <c r="I7" s="1191"/>
      <c r="J7" s="1191"/>
      <c r="K7" s="1191"/>
      <c r="L7" s="1191"/>
      <c r="M7" s="1191"/>
      <c r="N7" s="1191"/>
    </row>
    <row r="8" spans="1:14" ht="30" customHeight="1" thickBot="1" x14ac:dyDescent="0.25">
      <c r="A8" s="1204" t="s">
        <v>716</v>
      </c>
      <c r="B8" s="1205"/>
      <c r="C8" s="290" t="s">
        <v>169</v>
      </c>
      <c r="D8" s="290" t="s">
        <v>169</v>
      </c>
      <c r="E8" s="267"/>
      <c r="F8" s="267"/>
      <c r="G8" s="267"/>
      <c r="H8" s="267"/>
      <c r="I8" s="267"/>
      <c r="J8" s="267"/>
      <c r="K8" s="267"/>
      <c r="L8" s="267"/>
      <c r="M8" s="267"/>
      <c r="N8" s="268"/>
    </row>
    <row r="9" spans="1:14" ht="20.45" customHeight="1" x14ac:dyDescent="0.2">
      <c r="A9" s="249"/>
      <c r="B9" s="245" t="s">
        <v>469</v>
      </c>
      <c r="C9" s="291" t="s">
        <v>169</v>
      </c>
      <c r="D9" s="291" t="s">
        <v>169</v>
      </c>
      <c r="E9" s="269"/>
      <c r="F9" s="269"/>
      <c r="G9" s="269"/>
      <c r="H9" s="269"/>
      <c r="I9" s="269"/>
      <c r="J9" s="269"/>
      <c r="K9" s="269"/>
      <c r="L9" s="269"/>
      <c r="M9" s="269"/>
      <c r="N9" s="270">
        <f>SUM(C9:M9)</f>
        <v>0</v>
      </c>
    </row>
    <row r="10" spans="1:14" x14ac:dyDescent="0.2">
      <c r="A10" s="239"/>
      <c r="B10" s="245" t="s">
        <v>474</v>
      </c>
      <c r="C10" s="291" t="s">
        <v>169</v>
      </c>
      <c r="D10" s="291" t="s">
        <v>169</v>
      </c>
      <c r="E10" s="269"/>
      <c r="F10" s="269"/>
      <c r="G10" s="269"/>
      <c r="H10" s="269"/>
      <c r="I10" s="269"/>
      <c r="J10" s="269"/>
      <c r="K10" s="269"/>
      <c r="L10" s="269"/>
      <c r="M10" s="269"/>
      <c r="N10" s="270">
        <f>SUM(C10:M10)</f>
        <v>0</v>
      </c>
    </row>
    <row r="11" spans="1:14" ht="13.5" thickBot="1" x14ac:dyDescent="0.25">
      <c r="A11" s="250"/>
      <c r="B11" s="245" t="s">
        <v>470</v>
      </c>
      <c r="C11" s="289" t="s">
        <v>169</v>
      </c>
      <c r="D11" s="289" t="s">
        <v>169</v>
      </c>
      <c r="E11" s="269"/>
      <c r="F11" s="269"/>
      <c r="G11" s="269"/>
      <c r="H11" s="269"/>
      <c r="I11" s="269"/>
      <c r="J11" s="269"/>
      <c r="K11" s="269"/>
      <c r="L11" s="269"/>
      <c r="M11" s="269"/>
      <c r="N11" s="270"/>
    </row>
    <row r="12" spans="1:14" ht="13.5" thickBot="1" x14ac:dyDescent="0.25">
      <c r="A12" s="247"/>
      <c r="B12" s="245" t="s">
        <v>472</v>
      </c>
      <c r="C12" s="304" t="s">
        <v>169</v>
      </c>
      <c r="D12" s="304" t="s">
        <v>169</v>
      </c>
      <c r="E12" s="280"/>
      <c r="F12" s="280"/>
      <c r="G12" s="280"/>
      <c r="H12" s="280"/>
      <c r="I12" s="280"/>
      <c r="J12" s="280"/>
      <c r="K12" s="280"/>
      <c r="L12" s="280"/>
      <c r="M12" s="280"/>
      <c r="N12" s="270"/>
    </row>
    <row r="13" spans="1:14" ht="13.5" thickBot="1" x14ac:dyDescent="0.25">
      <c r="A13" s="1194" t="s">
        <v>445</v>
      </c>
      <c r="B13" s="1210"/>
      <c r="C13" s="876"/>
      <c r="D13" s="876"/>
      <c r="E13" s="876"/>
      <c r="F13" s="876"/>
      <c r="G13" s="876"/>
      <c r="H13" s="876"/>
      <c r="I13" s="876"/>
      <c r="J13" s="876"/>
      <c r="K13" s="876"/>
      <c r="L13" s="876"/>
      <c r="M13" s="876"/>
      <c r="N13" s="268"/>
    </row>
    <row r="14" spans="1:14" s="237" customFormat="1" x14ac:dyDescent="0.2">
      <c r="A14" s="890">
        <v>5110950000</v>
      </c>
      <c r="B14" s="880" t="s">
        <v>223</v>
      </c>
      <c r="C14" s="898"/>
      <c r="D14" s="898"/>
      <c r="E14" s="882"/>
      <c r="F14" s="882"/>
      <c r="G14" s="882"/>
      <c r="H14" s="882"/>
      <c r="I14" s="882"/>
      <c r="J14" s="882" t="s">
        <v>169</v>
      </c>
      <c r="K14" s="882"/>
      <c r="L14" s="882"/>
      <c r="M14" s="882"/>
      <c r="N14" s="893">
        <f t="shared" ref="N14:N22" si="0">SUM(C14:M14)</f>
        <v>0</v>
      </c>
    </row>
    <row r="15" spans="1:14" s="237" customFormat="1" x14ac:dyDescent="0.2">
      <c r="A15" s="891">
        <v>5155050000</v>
      </c>
      <c r="B15" s="245" t="s">
        <v>420</v>
      </c>
      <c r="C15" s="305"/>
      <c r="D15" s="305"/>
      <c r="E15" s="269"/>
      <c r="F15" s="269"/>
      <c r="G15" s="269" t="s">
        <v>169</v>
      </c>
      <c r="H15" s="269" t="s">
        <v>169</v>
      </c>
      <c r="I15" s="269" t="s">
        <v>169</v>
      </c>
      <c r="J15" s="269"/>
      <c r="K15" s="269"/>
      <c r="L15" s="269"/>
      <c r="M15" s="269"/>
      <c r="N15" s="270">
        <f t="shared" si="0"/>
        <v>0</v>
      </c>
    </row>
    <row r="16" spans="1:14" s="237" customFormat="1" x14ac:dyDescent="0.2">
      <c r="A16" s="891">
        <v>5155150000</v>
      </c>
      <c r="B16" s="245" t="s">
        <v>473</v>
      </c>
      <c r="C16" s="305"/>
      <c r="D16" s="305"/>
      <c r="E16" s="269"/>
      <c r="F16" s="269"/>
      <c r="G16" s="269"/>
      <c r="H16" s="269"/>
      <c r="I16" s="269"/>
      <c r="J16" s="269"/>
      <c r="K16" s="269" t="s">
        <v>169</v>
      </c>
      <c r="L16" s="269"/>
      <c r="M16" s="269"/>
      <c r="N16" s="270">
        <f t="shared" si="0"/>
        <v>0</v>
      </c>
    </row>
    <row r="17" spans="1:14" s="237" customFormat="1" x14ac:dyDescent="0.2">
      <c r="A17" s="891">
        <v>5195200000</v>
      </c>
      <c r="B17" s="245" t="s">
        <v>451</v>
      </c>
      <c r="C17" s="314"/>
      <c r="D17" s="314"/>
      <c r="E17" s="269"/>
      <c r="F17" s="269"/>
      <c r="G17" s="269"/>
      <c r="H17" s="269"/>
      <c r="I17" s="269"/>
      <c r="J17" s="269"/>
      <c r="K17" s="269"/>
      <c r="L17" s="269" t="s">
        <v>169</v>
      </c>
      <c r="M17" s="269"/>
      <c r="N17" s="270">
        <f t="shared" si="0"/>
        <v>0</v>
      </c>
    </row>
    <row r="18" spans="1:14" s="237" customFormat="1" x14ac:dyDescent="0.2">
      <c r="A18" s="891">
        <v>5195450000</v>
      </c>
      <c r="B18" s="245" t="s">
        <v>454</v>
      </c>
      <c r="C18" s="305"/>
      <c r="D18" s="305"/>
      <c r="E18" s="269"/>
      <c r="F18" s="269"/>
      <c r="G18" s="269"/>
      <c r="H18" s="269"/>
      <c r="I18" s="269"/>
      <c r="J18" s="269"/>
      <c r="K18" s="269"/>
      <c r="L18" s="269"/>
      <c r="M18" s="269" t="s">
        <v>169</v>
      </c>
      <c r="N18" s="270">
        <f t="shared" si="0"/>
        <v>0</v>
      </c>
    </row>
    <row r="19" spans="1:14" s="237" customFormat="1" x14ac:dyDescent="0.2">
      <c r="A19" s="891">
        <v>5195300000</v>
      </c>
      <c r="B19" s="245" t="s">
        <v>453</v>
      </c>
      <c r="C19" s="305"/>
      <c r="D19" s="305"/>
      <c r="E19" s="269"/>
      <c r="F19" s="269"/>
      <c r="G19" s="269"/>
      <c r="H19" s="269"/>
      <c r="I19" s="269"/>
      <c r="J19" s="269"/>
      <c r="K19" s="269"/>
      <c r="L19" s="269"/>
      <c r="M19" s="269"/>
      <c r="N19" s="270">
        <f t="shared" si="0"/>
        <v>0</v>
      </c>
    </row>
    <row r="20" spans="1:14" s="237" customFormat="1" x14ac:dyDescent="0.2">
      <c r="A20" s="891">
        <v>5195950200</v>
      </c>
      <c r="B20" s="245" t="s">
        <v>455</v>
      </c>
      <c r="C20" s="305"/>
      <c r="D20" s="305"/>
      <c r="E20" s="269"/>
      <c r="F20" s="269"/>
      <c r="G20" s="269"/>
      <c r="H20" s="269"/>
      <c r="I20" s="269"/>
      <c r="J20" s="269"/>
      <c r="K20" s="269"/>
      <c r="L20" s="269"/>
      <c r="M20" s="269"/>
      <c r="N20" s="270">
        <f t="shared" si="0"/>
        <v>0</v>
      </c>
    </row>
    <row r="21" spans="1:14" s="237" customFormat="1" x14ac:dyDescent="0.2">
      <c r="A21" s="891">
        <v>5195950100</v>
      </c>
      <c r="B21" s="246" t="s">
        <v>235</v>
      </c>
      <c r="C21" s="305"/>
      <c r="D21" s="305"/>
      <c r="E21" s="269"/>
      <c r="F21" s="269"/>
      <c r="G21" s="269"/>
      <c r="H21" s="269"/>
      <c r="I21" s="269"/>
      <c r="J21" s="269"/>
      <c r="K21" s="269"/>
      <c r="L21" s="269"/>
      <c r="M21" s="269"/>
      <c r="N21" s="270">
        <f t="shared" si="0"/>
        <v>0</v>
      </c>
    </row>
    <row r="22" spans="1:14" s="237" customFormat="1" ht="13.5" thickBot="1" x14ac:dyDescent="0.25">
      <c r="A22" s="892">
        <v>5395950000</v>
      </c>
      <c r="B22" s="894" t="s">
        <v>457</v>
      </c>
      <c r="C22" s="895"/>
      <c r="D22" s="895" t="s">
        <v>169</v>
      </c>
      <c r="E22" s="896"/>
      <c r="F22" s="896"/>
      <c r="G22" s="896"/>
      <c r="H22" s="896"/>
      <c r="I22" s="896"/>
      <c r="J22" s="896" t="s">
        <v>169</v>
      </c>
      <c r="K22" s="896"/>
      <c r="L22" s="896"/>
      <c r="M22" s="896"/>
      <c r="N22" s="897">
        <f t="shared" si="0"/>
        <v>0</v>
      </c>
    </row>
    <row r="23" spans="1:14" s="237" customFormat="1" ht="13.5" thickBot="1" x14ac:dyDescent="0.25">
      <c r="A23" s="1206" t="s">
        <v>458</v>
      </c>
      <c r="B23" s="1207"/>
      <c r="C23" s="275">
        <f t="shared" ref="C23:M23" si="1">SUM(C14:C22)</f>
        <v>0</v>
      </c>
      <c r="D23" s="275">
        <f t="shared" si="1"/>
        <v>0</v>
      </c>
      <c r="E23" s="275">
        <f t="shared" si="1"/>
        <v>0</v>
      </c>
      <c r="F23" s="275">
        <f t="shared" si="1"/>
        <v>0</v>
      </c>
      <c r="G23" s="275">
        <f t="shared" si="1"/>
        <v>0</v>
      </c>
      <c r="H23" s="275">
        <f t="shared" si="1"/>
        <v>0</v>
      </c>
      <c r="I23" s="275">
        <f t="shared" si="1"/>
        <v>0</v>
      </c>
      <c r="J23" s="275">
        <f t="shared" si="1"/>
        <v>0</v>
      </c>
      <c r="K23" s="275">
        <f t="shared" si="1"/>
        <v>0</v>
      </c>
      <c r="L23" s="275">
        <f t="shared" si="1"/>
        <v>0</v>
      </c>
      <c r="M23" s="275">
        <f t="shared" si="1"/>
        <v>0</v>
      </c>
      <c r="N23" s="275">
        <f>SUM(C23:M23)</f>
        <v>0</v>
      </c>
    </row>
    <row r="24" spans="1:14" s="237" customFormat="1" x14ac:dyDescent="0.2">
      <c r="A24" s="1209"/>
      <c r="B24" s="1209"/>
      <c r="C24" s="1209"/>
      <c r="D24" s="1209"/>
      <c r="E24" s="1209"/>
      <c r="F24" s="1209"/>
      <c r="G24" s="1209"/>
      <c r="H24" s="1209"/>
      <c r="I24" s="1209"/>
      <c r="J24" s="1209"/>
      <c r="K24" s="1209"/>
      <c r="L24" s="1209"/>
      <c r="M24" s="1209"/>
      <c r="N24" s="1209"/>
    </row>
    <row r="25" spans="1:14" s="237" customFormat="1" x14ac:dyDescent="0.2">
      <c r="A25" s="530" t="s">
        <v>607</v>
      </c>
      <c r="B25" s="252"/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266"/>
    </row>
    <row r="26" spans="1:14" s="237" customFormat="1" x14ac:dyDescent="0.2"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</row>
    <row r="27" spans="1:14" s="237" customFormat="1" x14ac:dyDescent="0.2"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</row>
    <row r="28" spans="1:14" s="237" customFormat="1" x14ac:dyDescent="0.2"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</row>
    <row r="29" spans="1:14" s="237" customFormat="1" x14ac:dyDescent="0.2"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</row>
    <row r="30" spans="1:14" s="237" customFormat="1" x14ac:dyDescent="0.2"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</row>
    <row r="31" spans="1:14" s="237" customFormat="1" x14ac:dyDescent="0.2"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</row>
    <row r="32" spans="1:14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</row>
    <row r="33" spans="3:14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</row>
    <row r="34" spans="3:14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</row>
    <row r="35" spans="3:14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</row>
    <row r="36" spans="3:14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</row>
    <row r="37" spans="3:14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</row>
    <row r="38" spans="3:14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</row>
    <row r="39" spans="3:14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</row>
    <row r="40" spans="3:14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</row>
    <row r="41" spans="3:14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</row>
    <row r="42" spans="3:14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</row>
    <row r="43" spans="3:14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</row>
    <row r="44" spans="3:14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</row>
    <row r="45" spans="3:14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</row>
    <row r="46" spans="3:14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</row>
    <row r="47" spans="3:14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</row>
    <row r="48" spans="3:14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</row>
    <row r="49" spans="3:14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</row>
    <row r="50" spans="3:14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</row>
    <row r="51" spans="3:14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</row>
    <row r="52" spans="3:14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</row>
    <row r="53" spans="3:14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</row>
    <row r="54" spans="3:14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</row>
    <row r="55" spans="3:14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</row>
    <row r="56" spans="3:14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</row>
    <row r="57" spans="3:14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</row>
    <row r="58" spans="3:14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</row>
    <row r="59" spans="3:14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</row>
    <row r="60" spans="3:14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</row>
    <row r="61" spans="3:14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</row>
    <row r="62" spans="3:14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</row>
    <row r="63" spans="3:14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</row>
    <row r="64" spans="3:14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</row>
    <row r="65" spans="3:14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</row>
    <row r="66" spans="3:14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</row>
    <row r="67" spans="3:14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</row>
    <row r="68" spans="3:14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</row>
    <row r="69" spans="3:14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</row>
    <row r="70" spans="3:14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</row>
    <row r="71" spans="3:14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</row>
    <row r="72" spans="3:14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</row>
    <row r="73" spans="3:14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</row>
    <row r="74" spans="3:14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</row>
    <row r="75" spans="3:14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</row>
    <row r="76" spans="3:14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</row>
    <row r="77" spans="3:14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</row>
    <row r="78" spans="3:14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</row>
    <row r="79" spans="3:14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</row>
    <row r="80" spans="3:14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</row>
    <row r="81" spans="3:14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</row>
    <row r="82" spans="3:14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</row>
    <row r="83" spans="3:14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</row>
    <row r="84" spans="3:14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</row>
    <row r="85" spans="3:14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</row>
    <row r="86" spans="3:14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</row>
    <row r="87" spans="3:14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</row>
    <row r="88" spans="3:14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</row>
    <row r="89" spans="3:14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</row>
    <row r="90" spans="3:14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</row>
    <row r="91" spans="3:14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</row>
    <row r="92" spans="3:14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</row>
    <row r="93" spans="3:14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</row>
    <row r="94" spans="3:14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</row>
    <row r="95" spans="3:14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</row>
    <row r="96" spans="3:14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</row>
    <row r="97" spans="3:14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</row>
    <row r="98" spans="3:14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</row>
    <row r="99" spans="3:14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</row>
    <row r="100" spans="3:14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</row>
    <row r="101" spans="3:14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</row>
    <row r="102" spans="3:14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</row>
    <row r="103" spans="3:14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</row>
    <row r="104" spans="3:14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</row>
    <row r="105" spans="3:14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</row>
    <row r="106" spans="3:14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</row>
    <row r="107" spans="3:14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</row>
    <row r="108" spans="3:14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</row>
    <row r="109" spans="3:14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</row>
    <row r="110" spans="3:14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</row>
    <row r="111" spans="3:14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</row>
    <row r="112" spans="3:14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</row>
    <row r="113" spans="3:14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</row>
    <row r="114" spans="3:14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</row>
    <row r="115" spans="3:14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</row>
    <row r="116" spans="3:14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</row>
    <row r="117" spans="3:14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</row>
    <row r="118" spans="3:14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</row>
    <row r="119" spans="3:14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</row>
    <row r="120" spans="3:14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</row>
    <row r="121" spans="3:14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</row>
    <row r="122" spans="3:14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</row>
    <row r="123" spans="3:14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</row>
    <row r="124" spans="3:14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</row>
    <row r="125" spans="3:14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</row>
    <row r="126" spans="3:14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</row>
    <row r="127" spans="3:14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</row>
    <row r="128" spans="3:14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</row>
    <row r="129" spans="3:14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</row>
    <row r="130" spans="3:14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</row>
    <row r="131" spans="3:14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</row>
    <row r="132" spans="3:14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</row>
    <row r="133" spans="3:14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</row>
    <row r="134" spans="3:14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</row>
    <row r="135" spans="3:14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</row>
    <row r="136" spans="3:14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</row>
    <row r="137" spans="3:14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</row>
    <row r="138" spans="3:14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</row>
    <row r="139" spans="3:14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</row>
    <row r="140" spans="3:14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</row>
    <row r="141" spans="3:14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</row>
    <row r="142" spans="3:14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</row>
    <row r="143" spans="3:14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</row>
    <row r="144" spans="3:14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</row>
    <row r="145" spans="3:14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</row>
    <row r="146" spans="3:14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</row>
    <row r="147" spans="3:14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</row>
    <row r="148" spans="3:14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</row>
    <row r="149" spans="3:14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</row>
    <row r="150" spans="3:14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</row>
    <row r="151" spans="3:14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</row>
    <row r="152" spans="3:14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</row>
    <row r="153" spans="3:14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</row>
    <row r="154" spans="3:14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</row>
    <row r="155" spans="3:14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</row>
    <row r="156" spans="3:14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</row>
    <row r="157" spans="3:14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</row>
    <row r="158" spans="3:14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</row>
    <row r="159" spans="3:14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</row>
    <row r="160" spans="3:14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</row>
    <row r="161" spans="3:14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</row>
    <row r="162" spans="3:14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</row>
    <row r="163" spans="3:14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</row>
    <row r="164" spans="3:14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</row>
    <row r="165" spans="3:14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</row>
    <row r="166" spans="3:14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</row>
    <row r="167" spans="3:14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</row>
    <row r="168" spans="3:14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</row>
    <row r="169" spans="3:14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</row>
    <row r="170" spans="3:14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</row>
    <row r="171" spans="3:14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</row>
    <row r="172" spans="3:14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</row>
    <row r="173" spans="3:14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</row>
    <row r="174" spans="3:14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</row>
    <row r="175" spans="3:14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</row>
    <row r="176" spans="3:14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</row>
    <row r="177" spans="3:14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</row>
    <row r="178" spans="3:14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</row>
    <row r="179" spans="3:14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</row>
    <row r="180" spans="3:14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</row>
    <row r="181" spans="3:14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</row>
    <row r="182" spans="3:14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</row>
    <row r="183" spans="3:14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</row>
    <row r="184" spans="3:14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</row>
    <row r="185" spans="3:14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</row>
    <row r="186" spans="3:14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</row>
    <row r="187" spans="3:14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</row>
    <row r="188" spans="3:14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</row>
    <row r="189" spans="3:14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</row>
    <row r="190" spans="3:14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</row>
    <row r="191" spans="3:14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</row>
    <row r="192" spans="3:14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</row>
    <row r="193" spans="3:14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</row>
    <row r="194" spans="3:14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</row>
    <row r="195" spans="3:14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</row>
    <row r="196" spans="3:14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</row>
    <row r="197" spans="3:14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</row>
    <row r="198" spans="3:14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</row>
    <row r="199" spans="3:14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</row>
    <row r="200" spans="3:14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</row>
    <row r="201" spans="3:14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</row>
    <row r="202" spans="3:14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</row>
    <row r="203" spans="3:14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</row>
    <row r="204" spans="3:14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</row>
    <row r="205" spans="3:14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</row>
    <row r="206" spans="3:14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</row>
    <row r="207" spans="3:14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</row>
    <row r="208" spans="3:14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</row>
    <row r="209" spans="3:14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</row>
    <row r="210" spans="3:14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</row>
    <row r="211" spans="3:14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</row>
    <row r="212" spans="3:14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</row>
    <row r="213" spans="3:14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</row>
    <row r="214" spans="3:14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</row>
    <row r="215" spans="3:14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</row>
    <row r="216" spans="3:14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</row>
    <row r="217" spans="3:14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</row>
    <row r="218" spans="3:14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</row>
    <row r="219" spans="3:14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</row>
    <row r="220" spans="3:14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</row>
    <row r="221" spans="3:14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</row>
    <row r="222" spans="3:14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</row>
    <row r="223" spans="3:14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</row>
    <row r="224" spans="3:14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</row>
    <row r="225" spans="3:14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</row>
    <row r="226" spans="3:14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</row>
    <row r="227" spans="3:14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</row>
    <row r="228" spans="3:14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</row>
    <row r="229" spans="3:14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</row>
    <row r="230" spans="3:14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</row>
    <row r="231" spans="3:14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</row>
    <row r="232" spans="3:14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</row>
    <row r="233" spans="3:14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</row>
    <row r="234" spans="3:14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</row>
    <row r="235" spans="3:14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</row>
    <row r="236" spans="3:14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</row>
    <row r="237" spans="3:14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</row>
    <row r="238" spans="3:14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</row>
    <row r="239" spans="3:14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</row>
    <row r="240" spans="3:14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</row>
    <row r="241" spans="3:14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</row>
    <row r="242" spans="3:14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</row>
    <row r="243" spans="3:14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</row>
    <row r="244" spans="3:14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</row>
    <row r="245" spans="3:14" s="237" customFormat="1" x14ac:dyDescent="0.2">
      <c r="C245" s="266"/>
      <c r="D245" s="266"/>
      <c r="E245" s="266"/>
      <c r="F245" s="266"/>
      <c r="G245" s="266"/>
      <c r="H245" s="266"/>
      <c r="I245" s="266"/>
      <c r="J245" s="266"/>
      <c r="K245" s="266"/>
      <c r="L245" s="266"/>
      <c r="M245" s="266"/>
      <c r="N245" s="266"/>
    </row>
    <row r="246" spans="3:14" s="237" customFormat="1" x14ac:dyDescent="0.2">
      <c r="C246" s="266"/>
      <c r="D246" s="266"/>
      <c r="E246" s="266"/>
      <c r="F246" s="266"/>
      <c r="G246" s="266"/>
      <c r="H246" s="266"/>
      <c r="I246" s="266"/>
      <c r="J246" s="266"/>
      <c r="K246" s="266"/>
      <c r="L246" s="266"/>
      <c r="M246" s="266"/>
      <c r="N246" s="266"/>
    </row>
    <row r="247" spans="3:14" s="237" customFormat="1" x14ac:dyDescent="0.2">
      <c r="C247" s="266"/>
      <c r="D247" s="266"/>
      <c r="E247" s="266"/>
      <c r="F247" s="266"/>
      <c r="G247" s="266"/>
      <c r="H247" s="266"/>
      <c r="I247" s="266"/>
      <c r="J247" s="266"/>
      <c r="K247" s="266"/>
      <c r="L247" s="266"/>
      <c r="M247" s="266"/>
      <c r="N247" s="266"/>
    </row>
    <row r="248" spans="3:14" s="237" customFormat="1" x14ac:dyDescent="0.2">
      <c r="C248" s="266"/>
      <c r="D248" s="266"/>
      <c r="E248" s="266"/>
      <c r="F248" s="266"/>
      <c r="G248" s="266"/>
      <c r="H248" s="266"/>
      <c r="I248" s="266"/>
      <c r="J248" s="266"/>
      <c r="K248" s="266"/>
      <c r="L248" s="266"/>
      <c r="M248" s="266"/>
      <c r="N248" s="266"/>
    </row>
  </sheetData>
  <protectedRanges>
    <protectedRange sqref="B14" name="Rango1"/>
  </protectedRanges>
  <mergeCells count="22">
    <mergeCell ref="A24:N24"/>
    <mergeCell ref="L6:L7"/>
    <mergeCell ref="M6:M7"/>
    <mergeCell ref="N6:N7"/>
    <mergeCell ref="A8:B8"/>
    <mergeCell ref="A13:B13"/>
    <mergeCell ref="A23:B23"/>
    <mergeCell ref="F6:F7"/>
    <mergeCell ref="G6:G7"/>
    <mergeCell ref="H6:H7"/>
    <mergeCell ref="I6:I7"/>
    <mergeCell ref="J6:J7"/>
    <mergeCell ref="K6:K7"/>
    <mergeCell ref="A2:N2"/>
    <mergeCell ref="A3:N3"/>
    <mergeCell ref="A4:N4"/>
    <mergeCell ref="A5:N5"/>
    <mergeCell ref="A6:A7"/>
    <mergeCell ref="B6:B7"/>
    <mergeCell ref="C6:C7"/>
    <mergeCell ref="D6:D7"/>
    <mergeCell ref="E6:E7"/>
  </mergeCells>
  <pageMargins left="0.16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A14:A22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T244"/>
  <sheetViews>
    <sheetView zoomScale="90" zoomScaleNormal="90" workbookViewId="0">
      <selection activeCell="G8" sqref="G8"/>
    </sheetView>
  </sheetViews>
  <sheetFormatPr baseColWidth="10" defaultRowHeight="12.75" x14ac:dyDescent="0.2"/>
  <cols>
    <col min="1" max="1" width="12.7109375" customWidth="1"/>
    <col min="2" max="2" width="27" customWidth="1"/>
    <col min="3" max="30" width="10.7109375" style="277" customWidth="1"/>
    <col min="31" max="31" width="12.85546875" style="277" customWidth="1"/>
    <col min="32" max="98" width="11.42578125" style="237"/>
  </cols>
  <sheetData>
    <row r="1" spans="1:31" x14ac:dyDescent="0.2">
      <c r="A1" s="237"/>
      <c r="B1" s="23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</row>
    <row r="2" spans="1:31" ht="20.25" customHeight="1" x14ac:dyDescent="0.25">
      <c r="A2" s="1196" t="s">
        <v>525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  <c r="O2" s="1196"/>
      <c r="P2" s="1196"/>
      <c r="Q2" s="1196"/>
      <c r="R2" s="1196"/>
      <c r="S2" s="1196"/>
      <c r="T2" s="1196"/>
      <c r="U2" s="1196"/>
      <c r="V2" s="1196"/>
      <c r="W2" s="1196"/>
      <c r="X2" s="1196"/>
      <c r="Y2" s="1196"/>
      <c r="Z2" s="1196"/>
      <c r="AA2" s="1196"/>
      <c r="AB2" s="1196"/>
      <c r="AC2" s="1196"/>
      <c r="AD2" s="1196"/>
      <c r="AE2" s="1196"/>
    </row>
    <row r="3" spans="1:31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  <c r="O3" s="1195"/>
      <c r="P3" s="1195"/>
      <c r="Q3" s="1195"/>
      <c r="R3" s="1195"/>
      <c r="S3" s="1195"/>
      <c r="T3" s="1195"/>
      <c r="U3" s="1195"/>
      <c r="V3" s="1195"/>
      <c r="W3" s="1195"/>
      <c r="X3" s="1195"/>
      <c r="Y3" s="1195"/>
      <c r="Z3" s="1195"/>
      <c r="AA3" s="1195"/>
      <c r="AB3" s="1195"/>
      <c r="AC3" s="1195"/>
      <c r="AD3" s="1195"/>
      <c r="AE3" s="1195"/>
    </row>
    <row r="4" spans="1:31" ht="20.25" customHeight="1" thickBot="1" x14ac:dyDescent="0.3">
      <c r="A4" s="1197">
        <v>2018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  <c r="O4" s="1197"/>
      <c r="P4" s="1197"/>
      <c r="Q4" s="1197"/>
      <c r="R4" s="1197"/>
      <c r="S4" s="1197"/>
      <c r="T4" s="1197"/>
      <c r="U4" s="1197"/>
      <c r="V4" s="1197"/>
      <c r="W4" s="1197"/>
      <c r="X4" s="1197"/>
      <c r="Y4" s="1197"/>
      <c r="Z4" s="1197"/>
      <c r="AA4" s="1197"/>
      <c r="AB4" s="1197"/>
      <c r="AC4" s="1197"/>
      <c r="AD4" s="1197"/>
      <c r="AE4" s="1197"/>
    </row>
    <row r="5" spans="1:31" ht="12.75" customHeight="1" thickBot="1" x14ac:dyDescent="0.25">
      <c r="A5" s="1211" t="s">
        <v>611</v>
      </c>
      <c r="B5" s="1212"/>
      <c r="C5" s="1212"/>
      <c r="D5" s="1212"/>
      <c r="E5" s="1212"/>
      <c r="F5" s="1212"/>
      <c r="G5" s="1212"/>
      <c r="H5" s="1212"/>
      <c r="I5" s="1212"/>
      <c r="J5" s="1212"/>
      <c r="K5" s="1212"/>
      <c r="L5" s="1212"/>
      <c r="M5" s="1212"/>
      <c r="N5" s="1212"/>
      <c r="O5" s="1212"/>
      <c r="P5" s="1212"/>
      <c r="Q5" s="1212"/>
      <c r="R5" s="1212"/>
      <c r="S5" s="1212"/>
      <c r="T5" s="1212"/>
      <c r="U5" s="1212"/>
      <c r="V5" s="1212"/>
      <c r="W5" s="1212"/>
      <c r="X5" s="1212"/>
      <c r="Y5" s="1212"/>
      <c r="Z5" s="1212"/>
      <c r="AA5" s="1212"/>
      <c r="AB5" s="1212"/>
      <c r="AC5" s="1212"/>
      <c r="AD5" s="1212"/>
      <c r="AE5" s="1213"/>
    </row>
    <row r="6" spans="1:31" ht="12.75" customHeight="1" x14ac:dyDescent="0.2">
      <c r="A6" s="1198" t="s">
        <v>440</v>
      </c>
      <c r="B6" s="1200" t="s">
        <v>441</v>
      </c>
      <c r="C6" s="1190" t="s">
        <v>526</v>
      </c>
      <c r="D6" s="1190" t="s">
        <v>526</v>
      </c>
      <c r="E6" s="1190" t="s">
        <v>526</v>
      </c>
      <c r="F6" s="1190" t="s">
        <v>526</v>
      </c>
      <c r="G6" s="1190" t="s">
        <v>526</v>
      </c>
      <c r="H6" s="1190" t="s">
        <v>526</v>
      </c>
      <c r="I6" s="1190" t="s">
        <v>526</v>
      </c>
      <c r="J6" s="1190" t="s">
        <v>526</v>
      </c>
      <c r="K6" s="1190" t="s">
        <v>526</v>
      </c>
      <c r="L6" s="1190" t="s">
        <v>526</v>
      </c>
      <c r="M6" s="1190" t="s">
        <v>526</v>
      </c>
      <c r="N6" s="1190" t="s">
        <v>526</v>
      </c>
      <c r="O6" s="1190" t="s">
        <v>526</v>
      </c>
      <c r="P6" s="1190" t="s">
        <v>526</v>
      </c>
      <c r="Q6" s="1190" t="s">
        <v>526</v>
      </c>
      <c r="R6" s="1190" t="s">
        <v>526</v>
      </c>
      <c r="S6" s="1190" t="s">
        <v>526</v>
      </c>
      <c r="T6" s="1190" t="s">
        <v>526</v>
      </c>
      <c r="U6" s="1190" t="s">
        <v>526</v>
      </c>
      <c r="V6" s="1190" t="s">
        <v>526</v>
      </c>
      <c r="W6" s="1190" t="s">
        <v>526</v>
      </c>
      <c r="X6" s="1190" t="s">
        <v>526</v>
      </c>
      <c r="Y6" s="1190" t="s">
        <v>526</v>
      </c>
      <c r="Z6" s="1190" t="s">
        <v>526</v>
      </c>
      <c r="AA6" s="1190" t="s">
        <v>526</v>
      </c>
      <c r="AB6" s="1190" t="s">
        <v>526</v>
      </c>
      <c r="AC6" s="1190" t="s">
        <v>526</v>
      </c>
      <c r="AD6" s="1190" t="s">
        <v>526</v>
      </c>
      <c r="AE6" s="1190" t="s">
        <v>816</v>
      </c>
    </row>
    <row r="7" spans="1:31" ht="30.75" customHeight="1" thickBot="1" x14ac:dyDescent="0.25">
      <c r="A7" s="1199"/>
      <c r="B7" s="1201"/>
      <c r="C7" s="1191"/>
      <c r="D7" s="1191"/>
      <c r="E7" s="1191"/>
      <c r="F7" s="1191"/>
      <c r="G7" s="1191"/>
      <c r="H7" s="1191"/>
      <c r="I7" s="1191"/>
      <c r="J7" s="1191"/>
      <c r="K7" s="1191"/>
      <c r="L7" s="1191"/>
      <c r="M7" s="1191"/>
      <c r="N7" s="1191"/>
      <c r="O7" s="1191"/>
      <c r="P7" s="1191"/>
      <c r="Q7" s="1191"/>
      <c r="R7" s="1191"/>
      <c r="S7" s="1191"/>
      <c r="T7" s="1191"/>
      <c r="U7" s="1191"/>
      <c r="V7" s="1191"/>
      <c r="W7" s="1191"/>
      <c r="X7" s="1191"/>
      <c r="Y7" s="1191"/>
      <c r="Z7" s="1191"/>
      <c r="AA7" s="1191"/>
      <c r="AB7" s="1191"/>
      <c r="AC7" s="1191"/>
      <c r="AD7" s="1191"/>
      <c r="AE7" s="1191"/>
    </row>
    <row r="8" spans="1:31" ht="40.5" customHeight="1" thickBot="1" x14ac:dyDescent="0.25">
      <c r="A8" s="1204" t="s">
        <v>527</v>
      </c>
      <c r="B8" s="1205"/>
      <c r="C8" s="290" t="s">
        <v>1032</v>
      </c>
      <c r="D8" s="290" t="s">
        <v>1035</v>
      </c>
      <c r="E8" s="290" t="s">
        <v>1033</v>
      </c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67"/>
      <c r="AA8" s="267"/>
      <c r="AB8" s="267"/>
      <c r="AC8" s="267"/>
      <c r="AD8" s="267"/>
      <c r="AE8" s="268"/>
    </row>
    <row r="9" spans="1:31" ht="20.45" customHeight="1" x14ac:dyDescent="0.2">
      <c r="A9" s="249"/>
      <c r="B9" s="245" t="s">
        <v>469</v>
      </c>
      <c r="C9" s="998" t="s">
        <v>1034</v>
      </c>
      <c r="D9" s="998" t="s">
        <v>1036</v>
      </c>
      <c r="E9" s="998" t="s">
        <v>1069</v>
      </c>
      <c r="F9" s="291"/>
      <c r="G9" s="291"/>
      <c r="H9" s="291"/>
      <c r="I9" s="291"/>
      <c r="J9" s="291"/>
      <c r="K9" s="291"/>
      <c r="L9" s="291"/>
      <c r="M9" s="291"/>
      <c r="N9" s="291"/>
      <c r="O9" s="291"/>
      <c r="P9" s="291"/>
      <c r="Q9" s="291"/>
      <c r="R9" s="291"/>
      <c r="S9" s="291"/>
      <c r="T9" s="291"/>
      <c r="U9" s="291"/>
      <c r="V9" s="291"/>
      <c r="W9" s="291"/>
      <c r="X9" s="291"/>
      <c r="Y9" s="291"/>
      <c r="Z9" s="269"/>
      <c r="AA9" s="269"/>
      <c r="AB9" s="269"/>
      <c r="AC9" s="269"/>
      <c r="AD9" s="269"/>
      <c r="AE9" s="279" t="s">
        <v>169</v>
      </c>
    </row>
    <row r="10" spans="1:31" x14ac:dyDescent="0.2">
      <c r="A10" s="239"/>
      <c r="B10" s="245" t="s">
        <v>528</v>
      </c>
      <c r="C10" s="998">
        <v>2</v>
      </c>
      <c r="D10" s="998">
        <v>2</v>
      </c>
      <c r="E10" s="998">
        <v>2</v>
      </c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91"/>
      <c r="S10" s="291"/>
      <c r="T10" s="291"/>
      <c r="U10" s="291"/>
      <c r="V10" s="291"/>
      <c r="W10" s="291"/>
      <c r="X10" s="291"/>
      <c r="Y10" s="291"/>
      <c r="Z10" s="269"/>
      <c r="AA10" s="269"/>
      <c r="AB10" s="269"/>
      <c r="AC10" s="269"/>
      <c r="AD10" s="269"/>
      <c r="AE10" s="279" t="s">
        <v>169</v>
      </c>
    </row>
    <row r="11" spans="1:31" ht="13.5" thickBot="1" x14ac:dyDescent="0.25">
      <c r="A11" s="250"/>
      <c r="B11" s="245" t="s">
        <v>470</v>
      </c>
      <c r="C11" s="999" t="s">
        <v>1037</v>
      </c>
      <c r="D11" s="999" t="s">
        <v>847</v>
      </c>
      <c r="E11" s="999" t="s">
        <v>1027</v>
      </c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89"/>
      <c r="S11" s="289"/>
      <c r="T11" s="289"/>
      <c r="U11" s="289"/>
      <c r="V11" s="289"/>
      <c r="W11" s="289"/>
      <c r="X11" s="289"/>
      <c r="Y11" s="289"/>
      <c r="Z11" s="269"/>
      <c r="AA11" s="269"/>
      <c r="AB11" s="269"/>
      <c r="AC11" s="269"/>
      <c r="AD11" s="269"/>
      <c r="AE11" s="270"/>
    </row>
    <row r="12" spans="1:31" ht="13.5" thickBot="1" x14ac:dyDescent="0.25">
      <c r="A12" s="247"/>
      <c r="B12" s="245" t="s">
        <v>472</v>
      </c>
      <c r="C12" s="304" t="s">
        <v>169</v>
      </c>
      <c r="D12" s="304" t="s">
        <v>169</v>
      </c>
      <c r="E12" s="30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280"/>
      <c r="AA12" s="280"/>
      <c r="AB12" s="280"/>
      <c r="AC12" s="280"/>
      <c r="AD12" s="280"/>
      <c r="AE12" s="270"/>
    </row>
    <row r="13" spans="1:31" ht="13.5" thickBot="1" x14ac:dyDescent="0.25">
      <c r="A13" s="1194" t="s">
        <v>445</v>
      </c>
      <c r="B13" s="1210"/>
      <c r="C13" s="876"/>
      <c r="D13" s="876"/>
      <c r="E13" s="876"/>
      <c r="F13" s="876"/>
      <c r="G13" s="876"/>
      <c r="H13" s="876"/>
      <c r="I13" s="876"/>
      <c r="J13" s="876"/>
      <c r="K13" s="876"/>
      <c r="L13" s="876"/>
      <c r="M13" s="876"/>
      <c r="N13" s="876"/>
      <c r="O13" s="876"/>
      <c r="P13" s="876"/>
      <c r="Q13" s="876"/>
      <c r="R13" s="876"/>
      <c r="S13" s="876"/>
      <c r="T13" s="876"/>
      <c r="U13" s="876"/>
      <c r="V13" s="876"/>
      <c r="W13" s="876"/>
      <c r="X13" s="876"/>
      <c r="Y13" s="876"/>
      <c r="Z13" s="876"/>
      <c r="AA13" s="876"/>
      <c r="AB13" s="876"/>
      <c r="AC13" s="876"/>
      <c r="AD13" s="876"/>
      <c r="AE13" s="268"/>
    </row>
    <row r="14" spans="1:31" x14ac:dyDescent="0.2">
      <c r="A14" s="879">
        <v>5155050000</v>
      </c>
      <c r="B14" s="880" t="s">
        <v>420</v>
      </c>
      <c r="C14" s="881"/>
      <c r="D14" s="881"/>
      <c r="E14" s="881"/>
      <c r="F14" s="881"/>
      <c r="G14" s="881"/>
      <c r="H14" s="881"/>
      <c r="I14" s="881"/>
      <c r="J14" s="881"/>
      <c r="K14" s="881"/>
      <c r="L14" s="881"/>
      <c r="M14" s="881"/>
      <c r="N14" s="881"/>
      <c r="O14" s="881"/>
      <c r="P14" s="881"/>
      <c r="Q14" s="881"/>
      <c r="R14" s="881"/>
      <c r="S14" s="881"/>
      <c r="T14" s="881"/>
      <c r="U14" s="881"/>
      <c r="V14" s="881"/>
      <c r="W14" s="881"/>
      <c r="X14" s="881"/>
      <c r="Y14" s="881"/>
      <c r="Z14" s="882" t="s">
        <v>169</v>
      </c>
      <c r="AA14" s="882"/>
      <c r="AB14" s="882"/>
      <c r="AC14" s="882"/>
      <c r="AD14" s="882"/>
      <c r="AE14" s="893">
        <f t="shared" ref="AE14:AE19" si="0">SUM(C14:AD14)</f>
        <v>0</v>
      </c>
    </row>
    <row r="15" spans="1:31" x14ac:dyDescent="0.2">
      <c r="A15" s="884">
        <v>5155150000</v>
      </c>
      <c r="B15" s="245" t="s">
        <v>473</v>
      </c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305"/>
      <c r="R15" s="305"/>
      <c r="S15" s="305"/>
      <c r="T15" s="305"/>
      <c r="U15" s="305"/>
      <c r="V15" s="305"/>
      <c r="W15" s="305"/>
      <c r="X15" s="305"/>
      <c r="Y15" s="305"/>
      <c r="Z15" s="269"/>
      <c r="AA15" s="269"/>
      <c r="AB15" s="269" t="s">
        <v>169</v>
      </c>
      <c r="AC15" s="269"/>
      <c r="AD15" s="269"/>
      <c r="AE15" s="270">
        <f t="shared" si="0"/>
        <v>0</v>
      </c>
    </row>
    <row r="16" spans="1:31" x14ac:dyDescent="0.2">
      <c r="A16" s="884">
        <v>5195450000</v>
      </c>
      <c r="B16" s="245" t="s">
        <v>454</v>
      </c>
      <c r="C16" s="305">
        <v>200000</v>
      </c>
      <c r="D16" s="305">
        <v>200000</v>
      </c>
      <c r="E16" s="305">
        <v>200000</v>
      </c>
      <c r="F16" s="305"/>
      <c r="G16" s="305"/>
      <c r="H16" s="305"/>
      <c r="I16" s="305"/>
      <c r="J16" s="305"/>
      <c r="K16" s="305"/>
      <c r="L16" s="305"/>
      <c r="M16" s="305"/>
      <c r="N16" s="305"/>
      <c r="O16" s="305"/>
      <c r="P16" s="305"/>
      <c r="Q16" s="305"/>
      <c r="R16" s="305"/>
      <c r="S16" s="305"/>
      <c r="T16" s="305"/>
      <c r="U16" s="305"/>
      <c r="V16" s="305"/>
      <c r="W16" s="305"/>
      <c r="X16" s="305"/>
      <c r="Y16" s="305"/>
      <c r="Z16" s="269"/>
      <c r="AA16" s="269"/>
      <c r="AB16" s="269"/>
      <c r="AC16" s="269"/>
      <c r="AD16" s="269" t="s">
        <v>169</v>
      </c>
      <c r="AE16" s="270">
        <f t="shared" si="0"/>
        <v>600000</v>
      </c>
    </row>
    <row r="17" spans="1:31" x14ac:dyDescent="0.2">
      <c r="A17" s="884">
        <v>5155950100</v>
      </c>
      <c r="B17" s="245" t="s">
        <v>628</v>
      </c>
      <c r="C17" s="305">
        <v>200000</v>
      </c>
      <c r="D17" s="305">
        <v>200000</v>
      </c>
      <c r="E17" s="305">
        <v>200000</v>
      </c>
      <c r="F17" s="305"/>
      <c r="G17" s="305"/>
      <c r="H17" s="305"/>
      <c r="I17" s="305"/>
      <c r="J17" s="305"/>
      <c r="K17" s="305"/>
      <c r="L17" s="305"/>
      <c r="M17" s="305"/>
      <c r="N17" s="305"/>
      <c r="O17" s="305"/>
      <c r="P17" s="305"/>
      <c r="Q17" s="305"/>
      <c r="R17" s="305"/>
      <c r="S17" s="305"/>
      <c r="T17" s="305"/>
      <c r="U17" s="305"/>
      <c r="V17" s="305"/>
      <c r="W17" s="305"/>
      <c r="X17" s="305"/>
      <c r="Y17" s="305"/>
      <c r="Z17" s="269"/>
      <c r="AA17" s="269"/>
      <c r="AB17" s="269"/>
      <c r="AC17" s="269"/>
      <c r="AD17" s="269"/>
      <c r="AE17" s="270">
        <f t="shared" si="0"/>
        <v>600000</v>
      </c>
    </row>
    <row r="18" spans="1:31" ht="13.5" thickBot="1" x14ac:dyDescent="0.25">
      <c r="A18" s="885">
        <v>5395950000</v>
      </c>
      <c r="B18" s="894" t="s">
        <v>457</v>
      </c>
      <c r="C18" s="895"/>
      <c r="D18" s="895"/>
      <c r="E18" s="895"/>
      <c r="F18" s="895"/>
      <c r="G18" s="895"/>
      <c r="H18" s="895"/>
      <c r="I18" s="895"/>
      <c r="J18" s="895"/>
      <c r="K18" s="895"/>
      <c r="L18" s="895"/>
      <c r="M18" s="895"/>
      <c r="N18" s="895"/>
      <c r="O18" s="895"/>
      <c r="P18" s="895"/>
      <c r="Q18" s="895"/>
      <c r="R18" s="895"/>
      <c r="S18" s="895"/>
      <c r="T18" s="895"/>
      <c r="U18" s="895"/>
      <c r="V18" s="895"/>
      <c r="W18" s="895"/>
      <c r="X18" s="895"/>
      <c r="Y18" s="895"/>
      <c r="Z18" s="896"/>
      <c r="AA18" s="896" t="s">
        <v>169</v>
      </c>
      <c r="AB18" s="896"/>
      <c r="AC18" s="896"/>
      <c r="AD18" s="896"/>
      <c r="AE18" s="897">
        <f t="shared" si="0"/>
        <v>0</v>
      </c>
    </row>
    <row r="19" spans="1:31" ht="13.5" thickBot="1" x14ac:dyDescent="0.25">
      <c r="A19" s="1206" t="s">
        <v>458</v>
      </c>
      <c r="B19" s="1207"/>
      <c r="C19" s="275">
        <f t="shared" ref="C19:AD19" si="1">SUM(C14:C18)</f>
        <v>400000</v>
      </c>
      <c r="D19" s="275">
        <f t="shared" si="1"/>
        <v>400000</v>
      </c>
      <c r="E19" s="275">
        <f t="shared" si="1"/>
        <v>400000</v>
      </c>
      <c r="F19" s="275">
        <f t="shared" si="1"/>
        <v>0</v>
      </c>
      <c r="G19" s="275">
        <f t="shared" si="1"/>
        <v>0</v>
      </c>
      <c r="H19" s="275">
        <f t="shared" si="1"/>
        <v>0</v>
      </c>
      <c r="I19" s="275">
        <f t="shared" si="1"/>
        <v>0</v>
      </c>
      <c r="J19" s="275">
        <f t="shared" si="1"/>
        <v>0</v>
      </c>
      <c r="K19" s="275">
        <f t="shared" si="1"/>
        <v>0</v>
      </c>
      <c r="L19" s="275">
        <f t="shared" si="1"/>
        <v>0</v>
      </c>
      <c r="M19" s="275">
        <f t="shared" si="1"/>
        <v>0</v>
      </c>
      <c r="N19" s="275">
        <f t="shared" si="1"/>
        <v>0</v>
      </c>
      <c r="O19" s="275">
        <f t="shared" si="1"/>
        <v>0</v>
      </c>
      <c r="P19" s="275">
        <f t="shared" si="1"/>
        <v>0</v>
      </c>
      <c r="Q19" s="275">
        <f t="shared" si="1"/>
        <v>0</v>
      </c>
      <c r="R19" s="275">
        <f t="shared" si="1"/>
        <v>0</v>
      </c>
      <c r="S19" s="275">
        <f t="shared" si="1"/>
        <v>0</v>
      </c>
      <c r="T19" s="275">
        <f t="shared" si="1"/>
        <v>0</v>
      </c>
      <c r="U19" s="275">
        <f t="shared" si="1"/>
        <v>0</v>
      </c>
      <c r="V19" s="275">
        <f t="shared" si="1"/>
        <v>0</v>
      </c>
      <c r="W19" s="275">
        <f t="shared" si="1"/>
        <v>0</v>
      </c>
      <c r="X19" s="275">
        <f t="shared" si="1"/>
        <v>0</v>
      </c>
      <c r="Y19" s="275">
        <f t="shared" si="1"/>
        <v>0</v>
      </c>
      <c r="Z19" s="275">
        <f t="shared" si="1"/>
        <v>0</v>
      </c>
      <c r="AA19" s="275">
        <f t="shared" si="1"/>
        <v>0</v>
      </c>
      <c r="AB19" s="275">
        <f t="shared" si="1"/>
        <v>0</v>
      </c>
      <c r="AC19" s="275">
        <f t="shared" si="1"/>
        <v>0</v>
      </c>
      <c r="AD19" s="275">
        <f t="shared" si="1"/>
        <v>0</v>
      </c>
      <c r="AE19" s="275">
        <f t="shared" si="0"/>
        <v>1200000</v>
      </c>
    </row>
    <row r="20" spans="1:31" x14ac:dyDescent="0.2">
      <c r="A20" s="1209"/>
      <c r="B20" s="1209"/>
      <c r="C20" s="1209"/>
      <c r="D20" s="1209"/>
      <c r="E20" s="1209"/>
      <c r="F20" s="1209"/>
      <c r="G20" s="1209"/>
      <c r="H20" s="1209"/>
      <c r="I20" s="1209"/>
      <c r="J20" s="1209"/>
      <c r="K20" s="1209"/>
      <c r="L20" s="1209"/>
      <c r="M20" s="1209"/>
      <c r="N20" s="1209"/>
      <c r="O20" s="1209"/>
      <c r="P20" s="1209"/>
      <c r="Q20" s="1209"/>
      <c r="R20" s="1209"/>
      <c r="S20" s="1209"/>
      <c r="T20" s="1209"/>
      <c r="U20" s="1209"/>
      <c r="V20" s="1209"/>
      <c r="W20" s="1209"/>
      <c r="X20" s="1209"/>
      <c r="Y20" s="1209"/>
      <c r="Z20" s="1209"/>
      <c r="AA20" s="1209"/>
      <c r="AB20" s="1209"/>
      <c r="AC20" s="1209"/>
      <c r="AD20" s="1209"/>
      <c r="AE20" s="1209"/>
    </row>
    <row r="21" spans="1:31" x14ac:dyDescent="0.2">
      <c r="A21" s="251" t="s">
        <v>529</v>
      </c>
      <c r="B21" s="252"/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66"/>
    </row>
    <row r="22" spans="1:31" x14ac:dyDescent="0.2">
      <c r="A22" s="237"/>
      <c r="B22" s="237"/>
      <c r="C22" s="266"/>
      <c r="D22" s="266"/>
      <c r="E22" s="266"/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</row>
    <row r="23" spans="1:31" x14ac:dyDescent="0.2">
      <c r="A23" s="237"/>
      <c r="B23" s="237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</row>
    <row r="24" spans="1:31" x14ac:dyDescent="0.2">
      <c r="A24" s="237"/>
      <c r="B24" s="237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</row>
    <row r="25" spans="1:31" x14ac:dyDescent="0.2">
      <c r="A25" s="237"/>
      <c r="B25" s="237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</row>
    <row r="26" spans="1:31" x14ac:dyDescent="0.2">
      <c r="A26" s="237"/>
      <c r="B26" s="237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</row>
    <row r="27" spans="1:31" x14ac:dyDescent="0.2">
      <c r="A27" s="237"/>
      <c r="B27" s="237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</row>
    <row r="28" spans="1:31" x14ac:dyDescent="0.2">
      <c r="A28" s="237"/>
      <c r="B28" s="237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</row>
    <row r="29" spans="1:31" x14ac:dyDescent="0.2">
      <c r="A29" s="237"/>
      <c r="B29" s="237"/>
      <c r="C29" s="266"/>
      <c r="D29" s="266"/>
      <c r="E29" s="266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</row>
    <row r="30" spans="1:31" x14ac:dyDescent="0.2">
      <c r="A30" s="237"/>
      <c r="B30" s="237"/>
      <c r="C30" s="266"/>
      <c r="D30" s="266"/>
      <c r="E30" s="266"/>
      <c r="F30" s="266"/>
      <c r="G30" s="266"/>
      <c r="H30" s="266"/>
      <c r="I30" s="266"/>
      <c r="J30" s="266"/>
      <c r="K30" s="266"/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</row>
    <row r="31" spans="1:31" x14ac:dyDescent="0.2">
      <c r="A31" s="237"/>
      <c r="B31" s="237"/>
      <c r="C31" s="266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</row>
    <row r="32" spans="1:31" s="237" customFormat="1" x14ac:dyDescent="0.2"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</row>
    <row r="33" spans="3:31" s="237" customFormat="1" x14ac:dyDescent="0.2">
      <c r="C33" s="266"/>
      <c r="D33" s="266"/>
      <c r="E33" s="266"/>
      <c r="F33" s="266"/>
      <c r="G33" s="266"/>
      <c r="H33" s="266"/>
      <c r="I33" s="266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</row>
    <row r="34" spans="3:31" s="237" customFormat="1" x14ac:dyDescent="0.2"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</row>
    <row r="35" spans="3:31" s="237" customFormat="1" x14ac:dyDescent="0.2"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</row>
    <row r="36" spans="3:31" s="237" customFormat="1" x14ac:dyDescent="0.2"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</row>
    <row r="37" spans="3:31" s="237" customFormat="1" x14ac:dyDescent="0.2"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</row>
    <row r="38" spans="3:31" s="237" customFormat="1" x14ac:dyDescent="0.2"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</row>
    <row r="39" spans="3:31" s="237" customFormat="1" x14ac:dyDescent="0.2"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</row>
    <row r="40" spans="3:31" s="237" customFormat="1" x14ac:dyDescent="0.2"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</row>
    <row r="41" spans="3:31" s="237" customFormat="1" x14ac:dyDescent="0.2"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</row>
    <row r="42" spans="3:31" s="237" customFormat="1" x14ac:dyDescent="0.2"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</row>
    <row r="43" spans="3:31" s="237" customFormat="1" x14ac:dyDescent="0.2"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</row>
    <row r="44" spans="3:31" s="237" customFormat="1" x14ac:dyDescent="0.2"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</row>
    <row r="45" spans="3:31" s="237" customFormat="1" x14ac:dyDescent="0.2"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</row>
    <row r="46" spans="3:31" s="237" customFormat="1" x14ac:dyDescent="0.2"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</row>
    <row r="47" spans="3:31" s="237" customFormat="1" x14ac:dyDescent="0.2"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</row>
    <row r="48" spans="3:31" s="237" customFormat="1" x14ac:dyDescent="0.2"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</row>
    <row r="49" spans="3:31" s="237" customFormat="1" x14ac:dyDescent="0.2"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</row>
    <row r="50" spans="3:31" s="237" customFormat="1" x14ac:dyDescent="0.2"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</row>
    <row r="51" spans="3:31" s="237" customFormat="1" x14ac:dyDescent="0.2"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</row>
    <row r="52" spans="3:31" s="237" customFormat="1" x14ac:dyDescent="0.2"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</row>
    <row r="53" spans="3:31" s="237" customFormat="1" x14ac:dyDescent="0.2"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</row>
    <row r="54" spans="3:31" s="237" customFormat="1" x14ac:dyDescent="0.2"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</row>
    <row r="55" spans="3:31" s="237" customFormat="1" x14ac:dyDescent="0.2"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</row>
    <row r="56" spans="3:31" s="237" customFormat="1" x14ac:dyDescent="0.2"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</row>
    <row r="57" spans="3:31" s="237" customFormat="1" x14ac:dyDescent="0.2"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</row>
    <row r="58" spans="3:31" s="237" customFormat="1" x14ac:dyDescent="0.2"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</row>
    <row r="59" spans="3:31" s="237" customFormat="1" x14ac:dyDescent="0.2">
      <c r="C59" s="266"/>
      <c r="D59" s="266"/>
      <c r="E59" s="266"/>
      <c r="F59" s="266"/>
      <c r="G59" s="266"/>
      <c r="H59" s="266"/>
      <c r="I59" s="266"/>
      <c r="J59" s="266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</row>
    <row r="60" spans="3:31" s="237" customFormat="1" x14ac:dyDescent="0.2"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</row>
    <row r="61" spans="3:31" s="237" customFormat="1" x14ac:dyDescent="0.2">
      <c r="C61" s="266"/>
      <c r="D61" s="266"/>
      <c r="E61" s="266"/>
      <c r="F61" s="266"/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</row>
    <row r="62" spans="3:31" s="237" customFormat="1" x14ac:dyDescent="0.2">
      <c r="C62" s="266"/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</row>
    <row r="63" spans="3:31" s="237" customFormat="1" x14ac:dyDescent="0.2">
      <c r="C63" s="266"/>
      <c r="D63" s="266"/>
      <c r="E63" s="266"/>
      <c r="F63" s="266"/>
      <c r="G63" s="266"/>
      <c r="H63" s="266"/>
      <c r="I63" s="266"/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</row>
    <row r="64" spans="3:31" s="237" customFormat="1" x14ac:dyDescent="0.2">
      <c r="C64" s="266"/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</row>
    <row r="65" spans="3:31" s="237" customFormat="1" x14ac:dyDescent="0.2">
      <c r="C65" s="266"/>
      <c r="D65" s="266"/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</row>
    <row r="66" spans="3:31" s="237" customFormat="1" x14ac:dyDescent="0.2">
      <c r="C66" s="266"/>
      <c r="D66" s="266"/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</row>
    <row r="67" spans="3:31" s="237" customFormat="1" x14ac:dyDescent="0.2">
      <c r="C67" s="266"/>
      <c r="D67" s="266"/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</row>
    <row r="68" spans="3:31" s="237" customFormat="1" x14ac:dyDescent="0.2">
      <c r="C68" s="266"/>
      <c r="D68" s="266"/>
      <c r="E68" s="266"/>
      <c r="F68" s="266"/>
      <c r="G68" s="266"/>
      <c r="H68" s="266"/>
      <c r="I68" s="266"/>
      <c r="J68" s="266"/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</row>
    <row r="69" spans="3:31" s="237" customFormat="1" x14ac:dyDescent="0.2">
      <c r="C69" s="266"/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</row>
    <row r="70" spans="3:31" s="237" customFormat="1" x14ac:dyDescent="0.2">
      <c r="C70" s="266"/>
      <c r="D70" s="266"/>
      <c r="E70" s="266"/>
      <c r="F70" s="266"/>
      <c r="G70" s="266"/>
      <c r="H70" s="266"/>
      <c r="I70" s="266"/>
      <c r="J70" s="266"/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</row>
    <row r="71" spans="3:31" s="237" customFormat="1" x14ac:dyDescent="0.2">
      <c r="C71" s="266"/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</row>
    <row r="72" spans="3:31" s="237" customFormat="1" x14ac:dyDescent="0.2">
      <c r="C72" s="266"/>
      <c r="D72" s="266"/>
      <c r="E72" s="266"/>
      <c r="F72" s="266"/>
      <c r="G72" s="266"/>
      <c r="H72" s="266"/>
      <c r="I72" s="266"/>
      <c r="J72" s="266"/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</row>
    <row r="73" spans="3:31" s="237" customFormat="1" x14ac:dyDescent="0.2">
      <c r="C73" s="266"/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</row>
    <row r="74" spans="3:31" s="237" customFormat="1" x14ac:dyDescent="0.2">
      <c r="C74" s="266"/>
      <c r="D74" s="266"/>
      <c r="E74" s="266"/>
      <c r="F74" s="266"/>
      <c r="G74" s="266"/>
      <c r="H74" s="266"/>
      <c r="I74" s="266"/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</row>
    <row r="75" spans="3:31" s="237" customFormat="1" x14ac:dyDescent="0.2">
      <c r="C75" s="266"/>
      <c r="D75" s="266"/>
      <c r="E75" s="266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</row>
    <row r="76" spans="3:31" s="237" customFormat="1" x14ac:dyDescent="0.2">
      <c r="C76" s="266"/>
      <c r="D76" s="266"/>
      <c r="E76" s="266"/>
      <c r="F76" s="266"/>
      <c r="G76" s="266"/>
      <c r="H76" s="266"/>
      <c r="I76" s="266"/>
      <c r="J76" s="266"/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</row>
    <row r="77" spans="3:31" s="237" customFormat="1" x14ac:dyDescent="0.2"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</row>
    <row r="78" spans="3:31" s="237" customFormat="1" x14ac:dyDescent="0.2">
      <c r="C78" s="266"/>
      <c r="D78" s="266"/>
      <c r="E78" s="266"/>
      <c r="F78" s="266"/>
      <c r="G78" s="266"/>
      <c r="H78" s="266"/>
      <c r="I78" s="266"/>
      <c r="J78" s="266"/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  <c r="AD78" s="266"/>
      <c r="AE78" s="266"/>
    </row>
    <row r="79" spans="3:31" s="237" customFormat="1" x14ac:dyDescent="0.2">
      <c r="C79" s="266"/>
      <c r="D79" s="266"/>
      <c r="E79" s="266"/>
      <c r="F79" s="266"/>
      <c r="G79" s="266"/>
      <c r="H79" s="266"/>
      <c r="I79" s="266"/>
      <c r="J79" s="266"/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6"/>
      <c r="AE79" s="266"/>
    </row>
    <row r="80" spans="3:31" s="237" customFormat="1" x14ac:dyDescent="0.2">
      <c r="C80" s="266"/>
      <c r="D80" s="266"/>
      <c r="E80" s="266"/>
      <c r="F80" s="266"/>
      <c r="G80" s="266"/>
      <c r="H80" s="266"/>
      <c r="I80" s="266"/>
      <c r="J80" s="266"/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</row>
    <row r="81" spans="3:31" s="237" customFormat="1" x14ac:dyDescent="0.2">
      <c r="C81" s="266"/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</row>
    <row r="82" spans="3:31" s="237" customFormat="1" x14ac:dyDescent="0.2">
      <c r="C82" s="266"/>
      <c r="D82" s="266"/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6"/>
      <c r="AE82" s="266"/>
    </row>
    <row r="83" spans="3:31" s="237" customFormat="1" x14ac:dyDescent="0.2">
      <c r="C83" s="266"/>
      <c r="D83" s="266"/>
      <c r="E83" s="266"/>
      <c r="F83" s="266"/>
      <c r="G83" s="266"/>
      <c r="H83" s="266"/>
      <c r="I83" s="266"/>
      <c r="J83" s="266"/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  <c r="AD83" s="266"/>
      <c r="AE83" s="266"/>
    </row>
    <row r="84" spans="3:31" s="237" customFormat="1" x14ac:dyDescent="0.2">
      <c r="C84" s="266"/>
      <c r="D84" s="266"/>
      <c r="E84" s="266"/>
      <c r="F84" s="266"/>
      <c r="G84" s="266"/>
      <c r="H84" s="266"/>
      <c r="I84" s="266"/>
      <c r="J84" s="266"/>
      <c r="K84" s="266"/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  <c r="AD84" s="266"/>
      <c r="AE84" s="266"/>
    </row>
    <row r="85" spans="3:31" s="237" customFormat="1" x14ac:dyDescent="0.2">
      <c r="C85" s="266"/>
      <c r="D85" s="266"/>
      <c r="E85" s="266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</row>
    <row r="86" spans="3:31" s="237" customFormat="1" x14ac:dyDescent="0.2">
      <c r="C86" s="266"/>
      <c r="D86" s="266"/>
      <c r="E86" s="266"/>
      <c r="F86" s="266"/>
      <c r="G86" s="266"/>
      <c r="H86" s="266"/>
      <c r="I86" s="266"/>
      <c r="J86" s="266"/>
      <c r="K86" s="266"/>
      <c r="L86" s="266"/>
      <c r="M86" s="266"/>
      <c r="N86" s="266"/>
      <c r="O86" s="266"/>
      <c r="P86" s="266"/>
      <c r="Q86" s="266"/>
      <c r="R86" s="266"/>
      <c r="S86" s="266"/>
      <c r="T86" s="266"/>
      <c r="U86" s="266"/>
      <c r="V86" s="266"/>
      <c r="W86" s="266"/>
      <c r="X86" s="266"/>
      <c r="Y86" s="266"/>
      <c r="Z86" s="266"/>
      <c r="AA86" s="266"/>
      <c r="AB86" s="266"/>
      <c r="AC86" s="266"/>
      <c r="AD86" s="266"/>
      <c r="AE86" s="266"/>
    </row>
    <row r="87" spans="3:31" s="237" customFormat="1" x14ac:dyDescent="0.2">
      <c r="C87" s="266"/>
      <c r="D87" s="266"/>
      <c r="E87" s="266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</row>
    <row r="88" spans="3:31" s="237" customFormat="1" x14ac:dyDescent="0.2">
      <c r="C88" s="266"/>
      <c r="D88" s="266"/>
      <c r="E88" s="266"/>
      <c r="F88" s="266"/>
      <c r="G88" s="266"/>
      <c r="H88" s="266"/>
      <c r="I88" s="266"/>
      <c r="J88" s="266"/>
      <c r="K88" s="266"/>
      <c r="L88" s="266"/>
      <c r="M88" s="266"/>
      <c r="N88" s="266"/>
      <c r="O88" s="266"/>
      <c r="P88" s="266"/>
      <c r="Q88" s="266"/>
      <c r="R88" s="266"/>
      <c r="S88" s="266"/>
      <c r="T88" s="266"/>
      <c r="U88" s="266"/>
      <c r="V88" s="266"/>
      <c r="W88" s="266"/>
      <c r="X88" s="266"/>
      <c r="Y88" s="266"/>
      <c r="Z88" s="266"/>
      <c r="AA88" s="266"/>
      <c r="AB88" s="266"/>
      <c r="AC88" s="266"/>
      <c r="AD88" s="266"/>
      <c r="AE88" s="266"/>
    </row>
    <row r="89" spans="3:31" s="237" customFormat="1" x14ac:dyDescent="0.2"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</row>
    <row r="90" spans="3:31" s="237" customFormat="1" x14ac:dyDescent="0.2">
      <c r="C90" s="266"/>
      <c r="D90" s="266"/>
      <c r="E90" s="266"/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  <c r="Q90" s="266"/>
      <c r="R90" s="266"/>
      <c r="S90" s="266"/>
      <c r="T90" s="266"/>
      <c r="U90" s="266"/>
      <c r="V90" s="266"/>
      <c r="W90" s="266"/>
      <c r="X90" s="266"/>
      <c r="Y90" s="266"/>
      <c r="Z90" s="266"/>
      <c r="AA90" s="266"/>
      <c r="AB90" s="266"/>
      <c r="AC90" s="266"/>
      <c r="AD90" s="266"/>
      <c r="AE90" s="266"/>
    </row>
    <row r="91" spans="3:31" s="237" customFormat="1" x14ac:dyDescent="0.2">
      <c r="C91" s="266"/>
      <c r="D91" s="266"/>
      <c r="E91" s="266"/>
      <c r="F91" s="266"/>
      <c r="G91" s="266"/>
      <c r="H91" s="266"/>
      <c r="I91" s="266"/>
      <c r="J91" s="266"/>
      <c r="K91" s="266"/>
      <c r="L91" s="266"/>
      <c r="M91" s="266"/>
      <c r="N91" s="266"/>
      <c r="O91" s="266"/>
      <c r="P91" s="266"/>
      <c r="Q91" s="266"/>
      <c r="R91" s="266"/>
      <c r="S91" s="266"/>
      <c r="T91" s="266"/>
      <c r="U91" s="266"/>
      <c r="V91" s="266"/>
      <c r="W91" s="266"/>
      <c r="X91" s="266"/>
      <c r="Y91" s="266"/>
      <c r="Z91" s="266"/>
      <c r="AA91" s="266"/>
      <c r="AB91" s="266"/>
      <c r="AC91" s="266"/>
      <c r="AD91" s="266"/>
      <c r="AE91" s="266"/>
    </row>
    <row r="92" spans="3:31" s="237" customFormat="1" x14ac:dyDescent="0.2">
      <c r="C92" s="266"/>
      <c r="D92" s="266"/>
      <c r="E92" s="266"/>
      <c r="F92" s="266"/>
      <c r="G92" s="266"/>
      <c r="H92" s="266"/>
      <c r="I92" s="266"/>
      <c r="J92" s="266"/>
      <c r="K92" s="266"/>
      <c r="L92" s="266"/>
      <c r="M92" s="266"/>
      <c r="N92" s="266"/>
      <c r="O92" s="266"/>
      <c r="P92" s="266"/>
      <c r="Q92" s="266"/>
      <c r="R92" s="266"/>
      <c r="S92" s="266"/>
      <c r="T92" s="266"/>
      <c r="U92" s="266"/>
      <c r="V92" s="266"/>
      <c r="W92" s="266"/>
      <c r="X92" s="266"/>
      <c r="Y92" s="266"/>
      <c r="Z92" s="266"/>
      <c r="AA92" s="266"/>
      <c r="AB92" s="266"/>
      <c r="AC92" s="266"/>
      <c r="AD92" s="266"/>
      <c r="AE92" s="266"/>
    </row>
    <row r="93" spans="3:31" s="237" customFormat="1" x14ac:dyDescent="0.2">
      <c r="C93" s="266"/>
      <c r="D93" s="266"/>
      <c r="E93" s="266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</row>
    <row r="94" spans="3:31" s="237" customFormat="1" x14ac:dyDescent="0.2">
      <c r="C94" s="266"/>
      <c r="D94" s="266"/>
      <c r="E94" s="266"/>
      <c r="F94" s="266"/>
      <c r="G94" s="266"/>
      <c r="H94" s="266"/>
      <c r="I94" s="266"/>
      <c r="J94" s="266"/>
      <c r="K94" s="266"/>
      <c r="L94" s="266"/>
      <c r="M94" s="266"/>
      <c r="N94" s="266"/>
      <c r="O94" s="266"/>
      <c r="P94" s="266"/>
      <c r="Q94" s="266"/>
      <c r="R94" s="266"/>
      <c r="S94" s="266"/>
      <c r="T94" s="266"/>
      <c r="U94" s="266"/>
      <c r="V94" s="266"/>
      <c r="W94" s="266"/>
      <c r="X94" s="266"/>
      <c r="Y94" s="266"/>
      <c r="Z94" s="266"/>
      <c r="AA94" s="266"/>
      <c r="AB94" s="266"/>
      <c r="AC94" s="266"/>
      <c r="AD94" s="266"/>
      <c r="AE94" s="266"/>
    </row>
    <row r="95" spans="3:31" s="237" customFormat="1" x14ac:dyDescent="0.2">
      <c r="C95" s="266"/>
      <c r="D95" s="266"/>
      <c r="E95" s="266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</row>
    <row r="96" spans="3:31" s="237" customFormat="1" x14ac:dyDescent="0.2">
      <c r="C96" s="266"/>
      <c r="D96" s="266"/>
      <c r="E96" s="266"/>
      <c r="F96" s="266"/>
      <c r="G96" s="266"/>
      <c r="H96" s="266"/>
      <c r="I96" s="266"/>
      <c r="J96" s="266"/>
      <c r="K96" s="266"/>
      <c r="L96" s="266"/>
      <c r="M96" s="266"/>
      <c r="N96" s="266"/>
      <c r="O96" s="266"/>
      <c r="P96" s="266"/>
      <c r="Q96" s="266"/>
      <c r="R96" s="266"/>
      <c r="S96" s="266"/>
      <c r="T96" s="266"/>
      <c r="U96" s="266"/>
      <c r="V96" s="266"/>
      <c r="W96" s="266"/>
      <c r="X96" s="266"/>
      <c r="Y96" s="266"/>
      <c r="Z96" s="266"/>
      <c r="AA96" s="266"/>
      <c r="AB96" s="266"/>
      <c r="AC96" s="266"/>
      <c r="AD96" s="266"/>
      <c r="AE96" s="266"/>
    </row>
    <row r="97" spans="3:31" s="237" customFormat="1" x14ac:dyDescent="0.2">
      <c r="C97" s="266"/>
      <c r="D97" s="266"/>
      <c r="E97" s="266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</row>
    <row r="98" spans="3:31" s="237" customFormat="1" x14ac:dyDescent="0.2">
      <c r="C98" s="266"/>
      <c r="D98" s="266"/>
      <c r="E98" s="266"/>
      <c r="F98" s="266"/>
      <c r="G98" s="266"/>
      <c r="H98" s="266"/>
      <c r="I98" s="266"/>
      <c r="J98" s="266"/>
      <c r="K98" s="266"/>
      <c r="L98" s="266"/>
      <c r="M98" s="266"/>
      <c r="N98" s="266"/>
      <c r="O98" s="266"/>
      <c r="P98" s="266"/>
      <c r="Q98" s="266"/>
      <c r="R98" s="266"/>
      <c r="S98" s="266"/>
      <c r="T98" s="266"/>
      <c r="U98" s="266"/>
      <c r="V98" s="266"/>
      <c r="W98" s="266"/>
      <c r="X98" s="266"/>
      <c r="Y98" s="266"/>
      <c r="Z98" s="266"/>
      <c r="AA98" s="266"/>
      <c r="AB98" s="266"/>
      <c r="AC98" s="266"/>
      <c r="AD98" s="266"/>
      <c r="AE98" s="266"/>
    </row>
    <row r="99" spans="3:31" s="237" customFormat="1" x14ac:dyDescent="0.2">
      <c r="C99" s="266"/>
      <c r="D99" s="266"/>
      <c r="E99" s="266"/>
      <c r="F99" s="266"/>
      <c r="G99" s="266"/>
      <c r="H99" s="266"/>
      <c r="I99" s="266"/>
      <c r="J99" s="266"/>
      <c r="K99" s="266"/>
      <c r="L99" s="266"/>
      <c r="M99" s="266"/>
      <c r="N99" s="266"/>
      <c r="O99" s="266"/>
      <c r="P99" s="266"/>
      <c r="Q99" s="266"/>
      <c r="R99" s="266"/>
      <c r="S99" s="266"/>
      <c r="T99" s="266"/>
      <c r="U99" s="266"/>
      <c r="V99" s="266"/>
      <c r="W99" s="266"/>
      <c r="X99" s="266"/>
      <c r="Y99" s="266"/>
      <c r="Z99" s="266"/>
      <c r="AA99" s="266"/>
      <c r="AB99" s="266"/>
      <c r="AC99" s="266"/>
      <c r="AD99" s="266"/>
      <c r="AE99" s="266"/>
    </row>
    <row r="100" spans="3:31" s="237" customFormat="1" x14ac:dyDescent="0.2">
      <c r="C100" s="266"/>
      <c r="D100" s="266"/>
      <c r="E100" s="266"/>
      <c r="F100" s="266"/>
      <c r="G100" s="266"/>
      <c r="H100" s="266"/>
      <c r="I100" s="266"/>
      <c r="J100" s="266"/>
      <c r="K100" s="266"/>
      <c r="L100" s="266"/>
      <c r="M100" s="266"/>
      <c r="N100" s="266"/>
      <c r="O100" s="266"/>
      <c r="P100" s="266"/>
      <c r="Q100" s="266"/>
      <c r="R100" s="266"/>
      <c r="S100" s="266"/>
      <c r="T100" s="266"/>
      <c r="U100" s="266"/>
      <c r="V100" s="266"/>
      <c r="W100" s="266"/>
      <c r="X100" s="266"/>
      <c r="Y100" s="266"/>
      <c r="Z100" s="266"/>
      <c r="AA100" s="266"/>
      <c r="AB100" s="266"/>
      <c r="AC100" s="266"/>
      <c r="AD100" s="266"/>
      <c r="AE100" s="266"/>
    </row>
    <row r="101" spans="3:31" s="237" customFormat="1" x14ac:dyDescent="0.2">
      <c r="C101" s="266"/>
      <c r="D101" s="266"/>
      <c r="E101" s="266"/>
      <c r="F101" s="266"/>
      <c r="G101" s="266"/>
      <c r="H101" s="266"/>
      <c r="I101" s="266"/>
      <c r="J101" s="266"/>
      <c r="K101" s="266"/>
      <c r="L101" s="266"/>
      <c r="M101" s="266"/>
      <c r="N101" s="266"/>
      <c r="O101" s="266"/>
      <c r="P101" s="266"/>
      <c r="Q101" s="266"/>
      <c r="R101" s="266"/>
      <c r="S101" s="266"/>
      <c r="T101" s="266"/>
      <c r="U101" s="266"/>
      <c r="V101" s="266"/>
      <c r="W101" s="266"/>
      <c r="X101" s="266"/>
      <c r="Y101" s="266"/>
      <c r="Z101" s="266"/>
      <c r="AA101" s="266"/>
      <c r="AB101" s="266"/>
      <c r="AC101" s="266"/>
      <c r="AD101" s="266"/>
      <c r="AE101" s="266"/>
    </row>
    <row r="102" spans="3:31" s="237" customFormat="1" x14ac:dyDescent="0.2">
      <c r="C102" s="266"/>
      <c r="D102" s="266"/>
      <c r="E102" s="266"/>
      <c r="F102" s="266"/>
      <c r="G102" s="266"/>
      <c r="H102" s="266"/>
      <c r="I102" s="266"/>
      <c r="J102" s="266"/>
      <c r="K102" s="266"/>
      <c r="L102" s="266"/>
      <c r="M102" s="266"/>
      <c r="N102" s="266"/>
      <c r="O102" s="266"/>
      <c r="P102" s="266"/>
      <c r="Q102" s="266"/>
      <c r="R102" s="266"/>
      <c r="S102" s="266"/>
      <c r="T102" s="266"/>
      <c r="U102" s="266"/>
      <c r="V102" s="266"/>
      <c r="W102" s="266"/>
      <c r="X102" s="266"/>
      <c r="Y102" s="266"/>
      <c r="Z102" s="266"/>
      <c r="AA102" s="266"/>
      <c r="AB102" s="266"/>
      <c r="AC102" s="266"/>
      <c r="AD102" s="266"/>
      <c r="AE102" s="266"/>
    </row>
    <row r="103" spans="3:31" s="237" customFormat="1" x14ac:dyDescent="0.2">
      <c r="C103" s="266"/>
      <c r="D103" s="266"/>
      <c r="E103" s="266"/>
      <c r="F103" s="266"/>
      <c r="G103" s="266"/>
      <c r="H103" s="266"/>
      <c r="I103" s="266"/>
      <c r="J103" s="266"/>
      <c r="K103" s="266"/>
      <c r="L103" s="266"/>
      <c r="M103" s="266"/>
      <c r="N103" s="266"/>
      <c r="O103" s="266"/>
      <c r="P103" s="266"/>
      <c r="Q103" s="266"/>
      <c r="R103" s="266"/>
      <c r="S103" s="266"/>
      <c r="T103" s="266"/>
      <c r="U103" s="266"/>
      <c r="V103" s="266"/>
      <c r="W103" s="266"/>
      <c r="X103" s="266"/>
      <c r="Y103" s="266"/>
      <c r="Z103" s="266"/>
      <c r="AA103" s="266"/>
      <c r="AB103" s="266"/>
      <c r="AC103" s="266"/>
      <c r="AD103" s="266"/>
      <c r="AE103" s="266"/>
    </row>
    <row r="104" spans="3:31" s="237" customFormat="1" x14ac:dyDescent="0.2">
      <c r="C104" s="266"/>
      <c r="D104" s="266"/>
      <c r="E104" s="266"/>
      <c r="F104" s="266"/>
      <c r="G104" s="266"/>
      <c r="H104" s="266"/>
      <c r="I104" s="266"/>
      <c r="J104" s="266"/>
      <c r="K104" s="266"/>
      <c r="L104" s="266"/>
      <c r="M104" s="266"/>
      <c r="N104" s="266"/>
      <c r="O104" s="266"/>
      <c r="P104" s="266"/>
      <c r="Q104" s="266"/>
      <c r="R104" s="266"/>
      <c r="S104" s="266"/>
      <c r="T104" s="266"/>
      <c r="U104" s="266"/>
      <c r="V104" s="266"/>
      <c r="W104" s="266"/>
      <c r="X104" s="266"/>
      <c r="Y104" s="266"/>
      <c r="Z104" s="266"/>
      <c r="AA104" s="266"/>
      <c r="AB104" s="266"/>
      <c r="AC104" s="266"/>
      <c r="AD104" s="266"/>
      <c r="AE104" s="266"/>
    </row>
    <row r="105" spans="3:31" s="237" customFormat="1" x14ac:dyDescent="0.2">
      <c r="C105" s="266"/>
      <c r="D105" s="266"/>
      <c r="E105" s="266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</row>
    <row r="106" spans="3:31" s="237" customFormat="1" x14ac:dyDescent="0.2">
      <c r="C106" s="266"/>
      <c r="D106" s="266"/>
      <c r="E106" s="266"/>
      <c r="F106" s="266"/>
      <c r="G106" s="266"/>
      <c r="H106" s="266"/>
      <c r="I106" s="266"/>
      <c r="J106" s="266"/>
      <c r="K106" s="266"/>
      <c r="L106" s="266"/>
      <c r="M106" s="266"/>
      <c r="N106" s="266"/>
      <c r="O106" s="266"/>
      <c r="P106" s="266"/>
      <c r="Q106" s="266"/>
      <c r="R106" s="266"/>
      <c r="S106" s="266"/>
      <c r="T106" s="266"/>
      <c r="U106" s="266"/>
      <c r="V106" s="266"/>
      <c r="W106" s="266"/>
      <c r="X106" s="266"/>
      <c r="Y106" s="266"/>
      <c r="Z106" s="266"/>
      <c r="AA106" s="266"/>
      <c r="AB106" s="266"/>
      <c r="AC106" s="266"/>
      <c r="AD106" s="266"/>
      <c r="AE106" s="266"/>
    </row>
    <row r="107" spans="3:31" s="237" customFormat="1" x14ac:dyDescent="0.2">
      <c r="C107" s="266"/>
      <c r="D107" s="266"/>
      <c r="E107" s="266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</row>
    <row r="108" spans="3:31" s="237" customFormat="1" x14ac:dyDescent="0.2">
      <c r="C108" s="266"/>
      <c r="D108" s="266"/>
      <c r="E108" s="266"/>
      <c r="F108" s="266"/>
      <c r="G108" s="266"/>
      <c r="H108" s="266"/>
      <c r="I108" s="266"/>
      <c r="J108" s="266"/>
      <c r="K108" s="266"/>
      <c r="L108" s="266"/>
      <c r="M108" s="266"/>
      <c r="N108" s="266"/>
      <c r="O108" s="266"/>
      <c r="P108" s="266"/>
      <c r="Q108" s="266"/>
      <c r="R108" s="266"/>
      <c r="S108" s="266"/>
      <c r="T108" s="266"/>
      <c r="U108" s="266"/>
      <c r="V108" s="266"/>
      <c r="W108" s="266"/>
      <c r="X108" s="266"/>
      <c r="Y108" s="266"/>
      <c r="Z108" s="266"/>
      <c r="AA108" s="266"/>
      <c r="AB108" s="266"/>
      <c r="AC108" s="266"/>
      <c r="AD108" s="266"/>
      <c r="AE108" s="266"/>
    </row>
    <row r="109" spans="3:31" s="237" customFormat="1" x14ac:dyDescent="0.2">
      <c r="C109" s="266"/>
      <c r="D109" s="266"/>
      <c r="E109" s="266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</row>
    <row r="110" spans="3:31" s="237" customFormat="1" x14ac:dyDescent="0.2"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266"/>
      <c r="U110" s="266"/>
      <c r="V110" s="266"/>
      <c r="W110" s="266"/>
      <c r="X110" s="266"/>
      <c r="Y110" s="266"/>
      <c r="Z110" s="266"/>
      <c r="AA110" s="266"/>
      <c r="AB110" s="266"/>
      <c r="AC110" s="266"/>
      <c r="AD110" s="266"/>
      <c r="AE110" s="266"/>
    </row>
    <row r="111" spans="3:31" s="237" customFormat="1" x14ac:dyDescent="0.2">
      <c r="C111" s="266"/>
      <c r="D111" s="266"/>
      <c r="E111" s="266"/>
      <c r="F111" s="266"/>
      <c r="G111" s="266"/>
      <c r="H111" s="266"/>
      <c r="I111" s="266"/>
      <c r="J111" s="266"/>
      <c r="K111" s="266"/>
      <c r="L111" s="266"/>
      <c r="M111" s="266"/>
      <c r="N111" s="266"/>
      <c r="O111" s="266"/>
      <c r="P111" s="266"/>
      <c r="Q111" s="266"/>
      <c r="R111" s="266"/>
      <c r="S111" s="266"/>
      <c r="T111" s="266"/>
      <c r="U111" s="266"/>
      <c r="V111" s="266"/>
      <c r="W111" s="266"/>
      <c r="X111" s="266"/>
      <c r="Y111" s="266"/>
      <c r="Z111" s="266"/>
      <c r="AA111" s="266"/>
      <c r="AB111" s="266"/>
      <c r="AC111" s="266"/>
      <c r="AD111" s="266"/>
      <c r="AE111" s="266"/>
    </row>
    <row r="112" spans="3:31" s="237" customFormat="1" x14ac:dyDescent="0.2"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266"/>
      <c r="Y112" s="266"/>
      <c r="Z112" s="266"/>
      <c r="AA112" s="266"/>
      <c r="AB112" s="266"/>
      <c r="AC112" s="266"/>
      <c r="AD112" s="266"/>
      <c r="AE112" s="266"/>
    </row>
    <row r="113" spans="3:31" s="237" customFormat="1" x14ac:dyDescent="0.2">
      <c r="C113" s="266"/>
      <c r="D113" s="266"/>
      <c r="E113" s="266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</row>
    <row r="114" spans="3:31" s="237" customFormat="1" x14ac:dyDescent="0.2">
      <c r="C114" s="266"/>
      <c r="D114" s="266"/>
      <c r="E114" s="266"/>
      <c r="F114" s="266"/>
      <c r="G114" s="266"/>
      <c r="H114" s="266"/>
      <c r="I114" s="266"/>
      <c r="J114" s="266"/>
      <c r="K114" s="266"/>
      <c r="L114" s="266"/>
      <c r="M114" s="266"/>
      <c r="N114" s="266"/>
      <c r="O114" s="266"/>
      <c r="P114" s="266"/>
      <c r="Q114" s="266"/>
      <c r="R114" s="266"/>
      <c r="S114" s="266"/>
      <c r="T114" s="266"/>
      <c r="U114" s="266"/>
      <c r="V114" s="266"/>
      <c r="W114" s="266"/>
      <c r="X114" s="266"/>
      <c r="Y114" s="266"/>
      <c r="Z114" s="266"/>
      <c r="AA114" s="266"/>
      <c r="AB114" s="266"/>
      <c r="AC114" s="266"/>
      <c r="AD114" s="266"/>
      <c r="AE114" s="266"/>
    </row>
    <row r="115" spans="3:31" s="237" customFormat="1" x14ac:dyDescent="0.2">
      <c r="C115" s="266"/>
      <c r="D115" s="266"/>
      <c r="E115" s="266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</row>
    <row r="116" spans="3:31" s="237" customFormat="1" x14ac:dyDescent="0.2">
      <c r="C116" s="266"/>
      <c r="D116" s="266"/>
      <c r="E116" s="266"/>
      <c r="F116" s="266"/>
      <c r="G116" s="266"/>
      <c r="H116" s="266"/>
      <c r="I116" s="266"/>
      <c r="J116" s="266"/>
      <c r="K116" s="266"/>
      <c r="L116" s="266"/>
      <c r="M116" s="266"/>
      <c r="N116" s="266"/>
      <c r="O116" s="266"/>
      <c r="P116" s="266"/>
      <c r="Q116" s="266"/>
      <c r="R116" s="266"/>
      <c r="S116" s="266"/>
      <c r="T116" s="266"/>
      <c r="U116" s="266"/>
      <c r="V116" s="266"/>
      <c r="W116" s="266"/>
      <c r="X116" s="266"/>
      <c r="Y116" s="266"/>
      <c r="Z116" s="266"/>
      <c r="AA116" s="266"/>
      <c r="AB116" s="266"/>
      <c r="AC116" s="266"/>
      <c r="AD116" s="266"/>
      <c r="AE116" s="266"/>
    </row>
    <row r="117" spans="3:31" s="237" customFormat="1" x14ac:dyDescent="0.2">
      <c r="C117" s="266"/>
      <c r="D117" s="266"/>
      <c r="E117" s="266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</row>
    <row r="118" spans="3:31" s="237" customFormat="1" x14ac:dyDescent="0.2">
      <c r="C118" s="266"/>
      <c r="D118" s="266"/>
      <c r="E118" s="266"/>
      <c r="F118" s="266"/>
      <c r="G118" s="266"/>
      <c r="H118" s="266"/>
      <c r="I118" s="266"/>
      <c r="J118" s="266"/>
      <c r="K118" s="266"/>
      <c r="L118" s="266"/>
      <c r="M118" s="266"/>
      <c r="N118" s="266"/>
      <c r="O118" s="266"/>
      <c r="P118" s="266"/>
      <c r="Q118" s="266"/>
      <c r="R118" s="266"/>
      <c r="S118" s="266"/>
      <c r="T118" s="266"/>
      <c r="U118" s="266"/>
      <c r="V118" s="266"/>
      <c r="W118" s="266"/>
      <c r="X118" s="266"/>
      <c r="Y118" s="266"/>
      <c r="Z118" s="266"/>
      <c r="AA118" s="266"/>
      <c r="AB118" s="266"/>
      <c r="AC118" s="266"/>
      <c r="AD118" s="266"/>
      <c r="AE118" s="266"/>
    </row>
    <row r="119" spans="3:31" s="237" customFormat="1" x14ac:dyDescent="0.2">
      <c r="C119" s="266"/>
      <c r="D119" s="266"/>
      <c r="E119" s="266"/>
      <c r="F119" s="266"/>
      <c r="G119" s="266"/>
      <c r="H119" s="266"/>
      <c r="I119" s="266"/>
      <c r="J119" s="266"/>
      <c r="K119" s="266"/>
      <c r="L119" s="266"/>
      <c r="M119" s="266"/>
      <c r="N119" s="266"/>
      <c r="O119" s="266"/>
      <c r="P119" s="266"/>
      <c r="Q119" s="266"/>
      <c r="R119" s="266"/>
      <c r="S119" s="266"/>
      <c r="T119" s="266"/>
      <c r="U119" s="266"/>
      <c r="V119" s="266"/>
      <c r="W119" s="266"/>
      <c r="X119" s="266"/>
      <c r="Y119" s="266"/>
      <c r="Z119" s="266"/>
      <c r="AA119" s="266"/>
      <c r="AB119" s="266"/>
      <c r="AC119" s="266"/>
      <c r="AD119" s="266"/>
      <c r="AE119" s="266"/>
    </row>
    <row r="120" spans="3:31" s="237" customFormat="1" x14ac:dyDescent="0.2">
      <c r="C120" s="266"/>
      <c r="D120" s="266"/>
      <c r="E120" s="266"/>
      <c r="F120" s="266"/>
      <c r="G120" s="266"/>
      <c r="H120" s="266"/>
      <c r="I120" s="266"/>
      <c r="J120" s="266"/>
      <c r="K120" s="266"/>
      <c r="L120" s="266"/>
      <c r="M120" s="266"/>
      <c r="N120" s="266"/>
      <c r="O120" s="266"/>
      <c r="P120" s="266"/>
      <c r="Q120" s="266"/>
      <c r="R120" s="266"/>
      <c r="S120" s="266"/>
      <c r="T120" s="266"/>
      <c r="U120" s="266"/>
      <c r="V120" s="266"/>
      <c r="W120" s="266"/>
      <c r="X120" s="266"/>
      <c r="Y120" s="266"/>
      <c r="Z120" s="266"/>
      <c r="AA120" s="266"/>
      <c r="AB120" s="266"/>
      <c r="AC120" s="266"/>
      <c r="AD120" s="266"/>
      <c r="AE120" s="266"/>
    </row>
    <row r="121" spans="3:31" s="237" customFormat="1" x14ac:dyDescent="0.2">
      <c r="C121" s="266"/>
      <c r="D121" s="266"/>
      <c r="E121" s="266"/>
      <c r="F121" s="266"/>
      <c r="G121" s="266"/>
      <c r="H121" s="266"/>
      <c r="I121" s="266"/>
      <c r="J121" s="266"/>
      <c r="K121" s="266"/>
      <c r="L121" s="266"/>
      <c r="M121" s="266"/>
      <c r="N121" s="266"/>
      <c r="O121" s="266"/>
      <c r="P121" s="266"/>
      <c r="Q121" s="266"/>
      <c r="R121" s="266"/>
      <c r="S121" s="266"/>
      <c r="T121" s="266"/>
      <c r="U121" s="266"/>
      <c r="V121" s="266"/>
      <c r="W121" s="266"/>
      <c r="X121" s="266"/>
      <c r="Y121" s="266"/>
      <c r="Z121" s="266"/>
      <c r="AA121" s="266"/>
      <c r="AB121" s="266"/>
      <c r="AC121" s="266"/>
      <c r="AD121" s="266"/>
      <c r="AE121" s="266"/>
    </row>
    <row r="122" spans="3:31" s="237" customFormat="1" x14ac:dyDescent="0.2">
      <c r="C122" s="266"/>
      <c r="D122" s="266"/>
      <c r="E122" s="266"/>
      <c r="F122" s="266"/>
      <c r="G122" s="266"/>
      <c r="H122" s="266"/>
      <c r="I122" s="266"/>
      <c r="J122" s="266"/>
      <c r="K122" s="266"/>
      <c r="L122" s="266"/>
      <c r="M122" s="266"/>
      <c r="N122" s="266"/>
      <c r="O122" s="266"/>
      <c r="P122" s="266"/>
      <c r="Q122" s="266"/>
      <c r="R122" s="266"/>
      <c r="S122" s="266"/>
      <c r="T122" s="266"/>
      <c r="U122" s="266"/>
      <c r="V122" s="266"/>
      <c r="W122" s="266"/>
      <c r="X122" s="266"/>
      <c r="Y122" s="266"/>
      <c r="Z122" s="266"/>
      <c r="AA122" s="266"/>
      <c r="AB122" s="266"/>
      <c r="AC122" s="266"/>
      <c r="AD122" s="266"/>
      <c r="AE122" s="266"/>
    </row>
    <row r="123" spans="3:31" s="237" customFormat="1" x14ac:dyDescent="0.2">
      <c r="C123" s="266"/>
      <c r="D123" s="266"/>
      <c r="E123" s="266"/>
      <c r="F123" s="266"/>
      <c r="G123" s="266"/>
      <c r="H123" s="266"/>
      <c r="I123" s="266"/>
      <c r="J123" s="266"/>
      <c r="K123" s="266"/>
      <c r="L123" s="266"/>
      <c r="M123" s="266"/>
      <c r="N123" s="266"/>
      <c r="O123" s="266"/>
      <c r="P123" s="266"/>
      <c r="Q123" s="266"/>
      <c r="R123" s="266"/>
      <c r="S123" s="266"/>
      <c r="T123" s="266"/>
      <c r="U123" s="266"/>
      <c r="V123" s="266"/>
      <c r="W123" s="266"/>
      <c r="X123" s="266"/>
      <c r="Y123" s="266"/>
      <c r="Z123" s="266"/>
      <c r="AA123" s="266"/>
      <c r="AB123" s="266"/>
      <c r="AC123" s="266"/>
      <c r="AD123" s="266"/>
      <c r="AE123" s="266"/>
    </row>
    <row r="124" spans="3:31" s="237" customFormat="1" x14ac:dyDescent="0.2">
      <c r="C124" s="266"/>
      <c r="D124" s="266"/>
      <c r="E124" s="266"/>
      <c r="F124" s="266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6"/>
      <c r="T124" s="266"/>
      <c r="U124" s="266"/>
      <c r="V124" s="266"/>
      <c r="W124" s="266"/>
      <c r="X124" s="266"/>
      <c r="Y124" s="266"/>
      <c r="Z124" s="266"/>
      <c r="AA124" s="266"/>
      <c r="AB124" s="266"/>
      <c r="AC124" s="266"/>
      <c r="AD124" s="266"/>
      <c r="AE124" s="266"/>
    </row>
    <row r="125" spans="3:31" s="237" customFormat="1" x14ac:dyDescent="0.2">
      <c r="C125" s="266"/>
      <c r="D125" s="266"/>
      <c r="E125" s="266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</row>
    <row r="126" spans="3:31" s="237" customFormat="1" x14ac:dyDescent="0.2">
      <c r="C126" s="266"/>
      <c r="D126" s="266"/>
      <c r="E126" s="266"/>
      <c r="F126" s="266"/>
      <c r="G126" s="266"/>
      <c r="H126" s="266"/>
      <c r="I126" s="266"/>
      <c r="J126" s="266"/>
      <c r="K126" s="266"/>
      <c r="L126" s="266"/>
      <c r="M126" s="266"/>
      <c r="N126" s="266"/>
      <c r="O126" s="266"/>
      <c r="P126" s="266"/>
      <c r="Q126" s="266"/>
      <c r="R126" s="266"/>
      <c r="S126" s="266"/>
      <c r="T126" s="266"/>
      <c r="U126" s="266"/>
      <c r="V126" s="266"/>
      <c r="W126" s="266"/>
      <c r="X126" s="266"/>
      <c r="Y126" s="266"/>
      <c r="Z126" s="266"/>
      <c r="AA126" s="266"/>
      <c r="AB126" s="266"/>
      <c r="AC126" s="266"/>
      <c r="AD126" s="266"/>
      <c r="AE126" s="266"/>
    </row>
    <row r="127" spans="3:31" s="237" customFormat="1" x14ac:dyDescent="0.2">
      <c r="C127" s="266"/>
      <c r="D127" s="266"/>
      <c r="E127" s="266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</row>
    <row r="128" spans="3:31" s="237" customFormat="1" x14ac:dyDescent="0.2">
      <c r="C128" s="266"/>
      <c r="D128" s="266"/>
      <c r="E128" s="266"/>
      <c r="F128" s="266"/>
      <c r="G128" s="266"/>
      <c r="H128" s="266"/>
      <c r="I128" s="266"/>
      <c r="J128" s="266"/>
      <c r="K128" s="266"/>
      <c r="L128" s="266"/>
      <c r="M128" s="266"/>
      <c r="N128" s="266"/>
      <c r="O128" s="266"/>
      <c r="P128" s="266"/>
      <c r="Q128" s="266"/>
      <c r="R128" s="266"/>
      <c r="S128" s="266"/>
      <c r="T128" s="266"/>
      <c r="U128" s="266"/>
      <c r="V128" s="266"/>
      <c r="W128" s="266"/>
      <c r="X128" s="266"/>
      <c r="Y128" s="266"/>
      <c r="Z128" s="266"/>
      <c r="AA128" s="266"/>
      <c r="AB128" s="266"/>
      <c r="AC128" s="266"/>
      <c r="AD128" s="266"/>
      <c r="AE128" s="266"/>
    </row>
    <row r="129" spans="3:31" s="237" customFormat="1" x14ac:dyDescent="0.2">
      <c r="C129" s="266"/>
      <c r="D129" s="266"/>
      <c r="E129" s="266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</row>
    <row r="130" spans="3:31" s="237" customFormat="1" x14ac:dyDescent="0.2">
      <c r="C130" s="266"/>
      <c r="D130" s="266"/>
      <c r="E130" s="266"/>
      <c r="F130" s="266"/>
      <c r="G130" s="266"/>
      <c r="H130" s="266"/>
      <c r="I130" s="266"/>
      <c r="J130" s="266"/>
      <c r="K130" s="266"/>
      <c r="L130" s="266"/>
      <c r="M130" s="266"/>
      <c r="N130" s="266"/>
      <c r="O130" s="266"/>
      <c r="P130" s="266"/>
      <c r="Q130" s="266"/>
      <c r="R130" s="266"/>
      <c r="S130" s="266"/>
      <c r="T130" s="266"/>
      <c r="U130" s="266"/>
      <c r="V130" s="266"/>
      <c r="W130" s="266"/>
      <c r="X130" s="266"/>
      <c r="Y130" s="266"/>
      <c r="Z130" s="266"/>
      <c r="AA130" s="266"/>
      <c r="AB130" s="266"/>
      <c r="AC130" s="266"/>
      <c r="AD130" s="266"/>
      <c r="AE130" s="266"/>
    </row>
    <row r="131" spans="3:31" s="237" customFormat="1" x14ac:dyDescent="0.2">
      <c r="C131" s="266"/>
      <c r="D131" s="266"/>
      <c r="E131" s="266"/>
      <c r="F131" s="266"/>
      <c r="G131" s="266"/>
      <c r="H131" s="266"/>
      <c r="I131" s="266"/>
      <c r="J131" s="266"/>
      <c r="K131" s="266"/>
      <c r="L131" s="266"/>
      <c r="M131" s="266"/>
      <c r="N131" s="266"/>
      <c r="O131" s="266"/>
      <c r="P131" s="266"/>
      <c r="Q131" s="266"/>
      <c r="R131" s="266"/>
      <c r="S131" s="266"/>
      <c r="T131" s="266"/>
      <c r="U131" s="266"/>
      <c r="V131" s="266"/>
      <c r="W131" s="266"/>
      <c r="X131" s="266"/>
      <c r="Y131" s="266"/>
      <c r="Z131" s="266"/>
      <c r="AA131" s="266"/>
      <c r="AB131" s="266"/>
      <c r="AC131" s="266"/>
      <c r="AD131" s="266"/>
      <c r="AE131" s="266"/>
    </row>
    <row r="132" spans="3:31" s="237" customFormat="1" x14ac:dyDescent="0.2">
      <c r="C132" s="266"/>
      <c r="D132" s="266"/>
      <c r="E132" s="266"/>
      <c r="F132" s="266"/>
      <c r="G132" s="266"/>
      <c r="H132" s="266"/>
      <c r="I132" s="266"/>
      <c r="J132" s="266"/>
      <c r="K132" s="266"/>
      <c r="L132" s="266"/>
      <c r="M132" s="266"/>
      <c r="N132" s="266"/>
      <c r="O132" s="266"/>
      <c r="P132" s="266"/>
      <c r="Q132" s="266"/>
      <c r="R132" s="266"/>
      <c r="S132" s="266"/>
      <c r="T132" s="266"/>
      <c r="U132" s="266"/>
      <c r="V132" s="266"/>
      <c r="W132" s="266"/>
      <c r="X132" s="266"/>
      <c r="Y132" s="266"/>
      <c r="Z132" s="266"/>
      <c r="AA132" s="266"/>
      <c r="AB132" s="266"/>
      <c r="AC132" s="266"/>
      <c r="AD132" s="266"/>
      <c r="AE132" s="266"/>
    </row>
    <row r="133" spans="3:31" s="237" customFormat="1" x14ac:dyDescent="0.2">
      <c r="C133" s="266"/>
      <c r="D133" s="266"/>
      <c r="E133" s="266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</row>
    <row r="134" spans="3:31" s="237" customFormat="1" x14ac:dyDescent="0.2">
      <c r="C134" s="266"/>
      <c r="D134" s="266"/>
      <c r="E134" s="266"/>
      <c r="F134" s="266"/>
      <c r="G134" s="266"/>
      <c r="H134" s="266"/>
      <c r="I134" s="266"/>
      <c r="J134" s="266"/>
      <c r="K134" s="266"/>
      <c r="L134" s="266"/>
      <c r="M134" s="266"/>
      <c r="N134" s="266"/>
      <c r="O134" s="266"/>
      <c r="P134" s="266"/>
      <c r="Q134" s="266"/>
      <c r="R134" s="266"/>
      <c r="S134" s="266"/>
      <c r="T134" s="266"/>
      <c r="U134" s="266"/>
      <c r="V134" s="266"/>
      <c r="W134" s="266"/>
      <c r="X134" s="266"/>
      <c r="Y134" s="266"/>
      <c r="Z134" s="266"/>
      <c r="AA134" s="266"/>
      <c r="AB134" s="266"/>
      <c r="AC134" s="266"/>
      <c r="AD134" s="266"/>
      <c r="AE134" s="266"/>
    </row>
    <row r="135" spans="3:31" s="237" customFormat="1" x14ac:dyDescent="0.2">
      <c r="C135" s="266"/>
      <c r="D135" s="266"/>
      <c r="E135" s="266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</row>
    <row r="136" spans="3:31" s="237" customFormat="1" x14ac:dyDescent="0.2">
      <c r="C136" s="266"/>
      <c r="D136" s="266"/>
      <c r="E136" s="266"/>
      <c r="F136" s="266"/>
      <c r="G136" s="266"/>
      <c r="H136" s="266"/>
      <c r="I136" s="266"/>
      <c r="J136" s="266"/>
      <c r="K136" s="266"/>
      <c r="L136" s="266"/>
      <c r="M136" s="266"/>
      <c r="N136" s="266"/>
      <c r="O136" s="266"/>
      <c r="P136" s="266"/>
      <c r="Q136" s="266"/>
      <c r="R136" s="266"/>
      <c r="S136" s="266"/>
      <c r="T136" s="266"/>
      <c r="U136" s="266"/>
      <c r="V136" s="266"/>
      <c r="W136" s="266"/>
      <c r="X136" s="266"/>
      <c r="Y136" s="266"/>
      <c r="Z136" s="266"/>
      <c r="AA136" s="266"/>
      <c r="AB136" s="266"/>
      <c r="AC136" s="266"/>
      <c r="AD136" s="266"/>
      <c r="AE136" s="266"/>
    </row>
    <row r="137" spans="3:31" s="237" customFormat="1" x14ac:dyDescent="0.2">
      <c r="C137" s="266"/>
      <c r="D137" s="266"/>
      <c r="E137" s="266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</row>
    <row r="138" spans="3:31" s="237" customFormat="1" x14ac:dyDescent="0.2">
      <c r="C138" s="266"/>
      <c r="D138" s="266"/>
      <c r="E138" s="266"/>
      <c r="F138" s="266"/>
      <c r="G138" s="266"/>
      <c r="H138" s="266"/>
      <c r="I138" s="266"/>
      <c r="J138" s="266"/>
      <c r="K138" s="266"/>
      <c r="L138" s="266"/>
      <c r="M138" s="266"/>
      <c r="N138" s="266"/>
      <c r="O138" s="266"/>
      <c r="P138" s="266"/>
      <c r="Q138" s="266"/>
      <c r="R138" s="266"/>
      <c r="S138" s="266"/>
      <c r="T138" s="266"/>
      <c r="U138" s="266"/>
      <c r="V138" s="266"/>
      <c r="W138" s="266"/>
      <c r="X138" s="266"/>
      <c r="Y138" s="266"/>
      <c r="Z138" s="266"/>
      <c r="AA138" s="266"/>
      <c r="AB138" s="266"/>
      <c r="AC138" s="266"/>
      <c r="AD138" s="266"/>
      <c r="AE138" s="266"/>
    </row>
    <row r="139" spans="3:31" s="237" customFormat="1" x14ac:dyDescent="0.2">
      <c r="C139" s="266"/>
      <c r="D139" s="266"/>
      <c r="E139" s="266"/>
      <c r="F139" s="266"/>
      <c r="G139" s="266"/>
      <c r="H139" s="266"/>
      <c r="I139" s="266"/>
      <c r="J139" s="266"/>
      <c r="K139" s="266"/>
      <c r="L139" s="266"/>
      <c r="M139" s="266"/>
      <c r="N139" s="266"/>
      <c r="O139" s="266"/>
      <c r="P139" s="266"/>
      <c r="Q139" s="266"/>
      <c r="R139" s="266"/>
      <c r="S139" s="266"/>
      <c r="T139" s="266"/>
      <c r="U139" s="266"/>
      <c r="V139" s="266"/>
      <c r="W139" s="266"/>
      <c r="X139" s="266"/>
      <c r="Y139" s="266"/>
      <c r="Z139" s="266"/>
      <c r="AA139" s="266"/>
      <c r="AB139" s="266"/>
      <c r="AC139" s="266"/>
      <c r="AD139" s="266"/>
      <c r="AE139" s="266"/>
    </row>
    <row r="140" spans="3:31" s="237" customFormat="1" x14ac:dyDescent="0.2">
      <c r="C140" s="266"/>
      <c r="D140" s="266"/>
      <c r="E140" s="266"/>
      <c r="F140" s="266"/>
      <c r="G140" s="266"/>
      <c r="H140" s="266"/>
      <c r="I140" s="266"/>
      <c r="J140" s="266"/>
      <c r="K140" s="266"/>
      <c r="L140" s="266"/>
      <c r="M140" s="266"/>
      <c r="N140" s="266"/>
      <c r="O140" s="266"/>
      <c r="P140" s="266"/>
      <c r="Q140" s="266"/>
      <c r="R140" s="266"/>
      <c r="S140" s="266"/>
      <c r="T140" s="266"/>
      <c r="U140" s="266"/>
      <c r="V140" s="266"/>
      <c r="W140" s="266"/>
      <c r="X140" s="266"/>
      <c r="Y140" s="266"/>
      <c r="Z140" s="266"/>
      <c r="AA140" s="266"/>
      <c r="AB140" s="266"/>
      <c r="AC140" s="266"/>
      <c r="AD140" s="266"/>
      <c r="AE140" s="266"/>
    </row>
    <row r="141" spans="3:31" s="237" customFormat="1" x14ac:dyDescent="0.2">
      <c r="C141" s="266"/>
      <c r="D141" s="266"/>
      <c r="E141" s="266"/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Q141" s="266"/>
      <c r="R141" s="266"/>
      <c r="S141" s="266"/>
      <c r="T141" s="266"/>
      <c r="U141" s="266"/>
      <c r="V141" s="266"/>
      <c r="W141" s="266"/>
      <c r="X141" s="266"/>
      <c r="Y141" s="266"/>
      <c r="Z141" s="266"/>
      <c r="AA141" s="266"/>
      <c r="AB141" s="266"/>
      <c r="AC141" s="266"/>
      <c r="AD141" s="266"/>
      <c r="AE141" s="266"/>
    </row>
    <row r="142" spans="3:31" s="237" customFormat="1" x14ac:dyDescent="0.2">
      <c r="C142" s="266"/>
      <c r="D142" s="266"/>
      <c r="E142" s="266"/>
      <c r="F142" s="266"/>
      <c r="G142" s="266"/>
      <c r="H142" s="266"/>
      <c r="I142" s="266"/>
      <c r="J142" s="266"/>
      <c r="K142" s="266"/>
      <c r="L142" s="266"/>
      <c r="M142" s="266"/>
      <c r="N142" s="266"/>
      <c r="O142" s="266"/>
      <c r="P142" s="266"/>
      <c r="Q142" s="266"/>
      <c r="R142" s="266"/>
      <c r="S142" s="266"/>
      <c r="T142" s="266"/>
      <c r="U142" s="266"/>
      <c r="V142" s="266"/>
      <c r="W142" s="266"/>
      <c r="X142" s="266"/>
      <c r="Y142" s="266"/>
      <c r="Z142" s="266"/>
      <c r="AA142" s="266"/>
      <c r="AB142" s="266"/>
      <c r="AC142" s="266"/>
      <c r="AD142" s="266"/>
      <c r="AE142" s="266"/>
    </row>
    <row r="143" spans="3:31" s="237" customFormat="1" x14ac:dyDescent="0.2">
      <c r="C143" s="266"/>
      <c r="D143" s="266"/>
      <c r="E143" s="266"/>
      <c r="F143" s="266"/>
      <c r="G143" s="266"/>
      <c r="H143" s="266"/>
      <c r="I143" s="266"/>
      <c r="J143" s="266"/>
      <c r="K143" s="266"/>
      <c r="L143" s="266"/>
      <c r="M143" s="266"/>
      <c r="N143" s="266"/>
      <c r="O143" s="266"/>
      <c r="P143" s="266"/>
      <c r="Q143" s="266"/>
      <c r="R143" s="266"/>
      <c r="S143" s="266"/>
      <c r="T143" s="266"/>
      <c r="U143" s="266"/>
      <c r="V143" s="266"/>
      <c r="W143" s="266"/>
      <c r="X143" s="266"/>
      <c r="Y143" s="266"/>
      <c r="Z143" s="266"/>
      <c r="AA143" s="266"/>
      <c r="AB143" s="266"/>
      <c r="AC143" s="266"/>
      <c r="AD143" s="266"/>
      <c r="AE143" s="266"/>
    </row>
    <row r="144" spans="3:31" s="237" customFormat="1" x14ac:dyDescent="0.2">
      <c r="C144" s="266"/>
      <c r="D144" s="266"/>
      <c r="E144" s="266"/>
      <c r="F144" s="266"/>
      <c r="G144" s="266"/>
      <c r="H144" s="266"/>
      <c r="I144" s="266"/>
      <c r="J144" s="266"/>
      <c r="K144" s="266"/>
      <c r="L144" s="266"/>
      <c r="M144" s="266"/>
      <c r="N144" s="266"/>
      <c r="O144" s="266"/>
      <c r="P144" s="266"/>
      <c r="Q144" s="266"/>
      <c r="R144" s="266"/>
      <c r="S144" s="266"/>
      <c r="T144" s="266"/>
      <c r="U144" s="266"/>
      <c r="V144" s="266"/>
      <c r="W144" s="266"/>
      <c r="X144" s="266"/>
      <c r="Y144" s="266"/>
      <c r="Z144" s="266"/>
      <c r="AA144" s="266"/>
      <c r="AB144" s="266"/>
      <c r="AC144" s="266"/>
      <c r="AD144" s="266"/>
      <c r="AE144" s="266"/>
    </row>
    <row r="145" spans="3:31" s="237" customFormat="1" x14ac:dyDescent="0.2">
      <c r="C145" s="266"/>
      <c r="D145" s="266"/>
      <c r="E145" s="266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</row>
    <row r="146" spans="3:31" s="237" customFormat="1" x14ac:dyDescent="0.2">
      <c r="C146" s="266"/>
      <c r="D146" s="266"/>
      <c r="E146" s="266"/>
      <c r="F146" s="266"/>
      <c r="G146" s="266"/>
      <c r="H146" s="266"/>
      <c r="I146" s="266"/>
      <c r="J146" s="266"/>
      <c r="K146" s="266"/>
      <c r="L146" s="266"/>
      <c r="M146" s="266"/>
      <c r="N146" s="266"/>
      <c r="O146" s="266"/>
      <c r="P146" s="266"/>
      <c r="Q146" s="266"/>
      <c r="R146" s="266"/>
      <c r="S146" s="266"/>
      <c r="T146" s="266"/>
      <c r="U146" s="266"/>
      <c r="V146" s="266"/>
      <c r="W146" s="266"/>
      <c r="X146" s="266"/>
      <c r="Y146" s="266"/>
      <c r="Z146" s="266"/>
      <c r="AA146" s="266"/>
      <c r="AB146" s="266"/>
      <c r="AC146" s="266"/>
      <c r="AD146" s="266"/>
      <c r="AE146" s="266"/>
    </row>
    <row r="147" spans="3:31" s="237" customFormat="1" x14ac:dyDescent="0.2">
      <c r="C147" s="266"/>
      <c r="D147" s="266"/>
      <c r="E147" s="266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</row>
    <row r="148" spans="3:31" s="237" customFormat="1" x14ac:dyDescent="0.2">
      <c r="C148" s="266"/>
      <c r="D148" s="266"/>
      <c r="E148" s="266"/>
      <c r="F148" s="266"/>
      <c r="G148" s="266"/>
      <c r="H148" s="266"/>
      <c r="I148" s="266"/>
      <c r="J148" s="266"/>
      <c r="K148" s="266"/>
      <c r="L148" s="266"/>
      <c r="M148" s="266"/>
      <c r="N148" s="266"/>
      <c r="O148" s="266"/>
      <c r="P148" s="266"/>
      <c r="Q148" s="266"/>
      <c r="R148" s="266"/>
      <c r="S148" s="266"/>
      <c r="T148" s="266"/>
      <c r="U148" s="266"/>
      <c r="V148" s="266"/>
      <c r="W148" s="266"/>
      <c r="X148" s="266"/>
      <c r="Y148" s="266"/>
      <c r="Z148" s="266"/>
      <c r="AA148" s="266"/>
      <c r="AB148" s="266"/>
      <c r="AC148" s="266"/>
      <c r="AD148" s="266"/>
      <c r="AE148" s="266"/>
    </row>
    <row r="149" spans="3:31" s="237" customFormat="1" x14ac:dyDescent="0.2">
      <c r="C149" s="266"/>
      <c r="D149" s="266"/>
      <c r="E149" s="266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</row>
    <row r="150" spans="3:31" s="237" customFormat="1" x14ac:dyDescent="0.2">
      <c r="C150" s="266"/>
      <c r="D150" s="266"/>
      <c r="E150" s="266"/>
      <c r="F150" s="266"/>
      <c r="G150" s="266"/>
      <c r="H150" s="266"/>
      <c r="I150" s="266"/>
      <c r="J150" s="266"/>
      <c r="K150" s="266"/>
      <c r="L150" s="266"/>
      <c r="M150" s="266"/>
      <c r="N150" s="266"/>
      <c r="O150" s="266"/>
      <c r="P150" s="266"/>
      <c r="Q150" s="266"/>
      <c r="R150" s="266"/>
      <c r="S150" s="266"/>
      <c r="T150" s="266"/>
      <c r="U150" s="266"/>
      <c r="V150" s="266"/>
      <c r="W150" s="266"/>
      <c r="X150" s="266"/>
      <c r="Y150" s="266"/>
      <c r="Z150" s="266"/>
      <c r="AA150" s="266"/>
      <c r="AB150" s="266"/>
      <c r="AC150" s="266"/>
      <c r="AD150" s="266"/>
      <c r="AE150" s="266"/>
    </row>
    <row r="151" spans="3:31" s="237" customFormat="1" x14ac:dyDescent="0.2">
      <c r="C151" s="266"/>
      <c r="D151" s="266"/>
      <c r="E151" s="266"/>
      <c r="F151" s="266"/>
      <c r="G151" s="266"/>
      <c r="H151" s="266"/>
      <c r="I151" s="266"/>
      <c r="J151" s="266"/>
      <c r="K151" s="266"/>
      <c r="L151" s="266"/>
      <c r="M151" s="266"/>
      <c r="N151" s="266"/>
      <c r="O151" s="266"/>
      <c r="P151" s="266"/>
      <c r="Q151" s="266"/>
      <c r="R151" s="266"/>
      <c r="S151" s="266"/>
      <c r="T151" s="266"/>
      <c r="U151" s="266"/>
      <c r="V151" s="266"/>
      <c r="W151" s="266"/>
      <c r="X151" s="266"/>
      <c r="Y151" s="266"/>
      <c r="Z151" s="266"/>
      <c r="AA151" s="266"/>
      <c r="AB151" s="266"/>
      <c r="AC151" s="266"/>
      <c r="AD151" s="266"/>
      <c r="AE151" s="266"/>
    </row>
    <row r="152" spans="3:31" s="237" customFormat="1" x14ac:dyDescent="0.2">
      <c r="C152" s="266"/>
      <c r="D152" s="266"/>
      <c r="E152" s="266"/>
      <c r="F152" s="266"/>
      <c r="G152" s="266"/>
      <c r="H152" s="266"/>
      <c r="I152" s="266"/>
      <c r="J152" s="266"/>
      <c r="K152" s="266"/>
      <c r="L152" s="266"/>
      <c r="M152" s="266"/>
      <c r="N152" s="266"/>
      <c r="O152" s="266"/>
      <c r="P152" s="266"/>
      <c r="Q152" s="266"/>
      <c r="R152" s="266"/>
      <c r="S152" s="266"/>
      <c r="T152" s="266"/>
      <c r="U152" s="266"/>
      <c r="V152" s="266"/>
      <c r="W152" s="266"/>
      <c r="X152" s="266"/>
      <c r="Y152" s="266"/>
      <c r="Z152" s="266"/>
      <c r="AA152" s="266"/>
      <c r="AB152" s="266"/>
      <c r="AC152" s="266"/>
      <c r="AD152" s="266"/>
      <c r="AE152" s="266"/>
    </row>
    <row r="153" spans="3:31" s="237" customFormat="1" x14ac:dyDescent="0.2">
      <c r="C153" s="266"/>
      <c r="D153" s="266"/>
      <c r="E153" s="266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</row>
    <row r="154" spans="3:31" s="237" customFormat="1" x14ac:dyDescent="0.2">
      <c r="C154" s="266"/>
      <c r="D154" s="266"/>
      <c r="E154" s="266"/>
      <c r="F154" s="266"/>
      <c r="G154" s="266"/>
      <c r="H154" s="266"/>
      <c r="I154" s="266"/>
      <c r="J154" s="266"/>
      <c r="K154" s="266"/>
      <c r="L154" s="266"/>
      <c r="M154" s="266"/>
      <c r="N154" s="266"/>
      <c r="O154" s="266"/>
      <c r="P154" s="266"/>
      <c r="Q154" s="266"/>
      <c r="R154" s="266"/>
      <c r="S154" s="266"/>
      <c r="T154" s="266"/>
      <c r="U154" s="266"/>
      <c r="V154" s="266"/>
      <c r="W154" s="266"/>
      <c r="X154" s="266"/>
      <c r="Y154" s="266"/>
      <c r="Z154" s="266"/>
      <c r="AA154" s="266"/>
      <c r="AB154" s="266"/>
      <c r="AC154" s="266"/>
      <c r="AD154" s="266"/>
      <c r="AE154" s="266"/>
    </row>
    <row r="155" spans="3:31" s="237" customFormat="1" x14ac:dyDescent="0.2">
      <c r="C155" s="266"/>
      <c r="D155" s="266"/>
      <c r="E155" s="266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</row>
    <row r="156" spans="3:31" s="237" customFormat="1" x14ac:dyDescent="0.2">
      <c r="C156" s="266"/>
      <c r="D156" s="266"/>
      <c r="E156" s="266"/>
      <c r="F156" s="266"/>
      <c r="G156" s="266"/>
      <c r="H156" s="266"/>
      <c r="I156" s="266"/>
      <c r="J156" s="266"/>
      <c r="K156" s="266"/>
      <c r="L156" s="266"/>
      <c r="M156" s="266"/>
      <c r="N156" s="266"/>
      <c r="O156" s="266"/>
      <c r="P156" s="266"/>
      <c r="Q156" s="266"/>
      <c r="R156" s="266"/>
      <c r="S156" s="266"/>
      <c r="T156" s="266"/>
      <c r="U156" s="266"/>
      <c r="V156" s="266"/>
      <c r="W156" s="266"/>
      <c r="X156" s="266"/>
      <c r="Y156" s="266"/>
      <c r="Z156" s="266"/>
      <c r="AA156" s="266"/>
      <c r="AB156" s="266"/>
      <c r="AC156" s="266"/>
      <c r="AD156" s="266"/>
      <c r="AE156" s="266"/>
    </row>
    <row r="157" spans="3:31" s="237" customFormat="1" x14ac:dyDescent="0.2">
      <c r="C157" s="266"/>
      <c r="D157" s="266"/>
      <c r="E157" s="266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</row>
    <row r="158" spans="3:31" s="237" customFormat="1" x14ac:dyDescent="0.2">
      <c r="C158" s="266"/>
      <c r="D158" s="266"/>
      <c r="E158" s="266"/>
      <c r="F158" s="266"/>
      <c r="G158" s="266"/>
      <c r="H158" s="266"/>
      <c r="I158" s="266"/>
      <c r="J158" s="266"/>
      <c r="K158" s="266"/>
      <c r="L158" s="266"/>
      <c r="M158" s="266"/>
      <c r="N158" s="266"/>
      <c r="O158" s="266"/>
      <c r="P158" s="266"/>
      <c r="Q158" s="266"/>
      <c r="R158" s="266"/>
      <c r="S158" s="266"/>
      <c r="T158" s="266"/>
      <c r="U158" s="266"/>
      <c r="V158" s="266"/>
      <c r="W158" s="266"/>
      <c r="X158" s="266"/>
      <c r="Y158" s="266"/>
      <c r="Z158" s="266"/>
      <c r="AA158" s="266"/>
      <c r="AB158" s="266"/>
      <c r="AC158" s="266"/>
      <c r="AD158" s="266"/>
      <c r="AE158" s="266"/>
    </row>
    <row r="159" spans="3:31" s="237" customFormat="1" x14ac:dyDescent="0.2">
      <c r="C159" s="266"/>
      <c r="D159" s="266"/>
      <c r="E159" s="266"/>
      <c r="F159" s="266"/>
      <c r="G159" s="266"/>
      <c r="H159" s="266"/>
      <c r="I159" s="266"/>
      <c r="J159" s="266"/>
      <c r="K159" s="266"/>
      <c r="L159" s="266"/>
      <c r="M159" s="266"/>
      <c r="N159" s="266"/>
      <c r="O159" s="266"/>
      <c r="P159" s="266"/>
      <c r="Q159" s="266"/>
      <c r="R159" s="266"/>
      <c r="S159" s="266"/>
      <c r="T159" s="266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</row>
    <row r="160" spans="3:31" s="237" customFormat="1" x14ac:dyDescent="0.2">
      <c r="C160" s="266"/>
      <c r="D160" s="266"/>
      <c r="E160" s="266"/>
      <c r="F160" s="266"/>
      <c r="G160" s="266"/>
      <c r="H160" s="266"/>
      <c r="I160" s="266"/>
      <c r="J160" s="266"/>
      <c r="K160" s="266"/>
      <c r="L160" s="266"/>
      <c r="M160" s="266"/>
      <c r="N160" s="266"/>
      <c r="O160" s="266"/>
      <c r="P160" s="266"/>
      <c r="Q160" s="266"/>
      <c r="R160" s="266"/>
      <c r="S160" s="266"/>
      <c r="T160" s="266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</row>
    <row r="161" spans="3:31" s="237" customFormat="1" x14ac:dyDescent="0.2">
      <c r="C161" s="266"/>
      <c r="D161" s="266"/>
      <c r="E161" s="266"/>
      <c r="F161" s="266"/>
      <c r="G161" s="266"/>
      <c r="H161" s="266"/>
      <c r="I161" s="266"/>
      <c r="J161" s="266"/>
      <c r="K161" s="266"/>
      <c r="L161" s="266"/>
      <c r="M161" s="266"/>
      <c r="N161" s="266"/>
      <c r="O161" s="266"/>
      <c r="P161" s="266"/>
      <c r="Q161" s="266"/>
      <c r="R161" s="266"/>
      <c r="S161" s="266"/>
      <c r="T161" s="266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</row>
    <row r="162" spans="3:31" s="237" customFormat="1" x14ac:dyDescent="0.2">
      <c r="C162" s="266"/>
      <c r="D162" s="266"/>
      <c r="E162" s="266"/>
      <c r="F162" s="266"/>
      <c r="G162" s="266"/>
      <c r="H162" s="266"/>
      <c r="I162" s="266"/>
      <c r="J162" s="266"/>
      <c r="K162" s="266"/>
      <c r="L162" s="266"/>
      <c r="M162" s="266"/>
      <c r="N162" s="266"/>
      <c r="O162" s="266"/>
      <c r="P162" s="266"/>
      <c r="Q162" s="266"/>
      <c r="R162" s="266"/>
      <c r="S162" s="266"/>
      <c r="T162" s="266"/>
      <c r="U162" s="266"/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6"/>
    </row>
    <row r="163" spans="3:31" s="237" customFormat="1" x14ac:dyDescent="0.2">
      <c r="C163" s="266"/>
      <c r="D163" s="266"/>
      <c r="E163" s="266"/>
      <c r="F163" s="266"/>
      <c r="G163" s="266"/>
      <c r="H163" s="266"/>
      <c r="I163" s="266"/>
      <c r="J163" s="266"/>
      <c r="K163" s="266"/>
      <c r="L163" s="266"/>
      <c r="M163" s="266"/>
      <c r="N163" s="266"/>
      <c r="O163" s="266"/>
      <c r="P163" s="266"/>
      <c r="Q163" s="266"/>
      <c r="R163" s="266"/>
      <c r="S163" s="266"/>
      <c r="T163" s="266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</row>
    <row r="164" spans="3:31" s="237" customFormat="1" x14ac:dyDescent="0.2">
      <c r="C164" s="266"/>
      <c r="D164" s="266"/>
      <c r="E164" s="266"/>
      <c r="F164" s="266"/>
      <c r="G164" s="266"/>
      <c r="H164" s="266"/>
      <c r="I164" s="266"/>
      <c r="J164" s="266"/>
      <c r="K164" s="266"/>
      <c r="L164" s="266"/>
      <c r="M164" s="266"/>
      <c r="N164" s="266"/>
      <c r="O164" s="266"/>
      <c r="P164" s="266"/>
      <c r="Q164" s="266"/>
      <c r="R164" s="266"/>
      <c r="S164" s="266"/>
      <c r="T164" s="266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</row>
    <row r="165" spans="3:31" s="237" customFormat="1" x14ac:dyDescent="0.2">
      <c r="C165" s="266"/>
      <c r="D165" s="266"/>
      <c r="E165" s="266"/>
      <c r="F165" s="266"/>
      <c r="G165" s="266"/>
      <c r="H165" s="266"/>
      <c r="I165" s="266"/>
      <c r="J165" s="266"/>
      <c r="K165" s="266"/>
      <c r="L165" s="266"/>
      <c r="M165" s="266"/>
      <c r="N165" s="266"/>
      <c r="O165" s="266"/>
      <c r="P165" s="266"/>
      <c r="Q165" s="266"/>
      <c r="R165" s="266"/>
      <c r="S165" s="266"/>
      <c r="T165" s="266"/>
      <c r="U165" s="266"/>
      <c r="V165" s="266"/>
      <c r="W165" s="266"/>
      <c r="X165" s="266"/>
      <c r="Y165" s="266"/>
      <c r="Z165" s="266"/>
      <c r="AA165" s="266"/>
      <c r="AB165" s="266"/>
      <c r="AC165" s="266"/>
      <c r="AD165" s="266"/>
      <c r="AE165" s="266"/>
    </row>
    <row r="166" spans="3:31" s="237" customFormat="1" x14ac:dyDescent="0.2">
      <c r="C166" s="266"/>
      <c r="D166" s="266"/>
      <c r="E166" s="266"/>
      <c r="F166" s="266"/>
      <c r="G166" s="266"/>
      <c r="H166" s="266"/>
      <c r="I166" s="266"/>
      <c r="J166" s="266"/>
      <c r="K166" s="266"/>
      <c r="L166" s="266"/>
      <c r="M166" s="266"/>
      <c r="N166" s="266"/>
      <c r="O166" s="266"/>
      <c r="P166" s="266"/>
      <c r="Q166" s="266"/>
      <c r="R166" s="266"/>
      <c r="S166" s="266"/>
      <c r="T166" s="266"/>
      <c r="U166" s="266"/>
      <c r="V166" s="266"/>
      <c r="W166" s="266"/>
      <c r="X166" s="266"/>
      <c r="Y166" s="266"/>
      <c r="Z166" s="266"/>
      <c r="AA166" s="266"/>
      <c r="AB166" s="266"/>
      <c r="AC166" s="266"/>
      <c r="AD166" s="266"/>
      <c r="AE166" s="266"/>
    </row>
    <row r="167" spans="3:31" s="237" customFormat="1" x14ac:dyDescent="0.2">
      <c r="C167" s="266"/>
      <c r="D167" s="266"/>
      <c r="E167" s="266"/>
      <c r="F167" s="266"/>
      <c r="G167" s="266"/>
      <c r="H167" s="266"/>
      <c r="I167" s="266"/>
      <c r="J167" s="266"/>
      <c r="K167" s="266"/>
      <c r="L167" s="266"/>
      <c r="M167" s="266"/>
      <c r="N167" s="266"/>
      <c r="O167" s="266"/>
      <c r="P167" s="266"/>
      <c r="Q167" s="266"/>
      <c r="R167" s="266"/>
      <c r="S167" s="266"/>
      <c r="T167" s="266"/>
      <c r="U167" s="266"/>
      <c r="V167" s="266"/>
      <c r="W167" s="266"/>
      <c r="X167" s="266"/>
      <c r="Y167" s="266"/>
      <c r="Z167" s="266"/>
      <c r="AA167" s="266"/>
      <c r="AB167" s="266"/>
      <c r="AC167" s="266"/>
      <c r="AD167" s="266"/>
      <c r="AE167" s="266"/>
    </row>
    <row r="168" spans="3:31" s="237" customFormat="1" x14ac:dyDescent="0.2">
      <c r="C168" s="266"/>
      <c r="D168" s="266"/>
      <c r="E168" s="266"/>
      <c r="F168" s="266"/>
      <c r="G168" s="266"/>
      <c r="H168" s="266"/>
      <c r="I168" s="266"/>
      <c r="J168" s="266"/>
      <c r="K168" s="266"/>
      <c r="L168" s="266"/>
      <c r="M168" s="266"/>
      <c r="N168" s="266"/>
      <c r="O168" s="266"/>
      <c r="P168" s="266"/>
      <c r="Q168" s="266"/>
      <c r="R168" s="266"/>
      <c r="S168" s="266"/>
      <c r="T168" s="266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</row>
    <row r="169" spans="3:31" s="237" customFormat="1" x14ac:dyDescent="0.2">
      <c r="C169" s="266"/>
      <c r="D169" s="266"/>
      <c r="E169" s="266"/>
      <c r="F169" s="266"/>
      <c r="G169" s="266"/>
      <c r="H169" s="266"/>
      <c r="I169" s="266"/>
      <c r="J169" s="266"/>
      <c r="K169" s="266"/>
      <c r="L169" s="266"/>
      <c r="M169" s="266"/>
      <c r="N169" s="266"/>
      <c r="O169" s="266"/>
      <c r="P169" s="266"/>
      <c r="Q169" s="266"/>
      <c r="R169" s="266"/>
      <c r="S169" s="266"/>
      <c r="T169" s="266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</row>
    <row r="170" spans="3:31" s="237" customFormat="1" x14ac:dyDescent="0.2">
      <c r="C170" s="266"/>
      <c r="D170" s="266"/>
      <c r="E170" s="266"/>
      <c r="F170" s="266"/>
      <c r="G170" s="266"/>
      <c r="H170" s="266"/>
      <c r="I170" s="266"/>
      <c r="J170" s="266"/>
      <c r="K170" s="266"/>
      <c r="L170" s="266"/>
      <c r="M170" s="266"/>
      <c r="N170" s="266"/>
      <c r="O170" s="266"/>
      <c r="P170" s="266"/>
      <c r="Q170" s="266"/>
      <c r="R170" s="266"/>
      <c r="S170" s="266"/>
      <c r="T170" s="266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</row>
    <row r="171" spans="3:31" s="237" customFormat="1" x14ac:dyDescent="0.2">
      <c r="C171" s="266"/>
      <c r="D171" s="266"/>
      <c r="E171" s="266"/>
      <c r="F171" s="266"/>
      <c r="G171" s="266"/>
      <c r="H171" s="266"/>
      <c r="I171" s="266"/>
      <c r="J171" s="266"/>
      <c r="K171" s="266"/>
      <c r="L171" s="266"/>
      <c r="M171" s="266"/>
      <c r="N171" s="266"/>
      <c r="O171" s="266"/>
      <c r="P171" s="266"/>
      <c r="Q171" s="266"/>
      <c r="R171" s="266"/>
      <c r="S171" s="266"/>
      <c r="T171" s="266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</row>
    <row r="172" spans="3:31" s="237" customFormat="1" x14ac:dyDescent="0.2">
      <c r="C172" s="266"/>
      <c r="D172" s="266"/>
      <c r="E172" s="266"/>
      <c r="F172" s="266"/>
      <c r="G172" s="266"/>
      <c r="H172" s="266"/>
      <c r="I172" s="266"/>
      <c r="J172" s="266"/>
      <c r="K172" s="266"/>
      <c r="L172" s="266"/>
      <c r="M172" s="266"/>
      <c r="N172" s="266"/>
      <c r="O172" s="266"/>
      <c r="P172" s="266"/>
      <c r="Q172" s="266"/>
      <c r="R172" s="266"/>
      <c r="S172" s="266"/>
      <c r="T172" s="266"/>
      <c r="U172" s="266"/>
      <c r="V172" s="266"/>
      <c r="W172" s="266"/>
      <c r="X172" s="266"/>
      <c r="Y172" s="266"/>
      <c r="Z172" s="266"/>
      <c r="AA172" s="266"/>
      <c r="AB172" s="266"/>
      <c r="AC172" s="266"/>
      <c r="AD172" s="266"/>
      <c r="AE172" s="266"/>
    </row>
    <row r="173" spans="3:31" s="237" customFormat="1" x14ac:dyDescent="0.2">
      <c r="C173" s="266"/>
      <c r="D173" s="266"/>
      <c r="E173" s="266"/>
      <c r="F173" s="266"/>
      <c r="G173" s="266"/>
      <c r="H173" s="266"/>
      <c r="I173" s="266"/>
      <c r="J173" s="266"/>
      <c r="K173" s="266"/>
      <c r="L173" s="266"/>
      <c r="M173" s="266"/>
      <c r="N173" s="266"/>
      <c r="O173" s="266"/>
      <c r="P173" s="266"/>
      <c r="Q173" s="266"/>
      <c r="R173" s="266"/>
      <c r="S173" s="266"/>
      <c r="T173" s="266"/>
      <c r="U173" s="266"/>
      <c r="V173" s="266"/>
      <c r="W173" s="266"/>
      <c r="X173" s="266"/>
      <c r="Y173" s="266"/>
      <c r="Z173" s="266"/>
      <c r="AA173" s="266"/>
      <c r="AB173" s="266"/>
      <c r="AC173" s="266"/>
      <c r="AD173" s="266"/>
      <c r="AE173" s="266"/>
    </row>
    <row r="174" spans="3:31" s="237" customFormat="1" x14ac:dyDescent="0.2">
      <c r="C174" s="266"/>
      <c r="D174" s="266"/>
      <c r="E174" s="266"/>
      <c r="F174" s="266"/>
      <c r="G174" s="266"/>
      <c r="H174" s="266"/>
      <c r="I174" s="266"/>
      <c r="J174" s="266"/>
      <c r="K174" s="266"/>
      <c r="L174" s="266"/>
      <c r="M174" s="266"/>
      <c r="N174" s="266"/>
      <c r="O174" s="266"/>
      <c r="P174" s="266"/>
      <c r="Q174" s="266"/>
      <c r="R174" s="266"/>
      <c r="S174" s="266"/>
      <c r="T174" s="266"/>
      <c r="U174" s="266"/>
      <c r="V174" s="266"/>
      <c r="W174" s="266"/>
      <c r="X174" s="266"/>
      <c r="Y174" s="266"/>
      <c r="Z174" s="266"/>
      <c r="AA174" s="266"/>
      <c r="AB174" s="266"/>
      <c r="AC174" s="266"/>
      <c r="AD174" s="266"/>
      <c r="AE174" s="266"/>
    </row>
    <row r="175" spans="3:31" s="237" customFormat="1" x14ac:dyDescent="0.2">
      <c r="C175" s="266"/>
      <c r="D175" s="266"/>
      <c r="E175" s="266"/>
      <c r="F175" s="266"/>
      <c r="G175" s="266"/>
      <c r="H175" s="266"/>
      <c r="I175" s="266"/>
      <c r="J175" s="266"/>
      <c r="K175" s="266"/>
      <c r="L175" s="266"/>
      <c r="M175" s="266"/>
      <c r="N175" s="266"/>
      <c r="O175" s="266"/>
      <c r="P175" s="266"/>
      <c r="Q175" s="266"/>
      <c r="R175" s="266"/>
      <c r="S175" s="266"/>
      <c r="T175" s="266"/>
      <c r="U175" s="266"/>
      <c r="V175" s="266"/>
      <c r="W175" s="266"/>
      <c r="X175" s="266"/>
      <c r="Y175" s="266"/>
      <c r="Z175" s="266"/>
      <c r="AA175" s="266"/>
      <c r="AB175" s="266"/>
      <c r="AC175" s="266"/>
      <c r="AD175" s="266"/>
      <c r="AE175" s="266"/>
    </row>
    <row r="176" spans="3:31" s="237" customFormat="1" x14ac:dyDescent="0.2">
      <c r="C176" s="266"/>
      <c r="D176" s="266"/>
      <c r="E176" s="266"/>
      <c r="F176" s="266"/>
      <c r="G176" s="266"/>
      <c r="H176" s="266"/>
      <c r="I176" s="266"/>
      <c r="J176" s="266"/>
      <c r="K176" s="266"/>
      <c r="L176" s="266"/>
      <c r="M176" s="266"/>
      <c r="N176" s="266"/>
      <c r="O176" s="266"/>
      <c r="P176" s="266"/>
      <c r="Q176" s="266"/>
      <c r="R176" s="266"/>
      <c r="S176" s="266"/>
      <c r="T176" s="266"/>
      <c r="U176" s="266"/>
      <c r="V176" s="266"/>
      <c r="W176" s="266"/>
      <c r="X176" s="266"/>
      <c r="Y176" s="266"/>
      <c r="Z176" s="266"/>
      <c r="AA176" s="266"/>
      <c r="AB176" s="266"/>
      <c r="AC176" s="266"/>
      <c r="AD176" s="266"/>
      <c r="AE176" s="266"/>
    </row>
    <row r="177" spans="3:31" s="237" customFormat="1" x14ac:dyDescent="0.2">
      <c r="C177" s="266"/>
      <c r="D177" s="266"/>
      <c r="E177" s="266"/>
      <c r="F177" s="266"/>
      <c r="G177" s="266"/>
      <c r="H177" s="266"/>
      <c r="I177" s="266"/>
      <c r="J177" s="266"/>
      <c r="K177" s="266"/>
      <c r="L177" s="266"/>
      <c r="M177" s="266"/>
      <c r="N177" s="266"/>
      <c r="O177" s="266"/>
      <c r="P177" s="266"/>
      <c r="Q177" s="266"/>
      <c r="R177" s="266"/>
      <c r="S177" s="266"/>
      <c r="T177" s="266"/>
      <c r="U177" s="266"/>
      <c r="V177" s="266"/>
      <c r="W177" s="266"/>
      <c r="X177" s="266"/>
      <c r="Y177" s="266"/>
      <c r="Z177" s="266"/>
      <c r="AA177" s="266"/>
      <c r="AB177" s="266"/>
      <c r="AC177" s="266"/>
      <c r="AD177" s="266"/>
      <c r="AE177" s="266"/>
    </row>
    <row r="178" spans="3:31" s="237" customFormat="1" x14ac:dyDescent="0.2">
      <c r="C178" s="266"/>
      <c r="D178" s="266"/>
      <c r="E178" s="266"/>
      <c r="F178" s="266"/>
      <c r="G178" s="266"/>
      <c r="H178" s="266"/>
      <c r="I178" s="266"/>
      <c r="J178" s="266"/>
      <c r="K178" s="266"/>
      <c r="L178" s="266"/>
      <c r="M178" s="266"/>
      <c r="N178" s="266"/>
      <c r="O178" s="266"/>
      <c r="P178" s="266"/>
      <c r="Q178" s="266"/>
      <c r="R178" s="266"/>
      <c r="S178" s="266"/>
      <c r="T178" s="266"/>
      <c r="U178" s="266"/>
      <c r="V178" s="266"/>
      <c r="W178" s="266"/>
      <c r="X178" s="266"/>
      <c r="Y178" s="266"/>
      <c r="Z178" s="266"/>
      <c r="AA178" s="266"/>
      <c r="AB178" s="266"/>
      <c r="AC178" s="266"/>
      <c r="AD178" s="266"/>
      <c r="AE178" s="266"/>
    </row>
    <row r="179" spans="3:31" s="237" customFormat="1" x14ac:dyDescent="0.2">
      <c r="C179" s="266"/>
      <c r="D179" s="266"/>
      <c r="E179" s="266"/>
      <c r="F179" s="266"/>
      <c r="G179" s="266"/>
      <c r="H179" s="266"/>
      <c r="I179" s="266"/>
      <c r="J179" s="266"/>
      <c r="K179" s="266"/>
      <c r="L179" s="266"/>
      <c r="M179" s="266"/>
      <c r="N179" s="266"/>
      <c r="O179" s="266"/>
      <c r="P179" s="266"/>
      <c r="Q179" s="266"/>
      <c r="R179" s="266"/>
      <c r="S179" s="266"/>
      <c r="T179" s="266"/>
      <c r="U179" s="266"/>
      <c r="V179" s="266"/>
      <c r="W179" s="266"/>
      <c r="X179" s="266"/>
      <c r="Y179" s="266"/>
      <c r="Z179" s="266"/>
      <c r="AA179" s="266"/>
      <c r="AB179" s="266"/>
      <c r="AC179" s="266"/>
      <c r="AD179" s="266"/>
      <c r="AE179" s="266"/>
    </row>
    <row r="180" spans="3:31" s="237" customFormat="1" x14ac:dyDescent="0.2">
      <c r="C180" s="266"/>
      <c r="D180" s="266"/>
      <c r="E180" s="266"/>
      <c r="F180" s="266"/>
      <c r="G180" s="266"/>
      <c r="H180" s="266"/>
      <c r="I180" s="266"/>
      <c r="J180" s="266"/>
      <c r="K180" s="266"/>
      <c r="L180" s="266"/>
      <c r="M180" s="266"/>
      <c r="N180" s="266"/>
      <c r="O180" s="266"/>
      <c r="P180" s="266"/>
      <c r="Q180" s="266"/>
      <c r="R180" s="266"/>
      <c r="S180" s="266"/>
      <c r="T180" s="266"/>
      <c r="U180" s="266"/>
      <c r="V180" s="266"/>
      <c r="W180" s="266"/>
      <c r="X180" s="266"/>
      <c r="Y180" s="266"/>
      <c r="Z180" s="266"/>
      <c r="AA180" s="266"/>
      <c r="AB180" s="266"/>
      <c r="AC180" s="266"/>
      <c r="AD180" s="266"/>
      <c r="AE180" s="266"/>
    </row>
    <row r="181" spans="3:31" s="237" customFormat="1" x14ac:dyDescent="0.2">
      <c r="C181" s="266"/>
      <c r="D181" s="266"/>
      <c r="E181" s="266"/>
      <c r="F181" s="266"/>
      <c r="G181" s="266"/>
      <c r="H181" s="266"/>
      <c r="I181" s="266"/>
      <c r="J181" s="266"/>
      <c r="K181" s="266"/>
      <c r="L181" s="266"/>
      <c r="M181" s="266"/>
      <c r="N181" s="266"/>
      <c r="O181" s="266"/>
      <c r="P181" s="266"/>
      <c r="Q181" s="266"/>
      <c r="R181" s="266"/>
      <c r="S181" s="266"/>
      <c r="T181" s="266"/>
      <c r="U181" s="266"/>
      <c r="V181" s="266"/>
      <c r="W181" s="266"/>
      <c r="X181" s="266"/>
      <c r="Y181" s="266"/>
      <c r="Z181" s="266"/>
      <c r="AA181" s="266"/>
      <c r="AB181" s="266"/>
      <c r="AC181" s="266"/>
      <c r="AD181" s="266"/>
      <c r="AE181" s="266"/>
    </row>
    <row r="182" spans="3:31" s="237" customFormat="1" x14ac:dyDescent="0.2">
      <c r="C182" s="266"/>
      <c r="D182" s="266"/>
      <c r="E182" s="266"/>
      <c r="F182" s="266"/>
      <c r="G182" s="266"/>
      <c r="H182" s="266"/>
      <c r="I182" s="266"/>
      <c r="J182" s="266"/>
      <c r="K182" s="266"/>
      <c r="L182" s="266"/>
      <c r="M182" s="266"/>
      <c r="N182" s="266"/>
      <c r="O182" s="266"/>
      <c r="P182" s="266"/>
      <c r="Q182" s="266"/>
      <c r="R182" s="266"/>
      <c r="S182" s="266"/>
      <c r="T182" s="266"/>
      <c r="U182" s="266"/>
      <c r="V182" s="266"/>
      <c r="W182" s="266"/>
      <c r="X182" s="266"/>
      <c r="Y182" s="266"/>
      <c r="Z182" s="266"/>
      <c r="AA182" s="266"/>
      <c r="AB182" s="266"/>
      <c r="AC182" s="266"/>
      <c r="AD182" s="266"/>
      <c r="AE182" s="266"/>
    </row>
    <row r="183" spans="3:31" s="237" customFormat="1" x14ac:dyDescent="0.2">
      <c r="C183" s="266"/>
      <c r="D183" s="266"/>
      <c r="E183" s="266"/>
      <c r="F183" s="266"/>
      <c r="G183" s="266"/>
      <c r="H183" s="266"/>
      <c r="I183" s="266"/>
      <c r="J183" s="266"/>
      <c r="K183" s="266"/>
      <c r="L183" s="266"/>
      <c r="M183" s="266"/>
      <c r="N183" s="266"/>
      <c r="O183" s="266"/>
      <c r="P183" s="266"/>
      <c r="Q183" s="266"/>
      <c r="R183" s="266"/>
      <c r="S183" s="266"/>
      <c r="T183" s="266"/>
      <c r="U183" s="266"/>
      <c r="V183" s="266"/>
      <c r="W183" s="266"/>
      <c r="X183" s="266"/>
      <c r="Y183" s="266"/>
      <c r="Z183" s="266"/>
      <c r="AA183" s="266"/>
      <c r="AB183" s="266"/>
      <c r="AC183" s="266"/>
      <c r="AD183" s="266"/>
      <c r="AE183" s="266"/>
    </row>
    <row r="184" spans="3:31" s="237" customFormat="1" x14ac:dyDescent="0.2">
      <c r="C184" s="266"/>
      <c r="D184" s="266"/>
      <c r="E184" s="266"/>
      <c r="F184" s="266"/>
      <c r="G184" s="266"/>
      <c r="H184" s="266"/>
      <c r="I184" s="266"/>
      <c r="J184" s="266"/>
      <c r="K184" s="266"/>
      <c r="L184" s="266"/>
      <c r="M184" s="266"/>
      <c r="N184" s="266"/>
      <c r="O184" s="266"/>
      <c r="P184" s="266"/>
      <c r="Q184" s="266"/>
      <c r="R184" s="266"/>
      <c r="S184" s="266"/>
      <c r="T184" s="266"/>
      <c r="U184" s="266"/>
      <c r="V184" s="266"/>
      <c r="W184" s="266"/>
      <c r="X184" s="266"/>
      <c r="Y184" s="266"/>
      <c r="Z184" s="266"/>
      <c r="AA184" s="266"/>
      <c r="AB184" s="266"/>
      <c r="AC184" s="266"/>
      <c r="AD184" s="266"/>
      <c r="AE184" s="266"/>
    </row>
    <row r="185" spans="3:31" s="237" customFormat="1" x14ac:dyDescent="0.2">
      <c r="C185" s="266"/>
      <c r="D185" s="266"/>
      <c r="E185" s="266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</row>
    <row r="186" spans="3:31" s="237" customFormat="1" x14ac:dyDescent="0.2">
      <c r="C186" s="266"/>
      <c r="D186" s="266"/>
      <c r="E186" s="266"/>
      <c r="F186" s="266"/>
      <c r="G186" s="266"/>
      <c r="H186" s="266"/>
      <c r="I186" s="266"/>
      <c r="J186" s="266"/>
      <c r="K186" s="266"/>
      <c r="L186" s="266"/>
      <c r="M186" s="266"/>
      <c r="N186" s="266"/>
      <c r="O186" s="266"/>
      <c r="P186" s="266"/>
      <c r="Q186" s="266"/>
      <c r="R186" s="266"/>
      <c r="S186" s="266"/>
      <c r="T186" s="266"/>
      <c r="U186" s="266"/>
      <c r="V186" s="266"/>
      <c r="W186" s="266"/>
      <c r="X186" s="266"/>
      <c r="Y186" s="266"/>
      <c r="Z186" s="266"/>
      <c r="AA186" s="266"/>
      <c r="AB186" s="266"/>
      <c r="AC186" s="266"/>
      <c r="AD186" s="266"/>
      <c r="AE186" s="266"/>
    </row>
    <row r="187" spans="3:31" s="237" customFormat="1" x14ac:dyDescent="0.2">
      <c r="C187" s="266"/>
      <c r="D187" s="266"/>
      <c r="E187" s="266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</row>
    <row r="188" spans="3:31" s="237" customFormat="1" x14ac:dyDescent="0.2">
      <c r="C188" s="266"/>
      <c r="D188" s="266"/>
      <c r="E188" s="266"/>
      <c r="F188" s="266"/>
      <c r="G188" s="266"/>
      <c r="H188" s="266"/>
      <c r="I188" s="266"/>
      <c r="J188" s="266"/>
      <c r="K188" s="266"/>
      <c r="L188" s="266"/>
      <c r="M188" s="266"/>
      <c r="N188" s="266"/>
      <c r="O188" s="266"/>
      <c r="P188" s="266"/>
      <c r="Q188" s="266"/>
      <c r="R188" s="266"/>
      <c r="S188" s="266"/>
      <c r="T188" s="266"/>
      <c r="U188" s="266"/>
      <c r="V188" s="266"/>
      <c r="W188" s="266"/>
      <c r="X188" s="266"/>
      <c r="Y188" s="266"/>
      <c r="Z188" s="266"/>
      <c r="AA188" s="266"/>
      <c r="AB188" s="266"/>
      <c r="AC188" s="266"/>
      <c r="AD188" s="266"/>
      <c r="AE188" s="266"/>
    </row>
    <row r="189" spans="3:31" s="237" customFormat="1" x14ac:dyDescent="0.2">
      <c r="C189" s="266"/>
      <c r="D189" s="266"/>
      <c r="E189" s="266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</row>
    <row r="190" spans="3:31" s="237" customFormat="1" x14ac:dyDescent="0.2">
      <c r="C190" s="266"/>
      <c r="D190" s="266"/>
      <c r="E190" s="266"/>
      <c r="F190" s="266"/>
      <c r="G190" s="266"/>
      <c r="H190" s="266"/>
      <c r="I190" s="266"/>
      <c r="J190" s="266"/>
      <c r="K190" s="266"/>
      <c r="L190" s="266"/>
      <c r="M190" s="266"/>
      <c r="N190" s="266"/>
      <c r="O190" s="266"/>
      <c r="P190" s="266"/>
      <c r="Q190" s="266"/>
      <c r="R190" s="266"/>
      <c r="S190" s="266"/>
      <c r="T190" s="266"/>
      <c r="U190" s="266"/>
      <c r="V190" s="266"/>
      <c r="W190" s="266"/>
      <c r="X190" s="266"/>
      <c r="Y190" s="266"/>
      <c r="Z190" s="266"/>
      <c r="AA190" s="266"/>
      <c r="AB190" s="266"/>
      <c r="AC190" s="266"/>
      <c r="AD190" s="266"/>
      <c r="AE190" s="266"/>
    </row>
    <row r="191" spans="3:31" s="237" customFormat="1" x14ac:dyDescent="0.2">
      <c r="C191" s="266"/>
      <c r="D191" s="266"/>
      <c r="E191" s="266"/>
      <c r="F191" s="266"/>
      <c r="G191" s="266"/>
      <c r="H191" s="266"/>
      <c r="I191" s="266"/>
      <c r="J191" s="266"/>
      <c r="K191" s="266"/>
      <c r="L191" s="266"/>
      <c r="M191" s="266"/>
      <c r="N191" s="266"/>
      <c r="O191" s="266"/>
      <c r="P191" s="266"/>
      <c r="Q191" s="266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</row>
    <row r="192" spans="3:31" s="237" customFormat="1" x14ac:dyDescent="0.2"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</row>
    <row r="193" spans="3:31" s="237" customFormat="1" x14ac:dyDescent="0.2"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</row>
    <row r="194" spans="3:31" s="237" customFormat="1" x14ac:dyDescent="0.2"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</row>
    <row r="195" spans="3:31" s="237" customFormat="1" x14ac:dyDescent="0.2"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</row>
    <row r="196" spans="3:31" s="237" customFormat="1" x14ac:dyDescent="0.2"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</row>
    <row r="197" spans="3:31" s="237" customFormat="1" x14ac:dyDescent="0.2"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</row>
    <row r="198" spans="3:31" s="237" customFormat="1" x14ac:dyDescent="0.2">
      <c r="C198" s="266"/>
      <c r="D198" s="266"/>
      <c r="E198" s="266"/>
      <c r="F198" s="266"/>
      <c r="G198" s="266"/>
      <c r="H198" s="266"/>
      <c r="I198" s="266"/>
      <c r="J198" s="266"/>
      <c r="K198" s="266"/>
      <c r="L198" s="266"/>
      <c r="M198" s="266"/>
      <c r="N198" s="266"/>
      <c r="O198" s="266"/>
      <c r="P198" s="266"/>
      <c r="Q198" s="266"/>
      <c r="R198" s="266"/>
      <c r="S198" s="266"/>
      <c r="T198" s="266"/>
      <c r="U198" s="266"/>
      <c r="V198" s="266"/>
      <c r="W198" s="266"/>
      <c r="X198" s="266"/>
      <c r="Y198" s="266"/>
      <c r="Z198" s="266"/>
      <c r="AA198" s="266"/>
      <c r="AB198" s="266"/>
      <c r="AC198" s="266"/>
      <c r="AD198" s="266"/>
      <c r="AE198" s="266"/>
    </row>
    <row r="199" spans="3:31" s="237" customFormat="1" x14ac:dyDescent="0.2">
      <c r="C199" s="266"/>
      <c r="D199" s="266"/>
      <c r="E199" s="266"/>
      <c r="F199" s="266"/>
      <c r="G199" s="266"/>
      <c r="H199" s="266"/>
      <c r="I199" s="266"/>
      <c r="J199" s="266"/>
      <c r="K199" s="266"/>
      <c r="L199" s="266"/>
      <c r="M199" s="266"/>
      <c r="N199" s="266"/>
      <c r="O199" s="266"/>
      <c r="P199" s="266"/>
      <c r="Q199" s="266"/>
      <c r="R199" s="266"/>
      <c r="S199" s="266"/>
      <c r="T199" s="266"/>
      <c r="U199" s="266"/>
      <c r="V199" s="266"/>
      <c r="W199" s="266"/>
      <c r="X199" s="266"/>
      <c r="Y199" s="266"/>
      <c r="Z199" s="266"/>
      <c r="AA199" s="266"/>
      <c r="AB199" s="266"/>
      <c r="AC199" s="266"/>
      <c r="AD199" s="266"/>
      <c r="AE199" s="266"/>
    </row>
    <row r="200" spans="3:31" s="237" customFormat="1" x14ac:dyDescent="0.2">
      <c r="C200" s="266"/>
      <c r="D200" s="266"/>
      <c r="E200" s="266"/>
      <c r="F200" s="266"/>
      <c r="G200" s="266"/>
      <c r="H200" s="266"/>
      <c r="I200" s="266"/>
      <c r="J200" s="266"/>
      <c r="K200" s="266"/>
      <c r="L200" s="266"/>
      <c r="M200" s="266"/>
      <c r="N200" s="266"/>
      <c r="O200" s="266"/>
      <c r="P200" s="266"/>
      <c r="Q200" s="266"/>
      <c r="R200" s="266"/>
      <c r="S200" s="266"/>
      <c r="T200" s="266"/>
      <c r="U200" s="266"/>
      <c r="V200" s="266"/>
      <c r="W200" s="266"/>
      <c r="X200" s="266"/>
      <c r="Y200" s="266"/>
      <c r="Z200" s="266"/>
      <c r="AA200" s="266"/>
      <c r="AB200" s="266"/>
      <c r="AC200" s="266"/>
      <c r="AD200" s="266"/>
      <c r="AE200" s="266"/>
    </row>
    <row r="201" spans="3:31" s="237" customFormat="1" x14ac:dyDescent="0.2">
      <c r="C201" s="266"/>
      <c r="D201" s="266"/>
      <c r="E201" s="266"/>
      <c r="F201" s="266"/>
      <c r="G201" s="266"/>
      <c r="H201" s="266"/>
      <c r="I201" s="266"/>
      <c r="J201" s="266"/>
      <c r="K201" s="266"/>
      <c r="L201" s="266"/>
      <c r="M201" s="266"/>
      <c r="N201" s="266"/>
      <c r="O201" s="266"/>
      <c r="P201" s="266"/>
      <c r="Q201" s="266"/>
      <c r="R201" s="266"/>
      <c r="S201" s="266"/>
      <c r="T201" s="266"/>
      <c r="U201" s="266"/>
      <c r="V201" s="266"/>
      <c r="W201" s="266"/>
      <c r="X201" s="266"/>
      <c r="Y201" s="266"/>
      <c r="Z201" s="266"/>
      <c r="AA201" s="266"/>
      <c r="AB201" s="266"/>
      <c r="AC201" s="266"/>
      <c r="AD201" s="266"/>
      <c r="AE201" s="266"/>
    </row>
    <row r="202" spans="3:31" s="237" customFormat="1" x14ac:dyDescent="0.2">
      <c r="C202" s="266"/>
      <c r="D202" s="266"/>
      <c r="E202" s="266"/>
      <c r="F202" s="266"/>
      <c r="G202" s="266"/>
      <c r="H202" s="266"/>
      <c r="I202" s="266"/>
      <c r="J202" s="266"/>
      <c r="K202" s="266"/>
      <c r="L202" s="266"/>
      <c r="M202" s="266"/>
      <c r="N202" s="266"/>
      <c r="O202" s="266"/>
      <c r="P202" s="266"/>
      <c r="Q202" s="266"/>
      <c r="R202" s="266"/>
      <c r="S202" s="266"/>
      <c r="T202" s="266"/>
      <c r="U202" s="266"/>
      <c r="V202" s="266"/>
      <c r="W202" s="266"/>
      <c r="X202" s="266"/>
      <c r="Y202" s="266"/>
      <c r="Z202" s="266"/>
      <c r="AA202" s="266"/>
      <c r="AB202" s="266"/>
      <c r="AC202" s="266"/>
      <c r="AD202" s="266"/>
      <c r="AE202" s="266"/>
    </row>
    <row r="203" spans="3:31" s="237" customFormat="1" x14ac:dyDescent="0.2">
      <c r="C203" s="266"/>
      <c r="D203" s="266"/>
      <c r="E203" s="266"/>
      <c r="F203" s="266"/>
      <c r="G203" s="266"/>
      <c r="H203" s="266"/>
      <c r="I203" s="266"/>
      <c r="J203" s="266"/>
      <c r="K203" s="266"/>
      <c r="L203" s="266"/>
      <c r="M203" s="266"/>
      <c r="N203" s="266"/>
      <c r="O203" s="266"/>
      <c r="P203" s="266"/>
      <c r="Q203" s="266"/>
      <c r="R203" s="266"/>
      <c r="S203" s="266"/>
      <c r="T203" s="266"/>
      <c r="U203" s="266"/>
      <c r="V203" s="266"/>
      <c r="W203" s="266"/>
      <c r="X203" s="266"/>
      <c r="Y203" s="266"/>
      <c r="Z203" s="266"/>
      <c r="AA203" s="266"/>
      <c r="AB203" s="266"/>
      <c r="AC203" s="266"/>
      <c r="AD203" s="266"/>
      <c r="AE203" s="266"/>
    </row>
    <row r="204" spans="3:31" s="237" customFormat="1" x14ac:dyDescent="0.2">
      <c r="C204" s="266"/>
      <c r="D204" s="266"/>
      <c r="E204" s="266"/>
      <c r="F204" s="266"/>
      <c r="G204" s="266"/>
      <c r="H204" s="266"/>
      <c r="I204" s="266"/>
      <c r="J204" s="266"/>
      <c r="K204" s="266"/>
      <c r="L204" s="266"/>
      <c r="M204" s="266"/>
      <c r="N204" s="266"/>
      <c r="O204" s="266"/>
      <c r="P204" s="266"/>
      <c r="Q204" s="266"/>
      <c r="R204" s="266"/>
      <c r="S204" s="266"/>
      <c r="T204" s="266"/>
      <c r="U204" s="266"/>
      <c r="V204" s="266"/>
      <c r="W204" s="266"/>
      <c r="X204" s="266"/>
      <c r="Y204" s="266"/>
      <c r="Z204" s="266"/>
      <c r="AA204" s="266"/>
      <c r="AB204" s="266"/>
      <c r="AC204" s="266"/>
      <c r="AD204" s="266"/>
      <c r="AE204" s="266"/>
    </row>
    <row r="205" spans="3:31" s="237" customFormat="1" x14ac:dyDescent="0.2">
      <c r="C205" s="266"/>
      <c r="D205" s="266"/>
      <c r="E205" s="266"/>
      <c r="F205" s="266"/>
      <c r="G205" s="266"/>
      <c r="H205" s="266"/>
      <c r="I205" s="266"/>
      <c r="J205" s="266"/>
      <c r="K205" s="266"/>
      <c r="L205" s="266"/>
      <c r="M205" s="266"/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</row>
    <row r="206" spans="3:31" s="237" customFormat="1" x14ac:dyDescent="0.2">
      <c r="C206" s="266"/>
      <c r="D206" s="266"/>
      <c r="E206" s="266"/>
      <c r="F206" s="266"/>
      <c r="G206" s="266"/>
      <c r="H206" s="266"/>
      <c r="I206" s="266"/>
      <c r="J206" s="266"/>
      <c r="K206" s="266"/>
      <c r="L206" s="266"/>
      <c r="M206" s="266"/>
      <c r="N206" s="266"/>
      <c r="O206" s="266"/>
      <c r="P206" s="266"/>
      <c r="Q206" s="266"/>
      <c r="R206" s="266"/>
      <c r="S206" s="266"/>
      <c r="T206" s="266"/>
      <c r="U206" s="266"/>
      <c r="V206" s="266"/>
      <c r="W206" s="266"/>
      <c r="X206" s="266"/>
      <c r="Y206" s="266"/>
      <c r="Z206" s="266"/>
      <c r="AA206" s="266"/>
      <c r="AB206" s="266"/>
      <c r="AC206" s="266"/>
      <c r="AD206" s="266"/>
      <c r="AE206" s="266"/>
    </row>
    <row r="207" spans="3:31" s="237" customFormat="1" x14ac:dyDescent="0.2">
      <c r="C207" s="266"/>
      <c r="D207" s="266"/>
      <c r="E207" s="266"/>
      <c r="F207" s="266"/>
      <c r="G207" s="266"/>
      <c r="H207" s="266"/>
      <c r="I207" s="266"/>
      <c r="J207" s="266"/>
      <c r="K207" s="266"/>
      <c r="L207" s="266"/>
      <c r="M207" s="266"/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</row>
    <row r="208" spans="3:31" s="237" customFormat="1" x14ac:dyDescent="0.2">
      <c r="C208" s="266"/>
      <c r="D208" s="266"/>
      <c r="E208" s="266"/>
      <c r="F208" s="266"/>
      <c r="G208" s="266"/>
      <c r="H208" s="266"/>
      <c r="I208" s="266"/>
      <c r="J208" s="266"/>
      <c r="K208" s="266"/>
      <c r="L208" s="266"/>
      <c r="M208" s="266"/>
      <c r="N208" s="266"/>
      <c r="O208" s="266"/>
      <c r="P208" s="266"/>
      <c r="Q208" s="266"/>
      <c r="R208" s="266"/>
      <c r="S208" s="266"/>
      <c r="T208" s="266"/>
      <c r="U208" s="266"/>
      <c r="V208" s="266"/>
      <c r="W208" s="266"/>
      <c r="X208" s="266"/>
      <c r="Y208" s="266"/>
      <c r="Z208" s="266"/>
      <c r="AA208" s="266"/>
      <c r="AB208" s="266"/>
      <c r="AC208" s="266"/>
      <c r="AD208" s="266"/>
      <c r="AE208" s="266"/>
    </row>
    <row r="209" spans="3:31" s="237" customFormat="1" x14ac:dyDescent="0.2">
      <c r="C209" s="266"/>
      <c r="D209" s="266"/>
      <c r="E209" s="266"/>
      <c r="F209" s="266"/>
      <c r="G209" s="266"/>
      <c r="H209" s="266"/>
      <c r="I209" s="266"/>
      <c r="J209" s="266"/>
      <c r="K209" s="266"/>
      <c r="L209" s="266"/>
      <c r="M209" s="266"/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</row>
    <row r="210" spans="3:31" s="237" customFormat="1" x14ac:dyDescent="0.2">
      <c r="C210" s="266"/>
      <c r="D210" s="266"/>
      <c r="E210" s="266"/>
      <c r="F210" s="266"/>
      <c r="G210" s="266"/>
      <c r="H210" s="266"/>
      <c r="I210" s="266"/>
      <c r="J210" s="266"/>
      <c r="K210" s="266"/>
      <c r="L210" s="266"/>
      <c r="M210" s="266"/>
      <c r="N210" s="266"/>
      <c r="O210" s="266"/>
      <c r="P210" s="266"/>
      <c r="Q210" s="266"/>
      <c r="R210" s="266"/>
      <c r="S210" s="266"/>
      <c r="T210" s="266"/>
      <c r="U210" s="266"/>
      <c r="V210" s="266"/>
      <c r="W210" s="266"/>
      <c r="X210" s="266"/>
      <c r="Y210" s="266"/>
      <c r="Z210" s="266"/>
      <c r="AA210" s="266"/>
      <c r="AB210" s="266"/>
      <c r="AC210" s="266"/>
      <c r="AD210" s="266"/>
      <c r="AE210" s="266"/>
    </row>
    <row r="211" spans="3:31" s="237" customFormat="1" x14ac:dyDescent="0.2">
      <c r="C211" s="266"/>
      <c r="D211" s="266"/>
      <c r="E211" s="266"/>
      <c r="F211" s="266"/>
      <c r="G211" s="266"/>
      <c r="H211" s="266"/>
      <c r="I211" s="266"/>
      <c r="J211" s="266"/>
      <c r="K211" s="266"/>
      <c r="L211" s="266"/>
      <c r="M211" s="266"/>
      <c r="N211" s="266"/>
      <c r="O211" s="266"/>
      <c r="P211" s="266"/>
      <c r="Q211" s="266"/>
      <c r="R211" s="266"/>
      <c r="S211" s="266"/>
      <c r="T211" s="266"/>
      <c r="U211" s="266"/>
      <c r="V211" s="266"/>
      <c r="W211" s="266"/>
      <c r="X211" s="266"/>
      <c r="Y211" s="266"/>
      <c r="Z211" s="266"/>
      <c r="AA211" s="266"/>
      <c r="AB211" s="266"/>
      <c r="AC211" s="266"/>
      <c r="AD211" s="266"/>
      <c r="AE211" s="266"/>
    </row>
    <row r="212" spans="3:31" s="237" customFormat="1" x14ac:dyDescent="0.2">
      <c r="C212" s="266"/>
      <c r="D212" s="266"/>
      <c r="E212" s="266"/>
      <c r="F212" s="266"/>
      <c r="G212" s="266"/>
      <c r="H212" s="266"/>
      <c r="I212" s="266"/>
      <c r="J212" s="266"/>
      <c r="K212" s="266"/>
      <c r="L212" s="266"/>
      <c r="M212" s="266"/>
      <c r="N212" s="266"/>
      <c r="O212" s="266"/>
      <c r="P212" s="266"/>
      <c r="Q212" s="266"/>
      <c r="R212" s="266"/>
      <c r="S212" s="266"/>
      <c r="T212" s="266"/>
      <c r="U212" s="266"/>
      <c r="V212" s="266"/>
      <c r="W212" s="266"/>
      <c r="X212" s="266"/>
      <c r="Y212" s="266"/>
      <c r="Z212" s="266"/>
      <c r="AA212" s="266"/>
      <c r="AB212" s="266"/>
      <c r="AC212" s="266"/>
      <c r="AD212" s="266"/>
      <c r="AE212" s="266"/>
    </row>
    <row r="213" spans="3:31" s="237" customFormat="1" x14ac:dyDescent="0.2">
      <c r="C213" s="266"/>
      <c r="D213" s="266"/>
      <c r="E213" s="266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</row>
    <row r="214" spans="3:31" s="237" customFormat="1" x14ac:dyDescent="0.2">
      <c r="C214" s="266"/>
      <c r="D214" s="266"/>
      <c r="E214" s="266"/>
      <c r="F214" s="266"/>
      <c r="G214" s="266"/>
      <c r="H214" s="266"/>
      <c r="I214" s="266"/>
      <c r="J214" s="266"/>
      <c r="K214" s="266"/>
      <c r="L214" s="266"/>
      <c r="M214" s="266"/>
      <c r="N214" s="266"/>
      <c r="O214" s="266"/>
      <c r="P214" s="266"/>
      <c r="Q214" s="266"/>
      <c r="R214" s="266"/>
      <c r="S214" s="266"/>
      <c r="T214" s="266"/>
      <c r="U214" s="266"/>
      <c r="V214" s="266"/>
      <c r="W214" s="266"/>
      <c r="X214" s="266"/>
      <c r="Y214" s="266"/>
      <c r="Z214" s="266"/>
      <c r="AA214" s="266"/>
      <c r="AB214" s="266"/>
      <c r="AC214" s="266"/>
      <c r="AD214" s="266"/>
      <c r="AE214" s="266"/>
    </row>
    <row r="215" spans="3:31" s="237" customFormat="1" x14ac:dyDescent="0.2">
      <c r="C215" s="266"/>
      <c r="D215" s="266"/>
      <c r="E215" s="266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</row>
    <row r="216" spans="3:31" s="237" customFormat="1" x14ac:dyDescent="0.2">
      <c r="C216" s="266"/>
      <c r="D216" s="266"/>
      <c r="E216" s="266"/>
      <c r="F216" s="266"/>
      <c r="G216" s="266"/>
      <c r="H216" s="266"/>
      <c r="I216" s="266"/>
      <c r="J216" s="266"/>
      <c r="K216" s="266"/>
      <c r="L216" s="266"/>
      <c r="M216" s="266"/>
      <c r="N216" s="266"/>
      <c r="O216" s="266"/>
      <c r="P216" s="266"/>
      <c r="Q216" s="266"/>
      <c r="R216" s="266"/>
      <c r="S216" s="266"/>
      <c r="T216" s="266"/>
      <c r="U216" s="266"/>
      <c r="V216" s="266"/>
      <c r="W216" s="266"/>
      <c r="X216" s="266"/>
      <c r="Y216" s="266"/>
      <c r="Z216" s="266"/>
      <c r="AA216" s="266"/>
      <c r="AB216" s="266"/>
      <c r="AC216" s="266"/>
      <c r="AD216" s="266"/>
      <c r="AE216" s="266"/>
    </row>
    <row r="217" spans="3:31" s="237" customFormat="1" x14ac:dyDescent="0.2">
      <c r="C217" s="266"/>
      <c r="D217" s="266"/>
      <c r="E217" s="266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</row>
    <row r="218" spans="3:31" s="237" customFormat="1" x14ac:dyDescent="0.2">
      <c r="C218" s="266"/>
      <c r="D218" s="266"/>
      <c r="E218" s="266"/>
      <c r="F218" s="266"/>
      <c r="G218" s="266"/>
      <c r="H218" s="266"/>
      <c r="I218" s="266"/>
      <c r="J218" s="266"/>
      <c r="K218" s="266"/>
      <c r="L218" s="266"/>
      <c r="M218" s="266"/>
      <c r="N218" s="266"/>
      <c r="O218" s="266"/>
      <c r="P218" s="266"/>
      <c r="Q218" s="266"/>
      <c r="R218" s="266"/>
      <c r="S218" s="266"/>
      <c r="T218" s="266"/>
      <c r="U218" s="266"/>
      <c r="V218" s="266"/>
      <c r="W218" s="266"/>
      <c r="X218" s="266"/>
      <c r="Y218" s="266"/>
      <c r="Z218" s="266"/>
      <c r="AA218" s="266"/>
      <c r="AB218" s="266"/>
      <c r="AC218" s="266"/>
      <c r="AD218" s="266"/>
      <c r="AE218" s="266"/>
    </row>
    <row r="219" spans="3:31" s="237" customFormat="1" x14ac:dyDescent="0.2">
      <c r="C219" s="266"/>
      <c r="D219" s="266"/>
      <c r="E219" s="266"/>
      <c r="F219" s="266"/>
      <c r="G219" s="266"/>
      <c r="H219" s="266"/>
      <c r="I219" s="266"/>
      <c r="J219" s="266"/>
      <c r="K219" s="266"/>
      <c r="L219" s="266"/>
      <c r="M219" s="266"/>
      <c r="N219" s="266"/>
      <c r="O219" s="266"/>
      <c r="P219" s="266"/>
      <c r="Q219" s="266"/>
      <c r="R219" s="266"/>
      <c r="S219" s="266"/>
      <c r="T219" s="266"/>
      <c r="U219" s="266"/>
      <c r="V219" s="266"/>
      <c r="W219" s="266"/>
      <c r="X219" s="266"/>
      <c r="Y219" s="266"/>
      <c r="Z219" s="266"/>
      <c r="AA219" s="266"/>
      <c r="AB219" s="266"/>
      <c r="AC219" s="266"/>
      <c r="AD219" s="266"/>
      <c r="AE219" s="266"/>
    </row>
    <row r="220" spans="3:31" s="237" customFormat="1" x14ac:dyDescent="0.2">
      <c r="C220" s="266"/>
      <c r="D220" s="266"/>
      <c r="E220" s="266"/>
      <c r="F220" s="266"/>
      <c r="G220" s="266"/>
      <c r="H220" s="266"/>
      <c r="I220" s="266"/>
      <c r="J220" s="266"/>
      <c r="K220" s="266"/>
      <c r="L220" s="266"/>
      <c r="M220" s="266"/>
      <c r="N220" s="266"/>
      <c r="O220" s="266"/>
      <c r="P220" s="266"/>
      <c r="Q220" s="266"/>
      <c r="R220" s="266"/>
      <c r="S220" s="266"/>
      <c r="T220" s="266"/>
      <c r="U220" s="266"/>
      <c r="V220" s="266"/>
      <c r="W220" s="266"/>
      <c r="X220" s="266"/>
      <c r="Y220" s="266"/>
      <c r="Z220" s="266"/>
      <c r="AA220" s="266"/>
      <c r="AB220" s="266"/>
      <c r="AC220" s="266"/>
      <c r="AD220" s="266"/>
      <c r="AE220" s="266"/>
    </row>
    <row r="221" spans="3:31" s="237" customFormat="1" x14ac:dyDescent="0.2">
      <c r="C221" s="266"/>
      <c r="D221" s="266"/>
      <c r="E221" s="266"/>
      <c r="F221" s="266"/>
      <c r="G221" s="266"/>
      <c r="H221" s="266"/>
      <c r="I221" s="266"/>
      <c r="J221" s="266"/>
      <c r="K221" s="266"/>
      <c r="L221" s="266"/>
      <c r="M221" s="266"/>
      <c r="N221" s="266"/>
      <c r="O221" s="266"/>
      <c r="P221" s="266"/>
      <c r="Q221" s="266"/>
      <c r="R221" s="266"/>
      <c r="S221" s="266"/>
      <c r="T221" s="266"/>
      <c r="U221" s="266"/>
      <c r="V221" s="266"/>
      <c r="W221" s="266"/>
      <c r="X221" s="266"/>
      <c r="Y221" s="266"/>
      <c r="Z221" s="266"/>
      <c r="AA221" s="266"/>
      <c r="AB221" s="266"/>
      <c r="AC221" s="266"/>
      <c r="AD221" s="266"/>
      <c r="AE221" s="266"/>
    </row>
    <row r="222" spans="3:31" s="237" customFormat="1" x14ac:dyDescent="0.2">
      <c r="C222" s="266"/>
      <c r="D222" s="266"/>
      <c r="E222" s="266"/>
      <c r="F222" s="266"/>
      <c r="G222" s="266"/>
      <c r="H222" s="266"/>
      <c r="I222" s="266"/>
      <c r="J222" s="266"/>
      <c r="K222" s="266"/>
      <c r="L222" s="266"/>
      <c r="M222" s="266"/>
      <c r="N222" s="266"/>
      <c r="O222" s="266"/>
      <c r="P222" s="266"/>
      <c r="Q222" s="266"/>
      <c r="R222" s="266"/>
      <c r="S222" s="266"/>
      <c r="T222" s="266"/>
      <c r="U222" s="266"/>
      <c r="V222" s="266"/>
      <c r="W222" s="266"/>
      <c r="X222" s="266"/>
      <c r="Y222" s="266"/>
      <c r="Z222" s="266"/>
      <c r="AA222" s="266"/>
      <c r="AB222" s="266"/>
      <c r="AC222" s="266"/>
      <c r="AD222" s="266"/>
      <c r="AE222" s="266"/>
    </row>
    <row r="223" spans="3:31" s="237" customFormat="1" x14ac:dyDescent="0.2">
      <c r="C223" s="266"/>
      <c r="D223" s="266"/>
      <c r="E223" s="266"/>
      <c r="F223" s="266"/>
      <c r="G223" s="266"/>
      <c r="H223" s="266"/>
      <c r="I223" s="266"/>
      <c r="J223" s="266"/>
      <c r="K223" s="266"/>
      <c r="L223" s="266"/>
      <c r="M223" s="266"/>
      <c r="N223" s="266"/>
      <c r="O223" s="266"/>
      <c r="P223" s="266"/>
      <c r="Q223" s="266"/>
      <c r="R223" s="266"/>
      <c r="S223" s="266"/>
      <c r="T223" s="266"/>
      <c r="U223" s="266"/>
      <c r="V223" s="266"/>
      <c r="W223" s="266"/>
      <c r="X223" s="266"/>
      <c r="Y223" s="266"/>
      <c r="Z223" s="266"/>
      <c r="AA223" s="266"/>
      <c r="AB223" s="266"/>
      <c r="AC223" s="266"/>
      <c r="AD223" s="266"/>
      <c r="AE223" s="266"/>
    </row>
    <row r="224" spans="3:31" s="237" customFormat="1" x14ac:dyDescent="0.2">
      <c r="C224" s="266"/>
      <c r="D224" s="266"/>
      <c r="E224" s="266"/>
      <c r="F224" s="266"/>
      <c r="G224" s="266"/>
      <c r="H224" s="266"/>
      <c r="I224" s="266"/>
      <c r="J224" s="266"/>
      <c r="K224" s="266"/>
      <c r="L224" s="266"/>
      <c r="M224" s="266"/>
      <c r="N224" s="266"/>
      <c r="O224" s="266"/>
      <c r="P224" s="266"/>
      <c r="Q224" s="266"/>
      <c r="R224" s="266"/>
      <c r="S224" s="266"/>
      <c r="T224" s="266"/>
      <c r="U224" s="266"/>
      <c r="V224" s="266"/>
      <c r="W224" s="266"/>
      <c r="X224" s="266"/>
      <c r="Y224" s="266"/>
      <c r="Z224" s="266"/>
      <c r="AA224" s="266"/>
      <c r="AB224" s="266"/>
      <c r="AC224" s="266"/>
      <c r="AD224" s="266"/>
      <c r="AE224" s="266"/>
    </row>
    <row r="225" spans="3:31" s="237" customFormat="1" x14ac:dyDescent="0.2">
      <c r="C225" s="266"/>
      <c r="D225" s="266"/>
      <c r="E225" s="266"/>
      <c r="F225" s="266"/>
      <c r="G225" s="266"/>
      <c r="H225" s="266"/>
      <c r="I225" s="266"/>
      <c r="J225" s="266"/>
      <c r="K225" s="266"/>
      <c r="L225" s="266"/>
      <c r="M225" s="266"/>
      <c r="N225" s="266"/>
      <c r="O225" s="266"/>
      <c r="P225" s="266"/>
      <c r="Q225" s="266"/>
      <c r="R225" s="266"/>
      <c r="S225" s="266"/>
      <c r="T225" s="266"/>
      <c r="U225" s="266"/>
      <c r="V225" s="266"/>
      <c r="W225" s="266"/>
      <c r="X225" s="266"/>
      <c r="Y225" s="266"/>
      <c r="Z225" s="266"/>
      <c r="AA225" s="266"/>
      <c r="AB225" s="266"/>
      <c r="AC225" s="266"/>
      <c r="AD225" s="266"/>
      <c r="AE225" s="266"/>
    </row>
    <row r="226" spans="3:31" s="237" customFormat="1" x14ac:dyDescent="0.2">
      <c r="C226" s="266"/>
      <c r="D226" s="266"/>
      <c r="E226" s="266"/>
      <c r="F226" s="266"/>
      <c r="G226" s="266"/>
      <c r="H226" s="266"/>
      <c r="I226" s="266"/>
      <c r="J226" s="266"/>
      <c r="K226" s="266"/>
      <c r="L226" s="266"/>
      <c r="M226" s="266"/>
      <c r="N226" s="266"/>
      <c r="O226" s="266"/>
      <c r="P226" s="266"/>
      <c r="Q226" s="266"/>
      <c r="R226" s="266"/>
      <c r="S226" s="266"/>
      <c r="T226" s="266"/>
      <c r="U226" s="266"/>
      <c r="V226" s="266"/>
      <c r="W226" s="266"/>
      <c r="X226" s="266"/>
      <c r="Y226" s="266"/>
      <c r="Z226" s="266"/>
      <c r="AA226" s="266"/>
      <c r="AB226" s="266"/>
      <c r="AC226" s="266"/>
      <c r="AD226" s="266"/>
      <c r="AE226" s="266"/>
    </row>
    <row r="227" spans="3:31" s="237" customFormat="1" x14ac:dyDescent="0.2">
      <c r="C227" s="266"/>
      <c r="D227" s="266"/>
      <c r="E227" s="266"/>
      <c r="F227" s="266"/>
      <c r="G227" s="266"/>
      <c r="H227" s="266"/>
      <c r="I227" s="266"/>
      <c r="J227" s="266"/>
      <c r="K227" s="266"/>
      <c r="L227" s="266"/>
      <c r="M227" s="266"/>
      <c r="N227" s="266"/>
      <c r="O227" s="266"/>
      <c r="P227" s="266"/>
      <c r="Q227" s="266"/>
      <c r="R227" s="266"/>
      <c r="S227" s="266"/>
      <c r="T227" s="266"/>
      <c r="U227" s="266"/>
      <c r="V227" s="266"/>
      <c r="W227" s="266"/>
      <c r="X227" s="266"/>
      <c r="Y227" s="266"/>
      <c r="Z227" s="266"/>
      <c r="AA227" s="266"/>
      <c r="AB227" s="266"/>
      <c r="AC227" s="266"/>
      <c r="AD227" s="266"/>
      <c r="AE227" s="266"/>
    </row>
    <row r="228" spans="3:31" s="237" customFormat="1" x14ac:dyDescent="0.2">
      <c r="C228" s="266"/>
      <c r="D228" s="266"/>
      <c r="E228" s="266"/>
      <c r="F228" s="266"/>
      <c r="G228" s="266"/>
      <c r="H228" s="266"/>
      <c r="I228" s="266"/>
      <c r="J228" s="266"/>
      <c r="K228" s="266"/>
      <c r="L228" s="266"/>
      <c r="M228" s="266"/>
      <c r="N228" s="266"/>
      <c r="O228" s="266"/>
      <c r="P228" s="266"/>
      <c r="Q228" s="266"/>
      <c r="R228" s="266"/>
      <c r="S228" s="266"/>
      <c r="T228" s="266"/>
      <c r="U228" s="266"/>
      <c r="V228" s="266"/>
      <c r="W228" s="266"/>
      <c r="X228" s="266"/>
      <c r="Y228" s="266"/>
      <c r="Z228" s="266"/>
      <c r="AA228" s="266"/>
      <c r="AB228" s="266"/>
      <c r="AC228" s="266"/>
      <c r="AD228" s="266"/>
      <c r="AE228" s="266"/>
    </row>
    <row r="229" spans="3:31" s="237" customFormat="1" x14ac:dyDescent="0.2">
      <c r="C229" s="266"/>
      <c r="D229" s="266"/>
      <c r="E229" s="266"/>
      <c r="F229" s="266"/>
      <c r="G229" s="266"/>
      <c r="H229" s="266"/>
      <c r="I229" s="266"/>
      <c r="J229" s="266"/>
      <c r="K229" s="266"/>
      <c r="L229" s="266"/>
      <c r="M229" s="266"/>
      <c r="N229" s="266"/>
      <c r="O229" s="266"/>
      <c r="P229" s="266"/>
      <c r="Q229" s="266"/>
      <c r="R229" s="266"/>
      <c r="S229" s="266"/>
      <c r="T229" s="266"/>
      <c r="U229" s="266"/>
      <c r="V229" s="266"/>
      <c r="W229" s="266"/>
      <c r="X229" s="266"/>
      <c r="Y229" s="266"/>
      <c r="Z229" s="266"/>
      <c r="AA229" s="266"/>
      <c r="AB229" s="266"/>
      <c r="AC229" s="266"/>
      <c r="AD229" s="266"/>
      <c r="AE229" s="266"/>
    </row>
    <row r="230" spans="3:31" s="237" customFormat="1" x14ac:dyDescent="0.2">
      <c r="C230" s="266"/>
      <c r="D230" s="266"/>
      <c r="E230" s="266"/>
      <c r="F230" s="266"/>
      <c r="G230" s="266"/>
      <c r="H230" s="266"/>
      <c r="I230" s="266"/>
      <c r="J230" s="266"/>
      <c r="K230" s="266"/>
      <c r="L230" s="266"/>
      <c r="M230" s="266"/>
      <c r="N230" s="266"/>
      <c r="O230" s="266"/>
      <c r="P230" s="266"/>
      <c r="Q230" s="266"/>
      <c r="R230" s="266"/>
      <c r="S230" s="266"/>
      <c r="T230" s="266"/>
      <c r="U230" s="266"/>
      <c r="V230" s="266"/>
      <c r="W230" s="266"/>
      <c r="X230" s="266"/>
      <c r="Y230" s="266"/>
      <c r="Z230" s="266"/>
      <c r="AA230" s="266"/>
      <c r="AB230" s="266"/>
      <c r="AC230" s="266"/>
      <c r="AD230" s="266"/>
      <c r="AE230" s="266"/>
    </row>
    <row r="231" spans="3:31" s="237" customFormat="1" x14ac:dyDescent="0.2">
      <c r="C231" s="266"/>
      <c r="D231" s="266"/>
      <c r="E231" s="266"/>
      <c r="F231" s="266"/>
      <c r="G231" s="266"/>
      <c r="H231" s="266"/>
      <c r="I231" s="266"/>
      <c r="J231" s="266"/>
      <c r="K231" s="266"/>
      <c r="L231" s="266"/>
      <c r="M231" s="266"/>
      <c r="N231" s="266"/>
      <c r="O231" s="266"/>
      <c r="P231" s="266"/>
      <c r="Q231" s="266"/>
      <c r="R231" s="266"/>
      <c r="S231" s="266"/>
      <c r="T231" s="266"/>
      <c r="U231" s="266"/>
      <c r="V231" s="266"/>
      <c r="W231" s="266"/>
      <c r="X231" s="266"/>
      <c r="Y231" s="266"/>
      <c r="Z231" s="266"/>
      <c r="AA231" s="266"/>
      <c r="AB231" s="266"/>
      <c r="AC231" s="266"/>
      <c r="AD231" s="266"/>
      <c r="AE231" s="266"/>
    </row>
    <row r="232" spans="3:31" s="237" customFormat="1" x14ac:dyDescent="0.2">
      <c r="C232" s="266"/>
      <c r="D232" s="266"/>
      <c r="E232" s="266"/>
      <c r="F232" s="266"/>
      <c r="G232" s="266"/>
      <c r="H232" s="266"/>
      <c r="I232" s="266"/>
      <c r="J232" s="266"/>
      <c r="K232" s="266"/>
      <c r="L232" s="266"/>
      <c r="M232" s="266"/>
      <c r="N232" s="266"/>
      <c r="O232" s="266"/>
      <c r="P232" s="266"/>
      <c r="Q232" s="266"/>
      <c r="R232" s="266"/>
      <c r="S232" s="266"/>
      <c r="T232" s="266"/>
      <c r="U232" s="266"/>
      <c r="V232" s="266"/>
      <c r="W232" s="266"/>
      <c r="X232" s="266"/>
      <c r="Y232" s="266"/>
      <c r="Z232" s="266"/>
      <c r="AA232" s="266"/>
      <c r="AB232" s="266"/>
      <c r="AC232" s="266"/>
      <c r="AD232" s="266"/>
      <c r="AE232" s="266"/>
    </row>
    <row r="233" spans="3:31" s="237" customFormat="1" x14ac:dyDescent="0.2">
      <c r="C233" s="266"/>
      <c r="D233" s="266"/>
      <c r="E233" s="266"/>
      <c r="F233" s="266"/>
      <c r="G233" s="266"/>
      <c r="H233" s="266"/>
      <c r="I233" s="266"/>
      <c r="J233" s="266"/>
      <c r="K233" s="266"/>
      <c r="L233" s="266"/>
      <c r="M233" s="266"/>
      <c r="N233" s="266"/>
      <c r="O233" s="266"/>
      <c r="P233" s="266"/>
      <c r="Q233" s="266"/>
      <c r="R233" s="266"/>
      <c r="S233" s="266"/>
      <c r="T233" s="266"/>
      <c r="U233" s="266"/>
      <c r="V233" s="266"/>
      <c r="W233" s="266"/>
      <c r="X233" s="266"/>
      <c r="Y233" s="266"/>
      <c r="Z233" s="266"/>
      <c r="AA233" s="266"/>
      <c r="AB233" s="266"/>
      <c r="AC233" s="266"/>
      <c r="AD233" s="266"/>
      <c r="AE233" s="266"/>
    </row>
    <row r="234" spans="3:31" s="237" customFormat="1" x14ac:dyDescent="0.2">
      <c r="C234" s="266"/>
      <c r="D234" s="266"/>
      <c r="E234" s="266"/>
      <c r="F234" s="266"/>
      <c r="G234" s="266"/>
      <c r="H234" s="266"/>
      <c r="I234" s="266"/>
      <c r="J234" s="266"/>
      <c r="K234" s="266"/>
      <c r="L234" s="266"/>
      <c r="M234" s="266"/>
      <c r="N234" s="266"/>
      <c r="O234" s="266"/>
      <c r="P234" s="266"/>
      <c r="Q234" s="266"/>
      <c r="R234" s="266"/>
      <c r="S234" s="266"/>
      <c r="T234" s="266"/>
      <c r="U234" s="266"/>
      <c r="V234" s="266"/>
      <c r="W234" s="266"/>
      <c r="X234" s="266"/>
      <c r="Y234" s="266"/>
      <c r="Z234" s="266"/>
      <c r="AA234" s="266"/>
      <c r="AB234" s="266"/>
      <c r="AC234" s="266"/>
      <c r="AD234" s="266"/>
      <c r="AE234" s="266"/>
    </row>
    <row r="235" spans="3:31" s="237" customFormat="1" x14ac:dyDescent="0.2">
      <c r="C235" s="266"/>
      <c r="D235" s="266"/>
      <c r="E235" s="266"/>
      <c r="F235" s="266"/>
      <c r="G235" s="266"/>
      <c r="H235" s="266"/>
      <c r="I235" s="266"/>
      <c r="J235" s="266"/>
      <c r="K235" s="266"/>
      <c r="L235" s="266"/>
      <c r="M235" s="266"/>
      <c r="N235" s="266"/>
      <c r="O235" s="266"/>
      <c r="P235" s="266"/>
      <c r="Q235" s="266"/>
      <c r="R235" s="266"/>
      <c r="S235" s="266"/>
      <c r="T235" s="266"/>
      <c r="U235" s="266"/>
      <c r="V235" s="266"/>
      <c r="W235" s="266"/>
      <c r="X235" s="266"/>
      <c r="Y235" s="266"/>
      <c r="Z235" s="266"/>
      <c r="AA235" s="266"/>
      <c r="AB235" s="266"/>
      <c r="AC235" s="266"/>
      <c r="AD235" s="266"/>
      <c r="AE235" s="266"/>
    </row>
    <row r="236" spans="3:31" s="237" customFormat="1" x14ac:dyDescent="0.2">
      <c r="C236" s="266"/>
      <c r="D236" s="266"/>
      <c r="E236" s="266"/>
      <c r="F236" s="266"/>
      <c r="G236" s="266"/>
      <c r="H236" s="266"/>
      <c r="I236" s="266"/>
      <c r="J236" s="266"/>
      <c r="K236" s="266"/>
      <c r="L236" s="266"/>
      <c r="M236" s="266"/>
      <c r="N236" s="266"/>
      <c r="O236" s="266"/>
      <c r="P236" s="266"/>
      <c r="Q236" s="266"/>
      <c r="R236" s="266"/>
      <c r="S236" s="266"/>
      <c r="T236" s="266"/>
      <c r="U236" s="266"/>
      <c r="V236" s="266"/>
      <c r="W236" s="266"/>
      <c r="X236" s="266"/>
      <c r="Y236" s="266"/>
      <c r="Z236" s="266"/>
      <c r="AA236" s="266"/>
      <c r="AB236" s="266"/>
      <c r="AC236" s="266"/>
      <c r="AD236" s="266"/>
      <c r="AE236" s="266"/>
    </row>
    <row r="237" spans="3:31" s="237" customFormat="1" x14ac:dyDescent="0.2">
      <c r="C237" s="266"/>
      <c r="D237" s="266"/>
      <c r="E237" s="266"/>
      <c r="F237" s="266"/>
      <c r="G237" s="266"/>
      <c r="H237" s="266"/>
      <c r="I237" s="266"/>
      <c r="J237" s="266"/>
      <c r="K237" s="266"/>
      <c r="L237" s="266"/>
      <c r="M237" s="266"/>
      <c r="N237" s="266"/>
      <c r="O237" s="266"/>
      <c r="P237" s="266"/>
      <c r="Q237" s="266"/>
      <c r="R237" s="266"/>
      <c r="S237" s="266"/>
      <c r="T237" s="266"/>
      <c r="U237" s="266"/>
      <c r="V237" s="266"/>
      <c r="W237" s="266"/>
      <c r="X237" s="266"/>
      <c r="Y237" s="266"/>
      <c r="Z237" s="266"/>
      <c r="AA237" s="266"/>
      <c r="AB237" s="266"/>
      <c r="AC237" s="266"/>
      <c r="AD237" s="266"/>
      <c r="AE237" s="266"/>
    </row>
    <row r="238" spans="3:31" s="237" customFormat="1" x14ac:dyDescent="0.2">
      <c r="C238" s="266"/>
      <c r="D238" s="266"/>
      <c r="E238" s="266"/>
      <c r="F238" s="266"/>
      <c r="G238" s="266"/>
      <c r="H238" s="266"/>
      <c r="I238" s="266"/>
      <c r="J238" s="266"/>
      <c r="K238" s="266"/>
      <c r="L238" s="266"/>
      <c r="M238" s="266"/>
      <c r="N238" s="266"/>
      <c r="O238" s="266"/>
      <c r="P238" s="266"/>
      <c r="Q238" s="266"/>
      <c r="R238" s="266"/>
      <c r="S238" s="266"/>
      <c r="T238" s="266"/>
      <c r="U238" s="266"/>
      <c r="V238" s="266"/>
      <c r="W238" s="266"/>
      <c r="X238" s="266"/>
      <c r="Y238" s="266"/>
      <c r="Z238" s="266"/>
      <c r="AA238" s="266"/>
      <c r="AB238" s="266"/>
      <c r="AC238" s="266"/>
      <c r="AD238" s="266"/>
      <c r="AE238" s="266"/>
    </row>
    <row r="239" spans="3:31" s="237" customFormat="1" x14ac:dyDescent="0.2">
      <c r="C239" s="266"/>
      <c r="D239" s="266"/>
      <c r="E239" s="266"/>
      <c r="F239" s="266"/>
      <c r="G239" s="266"/>
      <c r="H239" s="266"/>
      <c r="I239" s="266"/>
      <c r="J239" s="266"/>
      <c r="K239" s="266"/>
      <c r="L239" s="266"/>
      <c r="M239" s="266"/>
      <c r="N239" s="266"/>
      <c r="O239" s="266"/>
      <c r="P239" s="266"/>
      <c r="Q239" s="266"/>
      <c r="R239" s="266"/>
      <c r="S239" s="266"/>
      <c r="T239" s="266"/>
      <c r="U239" s="266"/>
      <c r="V239" s="266"/>
      <c r="W239" s="266"/>
      <c r="X239" s="266"/>
      <c r="Y239" s="266"/>
      <c r="Z239" s="266"/>
      <c r="AA239" s="266"/>
      <c r="AB239" s="266"/>
      <c r="AC239" s="266"/>
      <c r="AD239" s="266"/>
      <c r="AE239" s="266"/>
    </row>
    <row r="240" spans="3:31" s="237" customFormat="1" x14ac:dyDescent="0.2">
      <c r="C240" s="266"/>
      <c r="D240" s="266"/>
      <c r="E240" s="266"/>
      <c r="F240" s="266"/>
      <c r="G240" s="266"/>
      <c r="H240" s="266"/>
      <c r="I240" s="266"/>
      <c r="J240" s="266"/>
      <c r="K240" s="266"/>
      <c r="L240" s="266"/>
      <c r="M240" s="266"/>
      <c r="N240" s="266"/>
      <c r="O240" s="266"/>
      <c r="P240" s="266"/>
      <c r="Q240" s="266"/>
      <c r="R240" s="266"/>
      <c r="S240" s="266"/>
      <c r="T240" s="266"/>
      <c r="U240" s="266"/>
      <c r="V240" s="266"/>
      <c r="W240" s="266"/>
      <c r="X240" s="266"/>
      <c r="Y240" s="266"/>
      <c r="Z240" s="266"/>
      <c r="AA240" s="266"/>
      <c r="AB240" s="266"/>
      <c r="AC240" s="266"/>
      <c r="AD240" s="266"/>
      <c r="AE240" s="266"/>
    </row>
    <row r="241" spans="3:31" s="237" customFormat="1" x14ac:dyDescent="0.2">
      <c r="C241" s="266"/>
      <c r="D241" s="266"/>
      <c r="E241" s="266"/>
      <c r="F241" s="266"/>
      <c r="G241" s="266"/>
      <c r="H241" s="266"/>
      <c r="I241" s="266"/>
      <c r="J241" s="266"/>
      <c r="K241" s="266"/>
      <c r="L241" s="266"/>
      <c r="M241" s="266"/>
      <c r="N241" s="266"/>
      <c r="O241" s="266"/>
      <c r="P241" s="266"/>
      <c r="Q241" s="266"/>
      <c r="R241" s="266"/>
      <c r="S241" s="266"/>
      <c r="T241" s="266"/>
      <c r="U241" s="266"/>
      <c r="V241" s="266"/>
      <c r="W241" s="266"/>
      <c r="X241" s="266"/>
      <c r="Y241" s="266"/>
      <c r="Z241" s="266"/>
      <c r="AA241" s="266"/>
      <c r="AB241" s="266"/>
      <c r="AC241" s="266"/>
      <c r="AD241" s="266"/>
      <c r="AE241" s="266"/>
    </row>
    <row r="242" spans="3:31" s="237" customFormat="1" x14ac:dyDescent="0.2">
      <c r="C242" s="266"/>
      <c r="D242" s="266"/>
      <c r="E242" s="266"/>
      <c r="F242" s="266"/>
      <c r="G242" s="266"/>
      <c r="H242" s="266"/>
      <c r="I242" s="266"/>
      <c r="J242" s="266"/>
      <c r="K242" s="266"/>
      <c r="L242" s="266"/>
      <c r="M242" s="266"/>
      <c r="N242" s="266"/>
      <c r="O242" s="266"/>
      <c r="P242" s="266"/>
      <c r="Q242" s="266"/>
      <c r="R242" s="266"/>
      <c r="S242" s="266"/>
      <c r="T242" s="266"/>
      <c r="U242" s="266"/>
      <c r="V242" s="266"/>
      <c r="W242" s="266"/>
      <c r="X242" s="266"/>
      <c r="Y242" s="266"/>
      <c r="Z242" s="266"/>
      <c r="AA242" s="266"/>
      <c r="AB242" s="266"/>
      <c r="AC242" s="266"/>
      <c r="AD242" s="266"/>
      <c r="AE242" s="266"/>
    </row>
    <row r="243" spans="3:31" s="237" customFormat="1" x14ac:dyDescent="0.2">
      <c r="C243" s="266"/>
      <c r="D243" s="266"/>
      <c r="E243" s="266"/>
      <c r="F243" s="266"/>
      <c r="G243" s="266"/>
      <c r="H243" s="266"/>
      <c r="I243" s="266"/>
      <c r="J243" s="266"/>
      <c r="K243" s="266"/>
      <c r="L243" s="266"/>
      <c r="M243" s="266"/>
      <c r="N243" s="266"/>
      <c r="O243" s="266"/>
      <c r="P243" s="266"/>
      <c r="Q243" s="266"/>
      <c r="R243" s="266"/>
      <c r="S243" s="266"/>
      <c r="T243" s="266"/>
      <c r="U243" s="266"/>
      <c r="V243" s="266"/>
      <c r="W243" s="266"/>
      <c r="X243" s="266"/>
      <c r="Y243" s="266"/>
      <c r="Z243" s="266"/>
      <c r="AA243" s="266"/>
      <c r="AB243" s="266"/>
      <c r="AC243" s="266"/>
      <c r="AD243" s="266"/>
      <c r="AE243" s="266"/>
    </row>
    <row r="244" spans="3:31" s="237" customFormat="1" x14ac:dyDescent="0.2">
      <c r="C244" s="266"/>
      <c r="D244" s="266"/>
      <c r="E244" s="266"/>
      <c r="F244" s="266"/>
      <c r="G244" s="266"/>
      <c r="H244" s="266"/>
      <c r="I244" s="266"/>
      <c r="J244" s="266"/>
      <c r="K244" s="266"/>
      <c r="L244" s="266"/>
      <c r="M244" s="266"/>
      <c r="N244" s="266"/>
      <c r="O244" s="266"/>
      <c r="P244" s="266"/>
      <c r="Q244" s="266"/>
      <c r="R244" s="266"/>
      <c r="S244" s="266"/>
      <c r="T244" s="266"/>
      <c r="U244" s="266"/>
      <c r="V244" s="266"/>
      <c r="W244" s="266"/>
      <c r="X244" s="266"/>
      <c r="Y244" s="266"/>
      <c r="Z244" s="266"/>
      <c r="AA244" s="266"/>
      <c r="AB244" s="266"/>
      <c r="AC244" s="266"/>
      <c r="AD244" s="266"/>
      <c r="AE244" s="266"/>
    </row>
  </sheetData>
  <mergeCells count="39">
    <mergeCell ref="A3:AE3"/>
    <mergeCell ref="A2:AE2"/>
    <mergeCell ref="A4:AE4"/>
    <mergeCell ref="A5:AE5"/>
    <mergeCell ref="A6:A7"/>
    <mergeCell ref="B6:B7"/>
    <mergeCell ref="C6:C7"/>
    <mergeCell ref="D6:D7"/>
    <mergeCell ref="Z6:Z7"/>
    <mergeCell ref="AA6:AA7"/>
    <mergeCell ref="AB6:AB7"/>
    <mergeCell ref="AC6:AC7"/>
    <mergeCell ref="AD6:AD7"/>
    <mergeCell ref="AE6:AE7"/>
    <mergeCell ref="J6:J7"/>
    <mergeCell ref="P6:P7"/>
    <mergeCell ref="A20:AE20"/>
    <mergeCell ref="U6:U7"/>
    <mergeCell ref="V6:V7"/>
    <mergeCell ref="W6:W7"/>
    <mergeCell ref="X6:X7"/>
    <mergeCell ref="A13:B13"/>
    <mergeCell ref="H6:H7"/>
    <mergeCell ref="S6:S7"/>
    <mergeCell ref="T6:T7"/>
    <mergeCell ref="A19:B19"/>
    <mergeCell ref="A8:B8"/>
    <mergeCell ref="Y6:Y7"/>
    <mergeCell ref="E6:E7"/>
    <mergeCell ref="F6:F7"/>
    <mergeCell ref="G6:G7"/>
    <mergeCell ref="I6:I7"/>
    <mergeCell ref="Q6:Q7"/>
    <mergeCell ref="R6:R7"/>
    <mergeCell ref="K6:K7"/>
    <mergeCell ref="L6:L7"/>
    <mergeCell ref="M6:M7"/>
    <mergeCell ref="N6:N7"/>
    <mergeCell ref="O6:O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A14:A18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65531"/>
  <sheetViews>
    <sheetView topLeftCell="C1" workbookViewId="0">
      <selection activeCell="D17" sqref="D17"/>
    </sheetView>
  </sheetViews>
  <sheetFormatPr baseColWidth="10" defaultRowHeight="12.75" x14ac:dyDescent="0.2"/>
  <cols>
    <col min="1" max="1" width="11.42578125" style="5"/>
    <col min="2" max="2" width="31.140625" style="5" customWidth="1"/>
    <col min="3" max="3" width="23.5703125" style="5" customWidth="1"/>
    <col min="4" max="4" width="36.7109375" style="194" customWidth="1"/>
    <col min="5" max="5" width="12.7109375" style="194" customWidth="1"/>
    <col min="6" max="6" width="11.140625" style="194" customWidth="1"/>
    <col min="7" max="18" width="10.7109375" style="5" customWidth="1"/>
    <col min="19" max="16384" width="11.42578125" style="5"/>
  </cols>
  <sheetData>
    <row r="2" spans="1:18" ht="18" x14ac:dyDescent="0.25">
      <c r="A2" s="1216" t="s">
        <v>613</v>
      </c>
      <c r="B2" s="1216"/>
      <c r="C2" s="1216"/>
      <c r="D2" s="1216"/>
      <c r="E2" s="1216"/>
      <c r="F2" s="1216"/>
    </row>
    <row r="3" spans="1:18" ht="18" x14ac:dyDescent="0.25">
      <c r="A3" s="1221" t="str">
        <f>+PRESUPUESTO!B2</f>
        <v>ADMINISTRACION DE EMPRESAS</v>
      </c>
      <c r="B3" s="1221"/>
      <c r="C3" s="1221"/>
      <c r="D3" s="1221"/>
      <c r="E3" s="1221"/>
      <c r="F3" s="1221"/>
    </row>
    <row r="4" spans="1:18" ht="17.25" customHeight="1" thickBot="1" x14ac:dyDescent="0.3">
      <c r="A4" s="1197">
        <v>2018</v>
      </c>
      <c r="B4" s="1197"/>
      <c r="C4" s="1197"/>
      <c r="D4" s="1197"/>
      <c r="E4" s="1197"/>
      <c r="F4" s="1197"/>
      <c r="G4" s="1231" t="s">
        <v>492</v>
      </c>
      <c r="H4" s="1231"/>
      <c r="I4" s="1231"/>
      <c r="J4" s="1231"/>
      <c r="K4" s="1231"/>
      <c r="L4" s="1231"/>
      <c r="M4" s="1231"/>
      <c r="N4" s="1231"/>
      <c r="O4" s="1231"/>
      <c r="P4" s="1231"/>
      <c r="Q4" s="1231"/>
      <c r="R4" s="1231"/>
    </row>
    <row r="5" spans="1:18" x14ac:dyDescent="0.2">
      <c r="A5" s="1214" t="s">
        <v>418</v>
      </c>
      <c r="B5" s="1227" t="s">
        <v>249</v>
      </c>
      <c r="C5" s="1217" t="s">
        <v>250</v>
      </c>
      <c r="D5" s="1217" t="s">
        <v>255</v>
      </c>
      <c r="E5" s="1222" t="s">
        <v>614</v>
      </c>
      <c r="F5" s="1219" t="s">
        <v>475</v>
      </c>
      <c r="G5" s="1229" t="s">
        <v>484</v>
      </c>
      <c r="H5" s="1229" t="s">
        <v>485</v>
      </c>
      <c r="I5" s="1229" t="s">
        <v>486</v>
      </c>
      <c r="J5" s="1229" t="s">
        <v>487</v>
      </c>
      <c r="K5" s="1229" t="s">
        <v>488</v>
      </c>
      <c r="L5" s="1229" t="s">
        <v>489</v>
      </c>
      <c r="M5" s="1229" t="s">
        <v>490</v>
      </c>
      <c r="N5" s="1229" t="s">
        <v>491</v>
      </c>
      <c r="O5" s="1229" t="s">
        <v>251</v>
      </c>
      <c r="P5" s="1229" t="s">
        <v>252</v>
      </c>
      <c r="Q5" s="1229" t="s">
        <v>253</v>
      </c>
      <c r="R5" s="1229" t="s">
        <v>254</v>
      </c>
    </row>
    <row r="6" spans="1:18" ht="13.5" thickBot="1" x14ac:dyDescent="0.25">
      <c r="A6" s="1215"/>
      <c r="B6" s="1228"/>
      <c r="C6" s="1218"/>
      <c r="D6" s="1218"/>
      <c r="E6" s="1223"/>
      <c r="F6" s="122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  <c r="R6" s="1230"/>
    </row>
    <row r="7" spans="1:18" ht="45" x14ac:dyDescent="0.2">
      <c r="A7" s="865"/>
      <c r="B7" s="987" t="s">
        <v>1042</v>
      </c>
      <c r="C7" s="987" t="s">
        <v>1043</v>
      </c>
      <c r="D7" s="991" t="s">
        <v>1044</v>
      </c>
      <c r="E7" s="988">
        <v>3</v>
      </c>
      <c r="F7" s="989">
        <f>SUM(G7:R7)</f>
        <v>0</v>
      </c>
      <c r="G7" s="254">
        <v>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  <c r="Q7" s="254">
        <v>0</v>
      </c>
      <c r="R7" s="254">
        <v>0</v>
      </c>
    </row>
    <row r="8" spans="1:18" ht="67.5" x14ac:dyDescent="0.2">
      <c r="A8" s="866"/>
      <c r="B8" s="984" t="s">
        <v>1045</v>
      </c>
      <c r="C8" s="984" t="s">
        <v>1046</v>
      </c>
      <c r="D8" s="992" t="s">
        <v>1047</v>
      </c>
      <c r="E8" s="985">
        <v>3</v>
      </c>
      <c r="F8" s="990">
        <f t="shared" ref="F8:F40" si="0">SUM(G8:R8)</f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  <c r="R8" s="253">
        <v>0</v>
      </c>
    </row>
    <row r="9" spans="1:18" ht="67.5" x14ac:dyDescent="0.2">
      <c r="A9" s="866"/>
      <c r="B9" s="983" t="s">
        <v>1048</v>
      </c>
      <c r="C9" s="984" t="s">
        <v>1049</v>
      </c>
      <c r="D9" s="992" t="s">
        <v>1050</v>
      </c>
      <c r="E9" s="985">
        <v>3</v>
      </c>
      <c r="F9" s="538">
        <f t="shared" si="0"/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  <c r="R9" s="253">
        <v>0</v>
      </c>
    </row>
    <row r="10" spans="1:18" x14ac:dyDescent="0.2">
      <c r="A10" s="866"/>
      <c r="B10" s="983"/>
      <c r="C10" s="984"/>
      <c r="D10" s="986"/>
      <c r="E10" s="985"/>
      <c r="F10" s="538">
        <v>1200000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</row>
    <row r="11" spans="1:18" x14ac:dyDescent="0.2">
      <c r="A11" s="866"/>
      <c r="B11" s="981"/>
      <c r="C11" s="981"/>
      <c r="D11" s="982"/>
      <c r="E11" s="985"/>
      <c r="F11" s="538">
        <f t="shared" si="0"/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</row>
    <row r="12" spans="1:18" x14ac:dyDescent="0.2">
      <c r="A12" s="866"/>
      <c r="B12" s="531"/>
      <c r="C12" s="531"/>
      <c r="D12" s="533"/>
      <c r="E12" s="533"/>
      <c r="F12" s="538"/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</row>
    <row r="13" spans="1:18" x14ac:dyDescent="0.2">
      <c r="A13" s="866"/>
      <c r="B13" s="531"/>
      <c r="C13" s="531"/>
      <c r="D13" s="533"/>
      <c r="E13" s="533"/>
      <c r="F13" s="538">
        <f t="shared" si="0"/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  <c r="R13" s="253">
        <v>0</v>
      </c>
    </row>
    <row r="14" spans="1:18" x14ac:dyDescent="0.2">
      <c r="A14" s="866"/>
      <c r="B14" s="531"/>
      <c r="C14" s="531"/>
      <c r="D14" s="533"/>
      <c r="E14" s="533"/>
      <c r="F14" s="538">
        <f t="shared" si="0"/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  <c r="R14" s="253">
        <v>0</v>
      </c>
    </row>
    <row r="15" spans="1:18" x14ac:dyDescent="0.2">
      <c r="A15" s="866"/>
      <c r="B15" s="531"/>
      <c r="C15" s="531"/>
      <c r="D15" s="533"/>
      <c r="E15" s="533"/>
      <c r="F15" s="538">
        <f t="shared" si="0"/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  <c r="R15" s="253">
        <v>0</v>
      </c>
    </row>
    <row r="16" spans="1:18" x14ac:dyDescent="0.2">
      <c r="A16" s="866"/>
      <c r="B16" s="531"/>
      <c r="C16" s="531"/>
      <c r="D16" s="533"/>
      <c r="E16" s="533"/>
      <c r="F16" s="538">
        <f t="shared" si="0"/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  <c r="R16" s="253">
        <v>0</v>
      </c>
    </row>
    <row r="17" spans="1:18" x14ac:dyDescent="0.2">
      <c r="A17" s="866"/>
      <c r="B17" s="531"/>
      <c r="C17" s="531"/>
      <c r="D17" s="533"/>
      <c r="E17" s="533"/>
      <c r="F17" s="538">
        <f t="shared" si="0"/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  <c r="R17" s="253">
        <v>0</v>
      </c>
    </row>
    <row r="18" spans="1:18" x14ac:dyDescent="0.2">
      <c r="A18" s="866"/>
      <c r="B18" s="531"/>
      <c r="C18" s="531"/>
      <c r="D18" s="533"/>
      <c r="E18" s="533"/>
      <c r="F18" s="538">
        <f t="shared" si="0"/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  <c r="R18" s="253">
        <v>0</v>
      </c>
    </row>
    <row r="19" spans="1:18" x14ac:dyDescent="0.2">
      <c r="A19" s="866"/>
      <c r="B19" s="531"/>
      <c r="C19" s="531"/>
      <c r="D19" s="533"/>
      <c r="E19" s="533"/>
      <c r="F19" s="538">
        <f t="shared" si="0"/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  <c r="R19" s="253">
        <v>0</v>
      </c>
    </row>
    <row r="20" spans="1:18" x14ac:dyDescent="0.2">
      <c r="A20" s="866"/>
      <c r="B20" s="531"/>
      <c r="C20" s="531"/>
      <c r="D20" s="533"/>
      <c r="E20" s="533"/>
      <c r="F20" s="538">
        <f t="shared" si="0"/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  <c r="R20" s="253">
        <v>0</v>
      </c>
    </row>
    <row r="21" spans="1:18" x14ac:dyDescent="0.2">
      <c r="A21" s="866"/>
      <c r="B21" s="531"/>
      <c r="C21" s="531"/>
      <c r="D21" s="533"/>
      <c r="E21" s="533"/>
      <c r="F21" s="538">
        <f t="shared" si="0"/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  <c r="R21" s="253">
        <v>0</v>
      </c>
    </row>
    <row r="22" spans="1:18" x14ac:dyDescent="0.2">
      <c r="A22" s="866"/>
      <c r="B22" s="531"/>
      <c r="C22" s="531"/>
      <c r="D22" s="533"/>
      <c r="E22" s="533"/>
      <c r="F22" s="538">
        <f t="shared" si="0"/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  <c r="R22" s="253">
        <v>0</v>
      </c>
    </row>
    <row r="23" spans="1:18" x14ac:dyDescent="0.2">
      <c r="A23" s="866"/>
      <c r="B23" s="531"/>
      <c r="C23" s="531"/>
      <c r="D23" s="533"/>
      <c r="E23" s="533"/>
      <c r="F23" s="538">
        <f t="shared" si="0"/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  <c r="R23" s="253">
        <v>0</v>
      </c>
    </row>
    <row r="24" spans="1:18" x14ac:dyDescent="0.2">
      <c r="A24" s="866"/>
      <c r="B24" s="531"/>
      <c r="C24" s="531"/>
      <c r="D24" s="533"/>
      <c r="E24" s="533"/>
      <c r="F24" s="538">
        <f t="shared" si="0"/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</row>
    <row r="25" spans="1:18" x14ac:dyDescent="0.2">
      <c r="A25" s="866"/>
      <c r="B25" s="531"/>
      <c r="C25" s="531"/>
      <c r="D25" s="533"/>
      <c r="E25" s="533"/>
      <c r="F25" s="538">
        <f t="shared" si="0"/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  <c r="R25" s="253">
        <v>0</v>
      </c>
    </row>
    <row r="26" spans="1:18" x14ac:dyDescent="0.2">
      <c r="A26" s="866"/>
      <c r="B26" s="531"/>
      <c r="C26" s="531"/>
      <c r="D26" s="533"/>
      <c r="E26" s="533"/>
      <c r="F26" s="538">
        <f t="shared" si="0"/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  <c r="R26" s="253">
        <v>0</v>
      </c>
    </row>
    <row r="27" spans="1:18" x14ac:dyDescent="0.2">
      <c r="A27" s="866"/>
      <c r="B27" s="531"/>
      <c r="C27" s="531"/>
      <c r="D27" s="533"/>
      <c r="E27" s="533"/>
      <c r="F27" s="538">
        <f t="shared" si="0"/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  <c r="R27" s="253">
        <v>0</v>
      </c>
    </row>
    <row r="28" spans="1:18" x14ac:dyDescent="0.2">
      <c r="A28" s="866"/>
      <c r="B28" s="531"/>
      <c r="C28" s="531"/>
      <c r="D28" s="533"/>
      <c r="E28" s="533"/>
      <c r="F28" s="538">
        <f t="shared" si="0"/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  <c r="R28" s="253">
        <v>0</v>
      </c>
    </row>
    <row r="29" spans="1:18" x14ac:dyDescent="0.2">
      <c r="A29" s="866"/>
      <c r="B29" s="531"/>
      <c r="C29" s="531"/>
      <c r="D29" s="533"/>
      <c r="E29" s="533"/>
      <c r="F29" s="538">
        <f t="shared" si="0"/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  <c r="R29" s="253">
        <v>0</v>
      </c>
    </row>
    <row r="30" spans="1:18" x14ac:dyDescent="0.2">
      <c r="A30" s="866"/>
      <c r="B30" s="531"/>
      <c r="C30" s="531"/>
      <c r="D30" s="533"/>
      <c r="E30" s="533"/>
      <c r="F30" s="538">
        <f t="shared" si="0"/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  <c r="R30" s="253">
        <v>0</v>
      </c>
    </row>
    <row r="31" spans="1:18" x14ac:dyDescent="0.2">
      <c r="A31" s="866"/>
      <c r="B31" s="531"/>
      <c r="C31" s="531"/>
      <c r="D31" s="533"/>
      <c r="E31" s="533"/>
      <c r="F31" s="538">
        <f t="shared" si="0"/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  <c r="R31" s="253">
        <v>0</v>
      </c>
    </row>
    <row r="32" spans="1:18" x14ac:dyDescent="0.2">
      <c r="A32" s="866"/>
      <c r="B32" s="531"/>
      <c r="C32" s="531"/>
      <c r="D32" s="533"/>
      <c r="E32" s="533"/>
      <c r="F32" s="538">
        <f t="shared" si="0"/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  <c r="R32" s="253">
        <v>0</v>
      </c>
    </row>
    <row r="33" spans="1:18" x14ac:dyDescent="0.2">
      <c r="A33" s="866"/>
      <c r="B33" s="531"/>
      <c r="C33" s="531"/>
      <c r="D33" s="533"/>
      <c r="E33" s="533"/>
      <c r="F33" s="538">
        <f t="shared" si="0"/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  <c r="R33" s="253">
        <v>0</v>
      </c>
    </row>
    <row r="34" spans="1:18" x14ac:dyDescent="0.2">
      <c r="A34" s="866"/>
      <c r="B34" s="531"/>
      <c r="C34" s="531"/>
      <c r="D34" s="533"/>
      <c r="E34" s="533"/>
      <c r="F34" s="538">
        <f t="shared" si="0"/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  <c r="R34" s="253">
        <v>0</v>
      </c>
    </row>
    <row r="35" spans="1:18" x14ac:dyDescent="0.2">
      <c r="A35" s="866"/>
      <c r="B35" s="531"/>
      <c r="C35" s="531"/>
      <c r="D35" s="533"/>
      <c r="E35" s="533"/>
      <c r="F35" s="538">
        <f t="shared" si="0"/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  <c r="R35" s="253">
        <v>0</v>
      </c>
    </row>
    <row r="36" spans="1:18" x14ac:dyDescent="0.2">
      <c r="A36" s="866"/>
      <c r="B36" s="531"/>
      <c r="C36" s="531"/>
      <c r="D36" s="533"/>
      <c r="E36" s="533"/>
      <c r="F36" s="538">
        <f t="shared" si="0"/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  <c r="R36" s="253">
        <v>0</v>
      </c>
    </row>
    <row r="37" spans="1:18" x14ac:dyDescent="0.2">
      <c r="A37" s="866"/>
      <c r="B37" s="531"/>
      <c r="C37" s="531"/>
      <c r="D37" s="533"/>
      <c r="E37" s="533"/>
      <c r="F37" s="538">
        <f t="shared" si="0"/>
        <v>0</v>
      </c>
      <c r="G37" s="253">
        <v>0</v>
      </c>
      <c r="H37" s="253">
        <v>0</v>
      </c>
      <c r="I37" s="253">
        <v>0</v>
      </c>
      <c r="J37" s="253">
        <v>0</v>
      </c>
      <c r="K37" s="253">
        <v>0</v>
      </c>
      <c r="L37" s="253">
        <v>0</v>
      </c>
      <c r="M37" s="253">
        <v>0</v>
      </c>
      <c r="N37" s="253">
        <v>0</v>
      </c>
      <c r="O37" s="253">
        <v>0</v>
      </c>
      <c r="P37" s="253">
        <v>0</v>
      </c>
      <c r="Q37" s="253">
        <v>0</v>
      </c>
      <c r="R37" s="253">
        <v>0</v>
      </c>
    </row>
    <row r="38" spans="1:18" x14ac:dyDescent="0.2">
      <c r="A38" s="866"/>
      <c r="B38" s="531"/>
      <c r="C38" s="531"/>
      <c r="D38" s="533"/>
      <c r="E38" s="533"/>
      <c r="F38" s="538">
        <f t="shared" si="0"/>
        <v>0</v>
      </c>
      <c r="G38" s="253">
        <v>0</v>
      </c>
      <c r="H38" s="253">
        <v>0</v>
      </c>
      <c r="I38" s="253">
        <v>0</v>
      </c>
      <c r="J38" s="253">
        <v>0</v>
      </c>
      <c r="K38" s="253">
        <v>0</v>
      </c>
      <c r="L38" s="253">
        <v>0</v>
      </c>
      <c r="M38" s="253">
        <v>0</v>
      </c>
      <c r="N38" s="253">
        <v>0</v>
      </c>
      <c r="O38" s="253">
        <v>0</v>
      </c>
      <c r="P38" s="253">
        <v>0</v>
      </c>
      <c r="Q38" s="253">
        <v>0</v>
      </c>
      <c r="R38" s="253">
        <v>0</v>
      </c>
    </row>
    <row r="39" spans="1:18" x14ac:dyDescent="0.2">
      <c r="A39" s="866"/>
      <c r="B39" s="531"/>
      <c r="C39" s="531"/>
      <c r="D39" s="533"/>
      <c r="E39" s="533"/>
      <c r="F39" s="538">
        <f t="shared" si="0"/>
        <v>0</v>
      </c>
      <c r="G39" s="253">
        <v>0</v>
      </c>
      <c r="H39" s="253">
        <v>0</v>
      </c>
      <c r="I39" s="253">
        <v>0</v>
      </c>
      <c r="J39" s="253">
        <v>0</v>
      </c>
      <c r="K39" s="253">
        <v>0</v>
      </c>
      <c r="L39" s="253">
        <v>0</v>
      </c>
      <c r="M39" s="253">
        <v>0</v>
      </c>
      <c r="N39" s="253">
        <v>0</v>
      </c>
      <c r="O39" s="253">
        <v>0</v>
      </c>
      <c r="P39" s="253">
        <v>0</v>
      </c>
      <c r="Q39" s="253">
        <v>0</v>
      </c>
      <c r="R39" s="253">
        <v>0</v>
      </c>
    </row>
    <row r="40" spans="1:18" ht="13.5" thickBot="1" x14ac:dyDescent="0.25">
      <c r="A40" s="867"/>
      <c r="B40" s="868"/>
      <c r="C40" s="868"/>
      <c r="D40" s="869"/>
      <c r="E40" s="869"/>
      <c r="F40" s="538">
        <f t="shared" si="0"/>
        <v>0</v>
      </c>
      <c r="G40" s="253">
        <v>0</v>
      </c>
      <c r="H40" s="253">
        <v>0</v>
      </c>
      <c r="I40" s="253">
        <v>0</v>
      </c>
      <c r="J40" s="253">
        <v>0</v>
      </c>
      <c r="K40" s="253">
        <v>0</v>
      </c>
      <c r="L40" s="253">
        <v>0</v>
      </c>
      <c r="M40" s="253">
        <v>0</v>
      </c>
      <c r="N40" s="253">
        <v>0</v>
      </c>
      <c r="O40" s="253">
        <v>0</v>
      </c>
      <c r="P40" s="253">
        <v>0</v>
      </c>
      <c r="Q40" s="253">
        <v>0</v>
      </c>
      <c r="R40" s="253">
        <v>0</v>
      </c>
    </row>
    <row r="41" spans="1:18" ht="13.5" thickBot="1" x14ac:dyDescent="0.25">
      <c r="A41" s="863">
        <v>5165951000</v>
      </c>
      <c r="B41" s="1224" t="s">
        <v>167</v>
      </c>
      <c r="C41" s="1225"/>
      <c r="D41" s="1226"/>
      <c r="E41" s="864"/>
      <c r="F41" s="195">
        <f>SUM(F7:F40)</f>
        <v>1200000</v>
      </c>
      <c r="G41" s="278">
        <f>SUM(G7:G40)</f>
        <v>0</v>
      </c>
      <c r="H41" s="278">
        <f t="shared" ref="H41:R41" si="1">SUM(H7:H40)</f>
        <v>0</v>
      </c>
      <c r="I41" s="278">
        <f t="shared" si="1"/>
        <v>0</v>
      </c>
      <c r="J41" s="278">
        <f t="shared" si="1"/>
        <v>0</v>
      </c>
      <c r="K41" s="278">
        <f t="shared" si="1"/>
        <v>0</v>
      </c>
      <c r="L41" s="278">
        <f t="shared" si="1"/>
        <v>0</v>
      </c>
      <c r="M41" s="278">
        <f t="shared" si="1"/>
        <v>0</v>
      </c>
      <c r="N41" s="278">
        <f t="shared" si="1"/>
        <v>0</v>
      </c>
      <c r="O41" s="278">
        <f t="shared" si="1"/>
        <v>0</v>
      </c>
      <c r="P41" s="278">
        <f t="shared" si="1"/>
        <v>0</v>
      </c>
      <c r="Q41" s="278">
        <f t="shared" si="1"/>
        <v>0</v>
      </c>
      <c r="R41" s="278">
        <f t="shared" si="1"/>
        <v>0</v>
      </c>
    </row>
    <row r="43" spans="1:18" x14ac:dyDescent="0.2">
      <c r="A43" s="857" t="s">
        <v>612</v>
      </c>
      <c r="B43" s="858"/>
      <c r="C43" s="858"/>
      <c r="D43" s="858"/>
      <c r="E43" s="858"/>
      <c r="F43" s="859"/>
      <c r="G43" s="858"/>
      <c r="H43" s="858"/>
    </row>
    <row r="65531" spans="7:7" x14ac:dyDescent="0.2">
      <c r="G65531" s="6">
        <v>0</v>
      </c>
    </row>
  </sheetData>
  <mergeCells count="23">
    <mergeCell ref="G4:R4"/>
    <mergeCell ref="O5:O6"/>
    <mergeCell ref="Q5:Q6"/>
    <mergeCell ref="P5:P6"/>
    <mergeCell ref="M5:M6"/>
    <mergeCell ref="R5:R6"/>
    <mergeCell ref="N5:N6"/>
    <mergeCell ref="I5:I6"/>
    <mergeCell ref="H5:H6"/>
    <mergeCell ref="L5:L6"/>
    <mergeCell ref="J5:J6"/>
    <mergeCell ref="B41:D41"/>
    <mergeCell ref="B5:B6"/>
    <mergeCell ref="C5:C6"/>
    <mergeCell ref="K5:K6"/>
    <mergeCell ref="G5:G6"/>
    <mergeCell ref="A2:F2"/>
    <mergeCell ref="A4:F4"/>
    <mergeCell ref="D5:D6"/>
    <mergeCell ref="F5:F6"/>
    <mergeCell ref="A3:F3"/>
    <mergeCell ref="A5:A6"/>
    <mergeCell ref="E5:E6"/>
  </mergeCells>
  <phoneticPr fontId="27" type="noConversion"/>
  <pageMargins left="0.16" right="0.16" top="1" bottom="1" header="0" footer="0"/>
  <pageSetup paperSize="9"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O356"/>
  <sheetViews>
    <sheetView showGridLines="0" tabSelected="1" zoomScaleNormal="100" workbookViewId="0">
      <pane xSplit="1" ySplit="5" topLeftCell="B6" activePane="bottomRight" state="frozen"/>
      <selection activeCell="K44" sqref="K44"/>
      <selection pane="topRight" activeCell="K44" sqref="K44"/>
      <selection pane="bottomLeft" activeCell="K44" sqref="K44"/>
      <selection pane="bottomRight" activeCell="G96" sqref="G96"/>
    </sheetView>
  </sheetViews>
  <sheetFormatPr baseColWidth="10" defaultRowHeight="16.5" customHeight="1" outlineLevelRow="1" x14ac:dyDescent="0.2"/>
  <cols>
    <col min="1" max="1" width="1.5703125" style="196" customWidth="1"/>
    <col min="2" max="2" width="41.5703125" style="223" customWidth="1"/>
    <col min="3" max="3" width="15.7109375" style="224" customWidth="1"/>
    <col min="4" max="4" width="12.7109375" style="224" hidden="1" customWidth="1"/>
    <col min="5" max="5" width="12.7109375" style="224" customWidth="1"/>
    <col min="6" max="6" width="7.28515625" style="224" customWidth="1"/>
    <col min="7" max="7" width="16.140625" style="224" customWidth="1"/>
    <col min="8" max="8" width="6.85546875" style="222" hidden="1" customWidth="1"/>
    <col min="9" max="9" width="7.28515625" style="224" customWidth="1"/>
    <col min="10" max="10" width="57.140625" style="523" customWidth="1"/>
    <col min="11" max="13" width="0" style="196" hidden="1" customWidth="1"/>
    <col min="14" max="15" width="14" style="196" bestFit="1" customWidth="1"/>
    <col min="16" max="16384" width="11.42578125" style="196"/>
  </cols>
  <sheetData>
    <row r="1" spans="1:15" ht="55.5" customHeight="1" thickBot="1" x14ac:dyDescent="0.3">
      <c r="B1" s="526"/>
      <c r="C1" s="1033" t="s">
        <v>795</v>
      </c>
      <c r="D1" s="1033"/>
      <c r="E1" s="1033"/>
      <c r="F1" s="1033"/>
      <c r="G1" s="1033"/>
      <c r="H1" s="526"/>
    </row>
    <row r="2" spans="1:15" ht="18" customHeight="1" thickBot="1" x14ac:dyDescent="0.3">
      <c r="B2" s="1038" t="s">
        <v>968</v>
      </c>
      <c r="C2" s="1038"/>
      <c r="D2" s="1038"/>
      <c r="E2" s="1038"/>
      <c r="F2" s="1038"/>
      <c r="G2" s="1038"/>
      <c r="H2" s="1038"/>
      <c r="N2" s="592">
        <v>1.05</v>
      </c>
      <c r="O2" s="593">
        <v>1.05</v>
      </c>
    </row>
    <row r="3" spans="1:15" ht="12.75" customHeight="1" thickBot="1" x14ac:dyDescent="0.25">
      <c r="A3" s="197"/>
      <c r="B3" s="198" t="s">
        <v>432</v>
      </c>
      <c r="C3" s="198"/>
      <c r="D3" s="198"/>
      <c r="E3" s="198"/>
      <c r="G3" s="199" t="s">
        <v>169</v>
      </c>
      <c r="H3" s="200"/>
    </row>
    <row r="4" spans="1:15" s="201" customFormat="1" ht="13.5" customHeight="1" x14ac:dyDescent="0.2">
      <c r="B4" s="1039" t="s">
        <v>230</v>
      </c>
      <c r="C4" s="1041" t="s">
        <v>821</v>
      </c>
      <c r="D4" s="1041" t="s">
        <v>820</v>
      </c>
      <c r="E4" s="1041" t="s">
        <v>822</v>
      </c>
      <c r="F4" s="1036" t="s">
        <v>603</v>
      </c>
      <c r="G4" s="1036" t="s">
        <v>795</v>
      </c>
      <c r="H4" s="1043" t="s">
        <v>431</v>
      </c>
      <c r="I4" s="1036" t="s">
        <v>531</v>
      </c>
      <c r="J4" s="1034" t="s">
        <v>600</v>
      </c>
      <c r="K4" s="1035"/>
      <c r="L4" s="1035"/>
      <c r="M4" s="1035"/>
    </row>
    <row r="5" spans="1:15" ht="13.5" customHeight="1" thickBot="1" x14ac:dyDescent="0.25">
      <c r="B5" s="1040"/>
      <c r="C5" s="1042"/>
      <c r="D5" s="1042"/>
      <c r="E5" s="1042"/>
      <c r="F5" s="1037"/>
      <c r="G5" s="1037"/>
      <c r="H5" s="1044"/>
      <c r="I5" s="1037"/>
      <c r="J5" s="1034"/>
      <c r="K5" s="1035"/>
      <c r="L5" s="1035"/>
      <c r="M5" s="1035"/>
    </row>
    <row r="6" spans="1:15" customFormat="1" ht="12.75" x14ac:dyDescent="0.2">
      <c r="A6" s="2"/>
      <c r="B6" s="202" t="s">
        <v>0</v>
      </c>
      <c r="C6" s="203"/>
      <c r="D6" s="203"/>
      <c r="E6" s="203"/>
      <c r="F6" s="321"/>
      <c r="G6" s="203"/>
      <c r="H6" s="204"/>
      <c r="I6" s="321"/>
      <c r="J6" s="524"/>
      <c r="K6" s="504"/>
      <c r="L6" s="504"/>
      <c r="M6" s="504"/>
    </row>
    <row r="7" spans="1:15" customFormat="1" ht="12.75" hidden="1" outlineLevel="1" x14ac:dyDescent="0.2">
      <c r="A7" s="2"/>
      <c r="B7" s="206" t="s">
        <v>291</v>
      </c>
      <c r="C7" s="203"/>
      <c r="D7" s="203"/>
      <c r="E7" s="203"/>
      <c r="F7" s="321"/>
      <c r="G7" s="203"/>
      <c r="H7" s="204"/>
      <c r="I7" s="321"/>
      <c r="J7" s="524"/>
      <c r="K7" s="504"/>
      <c r="L7" s="504"/>
      <c r="M7" s="504"/>
    </row>
    <row r="8" spans="1:15" customFormat="1" ht="13.5" hidden="1" customHeight="1" outlineLevel="1" x14ac:dyDescent="0.2">
      <c r="A8" s="176">
        <v>4160050100</v>
      </c>
      <c r="B8" s="207" t="s">
        <v>1</v>
      </c>
      <c r="C8" s="205">
        <f>IFERROR(VLOOKUP(A:A,'PPTO 2017'!A:D,3,0),0)</f>
        <v>5303300.9109683726</v>
      </c>
      <c r="D8" s="205">
        <f>IFERROR(VLOOKUP(A:A,EJEC!A:G,5,0),0)</f>
        <v>3446544.912</v>
      </c>
      <c r="E8" s="205">
        <v>5310559</v>
      </c>
      <c r="F8" s="321">
        <f>IF(E8=0,"",IF(C8=0,"",(E8/C8)))</f>
        <v>1.0013685983792879</v>
      </c>
      <c r="G8" s="226">
        <f>(+MAT.!I37+MAT.!I53)/1000</f>
        <v>5777956.5199999996</v>
      </c>
      <c r="H8" s="204">
        <f>(+G8/E8)-1</f>
        <v>8.8012866442120252E-2</v>
      </c>
      <c r="I8" s="321">
        <f>IF(G8=0,"",IF(E8=0,"",(G8/E8)-1))</f>
        <v>8.8012866442120252E-2</v>
      </c>
      <c r="J8" s="524"/>
      <c r="K8" s="504"/>
      <c r="L8" s="504"/>
      <c r="M8" s="504"/>
    </row>
    <row r="9" spans="1:15" customFormat="1" ht="13.5" hidden="1" customHeight="1" outlineLevel="1" x14ac:dyDescent="0.2">
      <c r="A9" s="589">
        <v>4160050200</v>
      </c>
      <c r="B9" s="207" t="s">
        <v>711</v>
      </c>
      <c r="C9" s="205">
        <f>IFERROR(VLOOKUP(A:A,'PPTO 2017'!A:D,3,0),0)</f>
        <v>0</v>
      </c>
      <c r="D9" s="205">
        <f>IFERROR(VLOOKUP(A:A,EJEC!A:G,5,0),0)</f>
        <v>-5432</v>
      </c>
      <c r="E9" s="205">
        <v>0</v>
      </c>
      <c r="F9" s="321" t="str">
        <f t="shared" ref="F9" si="0">IF(E9=0,"",IF(C9=0,"",(E9/C9)))</f>
        <v/>
      </c>
      <c r="G9" s="586">
        <f>+E9*$N$2</f>
        <v>0</v>
      </c>
      <c r="H9" s="204" t="e">
        <f>(+G9/E9)-1</f>
        <v>#DIV/0!</v>
      </c>
      <c r="I9" s="321" t="str">
        <f t="shared" ref="I9" si="1">IF(G9=0,"",IF(E9=0,"",(G9/E9)-1))</f>
        <v/>
      </c>
      <c r="J9" s="524"/>
      <c r="K9" s="504"/>
      <c r="L9" s="504"/>
      <c r="M9" s="504"/>
    </row>
    <row r="10" spans="1:15" customFormat="1" ht="12.75" hidden="1" outlineLevel="1" x14ac:dyDescent="0.2">
      <c r="A10" s="3">
        <v>4160050300</v>
      </c>
      <c r="B10" s="207" t="s">
        <v>3</v>
      </c>
      <c r="C10" s="205">
        <f>IFERROR(VLOOKUP(A:A,'PPTO 2017'!A:D,3,0),0)</f>
        <v>0</v>
      </c>
      <c r="D10" s="205">
        <f>IFERROR(VLOOKUP(A:A,EJEC!A:G,5,0),0)</f>
        <v>0</v>
      </c>
      <c r="E10" s="205">
        <v>0</v>
      </c>
      <c r="F10" s="321" t="str">
        <f t="shared" ref="F10:F79" si="2">IF(E10=0,"",IF(C10=0,"",(E10/C10)))</f>
        <v/>
      </c>
      <c r="G10" s="225">
        <f t="shared" ref="G10:G28" si="3">+E10*$N$2</f>
        <v>0</v>
      </c>
      <c r="H10" s="204" t="e">
        <f>(+G10/E10)-1</f>
        <v>#DIV/0!</v>
      </c>
      <c r="I10" s="321" t="str">
        <f t="shared" ref="I10:I77" si="4">IF(G10=0,"",IF(E10=0,"",(G10/E10)-1))</f>
        <v/>
      </c>
      <c r="J10" s="524"/>
      <c r="K10" s="504"/>
      <c r="L10" s="504"/>
      <c r="M10" s="504"/>
    </row>
    <row r="11" spans="1:15" customFormat="1" ht="12.75" hidden="1" outlineLevel="1" x14ac:dyDescent="0.2">
      <c r="A11" s="587">
        <v>4160050500</v>
      </c>
      <c r="B11" s="207" t="s">
        <v>683</v>
      </c>
      <c r="C11" s="205">
        <f>IFERROR(VLOOKUP(A:A,'PPTO 2017'!A:D,3,0),0)</f>
        <v>0</v>
      </c>
      <c r="D11" s="205">
        <f>IFERROR(VLOOKUP(A:A,EJEC!A:G,5,0),0)</f>
        <v>0</v>
      </c>
      <c r="E11" s="205">
        <v>0</v>
      </c>
      <c r="F11" s="321" t="str">
        <f t="shared" si="2"/>
        <v/>
      </c>
      <c r="G11" s="225">
        <f t="shared" si="3"/>
        <v>0</v>
      </c>
      <c r="H11" s="204"/>
      <c r="I11" s="321" t="str">
        <f t="shared" si="4"/>
        <v/>
      </c>
      <c r="J11" s="524"/>
      <c r="K11" s="504"/>
      <c r="L11" s="504"/>
      <c r="M11" s="504"/>
    </row>
    <row r="12" spans="1:15" customFormat="1" ht="12.75" hidden="1" outlineLevel="1" x14ac:dyDescent="0.2">
      <c r="A12" s="3">
        <v>4160050600</v>
      </c>
      <c r="B12" s="207" t="s">
        <v>4</v>
      </c>
      <c r="C12" s="205">
        <f>IFERROR(VLOOKUP(A:A,'PPTO 2017'!A:D,3,0),0)</f>
        <v>9667.4500000000007</v>
      </c>
      <c r="D12" s="205">
        <f>IFERROR(VLOOKUP(A:A,EJEC!A:G,5,0),0)</f>
        <v>15412.214</v>
      </c>
      <c r="E12" s="205">
        <v>15412</v>
      </c>
      <c r="F12" s="321">
        <f t="shared" si="2"/>
        <v>1.5942156411463209</v>
      </c>
      <c r="G12" s="225">
        <f t="shared" si="3"/>
        <v>16182.6</v>
      </c>
      <c r="H12" s="204">
        <f>(+G12/E12)-1</f>
        <v>5.0000000000000044E-2</v>
      </c>
      <c r="I12" s="321">
        <f t="shared" si="4"/>
        <v>5.0000000000000044E-2</v>
      </c>
      <c r="J12" s="524"/>
      <c r="K12" s="504"/>
      <c r="L12" s="504"/>
      <c r="M12" s="504"/>
    </row>
    <row r="13" spans="1:15" customFormat="1" ht="12.75" hidden="1" outlineLevel="1" x14ac:dyDescent="0.2">
      <c r="A13" s="3">
        <v>4160050700</v>
      </c>
      <c r="B13" s="207" t="s">
        <v>5</v>
      </c>
      <c r="C13" s="205">
        <f>IFERROR(VLOOKUP(A:A,'PPTO 2017'!A:D,3,0),0)</f>
        <v>9159.2000000000007</v>
      </c>
      <c r="D13" s="205">
        <f>IFERROR(VLOOKUP(A:A,EJEC!A:G,5,0),0)</f>
        <v>4442</v>
      </c>
      <c r="E13" s="205">
        <v>8650</v>
      </c>
      <c r="F13" s="321">
        <f t="shared" si="2"/>
        <v>0.94440562494541003</v>
      </c>
      <c r="G13" s="225">
        <f t="shared" si="3"/>
        <v>9082.5</v>
      </c>
      <c r="H13" s="204">
        <f>(+G13/E13)-1</f>
        <v>5.0000000000000044E-2</v>
      </c>
      <c r="I13" s="321">
        <f t="shared" si="4"/>
        <v>5.0000000000000044E-2</v>
      </c>
      <c r="J13" s="524"/>
      <c r="K13" s="504"/>
      <c r="L13" s="504"/>
      <c r="M13" s="504"/>
    </row>
    <row r="14" spans="1:15" customFormat="1" ht="12.75" hidden="1" outlineLevel="1" x14ac:dyDescent="0.2">
      <c r="A14" s="3">
        <v>4160050800</v>
      </c>
      <c r="B14" s="207" t="s">
        <v>686</v>
      </c>
      <c r="C14" s="205">
        <f>IFERROR(VLOOKUP(A:A,'PPTO 2017'!A:D,3,0),0)</f>
        <v>0</v>
      </c>
      <c r="D14" s="205">
        <f>IFERROR(VLOOKUP(A:A,EJEC!A:G,5,0),0)</f>
        <v>0</v>
      </c>
      <c r="E14" s="205">
        <v>0</v>
      </c>
      <c r="F14" s="321" t="str">
        <f>IF(E14=0,"",IF(C14=0,"",(E14/C14)))</f>
        <v/>
      </c>
      <c r="G14" s="225">
        <f t="shared" si="3"/>
        <v>0</v>
      </c>
      <c r="H14" s="204" t="e">
        <f>(+G14/E14)-1</f>
        <v>#DIV/0!</v>
      </c>
      <c r="I14" s="321" t="str">
        <f>IF(G14=0,"",IF(E14=0,"",(G14/E14)-1))</f>
        <v/>
      </c>
      <c r="J14" s="524"/>
      <c r="K14" s="504"/>
      <c r="L14" s="504"/>
      <c r="M14" s="504"/>
    </row>
    <row r="15" spans="1:15" customFormat="1" ht="12.75" hidden="1" outlineLevel="1" x14ac:dyDescent="0.2">
      <c r="A15" s="3">
        <v>4160050900</v>
      </c>
      <c r="B15" s="207" t="s">
        <v>6</v>
      </c>
      <c r="C15" s="205">
        <f>IFERROR(VLOOKUP(A:A,'PPTO 2017'!A:D,3,0),0)</f>
        <v>631.30000000000007</v>
      </c>
      <c r="D15" s="205">
        <f>IFERROR(VLOOKUP(A:A,EJEC!A:G,5,0),0)</f>
        <v>128</v>
      </c>
      <c r="E15" s="205">
        <v>296</v>
      </c>
      <c r="F15" s="321">
        <f t="shared" si="2"/>
        <v>0.4688737525740535</v>
      </c>
      <c r="G15" s="225">
        <f t="shared" si="3"/>
        <v>310.8</v>
      </c>
      <c r="H15" s="204">
        <f>(+G15/E15)-1</f>
        <v>5.0000000000000044E-2</v>
      </c>
      <c r="I15" s="321">
        <f t="shared" si="4"/>
        <v>5.0000000000000044E-2</v>
      </c>
      <c r="J15" s="524"/>
      <c r="K15" s="504"/>
      <c r="L15" s="504"/>
      <c r="M15" s="504"/>
    </row>
    <row r="16" spans="1:15" customFormat="1" ht="12.75" hidden="1" outlineLevel="1" x14ac:dyDescent="0.2">
      <c r="A16" s="3">
        <v>4160051100</v>
      </c>
      <c r="B16" s="207" t="s">
        <v>7</v>
      </c>
      <c r="C16" s="205">
        <f>IFERROR(VLOOKUP(A:A,'PPTO 2017'!A:D,3,0),0)</f>
        <v>14402.2</v>
      </c>
      <c r="D16" s="205">
        <f>IFERROR(VLOOKUP(A:A,EJEC!A:G,5,0),0)</f>
        <v>5850</v>
      </c>
      <c r="E16" s="205">
        <v>12650</v>
      </c>
      <c r="F16" s="321">
        <f t="shared" si="2"/>
        <v>0.87833803168960289</v>
      </c>
      <c r="G16" s="225">
        <f t="shared" si="3"/>
        <v>13282.5</v>
      </c>
      <c r="H16" s="204" t="s">
        <v>169</v>
      </c>
      <c r="I16" s="321">
        <f t="shared" si="4"/>
        <v>5.0000000000000044E-2</v>
      </c>
      <c r="J16" s="524"/>
      <c r="K16" s="504"/>
      <c r="L16" s="504"/>
      <c r="M16" s="504"/>
    </row>
    <row r="17" spans="1:13" customFormat="1" ht="12.75" hidden="1" outlineLevel="1" x14ac:dyDescent="0.2">
      <c r="A17" s="3">
        <v>4160051200</v>
      </c>
      <c r="B17" s="207" t="s">
        <v>8</v>
      </c>
      <c r="C17" s="205">
        <f>IFERROR(VLOOKUP(A:A,'PPTO 2017'!A:D,3,0),0)</f>
        <v>11453.28</v>
      </c>
      <c r="D17" s="205">
        <f>IFERROR(VLOOKUP(A:A,EJEC!A:G,5,0),0)</f>
        <v>10282.044</v>
      </c>
      <c r="E17" s="205">
        <v>10282</v>
      </c>
      <c r="F17" s="321">
        <f t="shared" si="2"/>
        <v>0.8977340988782252</v>
      </c>
      <c r="G17" s="225">
        <f t="shared" si="3"/>
        <v>10796.1</v>
      </c>
      <c r="H17" s="204" t="s">
        <v>169</v>
      </c>
      <c r="I17" s="321">
        <f t="shared" si="4"/>
        <v>5.0000000000000044E-2</v>
      </c>
      <c r="J17" s="524"/>
      <c r="K17" s="504"/>
      <c r="L17" s="504"/>
      <c r="M17" s="504"/>
    </row>
    <row r="18" spans="1:13" customFormat="1" ht="12.75" hidden="1" outlineLevel="1" x14ac:dyDescent="0.2">
      <c r="A18" s="3">
        <v>4160051300</v>
      </c>
      <c r="B18" s="207" t="s">
        <v>284</v>
      </c>
      <c r="C18" s="205">
        <f>IFERROR(VLOOKUP(A:A,'PPTO 2017'!A:D,3,0),0)</f>
        <v>38736.14</v>
      </c>
      <c r="D18" s="205">
        <f>IFERROR(VLOOKUP(A:A,EJEC!A:G,5,0),0)</f>
        <v>34180.976000000002</v>
      </c>
      <c r="E18" s="205">
        <v>34181</v>
      </c>
      <c r="F18" s="321">
        <f t="shared" si="2"/>
        <v>0.88240593925982302</v>
      </c>
      <c r="G18" s="225">
        <f t="shared" si="3"/>
        <v>35890.050000000003</v>
      </c>
      <c r="H18" s="204">
        <f>(+G18/E18)-1</f>
        <v>5.0000000000000044E-2</v>
      </c>
      <c r="I18" s="321">
        <f t="shared" si="4"/>
        <v>5.0000000000000044E-2</v>
      </c>
      <c r="J18" s="524"/>
      <c r="K18" s="504"/>
      <c r="L18" s="504"/>
      <c r="M18" s="504"/>
    </row>
    <row r="19" spans="1:13" customFormat="1" ht="12.75" hidden="1" outlineLevel="1" x14ac:dyDescent="0.2">
      <c r="A19" s="3">
        <v>4160053000</v>
      </c>
      <c r="B19" s="207" t="s">
        <v>9</v>
      </c>
      <c r="C19" s="205">
        <f>IFERROR(VLOOKUP(A:A,'PPTO 2017'!A:D,3,0),0)</f>
        <v>0</v>
      </c>
      <c r="D19" s="205">
        <f>IFERROR(VLOOKUP(A:A,EJEC!A:G,5,0),0)</f>
        <v>0</v>
      </c>
      <c r="E19" s="205">
        <v>0</v>
      </c>
      <c r="F19" s="321" t="str">
        <f t="shared" si="2"/>
        <v/>
      </c>
      <c r="G19" s="225">
        <f t="shared" si="3"/>
        <v>0</v>
      </c>
      <c r="H19" s="204" t="e">
        <f>(+G19/E19)-1</f>
        <v>#DIV/0!</v>
      </c>
      <c r="I19" s="321" t="str">
        <f t="shared" si="4"/>
        <v/>
      </c>
      <c r="J19" s="524"/>
      <c r="K19" s="504"/>
      <c r="L19" s="504"/>
      <c r="M19" s="504"/>
    </row>
    <row r="20" spans="1:13" customFormat="1" ht="12.75" hidden="1" outlineLevel="1" x14ac:dyDescent="0.2">
      <c r="A20" s="3">
        <v>4160950100</v>
      </c>
      <c r="B20" s="207" t="s">
        <v>10</v>
      </c>
      <c r="C20" s="205">
        <f>IFERROR(VLOOKUP(A:A,'PPTO 2017'!A:D,3,0),0)</f>
        <v>0</v>
      </c>
      <c r="D20" s="205">
        <f>IFERROR(VLOOKUP(A:A,EJEC!A:G,5,0),0)</f>
        <v>0</v>
      </c>
      <c r="E20" s="205">
        <v>0</v>
      </c>
      <c r="F20" s="321" t="str">
        <f t="shared" si="2"/>
        <v/>
      </c>
      <c r="G20" s="225">
        <f t="shared" si="3"/>
        <v>0</v>
      </c>
      <c r="H20" s="204" t="s">
        <v>169</v>
      </c>
      <c r="I20" s="321" t="str">
        <f t="shared" si="4"/>
        <v/>
      </c>
      <c r="J20" s="524"/>
      <c r="K20" s="504"/>
      <c r="L20" s="504"/>
      <c r="M20" s="504"/>
    </row>
    <row r="21" spans="1:13" customFormat="1" ht="12.75" hidden="1" outlineLevel="1" x14ac:dyDescent="0.2">
      <c r="A21" s="3">
        <v>4160950200</v>
      </c>
      <c r="B21" s="207" t="s">
        <v>292</v>
      </c>
      <c r="C21" s="205">
        <f>IFERROR(VLOOKUP(A:A,'PPTO 2017'!A:D,3,0),0)</f>
        <v>0</v>
      </c>
      <c r="D21" s="205">
        <f>IFERROR(VLOOKUP(A:A,EJEC!A:G,5,0),0)</f>
        <v>0</v>
      </c>
      <c r="E21" s="205">
        <v>0</v>
      </c>
      <c r="F21" s="321" t="str">
        <f t="shared" si="2"/>
        <v/>
      </c>
      <c r="G21" s="225">
        <f t="shared" si="3"/>
        <v>0</v>
      </c>
      <c r="H21" s="204" t="s">
        <v>169</v>
      </c>
      <c r="I21" s="321" t="str">
        <f t="shared" si="4"/>
        <v/>
      </c>
      <c r="J21" s="524"/>
      <c r="K21" s="504"/>
      <c r="L21" s="504"/>
      <c r="M21" s="504"/>
    </row>
    <row r="22" spans="1:13" customFormat="1" ht="12.75" hidden="1" outlineLevel="1" x14ac:dyDescent="0.2">
      <c r="A22" s="3">
        <v>4160950300</v>
      </c>
      <c r="B22" s="207" t="s">
        <v>293</v>
      </c>
      <c r="C22" s="205">
        <f>IFERROR(VLOOKUP(A:A,'PPTO 2017'!A:D,3,0),0)</f>
        <v>0</v>
      </c>
      <c r="D22" s="205">
        <f>IFERROR(VLOOKUP(A:A,EJEC!A:G,5,0),0)</f>
        <v>0</v>
      </c>
      <c r="E22" s="205">
        <v>0</v>
      </c>
      <c r="F22" s="321" t="str">
        <f t="shared" si="2"/>
        <v/>
      </c>
      <c r="G22" s="225">
        <f t="shared" si="3"/>
        <v>0</v>
      </c>
      <c r="H22" s="204" t="s">
        <v>169</v>
      </c>
      <c r="I22" s="321" t="str">
        <f t="shared" si="4"/>
        <v/>
      </c>
      <c r="J22" s="524"/>
      <c r="K22" s="504"/>
      <c r="L22" s="504"/>
      <c r="M22" s="504"/>
    </row>
    <row r="23" spans="1:13" customFormat="1" ht="12.75" hidden="1" outlineLevel="1" x14ac:dyDescent="0.2">
      <c r="A23" s="3">
        <v>4160950400</v>
      </c>
      <c r="B23" s="207" t="s">
        <v>294</v>
      </c>
      <c r="C23" s="205">
        <f>IFERROR(VLOOKUP(A:A,'PPTO 2017'!A:D,3,0),0)</f>
        <v>0</v>
      </c>
      <c r="D23" s="205">
        <f>IFERROR(VLOOKUP(A:A,EJEC!A:G,5,0),0)</f>
        <v>0</v>
      </c>
      <c r="E23" s="205">
        <v>0</v>
      </c>
      <c r="F23" s="321" t="str">
        <f t="shared" si="2"/>
        <v/>
      </c>
      <c r="G23" s="225">
        <f t="shared" si="3"/>
        <v>0</v>
      </c>
      <c r="H23" s="204" t="s">
        <v>169</v>
      </c>
      <c r="I23" s="321" t="str">
        <f t="shared" si="4"/>
        <v/>
      </c>
      <c r="J23" s="524"/>
      <c r="K23" s="504"/>
      <c r="L23" s="504"/>
      <c r="M23" s="504"/>
    </row>
    <row r="24" spans="1:13" customFormat="1" ht="12.75" hidden="1" outlineLevel="1" x14ac:dyDescent="0.2">
      <c r="A24" s="3">
        <v>4160950500</v>
      </c>
      <c r="B24" s="207" t="s">
        <v>11</v>
      </c>
      <c r="C24" s="205">
        <f>IFERROR(VLOOKUP(A:A,'PPTO 2017'!A:D,3,0),0)</f>
        <v>0</v>
      </c>
      <c r="D24" s="205">
        <f>IFERROR(VLOOKUP(A:A,EJEC!A:G,5,0),0)</f>
        <v>0</v>
      </c>
      <c r="E24" s="205">
        <v>0</v>
      </c>
      <c r="F24" s="321" t="str">
        <f t="shared" si="2"/>
        <v/>
      </c>
      <c r="G24" s="225">
        <f t="shared" si="3"/>
        <v>0</v>
      </c>
      <c r="H24" s="204" t="s">
        <v>169</v>
      </c>
      <c r="I24" s="321" t="str">
        <f t="shared" si="4"/>
        <v/>
      </c>
      <c r="J24" s="524"/>
      <c r="K24" s="504"/>
      <c r="L24" s="504"/>
      <c r="M24" s="504"/>
    </row>
    <row r="25" spans="1:13" customFormat="1" ht="12.75" hidden="1" outlineLevel="1" x14ac:dyDescent="0.2">
      <c r="A25" s="3">
        <v>4160950600</v>
      </c>
      <c r="B25" s="207" t="s">
        <v>12</v>
      </c>
      <c r="C25" s="205">
        <f>IFERROR(VLOOKUP(A:A,'PPTO 2017'!A:D,3,0),0)</f>
        <v>0</v>
      </c>
      <c r="D25" s="205">
        <f>IFERROR(VLOOKUP(A:A,EJEC!A:G,5,0),0)</f>
        <v>0</v>
      </c>
      <c r="E25" s="205">
        <v>0</v>
      </c>
      <c r="F25" s="321" t="str">
        <f t="shared" si="2"/>
        <v/>
      </c>
      <c r="G25" s="225">
        <f t="shared" si="3"/>
        <v>0</v>
      </c>
      <c r="H25" s="204" t="e">
        <f>(+G25/E25)-1</f>
        <v>#DIV/0!</v>
      </c>
      <c r="I25" s="321" t="str">
        <f t="shared" si="4"/>
        <v/>
      </c>
      <c r="J25" s="524"/>
      <c r="K25" s="504"/>
      <c r="L25" s="504"/>
      <c r="M25" s="504"/>
    </row>
    <row r="26" spans="1:13" customFormat="1" ht="12.75" hidden="1" outlineLevel="1" x14ac:dyDescent="0.2">
      <c r="A26" s="3">
        <v>4160950700</v>
      </c>
      <c r="B26" s="207" t="s">
        <v>295</v>
      </c>
      <c r="C26" s="205">
        <f>IFERROR(VLOOKUP(A:A,'PPTO 2017'!A:D,3,0),0)</f>
        <v>0</v>
      </c>
      <c r="D26" s="205">
        <f>IFERROR(VLOOKUP(A:A,EJEC!A:G,5,0),0)</f>
        <v>0</v>
      </c>
      <c r="E26" s="205">
        <v>0</v>
      </c>
      <c r="F26" s="321" t="str">
        <f t="shared" si="2"/>
        <v/>
      </c>
      <c r="G26" s="225">
        <f t="shared" si="3"/>
        <v>0</v>
      </c>
      <c r="H26" s="204" t="s">
        <v>169</v>
      </c>
      <c r="I26" s="321" t="str">
        <f t="shared" si="4"/>
        <v/>
      </c>
      <c r="J26" s="524"/>
      <c r="K26" s="504"/>
      <c r="L26" s="504"/>
      <c r="M26" s="504"/>
    </row>
    <row r="27" spans="1:13" customFormat="1" ht="12.75" hidden="1" outlineLevel="1" x14ac:dyDescent="0.2">
      <c r="A27" s="587">
        <v>4160950800</v>
      </c>
      <c r="B27" s="207" t="s">
        <v>684</v>
      </c>
      <c r="C27" s="205">
        <f>IFERROR(VLOOKUP(A:A,'PPTO 2017'!A:D,3,0),0)</f>
        <v>0</v>
      </c>
      <c r="D27" s="205">
        <f>IFERROR(VLOOKUP(A:A,EJEC!A:G,5,0),0)</f>
        <v>0</v>
      </c>
      <c r="E27" s="205">
        <v>0</v>
      </c>
      <c r="F27" s="321" t="str">
        <f t="shared" si="2"/>
        <v/>
      </c>
      <c r="G27" s="588">
        <f t="shared" si="3"/>
        <v>0</v>
      </c>
      <c r="H27" s="204"/>
      <c r="I27" s="321" t="str">
        <f t="shared" si="4"/>
        <v/>
      </c>
      <c r="J27" s="524"/>
      <c r="K27" s="504"/>
      <c r="L27" s="504"/>
      <c r="M27" s="504"/>
    </row>
    <row r="28" spans="1:13" customFormat="1" ht="12.75" hidden="1" outlineLevel="1" x14ac:dyDescent="0.2">
      <c r="A28" s="587">
        <v>4160951000</v>
      </c>
      <c r="B28" s="207" t="s">
        <v>685</v>
      </c>
      <c r="C28" s="205">
        <f>IFERROR(VLOOKUP(A:A,'PPTO 2017'!A:D,3,0),0)</f>
        <v>0</v>
      </c>
      <c r="D28" s="205">
        <f>IFERROR(VLOOKUP(A:A,EJEC!A:G,5,0),0)</f>
        <v>0</v>
      </c>
      <c r="E28" s="205">
        <v>0</v>
      </c>
      <c r="F28" s="321" t="str">
        <f t="shared" si="2"/>
        <v/>
      </c>
      <c r="G28" s="588">
        <f t="shared" si="3"/>
        <v>0</v>
      </c>
      <c r="H28" s="204"/>
      <c r="I28" s="321" t="str">
        <f t="shared" si="4"/>
        <v/>
      </c>
      <c r="J28" s="524"/>
      <c r="K28" s="504"/>
      <c r="L28" s="504"/>
      <c r="M28" s="504"/>
    </row>
    <row r="29" spans="1:13" customFormat="1" ht="12.75" collapsed="1" x14ac:dyDescent="0.2">
      <c r="A29" s="176"/>
      <c r="B29" s="209" t="s">
        <v>13</v>
      </c>
      <c r="C29" s="210">
        <f>SUM(C8:C28)</f>
        <v>5387350.4809683729</v>
      </c>
      <c r="D29" s="210">
        <f>SUM(D8:D28)</f>
        <v>3511408.1460000002</v>
      </c>
      <c r="E29" s="519">
        <f>SUM(E8:E28)</f>
        <v>5392030</v>
      </c>
      <c r="F29" s="521">
        <f t="shared" si="2"/>
        <v>1.0008686123258841</v>
      </c>
      <c r="G29" s="520">
        <f>SUM(G8:G28)</f>
        <v>5863501.0699999984</v>
      </c>
      <c r="H29" s="211">
        <f>(+G29/E29)-1</f>
        <v>8.7438510171493622E-2</v>
      </c>
      <c r="I29" s="321">
        <f t="shared" si="4"/>
        <v>8.7438510171493622E-2</v>
      </c>
      <c r="J29" s="524"/>
      <c r="K29" s="504"/>
      <c r="L29" s="504"/>
      <c r="M29" s="504"/>
    </row>
    <row r="30" spans="1:13" customFormat="1" ht="12.75" x14ac:dyDescent="0.2">
      <c r="A30" s="176"/>
      <c r="B30" s="206" t="s">
        <v>296</v>
      </c>
      <c r="C30" s="205"/>
      <c r="D30" s="205"/>
      <c r="E30" s="205"/>
      <c r="F30" s="321" t="str">
        <f t="shared" si="2"/>
        <v/>
      </c>
      <c r="G30" s="208" t="s">
        <v>169</v>
      </c>
      <c r="H30" s="204" t="s">
        <v>169</v>
      </c>
      <c r="I30" s="321" t="str">
        <f>IF(G30=0,"",IF(E30=0,"",(G30/E30)-1))</f>
        <v/>
      </c>
      <c r="J30" s="524"/>
      <c r="K30" s="504"/>
      <c r="L30" s="504"/>
      <c r="M30" s="504"/>
    </row>
    <row r="31" spans="1:13" customFormat="1" ht="12.75" hidden="1" x14ac:dyDescent="0.2">
      <c r="A31" s="176"/>
      <c r="B31" s="212" t="s">
        <v>297</v>
      </c>
      <c r="C31" s="205"/>
      <c r="D31" s="205"/>
      <c r="E31" s="205"/>
      <c r="F31" s="321" t="str">
        <f t="shared" si="2"/>
        <v/>
      </c>
      <c r="G31" s="208" t="s">
        <v>169</v>
      </c>
      <c r="H31" s="204" t="s">
        <v>169</v>
      </c>
      <c r="I31" s="321" t="str">
        <f t="shared" si="4"/>
        <v/>
      </c>
      <c r="J31" s="524"/>
      <c r="K31" s="504"/>
      <c r="L31" s="504"/>
      <c r="M31" s="504"/>
    </row>
    <row r="32" spans="1:13" customFormat="1" ht="12.75" hidden="1" outlineLevel="1" x14ac:dyDescent="0.2">
      <c r="A32" s="176"/>
      <c r="B32" s="212" t="s">
        <v>298</v>
      </c>
      <c r="C32" s="205"/>
      <c r="D32" s="205"/>
      <c r="E32" s="205"/>
      <c r="F32" s="321" t="str">
        <f t="shared" si="2"/>
        <v/>
      </c>
      <c r="G32" s="208"/>
      <c r="H32" s="204" t="s">
        <v>169</v>
      </c>
      <c r="I32" s="321" t="str">
        <f t="shared" si="4"/>
        <v/>
      </c>
      <c r="J32" s="524"/>
      <c r="K32" s="504"/>
      <c r="L32" s="504"/>
      <c r="M32" s="504"/>
    </row>
    <row r="33" spans="1:13" customFormat="1" ht="12.75" hidden="1" outlineLevel="1" x14ac:dyDescent="0.2">
      <c r="A33" s="589">
        <v>5105030000</v>
      </c>
      <c r="B33" s="207" t="s">
        <v>712</v>
      </c>
      <c r="C33" s="205">
        <f>IFERROR(VLOOKUP(A:A,'PPTO 2017'!A:D,3,0),0)</f>
        <v>0</v>
      </c>
      <c r="D33" s="205">
        <f>IFERROR(VLOOKUP(A:A,EJEC!A:G,5,0),0)</f>
        <v>0</v>
      </c>
      <c r="E33" s="205"/>
      <c r="F33" s="321" t="str">
        <f t="shared" si="2"/>
        <v/>
      </c>
      <c r="G33" s="621">
        <f>+E33*$O$2</f>
        <v>0</v>
      </c>
      <c r="H33" s="204"/>
      <c r="I33" s="321" t="str">
        <f t="shared" si="4"/>
        <v/>
      </c>
      <c r="J33" s="524"/>
      <c r="K33" s="504"/>
      <c r="L33" s="504"/>
      <c r="M33" s="504"/>
    </row>
    <row r="34" spans="1:13" customFormat="1" ht="12.75" hidden="1" outlineLevel="1" x14ac:dyDescent="0.2">
      <c r="A34" s="176">
        <v>5105060000</v>
      </c>
      <c r="B34" s="207" t="s">
        <v>20</v>
      </c>
      <c r="C34" s="205">
        <f>IFERROR(VLOOKUP(A:A,'PPTO 2017'!A:D,3,0),0)</f>
        <v>1402673.6000000003</v>
      </c>
      <c r="D34" s="205">
        <f>IFERROR(VLOOKUP(A:A,EJEC!A:G,5,0),0)</f>
        <v>962998.69</v>
      </c>
      <c r="E34" s="205">
        <f>+D34/8*12</f>
        <v>1444498.0349999999</v>
      </c>
      <c r="F34" s="321">
        <f t="shared" si="2"/>
        <v>1.0298176532302308</v>
      </c>
      <c r="G34" s="226">
        <f>NOMINA!AD119/1000</f>
        <v>1357678.7</v>
      </c>
      <c r="H34" s="204">
        <f t="shared" ref="H34:H56" si="5">(+G34/E34)-1</f>
        <v>-6.010346355369045E-2</v>
      </c>
      <c r="I34" s="321">
        <f t="shared" si="4"/>
        <v>-6.010346355369045E-2</v>
      </c>
      <c r="J34" s="524"/>
      <c r="K34" s="504"/>
      <c r="L34" s="504"/>
      <c r="M34" s="504"/>
    </row>
    <row r="35" spans="1:13" customFormat="1" ht="12.75" hidden="1" outlineLevel="1" x14ac:dyDescent="0.2">
      <c r="A35" s="176">
        <v>5105150000</v>
      </c>
      <c r="B35" s="207" t="s">
        <v>21</v>
      </c>
      <c r="C35" s="205">
        <f>IFERROR(VLOOKUP(A:A,'PPTO 2017'!A:D,3,0),0)</f>
        <v>0</v>
      </c>
      <c r="D35" s="205">
        <f>IFERROR(VLOOKUP(A:A,EJEC!A:G,5,0),0)</f>
        <v>0</v>
      </c>
      <c r="E35" s="205">
        <f t="shared" ref="E35:E60" si="6">+D35/8*12</f>
        <v>0</v>
      </c>
      <c r="F35" s="321" t="str">
        <f t="shared" si="2"/>
        <v/>
      </c>
      <c r="G35" s="225">
        <f t="shared" ref="G35:G37" si="7">+E35*$O$2</f>
        <v>0</v>
      </c>
      <c r="H35" s="204" t="s">
        <v>169</v>
      </c>
      <c r="I35" s="321" t="str">
        <f t="shared" si="4"/>
        <v/>
      </c>
      <c r="J35" s="524"/>
      <c r="K35" s="504"/>
      <c r="L35" s="504"/>
      <c r="M35" s="504"/>
    </row>
    <row r="36" spans="1:13" customFormat="1" ht="12.75" hidden="1" outlineLevel="1" x14ac:dyDescent="0.2">
      <c r="A36" s="176">
        <v>5105240000</v>
      </c>
      <c r="B36" s="207" t="s">
        <v>22</v>
      </c>
      <c r="C36" s="205">
        <f>IFERROR(VLOOKUP(A:A,'PPTO 2017'!A:D,3,0),0)</f>
        <v>4044.2276400000001</v>
      </c>
      <c r="D36" s="205">
        <f>IFERROR(VLOOKUP(A:A,EJEC!A:G,5,0),0)</f>
        <v>336.96300000000002</v>
      </c>
      <c r="E36" s="205">
        <f t="shared" si="6"/>
        <v>505.44450000000006</v>
      </c>
      <c r="F36" s="321">
        <f t="shared" si="2"/>
        <v>0.12497924078279631</v>
      </c>
      <c r="G36" s="225">
        <f t="shared" si="7"/>
        <v>530.71672500000011</v>
      </c>
      <c r="H36" s="204">
        <f t="shared" si="5"/>
        <v>5.0000000000000044E-2</v>
      </c>
      <c r="I36" s="321">
        <f t="shared" si="4"/>
        <v>5.0000000000000044E-2</v>
      </c>
      <c r="J36" s="524"/>
      <c r="K36" s="504"/>
      <c r="L36" s="504"/>
      <c r="M36" s="504"/>
    </row>
    <row r="37" spans="1:13" customFormat="1" ht="12.75" hidden="1" outlineLevel="1" x14ac:dyDescent="0.2">
      <c r="A37" s="176">
        <v>5105250000</v>
      </c>
      <c r="B37" s="207" t="s">
        <v>681</v>
      </c>
      <c r="C37" s="205">
        <f>IFERROR(VLOOKUP(A:A,'PPTO 2017'!A:D,3,0),0)</f>
        <v>0</v>
      </c>
      <c r="D37" s="205">
        <f>IFERROR(VLOOKUP(A:A,EJEC!A:G,5,0),0)</f>
        <v>0</v>
      </c>
      <c r="E37" s="205">
        <f t="shared" si="6"/>
        <v>0</v>
      </c>
      <c r="F37" s="321" t="str">
        <f t="shared" si="2"/>
        <v/>
      </c>
      <c r="G37" s="225">
        <f t="shared" si="7"/>
        <v>0</v>
      </c>
      <c r="H37" s="204"/>
      <c r="I37" s="321"/>
      <c r="J37" s="524"/>
      <c r="K37" s="504"/>
      <c r="L37" s="504"/>
      <c r="M37" s="504"/>
    </row>
    <row r="38" spans="1:13" customFormat="1" ht="12.75" hidden="1" outlineLevel="1" x14ac:dyDescent="0.2">
      <c r="A38" s="176">
        <v>5105270000</v>
      </c>
      <c r="B38" s="207" t="s">
        <v>23</v>
      </c>
      <c r="C38" s="205">
        <f>IFERROR(VLOOKUP(A:A,'PPTO 2017'!A:D,3,0),0)</f>
        <v>2724.1878999999999</v>
      </c>
      <c r="D38" s="205">
        <f>IFERROR(VLOOKUP(A:A,EJEC!A:G,5,0),0)</f>
        <v>1468.807</v>
      </c>
      <c r="E38" s="205">
        <f t="shared" si="6"/>
        <v>2203.2105000000001</v>
      </c>
      <c r="F38" s="321">
        <f t="shared" si="2"/>
        <v>0.80875863959310601</v>
      </c>
      <c r="G38" s="226">
        <f>NOMINA!AE119/1000</f>
        <v>4621.210133333333</v>
      </c>
      <c r="H38" s="204">
        <f t="shared" si="5"/>
        <v>1.0974891565437495</v>
      </c>
      <c r="I38" s="321">
        <f t="shared" si="4"/>
        <v>1.0974891565437495</v>
      </c>
      <c r="J38" s="524"/>
      <c r="K38" s="504"/>
      <c r="L38" s="504"/>
      <c r="M38" s="504"/>
    </row>
    <row r="39" spans="1:13" customFormat="1" ht="12.75" hidden="1" outlineLevel="1" x14ac:dyDescent="0.2">
      <c r="A39" s="176">
        <v>5105300000</v>
      </c>
      <c r="B39" s="207" t="s">
        <v>24</v>
      </c>
      <c r="C39" s="205">
        <f>IFERROR(VLOOKUP(A:A,'PPTO 2017'!A:D,3,0),0)</f>
        <v>123570.92661512346</v>
      </c>
      <c r="D39" s="205">
        <f>IFERROR(VLOOKUP(A:A,EJEC!A:G,5,0),0)</f>
        <v>82342.566000000006</v>
      </c>
      <c r="E39" s="205">
        <f t="shared" si="6"/>
        <v>123513.84900000002</v>
      </c>
      <c r="F39" s="321">
        <f t="shared" si="2"/>
        <v>0.99953809834815577</v>
      </c>
      <c r="G39" s="226">
        <f>NOMINA!AI119/1000</f>
        <v>120127.2087148148</v>
      </c>
      <c r="H39" s="204">
        <f t="shared" si="5"/>
        <v>-2.7419113828969999E-2</v>
      </c>
      <c r="I39" s="321">
        <f t="shared" si="4"/>
        <v>-2.7419113828969999E-2</v>
      </c>
      <c r="J39" s="524"/>
      <c r="K39" s="504"/>
      <c r="L39" s="504"/>
      <c r="M39" s="504"/>
    </row>
    <row r="40" spans="1:13" customFormat="1" ht="12.75" hidden="1" outlineLevel="1" x14ac:dyDescent="0.2">
      <c r="A40" s="176">
        <v>5105330000</v>
      </c>
      <c r="B40" s="207" t="s">
        <v>25</v>
      </c>
      <c r="C40" s="205">
        <f>IFERROR(VLOOKUP(A:A,'PPTO 2017'!A:D,3,0),0)</f>
        <v>14249.21661621605</v>
      </c>
      <c r="D40" s="205">
        <f>IFERROR(VLOOKUP(A:A,EJEC!A:G,5,0),0)</f>
        <v>4925.7539999999999</v>
      </c>
      <c r="E40" s="205">
        <v>14280</v>
      </c>
      <c r="F40" s="321">
        <f t="shared" si="2"/>
        <v>1.0021603562225951</v>
      </c>
      <c r="G40" s="226">
        <f>NOMINA!AJ119/1000</f>
        <v>13739.846481456789</v>
      </c>
      <c r="H40" s="204">
        <f t="shared" si="5"/>
        <v>-3.7825876648684309E-2</v>
      </c>
      <c r="I40" s="321">
        <f t="shared" si="4"/>
        <v>-3.7825876648684309E-2</v>
      </c>
      <c r="J40" s="524"/>
      <c r="K40" s="504"/>
      <c r="L40" s="504"/>
      <c r="M40" s="504"/>
    </row>
    <row r="41" spans="1:13" customFormat="1" ht="12.75" hidden="1" outlineLevel="1" x14ac:dyDescent="0.2">
      <c r="A41" s="176">
        <v>5105360000</v>
      </c>
      <c r="B41" s="207" t="s">
        <v>26</v>
      </c>
      <c r="C41" s="205">
        <f>IFERROR(VLOOKUP(A:A,'PPTO 2017'!A:D,3,0),0)</f>
        <v>123570.928</v>
      </c>
      <c r="D41" s="205">
        <f>IFERROR(VLOOKUP(A:A,EJEC!A:G,5,0),0)</f>
        <v>83984.812999999995</v>
      </c>
      <c r="E41" s="205">
        <f t="shared" si="6"/>
        <v>125977.21949999999</v>
      </c>
      <c r="F41" s="321">
        <f t="shared" si="2"/>
        <v>1.0194729580731157</v>
      </c>
      <c r="G41" s="226">
        <f>NOMINA!AH119/1000</f>
        <v>120127.212</v>
      </c>
      <c r="H41" s="204">
        <f t="shared" si="5"/>
        <v>-4.6437026656235947E-2</v>
      </c>
      <c r="I41" s="321">
        <f t="shared" si="4"/>
        <v>-4.6437026656235947E-2</v>
      </c>
      <c r="J41" s="524"/>
      <c r="K41" s="504"/>
      <c r="L41" s="504"/>
      <c r="M41" s="504"/>
    </row>
    <row r="42" spans="1:13" customFormat="1" ht="12.75" hidden="1" outlineLevel="1" x14ac:dyDescent="0.2">
      <c r="A42" s="176">
        <v>5105390000</v>
      </c>
      <c r="B42" s="207" t="s">
        <v>27</v>
      </c>
      <c r="C42" s="205">
        <f>IFERROR(VLOOKUP(A:A,'PPTO 2017'!A:D,3,0),0)</f>
        <v>100689.33092592594</v>
      </c>
      <c r="D42" s="205">
        <f>IFERROR(VLOOKUP(A:A,EJEC!A:G,5,0),0)</f>
        <v>65491.029000000002</v>
      </c>
      <c r="E42" s="205">
        <f t="shared" si="6"/>
        <v>98236.5435</v>
      </c>
      <c r="F42" s="321">
        <f t="shared" si="2"/>
        <v>0.97564004643421076</v>
      </c>
      <c r="G42" s="226">
        <f>NOMINA!AG119/1000</f>
        <v>75426.594444444461</v>
      </c>
      <c r="H42" s="204">
        <f t="shared" si="5"/>
        <v>-0.23219413308811643</v>
      </c>
      <c r="I42" s="321">
        <f t="shared" si="4"/>
        <v>-0.23219413308811643</v>
      </c>
      <c r="J42" s="524"/>
      <c r="K42" s="504"/>
      <c r="L42" s="504"/>
      <c r="M42" s="504"/>
    </row>
    <row r="43" spans="1:13" customFormat="1" ht="12.75" hidden="1" outlineLevel="1" x14ac:dyDescent="0.2">
      <c r="A43" s="176">
        <v>5105420000</v>
      </c>
      <c r="B43" s="207" t="s">
        <v>506</v>
      </c>
      <c r="C43" s="205">
        <f>IFERROR(VLOOKUP(A:A,'PPTO 2017'!A:D,3,0),0)</f>
        <v>0</v>
      </c>
      <c r="D43" s="205">
        <f>IFERROR(VLOOKUP(A:A,EJEC!A:G,5,0),0)</f>
        <v>0</v>
      </c>
      <c r="E43" s="205">
        <f t="shared" si="6"/>
        <v>0</v>
      </c>
      <c r="F43" s="321" t="str">
        <f t="shared" si="2"/>
        <v/>
      </c>
      <c r="G43" s="225">
        <f t="shared" ref="G43:G47" si="8">+E43*$O$2</f>
        <v>0</v>
      </c>
      <c r="H43" s="204"/>
      <c r="I43" s="321" t="str">
        <f t="shared" si="4"/>
        <v/>
      </c>
      <c r="J43" s="524"/>
      <c r="K43" s="504"/>
      <c r="L43" s="504"/>
      <c r="M43" s="504"/>
    </row>
    <row r="44" spans="1:13" customFormat="1" ht="12.75" hidden="1" outlineLevel="1" x14ac:dyDescent="0.2">
      <c r="A44" s="176">
        <v>5105450000</v>
      </c>
      <c r="B44" s="207" t="s">
        <v>28</v>
      </c>
      <c r="C44" s="205">
        <f>IFERROR(VLOOKUP(A:A,'PPTO 2017'!A:D,3,0),0)</f>
        <v>1431.5886666666668</v>
      </c>
      <c r="D44" s="205">
        <f>IFERROR(VLOOKUP(A:A,EJEC!A:G,5,0),0)</f>
        <v>6416.2150000000001</v>
      </c>
      <c r="E44" s="205">
        <f t="shared" si="6"/>
        <v>9624.3225000000002</v>
      </c>
      <c r="F44" s="321">
        <f t="shared" si="2"/>
        <v>6.7228266918383905</v>
      </c>
      <c r="G44" s="225">
        <v>0</v>
      </c>
      <c r="H44" s="204" t="s">
        <v>169</v>
      </c>
      <c r="I44" s="321" t="str">
        <f t="shared" si="4"/>
        <v/>
      </c>
      <c r="J44" s="524"/>
      <c r="K44" s="504"/>
      <c r="L44" s="504"/>
      <c r="M44" s="504"/>
    </row>
    <row r="45" spans="1:13" customFormat="1" ht="12.75" hidden="1" outlineLevel="1" x14ac:dyDescent="0.2">
      <c r="A45" s="176">
        <v>5105480000</v>
      </c>
      <c r="B45" s="207" t="s">
        <v>425</v>
      </c>
      <c r="C45" s="205">
        <f>IFERROR(VLOOKUP(A:A,'PPTO 2017'!A:D,3,0),0)</f>
        <v>0</v>
      </c>
      <c r="D45" s="205">
        <f>IFERROR(VLOOKUP(A:A,EJEC!A:G,5,0),0)</f>
        <v>1415.4</v>
      </c>
      <c r="E45" s="205">
        <f t="shared" si="6"/>
        <v>2123.1000000000004</v>
      </c>
      <c r="F45" s="321" t="str">
        <f t="shared" si="2"/>
        <v/>
      </c>
      <c r="G45" s="225">
        <v>0</v>
      </c>
      <c r="H45" s="204" t="s">
        <v>169</v>
      </c>
      <c r="I45" s="321" t="str">
        <f t="shared" si="4"/>
        <v/>
      </c>
      <c r="J45" s="524"/>
      <c r="K45" s="504"/>
      <c r="L45" s="504"/>
      <c r="M45" s="504"/>
    </row>
    <row r="46" spans="1:13" customFormat="1" ht="12.75" hidden="1" outlineLevel="1" x14ac:dyDescent="0.2">
      <c r="A46" s="176">
        <v>5105510000</v>
      </c>
      <c r="B46" s="207" t="s">
        <v>29</v>
      </c>
      <c r="C46" s="205">
        <f>IFERROR(VLOOKUP(A:A,'PPTO 2017'!A:D,3,0),0)</f>
        <v>1256.3098266666666</v>
      </c>
      <c r="D46" s="205">
        <f>IFERROR(VLOOKUP(A:A,EJEC!A:G,5,0),0)</f>
        <v>0</v>
      </c>
      <c r="E46" s="205">
        <f t="shared" si="6"/>
        <v>0</v>
      </c>
      <c r="F46" s="321" t="str">
        <f t="shared" si="2"/>
        <v/>
      </c>
      <c r="G46" s="225">
        <f t="shared" si="8"/>
        <v>0</v>
      </c>
      <c r="H46" s="204" t="s">
        <v>169</v>
      </c>
      <c r="I46" s="321" t="str">
        <f t="shared" si="4"/>
        <v/>
      </c>
      <c r="J46" s="524"/>
      <c r="K46" s="504"/>
      <c r="L46" s="504"/>
      <c r="M46" s="504"/>
    </row>
    <row r="47" spans="1:13" customFormat="1" ht="12.75" hidden="1" outlineLevel="1" x14ac:dyDescent="0.2">
      <c r="A47" s="176">
        <v>5105600000</v>
      </c>
      <c r="B47" s="207" t="s">
        <v>299</v>
      </c>
      <c r="C47" s="205">
        <f>IFERROR(VLOOKUP(A:A,'PPTO 2017'!A:D,3,0),0)</f>
        <v>0</v>
      </c>
      <c r="D47" s="205">
        <f>IFERROR(VLOOKUP(A:A,EJEC!A:G,5,0),0)</f>
        <v>0</v>
      </c>
      <c r="E47" s="205">
        <f t="shared" si="6"/>
        <v>0</v>
      </c>
      <c r="F47" s="321" t="str">
        <f t="shared" si="2"/>
        <v/>
      </c>
      <c r="G47" s="225">
        <f t="shared" si="8"/>
        <v>0</v>
      </c>
      <c r="H47" s="204" t="s">
        <v>169</v>
      </c>
      <c r="I47" s="321" t="str">
        <f t="shared" si="4"/>
        <v/>
      </c>
      <c r="J47" s="524"/>
      <c r="K47" s="504"/>
      <c r="L47" s="504"/>
      <c r="M47" s="504"/>
    </row>
    <row r="48" spans="1:13" customFormat="1" ht="12.75" hidden="1" outlineLevel="1" x14ac:dyDescent="0.2">
      <c r="A48" s="176">
        <v>5105630000</v>
      </c>
      <c r="B48" s="207" t="s">
        <v>300</v>
      </c>
      <c r="C48" s="205">
        <f>IFERROR(VLOOKUP(A:A,'PPTO 2017'!A:D,3,0),0)</f>
        <v>941.42466666666655</v>
      </c>
      <c r="D48" s="205">
        <f>IFERROR(VLOOKUP(A:A,EJEC!A:G,5,0),0)</f>
        <v>1400</v>
      </c>
      <c r="E48" s="205">
        <f t="shared" si="6"/>
        <v>2100</v>
      </c>
      <c r="F48" s="321">
        <f t="shared" si="2"/>
        <v>2.2306617559061199</v>
      </c>
      <c r="G48" s="226">
        <f ca="1">(SUMIF(HONORARIOS!$B$27:$B$129,A48,HONORARIOS!$G$27:$G$129)+SUMIF(ASESOR.Y.CONSULT.!$A$7:$A$25,PRESUPUESTO!A48,ASESOR.Y.CONSULT.!$N$7:$N$25)+SUMIF('PROY INVEST.'!$A$5:$A$26,PRESUPUESTO!A48,'PROY INVEST.'!$N$5:$N$26)+SUMIF(P.PROY.SOCIAL!$A$5:$A$28,PRESUPUESTO!A48,P.PROY.SOCIAL!$N$5:$N$28)+SUMIF(GEST.REC.HUM.!$A$6:$A$39,PRESUPUESTO!A48,GEST.REC.HUM.!$M$6:$M$39)+SUMIF('OTRAS ACTIV.'!$A$6:$A$39,PRESUPUESTO!A48,'OTRAS ACTIV.'!$N$6:$N$39)+SUMIF('ADICIONALES PD'!A$6:$A$23,PRESUPUESTO!A48,'ADICIONALES PD'!$N$6:$N$23)+SUMIF(SALIDAS!$A$6:$A$19,PRESUPUESTO!A48,SALIDAS!$AE$6:$AE$19)+SUMIF(BIBLIOTECA!$A$7:$A$41,PRESUPUESTO!A48,BIBLIOTECA!$F$5:$F$41)+SUMIF(AFILIACIONES!$A$5:$A$25,PRESUPUESTO!A48,AFILIACIONES!$E$5:$E$25)+SUMIF(AFILIACIONES!$A$5:$A$25,PRESUPUESTO!A48,AFILIACIONES!$E$5:$E$25)+SUMIF(AFILIACIONES!$A$5:$A$25,PRESUPUESTO!A48,AFILIACIONES!$E$5:$E$25)+SUMIF(IMPRESOS.PUBLIC!$A$7:$A$34,PRESUPUESTO!A48,IMPRESOS.PUBLIC!$D$7:$D$34)+SUMIF(MANTEN.EQUIP.!$A$7:$A$27,PRESUPUESTO!A48,MANTEN.EQUIP.!$D$8:$D$27)+SUMIF(INVER.EQUIPO.COMP!$A$7:$A$37,PRESUPUESTO!A48,INVER.EQUIPO.COMP!$E$8:$E$37)+SUMIF(INVER.OTROS.EQUIPOS!$A$7:$A$37,PRESUPUESTO!A48,INVER.OTROS.EQUIPOS!$E$7:$E$37)+SUMIF(INVER.MUEBLES!$A$7:$A$35,PRESUPUESTO!A48,INVER.MUEBLES!$E$7:$E$35)+SUMIF(ADECUAC.LOCATIVAS!$A$7:$A$29,PRESUPUESTO!A48,ADECUAC.LOCATIVAS!$E$7:$E$29))/1000</f>
        <v>17200</v>
      </c>
      <c r="H48" s="204">
        <f t="shared" ca="1" si="5"/>
        <v>7.1904761904761898</v>
      </c>
      <c r="I48" s="321">
        <f t="shared" ca="1" si="4"/>
        <v>7.1904761904761898</v>
      </c>
      <c r="J48" s="524"/>
      <c r="K48" s="504"/>
      <c r="L48" s="504"/>
      <c r="M48" s="504"/>
    </row>
    <row r="49" spans="1:13" customFormat="1" ht="12.75" hidden="1" outlineLevel="1" x14ac:dyDescent="0.2">
      <c r="A49" s="176">
        <v>5105640000</v>
      </c>
      <c r="B49" s="207" t="s">
        <v>682</v>
      </c>
      <c r="C49" s="205">
        <f>IFERROR(VLOOKUP(A:A,'PPTO 2017'!A:D,3,0),0)</f>
        <v>3326.9866666666667</v>
      </c>
      <c r="D49" s="205">
        <f>IFERROR(VLOOKUP(A:A,EJEC!A:G,5,0),0)</f>
        <v>2460</v>
      </c>
      <c r="E49" s="205">
        <f t="shared" si="6"/>
        <v>3690</v>
      </c>
      <c r="F49" s="321">
        <f>IF(E49=0,"",IF(C49=0,"",(E49/C49)))</f>
        <v>1.1091117487696573</v>
      </c>
      <c r="G49" s="586">
        <f t="shared" ref="G49:G50" si="9">+E49*$O$2</f>
        <v>3874.5</v>
      </c>
      <c r="H49" s="204"/>
      <c r="I49" s="321"/>
      <c r="J49" s="524"/>
      <c r="K49" s="504"/>
      <c r="L49" s="504"/>
      <c r="M49" s="504"/>
    </row>
    <row r="50" spans="1:13" customFormat="1" ht="12.75" hidden="1" outlineLevel="1" x14ac:dyDescent="0.2">
      <c r="A50" s="176">
        <v>5105660000</v>
      </c>
      <c r="B50" s="207" t="s">
        <v>301</v>
      </c>
      <c r="C50" s="205">
        <f>IFERROR(VLOOKUP(A:A,'PPTO 2017'!A:D,3,0),0)</f>
        <v>0</v>
      </c>
      <c r="D50" s="205">
        <f>IFERROR(VLOOKUP(A:A,EJEC!A:G,5,0),0)</f>
        <v>0</v>
      </c>
      <c r="E50" s="205">
        <f t="shared" si="6"/>
        <v>0</v>
      </c>
      <c r="F50" s="321" t="str">
        <f t="shared" si="2"/>
        <v/>
      </c>
      <c r="G50" s="225">
        <f t="shared" si="9"/>
        <v>0</v>
      </c>
      <c r="H50" s="204" t="s">
        <v>169</v>
      </c>
      <c r="I50" s="321" t="str">
        <f t="shared" si="4"/>
        <v/>
      </c>
      <c r="J50" s="524"/>
      <c r="K50" s="504"/>
      <c r="L50" s="504"/>
      <c r="M50" s="504"/>
    </row>
    <row r="51" spans="1:13" customFormat="1" ht="12.75" hidden="1" outlineLevel="1" x14ac:dyDescent="0.2">
      <c r="A51" s="176">
        <v>5105680000</v>
      </c>
      <c r="B51" s="207" t="s">
        <v>30</v>
      </c>
      <c r="C51" s="205">
        <f>IFERROR(VLOOKUP(A:A,'PPTO 2017'!A:D,3,0),0)</f>
        <v>7853.9585819999993</v>
      </c>
      <c r="D51" s="205">
        <f>IFERROR(VLOOKUP(A:A,EJEC!A:G,5,0),0)</f>
        <v>5119.7150000000001</v>
      </c>
      <c r="E51" s="205">
        <f t="shared" si="6"/>
        <v>7679.5725000000002</v>
      </c>
      <c r="F51" s="321">
        <f t="shared" si="2"/>
        <v>0.97779640926555633</v>
      </c>
      <c r="G51" s="226">
        <f>NOMINA!AM119/1000</f>
        <v>7712.6131619999996</v>
      </c>
      <c r="H51" s="204">
        <f t="shared" si="5"/>
        <v>4.3024090208145793E-3</v>
      </c>
      <c r="I51" s="321">
        <f t="shared" si="4"/>
        <v>4.3024090208145793E-3</v>
      </c>
      <c r="J51" s="524"/>
      <c r="K51" s="504"/>
      <c r="L51" s="504"/>
      <c r="M51" s="504"/>
    </row>
    <row r="52" spans="1:13" customFormat="1" ht="12.75" hidden="1" outlineLevel="1" x14ac:dyDescent="0.2">
      <c r="A52" s="176">
        <v>5105690000</v>
      </c>
      <c r="B52" s="207" t="s">
        <v>31</v>
      </c>
      <c r="C52" s="205">
        <f>IFERROR(VLOOKUP(A:A,'PPTO 2017'!A:D,3,0),0)</f>
        <v>128726.04739814815</v>
      </c>
      <c r="D52" s="205">
        <f>IFERROR(VLOOKUP(A:A,EJEC!A:G,5,0),0)</f>
        <v>89699.457999999999</v>
      </c>
      <c r="E52" s="205">
        <f t="shared" si="6"/>
        <v>134549.18700000001</v>
      </c>
      <c r="F52" s="321">
        <f t="shared" si="2"/>
        <v>1.0452366845681276</v>
      </c>
      <c r="G52" s="226">
        <f>NOMINA!AK119/1000</f>
        <v>125229.60230555556</v>
      </c>
      <c r="H52" s="204">
        <f t="shared" si="5"/>
        <v>-6.926526203717942E-2</v>
      </c>
      <c r="I52" s="321">
        <f t="shared" si="4"/>
        <v>-6.926526203717942E-2</v>
      </c>
      <c r="J52" s="524"/>
      <c r="K52" s="504"/>
      <c r="L52" s="504"/>
      <c r="M52" s="504"/>
    </row>
    <row r="53" spans="1:13" customFormat="1" ht="12.75" hidden="1" outlineLevel="1" x14ac:dyDescent="0.2">
      <c r="A53" s="176">
        <v>5105700000</v>
      </c>
      <c r="B53" s="207" t="s">
        <v>32</v>
      </c>
      <c r="C53" s="205">
        <f>IFERROR(VLOOKUP(A:A,'PPTO 2017'!A:D,3,0),0)</f>
        <v>165241.45044444446</v>
      </c>
      <c r="D53" s="205">
        <f>IFERROR(VLOOKUP(A:A,EJEC!A:G,5,0),0)</f>
        <v>105872.231</v>
      </c>
      <c r="E53" s="205">
        <f t="shared" si="6"/>
        <v>158808.34649999999</v>
      </c>
      <c r="F53" s="321">
        <f t="shared" si="2"/>
        <v>0.96106846116914635</v>
      </c>
      <c r="G53" s="226">
        <f>(NOMINA!AL119/1000)</f>
        <v>149763.05266666666</v>
      </c>
      <c r="H53" s="204">
        <f t="shared" si="5"/>
        <v>-5.6957294957625693E-2</v>
      </c>
      <c r="I53" s="321">
        <f t="shared" si="4"/>
        <v>-5.6957294957625693E-2</v>
      </c>
      <c r="J53" s="524"/>
      <c r="K53" s="504"/>
      <c r="L53" s="504"/>
      <c r="M53" s="504"/>
    </row>
    <row r="54" spans="1:13" customFormat="1" ht="12.75" hidden="1" outlineLevel="1" x14ac:dyDescent="0.2">
      <c r="A54" s="176">
        <v>5105720000</v>
      </c>
      <c r="B54" s="207" t="s">
        <v>33</v>
      </c>
      <c r="C54" s="205">
        <f>IFERROR(VLOOKUP(A:A,'PPTO 2017'!A:D,3,0),0)</f>
        <v>58864.473061394005</v>
      </c>
      <c r="D54" s="205">
        <f>IFERROR(VLOOKUP(A:A,EJEC!A:G,5,0),0)</f>
        <v>40639.451999999997</v>
      </c>
      <c r="E54" s="205">
        <f t="shared" si="6"/>
        <v>60959.178</v>
      </c>
      <c r="F54" s="321">
        <f t="shared" si="2"/>
        <v>1.0355852151504232</v>
      </c>
      <c r="G54" s="226">
        <f>NOMINA!AN119/1000*0.444444</f>
        <v>57324.154453566</v>
      </c>
      <c r="H54" s="204">
        <f t="shared" si="5"/>
        <v>-5.9630455424349749E-2</v>
      </c>
      <c r="I54" s="321">
        <f t="shared" si="4"/>
        <v>-5.9630455424349749E-2</v>
      </c>
      <c r="J54" s="524"/>
      <c r="K54" s="504"/>
      <c r="L54" s="504"/>
      <c r="M54" s="504"/>
    </row>
    <row r="55" spans="1:13" customFormat="1" ht="12.75" hidden="1" outlineLevel="1" x14ac:dyDescent="0.2">
      <c r="A55" s="176">
        <v>5105750000</v>
      </c>
      <c r="B55" s="207" t="s">
        <v>34</v>
      </c>
      <c r="C55" s="205">
        <f>IFERROR(VLOOKUP(A:A,'PPTO 2017'!A:D,3,0),0)</f>
        <v>44148.354796045503</v>
      </c>
      <c r="D55" s="205">
        <f>IFERROR(VLOOKUP(A:A,EJEC!A:G,5,0),0)</f>
        <v>30545.695</v>
      </c>
      <c r="E55" s="205">
        <f t="shared" si="6"/>
        <v>45818.542499999996</v>
      </c>
      <c r="F55" s="321">
        <f t="shared" si="2"/>
        <v>1.0378312558116909</v>
      </c>
      <c r="G55" s="226">
        <f>NOMINA!AN119/1000*0.333333</f>
        <v>42993.115840174498</v>
      </c>
      <c r="H55" s="204">
        <f t="shared" si="5"/>
        <v>-6.1665572618891051E-2</v>
      </c>
      <c r="I55" s="321">
        <f t="shared" si="4"/>
        <v>-6.1665572618891051E-2</v>
      </c>
      <c r="J55" s="524"/>
      <c r="K55" s="504"/>
      <c r="L55" s="504"/>
      <c r="M55" s="504"/>
    </row>
    <row r="56" spans="1:13" customFormat="1" ht="12.75" hidden="1" outlineLevel="1" x14ac:dyDescent="0.2">
      <c r="A56" s="176">
        <v>5105780000</v>
      </c>
      <c r="B56" s="207" t="s">
        <v>35</v>
      </c>
      <c r="C56" s="205">
        <f>IFERROR(VLOOKUP(A:A,'PPTO 2017'!A:D,3,0),0)</f>
        <v>29432.236530697002</v>
      </c>
      <c r="D56" s="205">
        <f>IFERROR(VLOOKUP(A:A,EJEC!A:G,5,0),0)</f>
        <v>20367</v>
      </c>
      <c r="E56" s="205">
        <f t="shared" si="6"/>
        <v>30550.5</v>
      </c>
      <c r="F56" s="321">
        <f t="shared" si="2"/>
        <v>1.037994512178396</v>
      </c>
      <c r="G56" s="226">
        <f>NOMINA!AN119/1000*0.222222</f>
        <v>28662.077226783</v>
      </c>
      <c r="H56" s="204">
        <f t="shared" si="5"/>
        <v>-6.1813154390828351E-2</v>
      </c>
      <c r="I56" s="321">
        <f t="shared" si="4"/>
        <v>-6.1813154390828351E-2</v>
      </c>
      <c r="J56" s="524"/>
      <c r="K56" s="504"/>
      <c r="L56" s="504"/>
      <c r="M56" s="504"/>
    </row>
    <row r="57" spans="1:13" customFormat="1" ht="12.75" hidden="1" outlineLevel="1" x14ac:dyDescent="0.2">
      <c r="A57" s="176">
        <v>5105840000</v>
      </c>
      <c r="B57" s="207" t="s">
        <v>302</v>
      </c>
      <c r="C57" s="205">
        <f>IFERROR(VLOOKUP(A:A,'PPTO 2017'!A:D,3,0),0)</f>
        <v>0</v>
      </c>
      <c r="D57" s="205">
        <f>IFERROR(VLOOKUP(A:A,EJEC!A:G,5,0),0)</f>
        <v>0</v>
      </c>
      <c r="E57" s="205">
        <f t="shared" si="6"/>
        <v>0</v>
      </c>
      <c r="F57" s="321" t="str">
        <f t="shared" si="2"/>
        <v/>
      </c>
      <c r="G57" s="225">
        <f t="shared" ref="G57:G60" si="10">+E57*$O$2</f>
        <v>0</v>
      </c>
      <c r="H57" s="204" t="s">
        <v>169</v>
      </c>
      <c r="I57" s="321" t="str">
        <f t="shared" si="4"/>
        <v/>
      </c>
      <c r="J57" s="524"/>
      <c r="K57" s="504"/>
      <c r="L57" s="504"/>
      <c r="M57" s="504"/>
    </row>
    <row r="58" spans="1:13" customFormat="1" ht="12.75" hidden="1" outlineLevel="1" x14ac:dyDescent="0.2">
      <c r="A58" s="176">
        <v>5105950100</v>
      </c>
      <c r="B58" s="207" t="s">
        <v>36</v>
      </c>
      <c r="C58" s="205">
        <f>IFERROR(VLOOKUP(A:A,'PPTO 2017'!A:D,3,0),0)</f>
        <v>0</v>
      </c>
      <c r="D58" s="205">
        <f>IFERROR(VLOOKUP(A:A,EJEC!A:G,5,0),0)</f>
        <v>0</v>
      </c>
      <c r="E58" s="205">
        <f t="shared" si="6"/>
        <v>0</v>
      </c>
      <c r="F58" s="321" t="str">
        <f t="shared" si="2"/>
        <v/>
      </c>
      <c r="G58" s="225">
        <f t="shared" si="10"/>
        <v>0</v>
      </c>
      <c r="H58" s="204" t="s">
        <v>169</v>
      </c>
      <c r="I58" s="321" t="str">
        <f t="shared" si="4"/>
        <v/>
      </c>
      <c r="J58" s="524"/>
      <c r="K58" s="504"/>
      <c r="L58" s="504"/>
      <c r="M58" s="504"/>
    </row>
    <row r="59" spans="1:13" customFormat="1" ht="12.75" hidden="1" outlineLevel="1" x14ac:dyDescent="0.2">
      <c r="A59" s="176">
        <v>5105950200</v>
      </c>
      <c r="B59" s="207" t="s">
        <v>37</v>
      </c>
      <c r="C59" s="205">
        <f>IFERROR(VLOOKUP(A:A,'PPTO 2017'!A:D,3,0),0)</f>
        <v>0</v>
      </c>
      <c r="D59" s="205">
        <f>IFERROR(VLOOKUP(A:A,EJEC!A:G,5,0),0)</f>
        <v>0</v>
      </c>
      <c r="E59" s="205">
        <f t="shared" si="6"/>
        <v>0</v>
      </c>
      <c r="F59" s="321" t="str">
        <f t="shared" si="2"/>
        <v/>
      </c>
      <c r="G59" s="225">
        <f t="shared" si="10"/>
        <v>0</v>
      </c>
      <c r="H59" s="204" t="s">
        <v>169</v>
      </c>
      <c r="I59" s="321" t="str">
        <f t="shared" si="4"/>
        <v/>
      </c>
      <c r="J59" s="524"/>
      <c r="K59" s="504"/>
      <c r="L59" s="504"/>
      <c r="M59" s="504"/>
    </row>
    <row r="60" spans="1:13" customFormat="1" ht="12.75" hidden="1" outlineLevel="1" x14ac:dyDescent="0.2">
      <c r="A60" s="176">
        <v>5105950300</v>
      </c>
      <c r="B60" s="207" t="s">
        <v>38</v>
      </c>
      <c r="C60" s="205">
        <f>IFERROR(VLOOKUP(A:A,'PPTO 2017'!A:D,3,0),0)</f>
        <v>0</v>
      </c>
      <c r="D60" s="205">
        <f>IFERROR(VLOOKUP(A:A,EJEC!A:G,5,0),0)</f>
        <v>0</v>
      </c>
      <c r="E60" s="205">
        <f t="shared" si="6"/>
        <v>0</v>
      </c>
      <c r="F60" s="321" t="str">
        <f t="shared" si="2"/>
        <v/>
      </c>
      <c r="G60" s="225">
        <f t="shared" si="10"/>
        <v>0</v>
      </c>
      <c r="H60" s="204" t="s">
        <v>169</v>
      </c>
      <c r="I60" s="321" t="str">
        <f t="shared" si="4"/>
        <v/>
      </c>
      <c r="J60" s="524"/>
      <c r="K60" s="504"/>
      <c r="L60" s="504"/>
      <c r="M60" s="504"/>
    </row>
    <row r="61" spans="1:13" customFormat="1" ht="12.75" collapsed="1" x14ac:dyDescent="0.2">
      <c r="A61" s="176"/>
      <c r="B61" s="213" t="s">
        <v>303</v>
      </c>
      <c r="C61" s="214">
        <f>SUM(C33:C60)</f>
        <v>2212745.2483366616</v>
      </c>
      <c r="D61" s="214">
        <f>SUM(D33:D60)</f>
        <v>1505483.7880000004</v>
      </c>
      <c r="E61" s="214">
        <f>SUM(E33:E60)</f>
        <v>2265117.0509999995</v>
      </c>
      <c r="F61" s="522">
        <f t="shared" si="2"/>
        <v>1.0236682477129739</v>
      </c>
      <c r="G61" s="214">
        <f ca="1">SUM(G33:G60)</f>
        <v>2125010.6041537952</v>
      </c>
      <c r="H61" s="228">
        <f ca="1">(+G61/E61)-1</f>
        <v>-6.1853954427807833E-2</v>
      </c>
      <c r="I61" s="321">
        <f t="shared" ca="1" si="4"/>
        <v>-6.1853954427807833E-2</v>
      </c>
      <c r="J61" s="524"/>
      <c r="K61" s="504"/>
      <c r="L61" s="504"/>
      <c r="M61" s="504"/>
    </row>
    <row r="62" spans="1:13" customFormat="1" ht="12.75" hidden="1" outlineLevel="1" x14ac:dyDescent="0.2">
      <c r="A62" s="176"/>
      <c r="B62" s="212" t="s">
        <v>304</v>
      </c>
      <c r="C62" s="205"/>
      <c r="D62" s="205"/>
      <c r="E62" s="205"/>
      <c r="F62" s="321" t="str">
        <f t="shared" si="2"/>
        <v/>
      </c>
      <c r="G62" s="208" t="s">
        <v>169</v>
      </c>
      <c r="H62" s="204" t="s">
        <v>169</v>
      </c>
      <c r="I62" s="321" t="str">
        <f t="shared" si="4"/>
        <v/>
      </c>
      <c r="J62" s="524"/>
      <c r="K62" s="504"/>
      <c r="L62" s="504"/>
      <c r="M62" s="504"/>
    </row>
    <row r="63" spans="1:13" customFormat="1" ht="12.75" hidden="1" outlineLevel="1" x14ac:dyDescent="0.2">
      <c r="A63" s="3">
        <v>5110100000</v>
      </c>
      <c r="B63" s="207" t="s">
        <v>307</v>
      </c>
      <c r="C63" s="205">
        <f>IFERROR(VLOOKUP(A:A,'PPTO 2017'!A:D,3,0),0)</f>
        <v>0</v>
      </c>
      <c r="D63" s="205">
        <f>IFERROR(VLOOKUP(A:A,EJEC!A:G,5,0),0)</f>
        <v>0</v>
      </c>
      <c r="E63" s="205">
        <v>0</v>
      </c>
      <c r="F63" s="321" t="str">
        <f t="shared" si="2"/>
        <v/>
      </c>
      <c r="G63" s="225">
        <f t="shared" ref="G63:G66" si="11">+E63*$O$2</f>
        <v>0</v>
      </c>
      <c r="H63" s="204" t="e">
        <f t="shared" ref="H63:H72" si="12">(+G63/E63)-1</f>
        <v>#DIV/0!</v>
      </c>
      <c r="I63" s="321" t="str">
        <f t="shared" si="4"/>
        <v/>
      </c>
      <c r="J63" s="524"/>
      <c r="K63" s="504"/>
      <c r="L63" s="504"/>
      <c r="M63" s="504"/>
    </row>
    <row r="64" spans="1:13" customFormat="1" ht="12.75" hidden="1" outlineLevel="1" x14ac:dyDescent="0.2">
      <c r="A64" s="3">
        <v>5110200000</v>
      </c>
      <c r="B64" s="207" t="s">
        <v>583</v>
      </c>
      <c r="C64" s="205">
        <f>IFERROR(VLOOKUP(A:A,'PPTO 2017'!A:D,3,0),0)</f>
        <v>0</v>
      </c>
      <c r="D64" s="205">
        <f>IFERROR(VLOOKUP(A:A,EJEC!A:G,5,0),0)</f>
        <v>0</v>
      </c>
      <c r="E64" s="205">
        <v>0</v>
      </c>
      <c r="F64" s="321" t="str">
        <f t="shared" si="2"/>
        <v/>
      </c>
      <c r="G64" s="225">
        <f t="shared" si="11"/>
        <v>0</v>
      </c>
      <c r="H64" s="204" t="e">
        <f t="shared" si="12"/>
        <v>#DIV/0!</v>
      </c>
      <c r="I64" s="321" t="str">
        <f t="shared" si="4"/>
        <v/>
      </c>
      <c r="J64" s="524"/>
      <c r="K64" s="504"/>
      <c r="L64" s="504"/>
      <c r="M64" s="504"/>
    </row>
    <row r="65" spans="1:13" customFormat="1" ht="12.75" hidden="1" outlineLevel="1" x14ac:dyDescent="0.2">
      <c r="A65" s="3">
        <v>5110250000</v>
      </c>
      <c r="B65" s="207" t="s">
        <v>308</v>
      </c>
      <c r="C65" s="205">
        <f>IFERROR(VLOOKUP(A:A,'PPTO 2017'!A:D,3,0),0)</f>
        <v>0</v>
      </c>
      <c r="D65" s="205">
        <f>IFERROR(VLOOKUP(A:A,EJEC!A:G,5,0),0)</f>
        <v>0</v>
      </c>
      <c r="E65" s="205">
        <v>0</v>
      </c>
      <c r="F65" s="321" t="str">
        <f t="shared" si="2"/>
        <v/>
      </c>
      <c r="G65" s="225">
        <f t="shared" si="11"/>
        <v>0</v>
      </c>
      <c r="H65" s="204" t="e">
        <f t="shared" si="12"/>
        <v>#DIV/0!</v>
      </c>
      <c r="I65" s="321" t="str">
        <f t="shared" si="4"/>
        <v/>
      </c>
      <c r="J65" s="524"/>
      <c r="K65" s="504"/>
      <c r="L65" s="504"/>
      <c r="M65" s="504"/>
    </row>
    <row r="66" spans="1:13" customFormat="1" ht="12.75" hidden="1" outlineLevel="1" x14ac:dyDescent="0.2">
      <c r="A66" s="587">
        <v>5110350000</v>
      </c>
      <c r="B66" s="207" t="s">
        <v>687</v>
      </c>
      <c r="C66" s="205">
        <f>IFERROR(VLOOKUP(A:A,'PPTO 2017'!A:D,3,0),0)</f>
        <v>0</v>
      </c>
      <c r="D66" s="205">
        <f>IFERROR(VLOOKUP(A:A,EJEC!A:G,5,0),0)</f>
        <v>0</v>
      </c>
      <c r="E66" s="205">
        <v>0</v>
      </c>
      <c r="F66" s="321" t="str">
        <f>IF(E66=0,"",IF(C66=0,"",(E66/C66)))</f>
        <v/>
      </c>
      <c r="G66" s="225">
        <f t="shared" si="11"/>
        <v>0</v>
      </c>
      <c r="H66" s="204" t="e">
        <f>(+G66/E66)-1</f>
        <v>#DIV/0!</v>
      </c>
      <c r="I66" s="321" t="str">
        <f>IF(G66=0,"",IF(E66=0,"",(G66/E66)-1))</f>
        <v/>
      </c>
      <c r="J66" s="524"/>
      <c r="K66" s="504"/>
      <c r="L66" s="504"/>
      <c r="M66" s="504"/>
    </row>
    <row r="67" spans="1:13" customFormat="1" ht="12.75" hidden="1" outlineLevel="1" x14ac:dyDescent="0.2">
      <c r="A67" s="176">
        <v>5110350100</v>
      </c>
      <c r="B67" s="558" t="s">
        <v>629</v>
      </c>
      <c r="C67" s="205">
        <f>IFERROR(VLOOKUP(A:A,'PPTO 2017'!A:D,3,0),0)</f>
        <v>0</v>
      </c>
      <c r="D67" s="205">
        <f>IFERROR(VLOOKUP(A:A,EJEC!A:G,5,0),0)</f>
        <v>0</v>
      </c>
      <c r="E67" s="205">
        <v>0</v>
      </c>
      <c r="F67" s="321" t="str">
        <f t="shared" si="2"/>
        <v/>
      </c>
      <c r="G67" s="226">
        <f ca="1">(SUMIF(HONORARIOS!$B$27:$B$129,A67,HONORARIOS!$G$27:$G$129)+SUMIF(ASESOR.Y.CONSULT.!$A$7:$A$25,PRESUPUESTO!A67,ASESOR.Y.CONSULT.!$N$7:$N$25)+SUMIF('PROY INVEST.'!$A$5:$A$26,PRESUPUESTO!A67,'PROY INVEST.'!$N$5:$N$26)+SUMIF(P.PROY.SOCIAL!$A$5:$A$28,PRESUPUESTO!A67,P.PROY.SOCIAL!$N$5:$N$28)+SUMIF(GEST.REC.HUM.!$A$6:$A$39,PRESUPUESTO!A67,GEST.REC.HUM.!$M$6:$M$39)+SUMIF('OTRAS ACTIV.'!$A$6:$A$39,PRESUPUESTO!A67,'OTRAS ACTIV.'!$N$6:$N$39)+SUMIF('ADICIONALES PD'!A$6:$A23,PRESUPUESTO!A67,'ADICIONALES PD'!$N$6:$N$23)+SUMIF(SALIDAS!$A$6:$A$19,PRESUPUESTO!A67,SALIDAS!$AE$6:$AE$19)+SUMIF(BIBLIOTECA!$A$7:$A$41,PRESUPUESTO!A67,BIBLIOTECA!$F$5:$F$41)+SUMIF(AFILIACIONES!$A$5:$A$25,PRESUPUESTO!A67,AFILIACIONES!$E$5:$E$25)+SUMIF(IMPRESOS.PUBLIC!$A$7:$A$34,PRESUPUESTO!A67,IMPRESOS.PUBLIC!$D$7:$D$34)+SUMIF(MANTEN.EQUIP.!$A$7:$A$27,PRESUPUESTO!A67,MANTEN.EQUIP.!$D$8:$D$27)+SUMIF(INVER.EQUIPO.COMP!$A$7:$A$37,PRESUPUESTO!A67,INVER.EQUIPO.COMP!$E$8:$E$37)+SUMIF(INVER.OTROS.EQUIPOS!$A$7:$A$37,PRESUPUESTO!A67,INVER.OTROS.EQUIPOS!$E$7:$E$37)+SUMIF(INVER.MUEBLES!$A$7:$A$35,PRESUPUESTO!A67,INVER.MUEBLES!$E$7:$E$35)+SUMIF(ADECUAC.LOCATIVAS!$A$7:$A$29,PRESUPUESTO!A67,ADECUAC.LOCATIVAS!$E$7:$E$29))/1000</f>
        <v>0</v>
      </c>
      <c r="H67" s="204" t="e">
        <f t="shared" ca="1" si="12"/>
        <v>#DIV/0!</v>
      </c>
      <c r="I67" s="321" t="str">
        <f t="shared" ca="1" si="4"/>
        <v/>
      </c>
      <c r="J67" s="524"/>
      <c r="K67" s="504"/>
      <c r="L67" s="504"/>
      <c r="M67" s="504"/>
    </row>
    <row r="68" spans="1:13" customFormat="1" ht="12.75" hidden="1" outlineLevel="1" x14ac:dyDescent="0.2">
      <c r="A68" s="176">
        <v>5110350300</v>
      </c>
      <c r="B68" s="207" t="s">
        <v>40</v>
      </c>
      <c r="C68" s="205">
        <f>IFERROR(VLOOKUP(A:A,'PPTO 2017'!A:D,3,0),0)</f>
        <v>3639.07</v>
      </c>
      <c r="D68" s="205">
        <f>IFERROR(VLOOKUP(A:A,EJEC!A:G,5,0),0)</f>
        <v>0</v>
      </c>
      <c r="E68" s="205">
        <v>0</v>
      </c>
      <c r="F68" s="321" t="str">
        <f t="shared" si="2"/>
        <v/>
      </c>
      <c r="G68" s="225">
        <f t="shared" ref="G68:G70" si="13">+E68*$O$2</f>
        <v>0</v>
      </c>
      <c r="H68" s="204" t="e">
        <f t="shared" si="12"/>
        <v>#DIV/0!</v>
      </c>
      <c r="I68" s="321" t="str">
        <f t="shared" si="4"/>
        <v/>
      </c>
      <c r="J68" s="524"/>
      <c r="K68" s="504"/>
      <c r="L68" s="504"/>
      <c r="M68" s="504"/>
    </row>
    <row r="69" spans="1:13" customFormat="1" ht="12.75" hidden="1" outlineLevel="1" x14ac:dyDescent="0.2">
      <c r="A69" s="176">
        <v>5110350400</v>
      </c>
      <c r="B69" s="207" t="s">
        <v>41</v>
      </c>
      <c r="C69" s="205">
        <f>IFERROR(VLOOKUP(A:A,'PPTO 2017'!A:D,3,0),0)</f>
        <v>0</v>
      </c>
      <c r="D69" s="205">
        <f>IFERROR(VLOOKUP(A:A,EJEC!A:G,5,0),0)</f>
        <v>0</v>
      </c>
      <c r="E69" s="205">
        <v>0</v>
      </c>
      <c r="F69" s="321" t="str">
        <f t="shared" si="2"/>
        <v/>
      </c>
      <c r="G69" s="225">
        <f t="shared" si="13"/>
        <v>0</v>
      </c>
      <c r="H69" s="204" t="e">
        <f t="shared" si="12"/>
        <v>#DIV/0!</v>
      </c>
      <c r="I69" s="321" t="str">
        <f t="shared" si="4"/>
        <v/>
      </c>
      <c r="J69" s="524"/>
      <c r="K69" s="504"/>
      <c r="L69" s="504"/>
      <c r="M69" s="504"/>
    </row>
    <row r="70" spans="1:13" customFormat="1" ht="12.75" hidden="1" outlineLevel="1" x14ac:dyDescent="0.2">
      <c r="A70" s="176">
        <v>5110350600</v>
      </c>
      <c r="B70" s="207" t="s">
        <v>305</v>
      </c>
      <c r="C70" s="205">
        <f>IFERROR(VLOOKUP(A:A,'PPTO 2017'!A:D,3,0),0)</f>
        <v>0</v>
      </c>
      <c r="D70" s="205">
        <f>IFERROR(VLOOKUP(A:A,EJEC!A:G,5,0),0)</f>
        <v>0</v>
      </c>
      <c r="E70" s="205">
        <v>0</v>
      </c>
      <c r="F70" s="321" t="str">
        <f t="shared" si="2"/>
        <v/>
      </c>
      <c r="G70" s="225">
        <f t="shared" si="13"/>
        <v>0</v>
      </c>
      <c r="H70" s="204" t="e">
        <f t="shared" si="12"/>
        <v>#DIV/0!</v>
      </c>
      <c r="I70" s="321" t="str">
        <f t="shared" si="4"/>
        <v/>
      </c>
      <c r="J70" s="524"/>
      <c r="K70" s="504"/>
      <c r="L70" s="504"/>
      <c r="M70" s="504"/>
    </row>
    <row r="71" spans="1:13" customFormat="1" ht="12.75" hidden="1" outlineLevel="1" x14ac:dyDescent="0.2">
      <c r="A71" s="176">
        <v>5110500000</v>
      </c>
      <c r="B71" s="207" t="s">
        <v>829</v>
      </c>
      <c r="C71" s="205">
        <f>IFERROR(VLOOKUP(A:A,'PPTO 2017'!A:D,3,0),0)</f>
        <v>0</v>
      </c>
      <c r="D71" s="205">
        <f>IFERROR(VLOOKUP(A:A,EJEC!A:G,5,0),0)</f>
        <v>0</v>
      </c>
      <c r="E71" s="205">
        <v>0</v>
      </c>
      <c r="F71" s="321" t="str">
        <f t="shared" ref="F71" si="14">IF(E71=0,"",IF(C71=0,"",(E71/C71)))</f>
        <v/>
      </c>
      <c r="G71" s="225">
        <f t="shared" ref="G71" si="15">+E71*$O$2</f>
        <v>0</v>
      </c>
      <c r="H71" s="204"/>
      <c r="I71" s="321"/>
      <c r="J71" s="524"/>
      <c r="K71" s="504"/>
      <c r="L71" s="504"/>
      <c r="M71" s="504"/>
    </row>
    <row r="72" spans="1:13" customFormat="1" ht="12.75" hidden="1" outlineLevel="1" x14ac:dyDescent="0.2">
      <c r="A72" s="176">
        <v>5110950000</v>
      </c>
      <c r="B72" s="207" t="s">
        <v>42</v>
      </c>
      <c r="C72" s="205">
        <f>IFERROR(VLOOKUP(A:A,'PPTO 2017'!A:D,3,0),0)</f>
        <v>800</v>
      </c>
      <c r="D72" s="205">
        <f>IFERROR(VLOOKUP(A:A,EJEC!A:G,5,0),0)</f>
        <v>1284.0719999999999</v>
      </c>
      <c r="E72" s="205">
        <v>1284</v>
      </c>
      <c r="F72" s="321">
        <f t="shared" si="2"/>
        <v>1.605</v>
      </c>
      <c r="G72" s="226">
        <f ca="1">(SUMIF(HONORARIOS!$B$27:$B$129,A72,HONORARIOS!$G$27:$G$129)+SUMIF(ASESOR.Y.CONSULT.!$A$7:$A$25,PRESUPUESTO!A72,ASESOR.Y.CONSULT.!$N$7:$N$25)+SUMIF('PROY INVEST.'!$A$5:$A$26,PRESUPUESTO!A72,'PROY INVEST.'!$N$5:$N$26)+SUMIF(P.PROY.SOCIAL!$A$5:$A$28,PRESUPUESTO!A72,P.PROY.SOCIAL!$N$5:$N$28)+SUMIF(GEST.REC.HUM.!$A$6:$A$39,PRESUPUESTO!A72,GEST.REC.HUM.!$M$6:$M$39)+SUMIF('OTRAS ACTIV.'!$A$6:$A$39,PRESUPUESTO!A72,'OTRAS ACTIV.'!$N$6:$N$39)+SUMIF('ADICIONALES PD'!A$6:$A23,PRESUPUESTO!A72,'ADICIONALES PD'!$N$6:$N$23)+SUMIF(SALIDAS!$A$6:$A$19,PRESUPUESTO!A72,SALIDAS!$AE$6:$AE$19)+SUMIF(BIBLIOTECA!$A$7:$A$41,PRESUPUESTO!A72,BIBLIOTECA!$F$5:$F$41)+SUMIF(AFILIACIONES!$A$5:$A$25,PRESUPUESTO!A72,AFILIACIONES!$E$5:$E$25)+SUMIF(IMPRESOS.PUBLIC!$A$7:$A$34,PRESUPUESTO!A72,IMPRESOS.PUBLIC!$D$7:$D$34)+SUMIF(MANTEN.EQUIP.!$A$7:$A$27,PRESUPUESTO!A72,MANTEN.EQUIP.!$D$8:$D$27)+SUMIF(INVER.EQUIPO.COMP!$A$7:$A$37,PRESUPUESTO!A72,INVER.EQUIPO.COMP!$E$8:$E$37)+SUMIF(INVER.OTROS.EQUIPOS!$A$7:$A$37,PRESUPUESTO!A72,INVER.OTROS.EQUIPOS!$E$7:$E$37)+SUMIF(INVER.MUEBLES!$A$7:$A$35,PRESUPUESTO!A72,INVER.MUEBLES!$E$7:$E$35)+SUMIF(ADECUAC.LOCATIVAS!$A$7:$A$29,PRESUPUESTO!A72,ADECUAC.LOCATIVAS!$E$7:$E$29))/1000</f>
        <v>3000</v>
      </c>
      <c r="H72" s="204">
        <f t="shared" ca="1" si="12"/>
        <v>1.3364485981308412</v>
      </c>
      <c r="I72" s="321">
        <f t="shared" ca="1" si="4"/>
        <v>1.3364485981308412</v>
      </c>
      <c r="J72" s="524"/>
      <c r="K72" s="504"/>
      <c r="L72" s="504"/>
      <c r="M72" s="504"/>
    </row>
    <row r="73" spans="1:13" customFormat="1" ht="12.75" collapsed="1" x14ac:dyDescent="0.2">
      <c r="A73" s="176"/>
      <c r="B73" s="213" t="s">
        <v>306</v>
      </c>
      <c r="C73" s="214">
        <f>SUM(C63:C72)</f>
        <v>4439.07</v>
      </c>
      <c r="D73" s="214">
        <f>SUM(D63:D72)</f>
        <v>1284.0719999999999</v>
      </c>
      <c r="E73" s="214">
        <f>SUM(E63:E72)</f>
        <v>1284</v>
      </c>
      <c r="F73" s="522">
        <f t="shared" si="2"/>
        <v>0.28924977529077039</v>
      </c>
      <c r="G73" s="214">
        <f ca="1">SUM(G63:G72)</f>
        <v>3000</v>
      </c>
      <c r="H73" s="228">
        <f ca="1">(+G73/E73)-1</f>
        <v>1.3364485981308412</v>
      </c>
      <c r="I73" s="321">
        <f t="shared" ca="1" si="4"/>
        <v>1.3364485981308412</v>
      </c>
      <c r="J73" s="524"/>
      <c r="K73" s="504"/>
      <c r="L73" s="504"/>
      <c r="M73" s="504"/>
    </row>
    <row r="74" spans="1:13" customFormat="1" ht="12.75" hidden="1" customHeight="1" outlineLevel="1" x14ac:dyDescent="0.2">
      <c r="A74" s="176"/>
      <c r="B74" s="212" t="s">
        <v>507</v>
      </c>
      <c r="C74" s="205"/>
      <c r="D74" s="205"/>
      <c r="E74" s="205"/>
      <c r="F74" s="321" t="str">
        <f t="shared" si="2"/>
        <v/>
      </c>
      <c r="G74" s="208"/>
      <c r="H74" s="204"/>
      <c r="I74" s="321" t="str">
        <f t="shared" si="4"/>
        <v/>
      </c>
      <c r="J74" s="524"/>
      <c r="K74" s="504"/>
      <c r="L74" s="504"/>
      <c r="M74" s="504"/>
    </row>
    <row r="75" spans="1:13" customFormat="1" ht="12.75" hidden="1" outlineLevel="1" x14ac:dyDescent="0.2">
      <c r="A75" s="176">
        <v>5110350200</v>
      </c>
      <c r="B75" s="207" t="s">
        <v>508</v>
      </c>
      <c r="C75" s="205">
        <f>IFERROR(VLOOKUP(A:A,'PPTO 2017'!A:D,3,0),0)</f>
        <v>0</v>
      </c>
      <c r="D75" s="205">
        <f>IFERROR(VLOOKUP(A:A,EJEC!A:G,5,0),0)</f>
        <v>0</v>
      </c>
      <c r="E75" s="205">
        <v>0</v>
      </c>
      <c r="F75" s="321" t="str">
        <f t="shared" si="2"/>
        <v/>
      </c>
      <c r="G75" s="226">
        <f>CONVENIOS!D62/1000</f>
        <v>0</v>
      </c>
      <c r="H75" s="204" t="e">
        <f>(+G75/E75)-1</f>
        <v>#DIV/0!</v>
      </c>
      <c r="I75" s="321" t="str">
        <f t="shared" si="4"/>
        <v/>
      </c>
      <c r="J75" s="524"/>
      <c r="K75" s="504"/>
      <c r="L75" s="504"/>
      <c r="M75" s="504"/>
    </row>
    <row r="76" spans="1:13" customFormat="1" ht="12.75" customHeight="1" collapsed="1" x14ac:dyDescent="0.2">
      <c r="A76" s="176"/>
      <c r="B76" s="213" t="s">
        <v>524</v>
      </c>
      <c r="C76" s="214">
        <f>+C75</f>
        <v>0</v>
      </c>
      <c r="D76" s="214">
        <f>+D75</f>
        <v>0</v>
      </c>
      <c r="E76" s="214">
        <f>+E75</f>
        <v>0</v>
      </c>
      <c r="F76" s="522" t="str">
        <f t="shared" si="2"/>
        <v/>
      </c>
      <c r="G76" s="214">
        <f>+G75</f>
        <v>0</v>
      </c>
      <c r="H76" s="204"/>
      <c r="I76" s="321" t="str">
        <f t="shared" si="4"/>
        <v/>
      </c>
      <c r="J76" s="524"/>
      <c r="K76" s="504"/>
      <c r="L76" s="504"/>
      <c r="M76" s="504"/>
    </row>
    <row r="77" spans="1:13" customFormat="1" ht="12.75" hidden="1" outlineLevel="1" x14ac:dyDescent="0.2">
      <c r="A77" s="176"/>
      <c r="B77" s="212" t="s">
        <v>44</v>
      </c>
      <c r="C77" s="205"/>
      <c r="D77" s="205"/>
      <c r="E77" s="205"/>
      <c r="F77" s="321" t="str">
        <f t="shared" si="2"/>
        <v/>
      </c>
      <c r="G77" s="208" t="s">
        <v>169</v>
      </c>
      <c r="H77" s="204" t="s">
        <v>169</v>
      </c>
      <c r="I77" s="321" t="str">
        <f t="shared" si="4"/>
        <v/>
      </c>
      <c r="J77" s="524"/>
      <c r="K77" s="504"/>
      <c r="L77" s="504"/>
      <c r="M77" s="504"/>
    </row>
    <row r="78" spans="1:13" customFormat="1" ht="12.75" hidden="1" outlineLevel="1" x14ac:dyDescent="0.2">
      <c r="A78" s="176"/>
      <c r="B78" s="212" t="s">
        <v>509</v>
      </c>
      <c r="C78" s="205"/>
      <c r="D78" s="205"/>
      <c r="E78" s="205"/>
      <c r="F78" s="321" t="str">
        <f t="shared" si="2"/>
        <v/>
      </c>
      <c r="G78" s="208"/>
      <c r="H78" s="204"/>
      <c r="I78" s="321" t="str">
        <f t="shared" ref="I78:I137" si="16">IF(G78=0,"",IF(E78=0,"",(G78/E78)-1))</f>
        <v/>
      </c>
      <c r="J78" s="524"/>
      <c r="K78" s="504"/>
      <c r="L78" s="504"/>
      <c r="M78" s="504"/>
    </row>
    <row r="79" spans="1:13" customFormat="1" ht="12.75" hidden="1" outlineLevel="1" x14ac:dyDescent="0.2">
      <c r="A79" s="3">
        <v>5115050000</v>
      </c>
      <c r="B79" s="207" t="s">
        <v>309</v>
      </c>
      <c r="C79" s="205">
        <f>IFERROR(VLOOKUP(A:A,'PPTO 2017'!A:D,3,0),0)</f>
        <v>0</v>
      </c>
      <c r="D79" s="205">
        <f>IFERROR(VLOOKUP(A:A,EJEC!A:G,5,0),0)</f>
        <v>0</v>
      </c>
      <c r="E79" s="205">
        <f t="shared" ref="E79:E83" si="17">+D79/8*12</f>
        <v>0</v>
      </c>
      <c r="F79" s="321" t="str">
        <f t="shared" si="2"/>
        <v/>
      </c>
      <c r="G79" s="225">
        <f t="shared" ref="G79:G83" si="18">+E79*$O$2</f>
        <v>0</v>
      </c>
      <c r="H79" s="204" t="e">
        <f t="shared" ref="H79:H140" si="19">(+G79/E79)-1</f>
        <v>#DIV/0!</v>
      </c>
      <c r="I79" s="321" t="str">
        <f t="shared" si="16"/>
        <v/>
      </c>
      <c r="J79" s="524"/>
      <c r="K79" s="504"/>
      <c r="L79" s="504"/>
      <c r="M79" s="504"/>
    </row>
    <row r="80" spans="1:13" customFormat="1" ht="12.75" hidden="1" outlineLevel="1" x14ac:dyDescent="0.2">
      <c r="A80" s="3">
        <v>5115150000</v>
      </c>
      <c r="B80" s="207" t="s">
        <v>310</v>
      </c>
      <c r="C80" s="205">
        <f>IFERROR(VLOOKUP(A:A,'PPTO 2017'!A:D,3,0),0)</f>
        <v>0</v>
      </c>
      <c r="D80" s="205">
        <f>IFERROR(VLOOKUP(A:A,EJEC!A:G,5,0),0)</f>
        <v>0</v>
      </c>
      <c r="E80" s="205">
        <f t="shared" si="17"/>
        <v>0</v>
      </c>
      <c r="F80" s="321" t="str">
        <f t="shared" ref="F80:F139" si="20">IF(E80=0,"",IF(C80=0,"",(E80/C80)))</f>
        <v/>
      </c>
      <c r="G80" s="225">
        <f t="shared" si="18"/>
        <v>0</v>
      </c>
      <c r="H80" s="204" t="e">
        <f t="shared" si="19"/>
        <v>#DIV/0!</v>
      </c>
      <c r="I80" s="321" t="str">
        <f t="shared" si="16"/>
        <v/>
      </c>
      <c r="J80" s="524"/>
      <c r="K80" s="504"/>
      <c r="L80" s="504"/>
      <c r="M80" s="504"/>
    </row>
    <row r="81" spans="1:13" customFormat="1" ht="12.75" hidden="1" outlineLevel="1" x14ac:dyDescent="0.2">
      <c r="A81" s="587">
        <v>5115250000</v>
      </c>
      <c r="B81" s="207" t="s">
        <v>688</v>
      </c>
      <c r="C81" s="205">
        <f>IFERROR(VLOOKUP(A:A,'PPTO 2017'!A:D,3,0),0)</f>
        <v>0</v>
      </c>
      <c r="D81" s="205">
        <f>IFERROR(VLOOKUP(A:A,EJEC!A:G,5,0),0)</f>
        <v>0</v>
      </c>
      <c r="E81" s="205">
        <f t="shared" si="17"/>
        <v>0</v>
      </c>
      <c r="F81" s="321" t="str">
        <f>IF(E81=0,"",IF(C81=0,"",(E81/C81)))</f>
        <v/>
      </c>
      <c r="G81" s="225">
        <f t="shared" si="18"/>
        <v>0</v>
      </c>
      <c r="H81" s="204" t="e">
        <f>(+G81/E81)-1</f>
        <v>#DIV/0!</v>
      </c>
      <c r="I81" s="321" t="str">
        <f>IF(G81=0,"",IF(E81=0,"",(G81/E81)-1))</f>
        <v/>
      </c>
      <c r="J81" s="524"/>
      <c r="K81" s="504"/>
      <c r="L81" s="504"/>
      <c r="M81" s="504"/>
    </row>
    <row r="82" spans="1:13" customFormat="1" ht="12.75" hidden="1" outlineLevel="1" x14ac:dyDescent="0.2">
      <c r="A82" s="3">
        <v>5115950200</v>
      </c>
      <c r="B82" s="207" t="s">
        <v>311</v>
      </c>
      <c r="C82" s="205">
        <f>IFERROR(VLOOKUP(A:A,'PPTO 2017'!A:D,3,0),0)</f>
        <v>0</v>
      </c>
      <c r="D82" s="205">
        <f>IFERROR(VLOOKUP(A:A,EJEC!A:G,5,0),0)</f>
        <v>0</v>
      </c>
      <c r="E82" s="205">
        <f t="shared" si="17"/>
        <v>0</v>
      </c>
      <c r="F82" s="321" t="str">
        <f t="shared" si="20"/>
        <v/>
      </c>
      <c r="G82" s="225">
        <f t="shared" si="18"/>
        <v>0</v>
      </c>
      <c r="H82" s="204" t="e">
        <f t="shared" si="19"/>
        <v>#DIV/0!</v>
      </c>
      <c r="I82" s="321" t="str">
        <f t="shared" si="16"/>
        <v/>
      </c>
      <c r="J82" s="524"/>
      <c r="K82" s="504"/>
      <c r="L82" s="504"/>
      <c r="M82" s="504"/>
    </row>
    <row r="83" spans="1:13" customFormat="1" ht="12.75" hidden="1" outlineLevel="1" x14ac:dyDescent="0.2">
      <c r="A83" s="587">
        <v>5115950500</v>
      </c>
      <c r="B83" s="207" t="s">
        <v>689</v>
      </c>
      <c r="C83" s="205">
        <f>IFERROR(VLOOKUP(A:A,'PPTO 2017'!A:D,3,0),0)</f>
        <v>0</v>
      </c>
      <c r="D83" s="205">
        <f>IFERROR(VLOOKUP(A:A,EJEC!A:G,5,0),0)</f>
        <v>0</v>
      </c>
      <c r="E83" s="205">
        <f t="shared" si="17"/>
        <v>0</v>
      </c>
      <c r="F83" s="321" t="str">
        <f>IF(E83=0,"",IF(C83=0,"",(E83/C83)))</f>
        <v/>
      </c>
      <c r="G83" s="225">
        <f t="shared" si="18"/>
        <v>0</v>
      </c>
      <c r="H83" s="204" t="e">
        <f>(+G83/E83)-1</f>
        <v>#DIV/0!</v>
      </c>
      <c r="I83" s="321" t="str">
        <f>IF(G83=0,"",IF(E83=0,"",(G83/E83)-1))</f>
        <v/>
      </c>
      <c r="J83" s="524"/>
      <c r="K83" s="504"/>
      <c r="L83" s="504"/>
      <c r="M83" s="504"/>
    </row>
    <row r="84" spans="1:13" customFormat="1" ht="12.75" hidden="1" outlineLevel="1" x14ac:dyDescent="0.2">
      <c r="A84" s="3"/>
      <c r="B84" s="212" t="s">
        <v>446</v>
      </c>
      <c r="C84" s="205"/>
      <c r="D84" s="205"/>
      <c r="E84" s="205"/>
      <c r="F84" s="321" t="str">
        <f t="shared" si="20"/>
        <v/>
      </c>
      <c r="G84" s="225"/>
      <c r="H84" s="204"/>
      <c r="I84" s="321" t="str">
        <f t="shared" si="16"/>
        <v/>
      </c>
      <c r="J84" s="524"/>
      <c r="K84" s="504"/>
      <c r="L84" s="504"/>
      <c r="M84" s="504"/>
    </row>
    <row r="85" spans="1:13" customFormat="1" ht="12.75" hidden="1" outlineLevel="1" x14ac:dyDescent="0.2">
      <c r="A85" s="3">
        <v>5120100000</v>
      </c>
      <c r="B85" s="207" t="s">
        <v>714</v>
      </c>
      <c r="C85" s="205">
        <f>IFERROR(VLOOKUP(A:A,'PPTO 2017'!A:D,3,0),0)</f>
        <v>0</v>
      </c>
      <c r="D85" s="205">
        <f>IFERROR(VLOOKUP(A:A,EJEC!A:G,5,0),0)</f>
        <v>0</v>
      </c>
      <c r="E85" s="205">
        <f t="shared" ref="E85:E87" si="21">+D85/8*12</f>
        <v>0</v>
      </c>
      <c r="F85" s="321" t="str">
        <f t="shared" si="20"/>
        <v/>
      </c>
      <c r="G85" s="226">
        <f ca="1">(SUMIF(HONORARIOS!$B$27:$B$129,A85,HONORARIOS!$G$27:$G$129)+SUMIF(ASESOR.Y.CONSULT.!$A$7:$A$25,PRESUPUESTO!A85,ASESOR.Y.CONSULT.!$N$7:$N$25)+SUMIF('PROY INVEST.'!$A$5:$A$26,PRESUPUESTO!A85,'PROY INVEST.'!$N$5:$N$26)+SUMIF(P.PROY.SOCIAL!$A$5:$A$28,PRESUPUESTO!A85,P.PROY.SOCIAL!$N$5:$N$28)+SUMIF(GEST.REC.HUM.!$A$6:$A$39,PRESUPUESTO!A85,GEST.REC.HUM.!$M$6:$M$39)+SUMIF('OTRAS ACTIV.'!$A$6:$A$39,PRESUPUESTO!A85,'OTRAS ACTIV.'!$N$6:$N$39)+SUMIF('ADICIONALES PD'!A$6:$A23,PRESUPUESTO!A85,'ADICIONALES PD'!$N$6:$N$23)+SUMIF(SALIDAS!$A$6:$A$19,PRESUPUESTO!A85,SALIDAS!$AE$6:$AE$19)+SUMIF(BIBLIOTECA!$A$7:$A$41,PRESUPUESTO!A85,BIBLIOTECA!$F$5:$F$41)+SUMIF(AFILIACIONES!$A$5:$A$25,PRESUPUESTO!A85,AFILIACIONES!$E$5:$E$25)+SUMIF(IMPRESOS.PUBLIC!$A$7:$A$34,PRESUPUESTO!A85,IMPRESOS.PUBLIC!$D$7:$D$34)+SUMIF(MANTEN.EQUIP.!$A$7:$A$27,PRESUPUESTO!A85,MANTEN.EQUIP.!$D$8:$D$27)+SUMIF(INVER.EQUIPO.COMP!$A$7:$A$37,PRESUPUESTO!A85,INVER.EQUIPO.COMP!$E$8:$E$37)+SUMIF(INVER.OTROS.EQUIPOS!$A$7:$A$37,PRESUPUESTO!A85,INVER.OTROS.EQUIPOS!$E$7:$E$37)+SUMIF(INVER.MUEBLES!$A$7:$A$35,PRESUPUESTO!A85,INVER.MUEBLES!$E$7:$E$35)+SUMIF(ADECUAC.LOCATIVAS!$A$7:$A$29,PRESUPUESTO!A85,ADECUAC.LOCATIVAS!$E$7:$E$29))/1000</f>
        <v>0</v>
      </c>
      <c r="H85" s="204" t="e">
        <f t="shared" ca="1" si="19"/>
        <v>#DIV/0!</v>
      </c>
      <c r="I85" s="321" t="str">
        <f t="shared" ca="1" si="16"/>
        <v/>
      </c>
      <c r="J85" s="524"/>
      <c r="K85" s="504"/>
      <c r="L85" s="504"/>
      <c r="M85" s="504"/>
    </row>
    <row r="86" spans="1:13" customFormat="1" ht="12.75" hidden="1" outlineLevel="1" x14ac:dyDescent="0.2">
      <c r="A86" s="3">
        <v>5120250000</v>
      </c>
      <c r="B86" s="207" t="s">
        <v>312</v>
      </c>
      <c r="C86" s="205">
        <f>IFERROR(VLOOKUP(A:A,'PPTO 2017'!A:D,3,0),0)</f>
        <v>0</v>
      </c>
      <c r="D86" s="205">
        <f>IFERROR(VLOOKUP(A:A,EJEC!A:G,5,0),0)</f>
        <v>0</v>
      </c>
      <c r="E86" s="205">
        <f t="shared" si="21"/>
        <v>0</v>
      </c>
      <c r="F86" s="321" t="str">
        <f t="shared" si="20"/>
        <v/>
      </c>
      <c r="G86" s="225">
        <f t="shared" ref="G86:G88" si="22">+E86*$O$2</f>
        <v>0</v>
      </c>
      <c r="H86" s="204" t="e">
        <f t="shared" si="19"/>
        <v>#DIV/0!</v>
      </c>
      <c r="I86" s="321" t="str">
        <f t="shared" si="16"/>
        <v/>
      </c>
      <c r="J86" s="524"/>
      <c r="K86" s="504"/>
      <c r="L86" s="504"/>
      <c r="M86" s="504"/>
    </row>
    <row r="87" spans="1:13" customFormat="1" ht="12.75" hidden="1" outlineLevel="1" x14ac:dyDescent="0.2">
      <c r="A87" s="3">
        <v>5120300000</v>
      </c>
      <c r="B87" s="207" t="s">
        <v>313</v>
      </c>
      <c r="C87" s="205">
        <f>IFERROR(VLOOKUP(A:A,'PPTO 2017'!A:D,3,0),0)</f>
        <v>0</v>
      </c>
      <c r="D87" s="205">
        <f>IFERROR(VLOOKUP(A:A,EJEC!A:G,5,0),0)</f>
        <v>0</v>
      </c>
      <c r="E87" s="205">
        <f t="shared" si="21"/>
        <v>0</v>
      </c>
      <c r="F87" s="321" t="str">
        <f t="shared" si="20"/>
        <v/>
      </c>
      <c r="G87" s="225">
        <f t="shared" si="22"/>
        <v>0</v>
      </c>
      <c r="H87" s="204" t="e">
        <f t="shared" si="19"/>
        <v>#DIV/0!</v>
      </c>
      <c r="I87" s="321" t="str">
        <f t="shared" si="16"/>
        <v/>
      </c>
      <c r="J87" s="524"/>
      <c r="K87" s="504"/>
      <c r="L87" s="504"/>
      <c r="M87" s="504"/>
    </row>
    <row r="88" spans="1:13" customFormat="1" ht="12.75" hidden="1" outlineLevel="1" x14ac:dyDescent="0.2">
      <c r="A88" s="3">
        <v>5120950000</v>
      </c>
      <c r="B88" s="207" t="s">
        <v>45</v>
      </c>
      <c r="C88" s="205">
        <f>IFERROR(VLOOKUP(A:A,'PPTO 2017'!A:D,3,0),0)</f>
        <v>2291.94</v>
      </c>
      <c r="D88" s="205">
        <f>IFERROR(VLOOKUP(A:A,EJEC!A:G,5,0),0)</f>
        <v>0</v>
      </c>
      <c r="E88" s="205">
        <v>1650</v>
      </c>
      <c r="F88" s="321">
        <f t="shared" si="20"/>
        <v>0.71991413387785019</v>
      </c>
      <c r="G88" s="225">
        <f t="shared" si="22"/>
        <v>1732.5</v>
      </c>
      <c r="H88" s="204">
        <f t="shared" si="19"/>
        <v>5.0000000000000044E-2</v>
      </c>
      <c r="I88" s="321">
        <f t="shared" si="16"/>
        <v>5.0000000000000044E-2</v>
      </c>
      <c r="J88" s="524"/>
      <c r="K88" s="504"/>
      <c r="L88" s="504"/>
      <c r="M88" s="504"/>
    </row>
    <row r="89" spans="1:13" customFormat="1" ht="12.75" hidden="1" outlineLevel="1" x14ac:dyDescent="0.2">
      <c r="A89" s="3"/>
      <c r="B89" s="212" t="s">
        <v>510</v>
      </c>
      <c r="C89" s="205"/>
      <c r="D89" s="205"/>
      <c r="E89" s="205"/>
      <c r="F89" s="321" t="str">
        <f t="shared" si="20"/>
        <v/>
      </c>
      <c r="G89" s="225" t="s">
        <v>169</v>
      </c>
      <c r="H89" s="204"/>
      <c r="I89" s="321" t="str">
        <f t="shared" si="16"/>
        <v/>
      </c>
      <c r="J89" s="524"/>
      <c r="K89" s="504"/>
      <c r="L89" s="504"/>
      <c r="M89" s="504"/>
    </row>
    <row r="90" spans="1:13" customFormat="1" ht="12.75" hidden="1" outlineLevel="1" x14ac:dyDescent="0.2">
      <c r="A90" s="3">
        <v>5125100000</v>
      </c>
      <c r="B90" s="207" t="s">
        <v>46</v>
      </c>
      <c r="C90" s="205">
        <f>IFERROR(VLOOKUP(A:A,'PPTO 2017'!A:D,3,0),0)</f>
        <v>10400</v>
      </c>
      <c r="D90" s="205">
        <f>IFERROR(VLOOKUP(A:A,EJEC!A:G,5,0),0)</f>
        <v>7553.5240000000003</v>
      </c>
      <c r="E90" s="205">
        <v>9554</v>
      </c>
      <c r="F90" s="321">
        <f t="shared" si="20"/>
        <v>0.91865384615384615</v>
      </c>
      <c r="G90" s="226">
        <f ca="1">(SUMIF(HONORARIOS!$B$27:$B$129,A90,HONORARIOS!$G$27:$G$129)+SUMIF(ASESOR.Y.CONSULT.!$A$7:$A$25,PRESUPUESTO!A90,ASESOR.Y.CONSULT.!$N$7:$N$25)+SUMIF('PROY INVEST.'!$A$5:$A$26,PRESUPUESTO!A90,'PROY INVEST.'!$N$5:$N$26)+SUMIF(P.PROY.SOCIAL!$A$5:$A$28,PRESUPUESTO!A90,P.PROY.SOCIAL!$N$5:$N$28)+SUMIF(GEST.REC.HUM.!$A$6:$A$39,PRESUPUESTO!A90,GEST.REC.HUM.!$M$6:$M$39)+SUMIF('OTRAS ACTIV.'!$A$6:$A$39,PRESUPUESTO!A90,'OTRAS ACTIV.'!$N$6:$N$39)+SUMIF('ADICIONALES PD'!A$6:$A23,PRESUPUESTO!A90,'ADICIONALES PD'!$N$6:$N$23)+SUMIF(SALIDAS!$A$6:$A$19,PRESUPUESTO!A90,SALIDAS!$AE$6:$AE$19)+SUMIF(BIBLIOTECA!$A$7:$A$41,PRESUPUESTO!A90,BIBLIOTECA!$F$5:$F$41)+SUMIF(AFILIACIONES!$A$5:$A$25,PRESUPUESTO!A90,AFILIACIONES!$E$5:$E$25)+SUMIF(IMPRESOS.PUBLIC!$A$7:$A$34,PRESUPUESTO!A90,IMPRESOS.PUBLIC!$D$7:$D$34)+SUMIF(MANTEN.EQUIP.!$A$7:$A$27,PRESUPUESTO!A90,MANTEN.EQUIP.!$D$8:$D$27)+SUMIF(INVER.EQUIPO.COMP!$A$7:$A$37,PRESUPUESTO!A90,INVER.EQUIPO.COMP!$E$8:$E$37)+SUMIF(INVER.OTROS.EQUIPOS!$A$7:$A$37,PRESUPUESTO!A90,INVER.OTROS.EQUIPOS!$E$7:$E$37)+SUMIF(INVER.MUEBLES!$A$7:$A$35,PRESUPUESTO!A90,INVER.MUEBLES!$E$7:$E$35)+SUMIF(ADECUAC.LOCATIVAS!$A$7:$A$29,PRESUPUESTO!A90,ADECUAC.LOCATIVAS!$E$7:$E$29))/1000</f>
        <v>7500</v>
      </c>
      <c r="H90" s="204">
        <f t="shared" ca="1" si="19"/>
        <v>-0.214988486497802</v>
      </c>
      <c r="I90" s="321">
        <f t="shared" ca="1" si="16"/>
        <v>-0.214988486497802</v>
      </c>
      <c r="J90" s="524"/>
      <c r="K90" s="504"/>
      <c r="L90" s="504"/>
      <c r="M90" s="504"/>
    </row>
    <row r="91" spans="1:13" customFormat="1" ht="12.75" hidden="1" outlineLevel="1" x14ac:dyDescent="0.2">
      <c r="A91" s="3"/>
      <c r="B91" s="212" t="s">
        <v>511</v>
      </c>
      <c r="C91" s="205"/>
      <c r="D91" s="205"/>
      <c r="E91" s="205"/>
      <c r="F91" s="321" t="str">
        <f t="shared" si="20"/>
        <v/>
      </c>
      <c r="G91" s="225" t="s">
        <v>169</v>
      </c>
      <c r="H91" s="204"/>
      <c r="I91" s="321" t="str">
        <f t="shared" si="16"/>
        <v/>
      </c>
      <c r="J91" s="524"/>
      <c r="K91" s="504"/>
      <c r="L91" s="504"/>
      <c r="M91" s="504"/>
    </row>
    <row r="92" spans="1:13" customFormat="1" ht="12.75" hidden="1" outlineLevel="1" x14ac:dyDescent="0.2">
      <c r="A92" s="3">
        <v>5130100000</v>
      </c>
      <c r="B92" s="207" t="s">
        <v>47</v>
      </c>
      <c r="C92" s="205">
        <f>IFERROR(VLOOKUP(A:A,'PPTO 2017'!A:D,3,0),0)</f>
        <v>0</v>
      </c>
      <c r="D92" s="205">
        <f>IFERROR(VLOOKUP(A:A,EJEC!A:G,5,0),0)</f>
        <v>0</v>
      </c>
      <c r="E92" s="205">
        <f t="shared" ref="E92:E96" si="23">+D92/8*12</f>
        <v>0</v>
      </c>
      <c r="F92" s="321" t="str">
        <f t="shared" si="20"/>
        <v/>
      </c>
      <c r="G92" s="226">
        <f ca="1">(SUMIF(HONORARIOS!$B$27:$B$129,A92,HONORARIOS!$G$27:$G$129)+SUMIF(ASESOR.Y.CONSULT.!$A$7:$A$25,PRESUPUESTO!A92,ASESOR.Y.CONSULT.!$N$7:$N$25)+SUMIF('PROY INVEST.'!$A$5:$A$26,PRESUPUESTO!A92,'PROY INVEST.'!$N$5:$N$26)+SUMIF(P.PROY.SOCIAL!$A$5:$A$28,PRESUPUESTO!A92,P.PROY.SOCIAL!$N$5:$N$28)+SUMIF(GEST.REC.HUM.!$A$6:$A$39,PRESUPUESTO!A92,GEST.REC.HUM.!$M$6:$M$39)+SUMIF('OTRAS ACTIV.'!$A$6:$A$39,PRESUPUESTO!A92,'OTRAS ACTIV.'!$N$6:$N$39)+SUMIF('ADICIONALES PD'!A$6:$A23,PRESUPUESTO!A92,'ADICIONALES PD'!$N$6:$N$23)+SUMIF(SALIDAS!$A$6:$A$19,PRESUPUESTO!A92,SALIDAS!$AE$6:$AE$19)+SUMIF(BIBLIOTECA!$A$7:$A$41,PRESUPUESTO!A92,BIBLIOTECA!$F$5:$F$41)+SUMIF(AFILIACIONES!$A$5:$A$25,PRESUPUESTO!A92,AFILIACIONES!$E$5:$E$25)+SUMIF(IMPRESOS.PUBLIC!$A$7:$A$34,PRESUPUESTO!A92,IMPRESOS.PUBLIC!$D$7:$D$34)+SUMIF(MANTEN.EQUIP.!$A$7:$A$27,PRESUPUESTO!A92,MANTEN.EQUIP.!$D$8:$D$27)+SUMIF(INVER.EQUIPO.COMP!$A$7:$A$37,PRESUPUESTO!A92,INVER.EQUIPO.COMP!$E$8:$E$37)+SUMIF(INVER.OTROS.EQUIPOS!$A$7:$A$37,PRESUPUESTO!A92,INVER.OTROS.EQUIPOS!$E$7:$E$37)+SUMIF(INVER.MUEBLES!$A$7:$A$35,PRESUPUESTO!A92,INVER.MUEBLES!$E$7:$E$35)+SUMIF(ADECUAC.LOCATIVAS!$A$7:$A$29,PRESUPUESTO!A92,ADECUAC.LOCATIVAS!$E$7:$E$29))/1000</f>
        <v>0</v>
      </c>
      <c r="H92" s="204" t="e">
        <f t="shared" ca="1" si="19"/>
        <v>#DIV/0!</v>
      </c>
      <c r="I92" s="321" t="str">
        <f t="shared" ca="1" si="16"/>
        <v/>
      </c>
      <c r="J92" s="524"/>
      <c r="K92" s="504"/>
      <c r="L92" s="504"/>
      <c r="M92" s="504"/>
    </row>
    <row r="93" spans="1:13" customFormat="1" ht="12.75" hidden="1" outlineLevel="1" x14ac:dyDescent="0.2">
      <c r="A93" s="3">
        <v>5130600000</v>
      </c>
      <c r="B93" s="207" t="s">
        <v>48</v>
      </c>
      <c r="C93" s="205">
        <f>IFERROR(VLOOKUP(A:A,'PPTO 2017'!A:D,3,0),0)</f>
        <v>0</v>
      </c>
      <c r="D93" s="205">
        <f>IFERROR(VLOOKUP(A:A,EJEC!A:G,5,0),0)</f>
        <v>0</v>
      </c>
      <c r="E93" s="205">
        <f t="shared" si="23"/>
        <v>0</v>
      </c>
      <c r="F93" s="321" t="str">
        <f t="shared" si="20"/>
        <v/>
      </c>
      <c r="G93" s="225">
        <f t="shared" ref="G93:G94" si="24">+E93*$O$2</f>
        <v>0</v>
      </c>
      <c r="H93" s="204" t="e">
        <f t="shared" si="19"/>
        <v>#DIV/0!</v>
      </c>
      <c r="I93" s="321" t="str">
        <f t="shared" si="16"/>
        <v/>
      </c>
      <c r="J93" s="524"/>
      <c r="K93" s="504"/>
      <c r="L93" s="504"/>
      <c r="M93" s="504"/>
    </row>
    <row r="94" spans="1:13" customFormat="1" ht="12.75" hidden="1" outlineLevel="1" x14ac:dyDescent="0.2">
      <c r="A94" s="3">
        <v>5130950200</v>
      </c>
      <c r="B94" s="207" t="s">
        <v>314</v>
      </c>
      <c r="C94" s="205">
        <f>IFERROR(VLOOKUP(A:A,'PPTO 2017'!A:D,3,0),0)</f>
        <v>0</v>
      </c>
      <c r="D94" s="205">
        <f>IFERROR(VLOOKUP(A:A,EJEC!A:G,5,0),0)</f>
        <v>0</v>
      </c>
      <c r="E94" s="205">
        <f t="shared" si="23"/>
        <v>0</v>
      </c>
      <c r="F94" s="321" t="str">
        <f t="shared" si="20"/>
        <v/>
      </c>
      <c r="G94" s="225">
        <f t="shared" si="24"/>
        <v>0</v>
      </c>
      <c r="H94" s="204" t="e">
        <f t="shared" si="19"/>
        <v>#DIV/0!</v>
      </c>
      <c r="I94" s="321" t="str">
        <f t="shared" si="16"/>
        <v/>
      </c>
      <c r="J94" s="524"/>
      <c r="K94" s="504"/>
      <c r="L94" s="504"/>
      <c r="M94" s="504"/>
    </row>
    <row r="95" spans="1:13" customFormat="1" ht="12.75" hidden="1" outlineLevel="1" x14ac:dyDescent="0.2">
      <c r="A95" s="3">
        <v>5130950300</v>
      </c>
      <c r="B95" s="207" t="s">
        <v>49</v>
      </c>
      <c r="C95" s="205">
        <f>IFERROR(VLOOKUP(A:A,'PPTO 2017'!A:D,3,0),0)</f>
        <v>3856.7172159462539</v>
      </c>
      <c r="D95" s="205">
        <f>IFERROR(VLOOKUP(A:A,EJEC!A:G,5,0),0)</f>
        <v>2524.4160000000002</v>
      </c>
      <c r="E95" s="205">
        <f t="shared" si="23"/>
        <v>3786.6240000000003</v>
      </c>
      <c r="F95" s="321">
        <f t="shared" si="20"/>
        <v>0.98182567919254193</v>
      </c>
      <c r="G95" s="315">
        <v>2864</v>
      </c>
      <c r="H95" s="204">
        <f t="shared" si="19"/>
        <v>-0.24365344961633373</v>
      </c>
      <c r="I95" s="321">
        <f t="shared" si="16"/>
        <v>-0.24365344961633373</v>
      </c>
      <c r="J95" s="524"/>
      <c r="K95" s="504"/>
      <c r="L95" s="504"/>
      <c r="M95" s="504"/>
    </row>
    <row r="96" spans="1:13" customFormat="1" ht="12.75" hidden="1" outlineLevel="1" x14ac:dyDescent="0.2">
      <c r="A96" s="587">
        <v>5130950400</v>
      </c>
      <c r="B96" s="207" t="s">
        <v>690</v>
      </c>
      <c r="C96" s="205">
        <f>IFERROR(VLOOKUP(A:A,'PPTO 2017'!A:D,3,0),0)</f>
        <v>0</v>
      </c>
      <c r="D96" s="205">
        <f>IFERROR(VLOOKUP(A:A,EJEC!A:G,5,0),0)</f>
        <v>0</v>
      </c>
      <c r="E96" s="205">
        <f t="shared" si="23"/>
        <v>0</v>
      </c>
      <c r="F96" s="321" t="str">
        <f>IF(E96=0,"",IF(C96=0,"",(E96/C96)))</f>
        <v/>
      </c>
      <c r="G96" s="586">
        <f>+E96*$O$2</f>
        <v>0</v>
      </c>
      <c r="H96" s="204" t="e">
        <f>(+G96/E96)-1</f>
        <v>#DIV/0!</v>
      </c>
      <c r="I96" s="321" t="str">
        <f>IF(G96=0,"",IF(E96=0,"",(G96/E96)-1))</f>
        <v/>
      </c>
      <c r="J96" s="524"/>
      <c r="K96" s="504"/>
      <c r="L96" s="504"/>
      <c r="M96" s="504"/>
    </row>
    <row r="97" spans="1:13" customFormat="1" ht="12.75" hidden="1" outlineLevel="1" x14ac:dyDescent="0.2">
      <c r="A97" s="3"/>
      <c r="B97" s="212" t="s">
        <v>512</v>
      </c>
      <c r="C97" s="205"/>
      <c r="D97" s="205"/>
      <c r="E97" s="205"/>
      <c r="F97" s="321" t="str">
        <f t="shared" si="20"/>
        <v/>
      </c>
      <c r="G97" s="225" t="s">
        <v>169</v>
      </c>
      <c r="H97" s="204"/>
      <c r="I97" s="321" t="str">
        <f t="shared" si="16"/>
        <v/>
      </c>
      <c r="J97" s="524"/>
      <c r="K97" s="504"/>
      <c r="L97" s="504"/>
      <c r="M97" s="504"/>
    </row>
    <row r="98" spans="1:13" customFormat="1" ht="12.75" hidden="1" outlineLevel="1" x14ac:dyDescent="0.2">
      <c r="A98" s="3">
        <v>5135050100</v>
      </c>
      <c r="B98" s="207" t="s">
        <v>315</v>
      </c>
      <c r="C98" s="205">
        <f>IFERROR(VLOOKUP(A:A,'PPTO 2017'!A:D,3,0),0)</f>
        <v>0</v>
      </c>
      <c r="D98" s="205">
        <f>IFERROR(VLOOKUP(A:A,EJEC!A:G,5,0),0)</f>
        <v>0</v>
      </c>
      <c r="E98" s="205">
        <f t="shared" ref="E98:E124" si="25">+D98/8*12</f>
        <v>0</v>
      </c>
      <c r="F98" s="321" t="str">
        <f t="shared" si="20"/>
        <v/>
      </c>
      <c r="G98" s="225">
        <f t="shared" ref="G98:G103" si="26">+E98*$O$2</f>
        <v>0</v>
      </c>
      <c r="H98" s="204" t="e">
        <f t="shared" si="19"/>
        <v>#DIV/0!</v>
      </c>
      <c r="I98" s="321" t="str">
        <f t="shared" si="16"/>
        <v/>
      </c>
      <c r="J98" s="524"/>
      <c r="K98" s="504"/>
      <c r="L98" s="504"/>
      <c r="M98" s="504"/>
    </row>
    <row r="99" spans="1:13" customFormat="1" ht="12.75" hidden="1" outlineLevel="1" x14ac:dyDescent="0.2">
      <c r="A99" s="3">
        <v>5135050200</v>
      </c>
      <c r="B99" s="207" t="s">
        <v>316</v>
      </c>
      <c r="C99" s="205">
        <f>IFERROR(VLOOKUP(A:A,'PPTO 2017'!A:D,3,0),0)</f>
        <v>0</v>
      </c>
      <c r="D99" s="205">
        <f>IFERROR(VLOOKUP(A:A,EJEC!A:G,5,0),0)</f>
        <v>0</v>
      </c>
      <c r="E99" s="205">
        <f t="shared" si="25"/>
        <v>0</v>
      </c>
      <c r="F99" s="321" t="str">
        <f t="shared" si="20"/>
        <v/>
      </c>
      <c r="G99" s="225">
        <f t="shared" si="26"/>
        <v>0</v>
      </c>
      <c r="H99" s="204" t="e">
        <f t="shared" si="19"/>
        <v>#DIV/0!</v>
      </c>
      <c r="I99" s="321" t="str">
        <f t="shared" si="16"/>
        <v/>
      </c>
      <c r="J99" s="524"/>
      <c r="K99" s="504"/>
      <c r="L99" s="504"/>
      <c r="M99" s="504"/>
    </row>
    <row r="100" spans="1:13" customFormat="1" ht="12.75" hidden="1" outlineLevel="1" x14ac:dyDescent="0.2">
      <c r="A100" s="3">
        <v>5135150000</v>
      </c>
      <c r="B100" s="207" t="s">
        <v>317</v>
      </c>
      <c r="C100" s="205">
        <f>IFERROR(VLOOKUP(A:A,'PPTO 2017'!A:D,3,0),0)</f>
        <v>0</v>
      </c>
      <c r="D100" s="205">
        <f>IFERROR(VLOOKUP(A:A,EJEC!A:G,5,0),0)</f>
        <v>0</v>
      </c>
      <c r="E100" s="205">
        <f t="shared" si="25"/>
        <v>0</v>
      </c>
      <c r="F100" s="321" t="str">
        <f t="shared" si="20"/>
        <v/>
      </c>
      <c r="G100" s="225">
        <f t="shared" si="26"/>
        <v>0</v>
      </c>
      <c r="H100" s="204" t="e">
        <f t="shared" si="19"/>
        <v>#DIV/0!</v>
      </c>
      <c r="I100" s="321" t="str">
        <f t="shared" si="16"/>
        <v/>
      </c>
      <c r="J100" s="524"/>
      <c r="K100" s="504"/>
      <c r="L100" s="504"/>
      <c r="M100" s="504"/>
    </row>
    <row r="101" spans="1:13" customFormat="1" ht="12.75" hidden="1" outlineLevel="1" x14ac:dyDescent="0.2">
      <c r="A101" s="3">
        <v>5135250000</v>
      </c>
      <c r="B101" s="207" t="s">
        <v>318</v>
      </c>
      <c r="C101" s="205">
        <f>IFERROR(VLOOKUP(A:A,'PPTO 2017'!A:D,3,0),0)</f>
        <v>0</v>
      </c>
      <c r="D101" s="205">
        <f>IFERROR(VLOOKUP(A:A,EJEC!A:G,5,0),0)</f>
        <v>0</v>
      </c>
      <c r="E101" s="205">
        <f t="shared" si="25"/>
        <v>0</v>
      </c>
      <c r="F101" s="321" t="str">
        <f t="shared" si="20"/>
        <v/>
      </c>
      <c r="G101" s="225">
        <f t="shared" si="26"/>
        <v>0</v>
      </c>
      <c r="H101" s="204" t="e">
        <f t="shared" si="19"/>
        <v>#DIV/0!</v>
      </c>
      <c r="I101" s="321" t="str">
        <f t="shared" si="16"/>
        <v/>
      </c>
      <c r="J101" s="524"/>
      <c r="K101" s="504"/>
      <c r="L101" s="504"/>
      <c r="M101" s="504"/>
    </row>
    <row r="102" spans="1:13" customFormat="1" ht="12.75" hidden="1" outlineLevel="1" x14ac:dyDescent="0.2">
      <c r="A102" s="3">
        <v>5135300000</v>
      </c>
      <c r="B102" s="207" t="s">
        <v>319</v>
      </c>
      <c r="C102" s="205">
        <f>IFERROR(VLOOKUP(A:A,'PPTO 2017'!A:D,3,0),0)</f>
        <v>0</v>
      </c>
      <c r="D102" s="205">
        <f>IFERROR(VLOOKUP(A:A,EJEC!A:G,5,0),0)</f>
        <v>0</v>
      </c>
      <c r="E102" s="205">
        <f t="shared" si="25"/>
        <v>0</v>
      </c>
      <c r="F102" s="321" t="str">
        <f t="shared" si="20"/>
        <v/>
      </c>
      <c r="G102" s="225">
        <f t="shared" si="26"/>
        <v>0</v>
      </c>
      <c r="H102" s="204" t="e">
        <f t="shared" si="19"/>
        <v>#DIV/0!</v>
      </c>
      <c r="I102" s="321" t="str">
        <f t="shared" si="16"/>
        <v/>
      </c>
      <c r="J102" s="524"/>
      <c r="K102" s="504"/>
      <c r="L102" s="504"/>
      <c r="M102" s="504"/>
    </row>
    <row r="103" spans="1:13" customFormat="1" ht="12.75" hidden="1" outlineLevel="1" x14ac:dyDescent="0.2">
      <c r="A103" s="3">
        <v>5135350000</v>
      </c>
      <c r="B103" s="207" t="s">
        <v>50</v>
      </c>
      <c r="C103" s="205">
        <f>IFERROR(VLOOKUP(A:A,'PPTO 2017'!A:D,3,0),0)</f>
        <v>0</v>
      </c>
      <c r="D103" s="205">
        <f>IFERROR(VLOOKUP(A:A,EJEC!A:G,5,0),0)</f>
        <v>0</v>
      </c>
      <c r="E103" s="205">
        <f t="shared" si="25"/>
        <v>0</v>
      </c>
      <c r="F103" s="321" t="str">
        <f t="shared" si="20"/>
        <v/>
      </c>
      <c r="G103" s="225">
        <f t="shared" si="26"/>
        <v>0</v>
      </c>
      <c r="H103" s="204" t="e">
        <f t="shared" si="19"/>
        <v>#DIV/0!</v>
      </c>
      <c r="I103" s="321" t="str">
        <f t="shared" si="16"/>
        <v/>
      </c>
      <c r="J103" s="524"/>
      <c r="K103" s="504"/>
      <c r="L103" s="504"/>
      <c r="M103" s="504"/>
    </row>
    <row r="104" spans="1:13" customFormat="1" ht="12.75" hidden="1" outlineLevel="1" x14ac:dyDescent="0.2">
      <c r="A104" s="3">
        <v>5135400000</v>
      </c>
      <c r="B104" s="207" t="s">
        <v>51</v>
      </c>
      <c r="C104" s="205">
        <f>IFERROR(VLOOKUP(A:A,'PPTO 2017'!A:D,3,0),0)</f>
        <v>1057.1600000000001</v>
      </c>
      <c r="D104" s="205">
        <f>IFERROR(VLOOKUP(A:A,EJEC!A:G,5,0),0)</f>
        <v>17.213000000000001</v>
      </c>
      <c r="E104" s="205">
        <v>226</v>
      </c>
      <c r="F104" s="321">
        <f t="shared" si="20"/>
        <v>0.21378031707593928</v>
      </c>
      <c r="G104" s="226">
        <f ca="1">E104*$O$2+(SUMIF(HONORARIOS!$B$27:$B$129,A104,HONORARIOS!$G$27:$G$129)+SUMIF(ASESOR.Y.CONSULT.!$A$7:$A$25,PRESUPUESTO!A104,ASESOR.Y.CONSULT.!$N$7:$N$25)+SUMIF('PROY INVEST.'!$A$5:$A$26,PRESUPUESTO!A104,'PROY INVEST.'!$N$5:$N$26)+SUMIF(P.PROY.SOCIAL!$A$5:$A$28,PRESUPUESTO!A104,P.PROY.SOCIAL!$N$5:$N$28)+SUMIF(GEST.REC.HUM.!$A$6:$A$39,PRESUPUESTO!A104,GEST.REC.HUM.!$M$6:$M$39)+SUMIF('OTRAS ACTIV.'!$A$6:$A$39,PRESUPUESTO!A104,'OTRAS ACTIV.'!$N$6:$N$39)+SUMIF('ADICIONALES PD'!A$6:$A23,PRESUPUESTO!A104,'ADICIONALES PD'!$N$6:$N$23)+SUMIF(SALIDAS!$A$6:$A$19,PRESUPUESTO!A104,SALIDAS!$AE$6:$AE$19)+SUMIF(BIBLIOTECA!$A$7:$A$41,PRESUPUESTO!A104,BIBLIOTECA!$F$5:$F$41)+SUMIF(AFILIACIONES!$A$5:$A$25,PRESUPUESTO!A104,AFILIACIONES!$E$5:$E$25)+SUMIF(IMPRESOS.PUBLIC!$A$7:$A$34,PRESUPUESTO!A104,IMPRESOS.PUBLIC!$D$7:$D$34)+SUMIF(MANTEN.EQUIP.!$A$7:$A$27,PRESUPUESTO!A104,MANTEN.EQUIP.!$D$8:$D$27)+SUMIF(INVER.EQUIPO.COMP!$A$7:$A$37,PRESUPUESTO!A104,INVER.EQUIPO.COMP!$E$8:$E$37)+SUMIF(INVER.OTROS.EQUIPOS!$A$7:$A$37,PRESUPUESTO!A104,INVER.OTROS.EQUIPOS!$E$7:$E$37)+SUMIF(INVER.MUEBLES!$A$7:$A$35,PRESUPUESTO!A104,INVER.MUEBLES!$E$7:$E$35)+SUMIF(ADECUAC.LOCATIVAS!$A$7:$A$29,PRESUPUESTO!A104,ADECUAC.LOCATIVAS!$E$7:$E$29))/1000</f>
        <v>237.3</v>
      </c>
      <c r="H104" s="204">
        <f t="shared" ca="1" si="19"/>
        <v>5.0000000000000044E-2</v>
      </c>
      <c r="I104" s="321">
        <f t="shared" ca="1" si="16"/>
        <v>5.0000000000000044E-2</v>
      </c>
      <c r="J104" s="524"/>
      <c r="K104" s="504"/>
      <c r="L104" s="504"/>
      <c r="M104" s="504"/>
    </row>
    <row r="105" spans="1:13" customFormat="1" ht="12.75" hidden="1" outlineLevel="1" x14ac:dyDescent="0.2">
      <c r="A105" s="3">
        <v>5135500000</v>
      </c>
      <c r="B105" s="207" t="s">
        <v>52</v>
      </c>
      <c r="C105" s="205">
        <f>IFERROR(VLOOKUP(A:A,'PPTO 2017'!A:D,3,0),0)</f>
        <v>0</v>
      </c>
      <c r="D105" s="205">
        <f>IFERROR(VLOOKUP(A:A,EJEC!A:G,5,0),0)</f>
        <v>0</v>
      </c>
      <c r="E105" s="205">
        <f t="shared" si="25"/>
        <v>0</v>
      </c>
      <c r="F105" s="321" t="str">
        <f t="shared" si="20"/>
        <v/>
      </c>
      <c r="G105" s="225">
        <f t="shared" ref="G105:G138" si="27">+E105*$O$2</f>
        <v>0</v>
      </c>
      <c r="H105" s="204" t="e">
        <f t="shared" si="19"/>
        <v>#DIV/0!</v>
      </c>
      <c r="I105" s="321" t="str">
        <f t="shared" si="16"/>
        <v/>
      </c>
      <c r="J105" s="524"/>
      <c r="K105" s="504"/>
      <c r="L105" s="504"/>
      <c r="M105" s="504"/>
    </row>
    <row r="106" spans="1:13" customFormat="1" ht="12.75" hidden="1" outlineLevel="1" x14ac:dyDescent="0.2">
      <c r="A106" s="3">
        <v>5135550000</v>
      </c>
      <c r="B106" s="207" t="s">
        <v>584</v>
      </c>
      <c r="C106" s="205">
        <f>IFERROR(VLOOKUP(A:A,'PPTO 2017'!A:D,3,0),0)</f>
        <v>0</v>
      </c>
      <c r="D106" s="205">
        <f>IFERROR(VLOOKUP(A:A,EJEC!A:G,5,0),0)</f>
        <v>0</v>
      </c>
      <c r="E106" s="205">
        <f t="shared" si="25"/>
        <v>0</v>
      </c>
      <c r="F106" s="321" t="str">
        <f t="shared" si="20"/>
        <v/>
      </c>
      <c r="G106" s="225">
        <f t="shared" si="27"/>
        <v>0</v>
      </c>
      <c r="H106" s="204"/>
      <c r="I106" s="321" t="str">
        <f t="shared" si="16"/>
        <v/>
      </c>
      <c r="J106" s="524"/>
      <c r="K106" s="504"/>
      <c r="L106" s="504"/>
      <c r="M106" s="504"/>
    </row>
    <row r="107" spans="1:13" customFormat="1" ht="12.75" hidden="1" outlineLevel="1" x14ac:dyDescent="0.2">
      <c r="A107" s="3">
        <v>5135950100</v>
      </c>
      <c r="B107" s="207" t="s">
        <v>53</v>
      </c>
      <c r="C107" s="205">
        <f>IFERROR(VLOOKUP(A:A,'PPTO 2017'!A:D,3,0),0)</f>
        <v>0</v>
      </c>
      <c r="D107" s="205">
        <f>IFERROR(VLOOKUP(A:A,EJEC!A:G,5,0),0)</f>
        <v>0</v>
      </c>
      <c r="E107" s="205">
        <f t="shared" si="25"/>
        <v>0</v>
      </c>
      <c r="F107" s="321" t="str">
        <f t="shared" si="20"/>
        <v/>
      </c>
      <c r="G107" s="225">
        <f t="shared" si="27"/>
        <v>0</v>
      </c>
      <c r="H107" s="204" t="e">
        <f t="shared" si="19"/>
        <v>#DIV/0!</v>
      </c>
      <c r="I107" s="321" t="str">
        <f t="shared" si="16"/>
        <v/>
      </c>
      <c r="J107" s="524"/>
      <c r="K107" s="504"/>
      <c r="L107" s="504"/>
      <c r="M107" s="504"/>
    </row>
    <row r="108" spans="1:13" customFormat="1" ht="12.75" hidden="1" outlineLevel="1" x14ac:dyDescent="0.2">
      <c r="A108" s="3">
        <v>5135950200</v>
      </c>
      <c r="B108" s="207" t="s">
        <v>320</v>
      </c>
      <c r="C108" s="205">
        <f>IFERROR(VLOOKUP(A:A,'PPTO 2017'!A:D,3,0),0)</f>
        <v>0</v>
      </c>
      <c r="D108" s="205">
        <f>IFERROR(VLOOKUP(A:A,EJEC!A:G,5,0),0)</f>
        <v>0</v>
      </c>
      <c r="E108" s="205">
        <f t="shared" si="25"/>
        <v>0</v>
      </c>
      <c r="F108" s="321" t="str">
        <f t="shared" si="20"/>
        <v/>
      </c>
      <c r="G108" s="225">
        <f t="shared" si="27"/>
        <v>0</v>
      </c>
      <c r="H108" s="204" t="e">
        <f t="shared" si="19"/>
        <v>#DIV/0!</v>
      </c>
      <c r="I108" s="321" t="str">
        <f t="shared" si="16"/>
        <v/>
      </c>
      <c r="J108" s="524"/>
      <c r="K108" s="504"/>
      <c r="L108" s="504"/>
      <c r="M108" s="504"/>
    </row>
    <row r="109" spans="1:13" customFormat="1" ht="12.75" hidden="1" outlineLevel="1" x14ac:dyDescent="0.2">
      <c r="A109" s="3">
        <v>5135950300</v>
      </c>
      <c r="B109" s="207" t="s">
        <v>321</v>
      </c>
      <c r="C109" s="205">
        <f>IFERROR(VLOOKUP(A:A,'PPTO 2017'!A:D,3,0),0)</f>
        <v>0</v>
      </c>
      <c r="D109" s="205">
        <f>IFERROR(VLOOKUP(A:A,EJEC!A:G,5,0),0)</f>
        <v>0</v>
      </c>
      <c r="E109" s="205">
        <f t="shared" si="25"/>
        <v>0</v>
      </c>
      <c r="F109" s="321" t="str">
        <f t="shared" si="20"/>
        <v/>
      </c>
      <c r="G109" s="225">
        <f t="shared" si="27"/>
        <v>0</v>
      </c>
      <c r="H109" s="204" t="e">
        <f t="shared" si="19"/>
        <v>#DIV/0!</v>
      </c>
      <c r="I109" s="321" t="str">
        <f t="shared" si="16"/>
        <v/>
      </c>
      <c r="J109" s="524"/>
      <c r="K109" s="504"/>
      <c r="L109" s="504"/>
      <c r="M109" s="504"/>
    </row>
    <row r="110" spans="1:13" customFormat="1" ht="12.75" hidden="1" outlineLevel="1" x14ac:dyDescent="0.2">
      <c r="A110" s="3">
        <v>5135950400</v>
      </c>
      <c r="B110" s="207" t="s">
        <v>54</v>
      </c>
      <c r="C110" s="205">
        <f>IFERROR(VLOOKUP(A:A,'PPTO 2017'!A:D,3,0),0)</f>
        <v>0</v>
      </c>
      <c r="D110" s="205">
        <f>IFERROR(VLOOKUP(A:A,EJEC!A:G,5,0),0)</f>
        <v>0</v>
      </c>
      <c r="E110" s="205">
        <f t="shared" si="25"/>
        <v>0</v>
      </c>
      <c r="F110" s="321" t="str">
        <f t="shared" si="20"/>
        <v/>
      </c>
      <c r="G110" s="225">
        <f t="shared" si="27"/>
        <v>0</v>
      </c>
      <c r="H110" s="204" t="e">
        <f t="shared" si="19"/>
        <v>#DIV/0!</v>
      </c>
      <c r="I110" s="321" t="str">
        <f t="shared" si="16"/>
        <v/>
      </c>
      <c r="J110" s="524"/>
      <c r="K110" s="504"/>
      <c r="L110" s="504"/>
      <c r="M110" s="504"/>
    </row>
    <row r="111" spans="1:13" customFormat="1" ht="12.75" hidden="1" outlineLevel="1" x14ac:dyDescent="0.2">
      <c r="A111" s="3">
        <v>5135950500</v>
      </c>
      <c r="B111" s="207" t="s">
        <v>322</v>
      </c>
      <c r="C111" s="205">
        <f>IFERROR(VLOOKUP(A:A,'PPTO 2017'!A:D,3,0),0)</f>
        <v>48.150000000000006</v>
      </c>
      <c r="D111" s="205">
        <f>IFERROR(VLOOKUP(A:A,EJEC!A:G,5,0),0)</f>
        <v>0</v>
      </c>
      <c r="E111" s="205">
        <f t="shared" si="25"/>
        <v>0</v>
      </c>
      <c r="F111" s="321" t="str">
        <f t="shared" si="20"/>
        <v/>
      </c>
      <c r="G111" s="315">
        <f ca="1">+E111*$O$2+(SUMIF(HONORARIOS!$B$27:$B$129,A111,HONORARIOS!$G$27:$G$129)+SUMIF(ASESOR.Y.CONSULT.!$A$7:$A$25,PRESUPUESTO!A111,ASESOR.Y.CONSULT.!$N$7:$N$25)+SUMIF('PROY INVEST.'!$A$5:$A$26,PRESUPUESTO!A111,'PROY INVEST.'!$N$5:$N$26)+SUMIF(P.PROY.SOCIAL!$A$5:$A$28,PRESUPUESTO!A111,P.PROY.SOCIAL!$N$5:$N$28)+SUMIF(GEST.REC.HUM.!$A$6:$A$39,PRESUPUESTO!A111,GEST.REC.HUM.!$M$6:$M$39)+SUMIF('OTRAS ACTIV.'!$A$6:$A$39,PRESUPUESTO!A111,'OTRAS ACTIV.'!$N$6:$N$39)+SUMIF('ADICIONALES PD'!A$6:$A23,PRESUPUESTO!A111,'ADICIONALES PD'!$N$6:$N$23)+SUMIF(SALIDAS!$A$6:$A$19,PRESUPUESTO!A111,SALIDAS!$AE$6:$AE$19)+SUMIF(BIBLIOTECA!$A$7:$A$41,PRESUPUESTO!A111,BIBLIOTECA!$F$5:$F$41)+SUMIF(AFILIACIONES!$A$5:$A$25,PRESUPUESTO!A111,AFILIACIONES!$E$5:$E$25)+SUMIF(IMPRESOS.PUBLIC!$A$7:$A$34,PRESUPUESTO!A111,IMPRESOS.PUBLIC!$D$7:$D$34)+SUMIF(MANTEN.EQUIP.!$A$7:$A$27,PRESUPUESTO!A111,MANTEN.EQUIP.!$D$8:$D$27)+SUMIF(INVER.EQUIPO.COMP!$A$7:$A$37,PRESUPUESTO!A111,INVER.EQUIPO.COMP!$E$8:$E$37)+SUMIF(INVER.OTROS.EQUIPOS!$A$7:$A$37,PRESUPUESTO!A111,INVER.OTROS.EQUIPOS!$E$7:$E$37)+SUMIF(INVER.MUEBLES!$A$7:$A$35,PRESUPUESTO!A111,INVER.MUEBLES!$E$7:$E$35)+SUMIF(ADECUAC.LOCATIVAS!$A$7:$A$29,PRESUPUESTO!A111,ADECUAC.LOCATIVAS!$E$7:$E$29))/1000</f>
        <v>0</v>
      </c>
      <c r="H111" s="204" t="e">
        <f t="shared" ca="1" si="19"/>
        <v>#DIV/0!</v>
      </c>
      <c r="I111" s="321" t="str">
        <f t="shared" ca="1" si="16"/>
        <v/>
      </c>
      <c r="J111" s="524"/>
      <c r="K111" s="504"/>
      <c r="L111" s="504"/>
      <c r="M111" s="504"/>
    </row>
    <row r="112" spans="1:13" customFormat="1" ht="12.75" hidden="1" outlineLevel="1" x14ac:dyDescent="0.2">
      <c r="A112" s="3">
        <v>5135950600</v>
      </c>
      <c r="B112" s="207" t="s">
        <v>55</v>
      </c>
      <c r="C112" s="205">
        <f>IFERROR(VLOOKUP(A:A,'PPTO 2017'!A:D,3,0),0)</f>
        <v>0</v>
      </c>
      <c r="D112" s="205">
        <f>IFERROR(VLOOKUP(A:A,EJEC!A:G,5,0),0)</f>
        <v>0</v>
      </c>
      <c r="E112" s="205">
        <f t="shared" si="25"/>
        <v>0</v>
      </c>
      <c r="F112" s="321" t="str">
        <f t="shared" si="20"/>
        <v/>
      </c>
      <c r="G112" s="225">
        <f t="shared" si="27"/>
        <v>0</v>
      </c>
      <c r="H112" s="204" t="e">
        <f t="shared" si="19"/>
        <v>#DIV/0!</v>
      </c>
      <c r="I112" s="321" t="str">
        <f t="shared" si="16"/>
        <v/>
      </c>
      <c r="J112" s="524"/>
      <c r="K112" s="504"/>
      <c r="L112" s="504"/>
      <c r="M112" s="504"/>
    </row>
    <row r="113" spans="1:13" customFormat="1" ht="12.75" hidden="1" outlineLevel="1" x14ac:dyDescent="0.2">
      <c r="A113" s="3">
        <v>5135950700</v>
      </c>
      <c r="B113" s="207" t="s">
        <v>56</v>
      </c>
      <c r="C113" s="205">
        <f>IFERROR(VLOOKUP(A:A,'PPTO 2017'!A:D,3,0),0)</f>
        <v>37231.72</v>
      </c>
      <c r="D113" s="205">
        <f>IFERROR(VLOOKUP(A:A,EJEC!A:G,5,0),0)</f>
        <v>34003.214</v>
      </c>
      <c r="E113" s="205">
        <v>36003</v>
      </c>
      <c r="F113" s="321">
        <f t="shared" si="20"/>
        <v>0.96699803286015251</v>
      </c>
      <c r="G113" s="226">
        <f ca="1">E113*$O$2+(SUMIF(HONORARIOS!$B$27:$B$129,A113,HONORARIOS!$G$27:$G$129)+SUMIF(ASESOR.Y.CONSULT.!$A$7:$A$25,PRESUPUESTO!A113,ASESOR.Y.CONSULT.!$N$7:$N$25)+SUMIF('PROY INVEST.'!$A$5:$A$26,PRESUPUESTO!A113,'PROY INVEST.'!$N$5:$N$26)+SUMIF(P.PROY.SOCIAL!$A$5:$A$28,PRESUPUESTO!A113,P.PROY.SOCIAL!$N$5:$N$28)+SUMIF(GEST.REC.HUM.!$A$6:$A$39,PRESUPUESTO!A113,GEST.REC.HUM.!$M$6:$M$39)+SUMIF('OTRAS ACTIV.'!$A$6:$A$39,PRESUPUESTO!A113,'OTRAS ACTIV.'!$N$6:$N$39)+SUMIF('ADICIONALES PD'!A$6:$A23,PRESUPUESTO!A113,'ADICIONALES PD'!$N$6:$N$23)+SUMIF(SALIDAS!$A$6:$A$19,PRESUPUESTO!A113,SALIDAS!$AE$6:$AE$19)+SUMIF(BIBLIOTECA!$A$7:$A$41,PRESUPUESTO!A113,BIBLIOTECA!$F$5:$F$41)+SUMIF(AFILIACIONES!$A$5:$A$25,PRESUPUESTO!A113,AFILIACIONES!$E$5:$E$25)+SUMIF(IMPRESOS.PUBLIC!$A$7:$A$34,PRESUPUESTO!A113,IMPRESOS.PUBLIC!$D$7:$D$34)+SUMIF(MANTEN.EQUIP.!$A$7:$A$27,PRESUPUESTO!A113,MANTEN.EQUIP.!$D$8:$D$27)+SUMIF(INVER.EQUIPO.COMP!$A$7:$A$37,PRESUPUESTO!A113,INVER.EQUIPO.COMP!$E$8:$E$37)+SUMIF(INVER.OTROS.EQUIPOS!$A$7:$A$37,PRESUPUESTO!A113,INVER.OTROS.EQUIPOS!$E$7:$E$37)+SUMIF(INVER.MUEBLES!$A$7:$A$35,PRESUPUESTO!A113,INVER.MUEBLES!$E$7:$E$35)+SUMIF(ADECUAC.LOCATIVAS!$A$7:$A$29,PRESUPUESTO!A113,ADECUAC.LOCATIVAS!$E$7:$E$29))/1000</f>
        <v>37803.15</v>
      </c>
      <c r="H113" s="204">
        <f t="shared" ca="1" si="19"/>
        <v>5.0000000000000044E-2</v>
      </c>
      <c r="I113" s="321">
        <f t="shared" ca="1" si="16"/>
        <v>5.0000000000000044E-2</v>
      </c>
      <c r="J113" s="524"/>
      <c r="K113" s="504"/>
      <c r="L113" s="504"/>
      <c r="M113" s="504"/>
    </row>
    <row r="114" spans="1:13" customFormat="1" ht="12.75" hidden="1" outlineLevel="1" x14ac:dyDescent="0.2">
      <c r="A114" s="3">
        <v>5135950900</v>
      </c>
      <c r="B114" s="207" t="s">
        <v>323</v>
      </c>
      <c r="C114" s="205">
        <f>IFERROR(VLOOKUP(A:A,'PPTO 2017'!A:D,3,0),0)</f>
        <v>0</v>
      </c>
      <c r="D114" s="205">
        <f>IFERROR(VLOOKUP(A:A,EJEC!A:G,5,0),0)</f>
        <v>0</v>
      </c>
      <c r="E114" s="205">
        <f t="shared" si="25"/>
        <v>0</v>
      </c>
      <c r="F114" s="321" t="str">
        <f t="shared" si="20"/>
        <v/>
      </c>
      <c r="G114" s="225">
        <f t="shared" si="27"/>
        <v>0</v>
      </c>
      <c r="H114" s="204" t="e">
        <f t="shared" si="19"/>
        <v>#DIV/0!</v>
      </c>
      <c r="I114" s="321" t="str">
        <f t="shared" si="16"/>
        <v/>
      </c>
      <c r="J114" s="524"/>
      <c r="K114" s="504"/>
      <c r="L114" s="504"/>
      <c r="M114" s="504"/>
    </row>
    <row r="115" spans="1:13" customFormat="1" ht="12.75" hidden="1" outlineLevel="1" x14ac:dyDescent="0.2">
      <c r="A115" s="3">
        <v>5135951000</v>
      </c>
      <c r="B115" s="207" t="s">
        <v>57</v>
      </c>
      <c r="C115" s="205">
        <f>IFERROR(VLOOKUP(A:A,'PPTO 2017'!A:D,3,0),0)</f>
        <v>0</v>
      </c>
      <c r="D115" s="205">
        <f>IFERROR(VLOOKUP(A:A,EJEC!A:G,5,0),0)</f>
        <v>0</v>
      </c>
      <c r="E115" s="205">
        <f t="shared" si="25"/>
        <v>0</v>
      </c>
      <c r="F115" s="321" t="str">
        <f t="shared" si="20"/>
        <v/>
      </c>
      <c r="G115" s="225">
        <f t="shared" si="27"/>
        <v>0</v>
      </c>
      <c r="H115" s="204" t="e">
        <f t="shared" si="19"/>
        <v>#DIV/0!</v>
      </c>
      <c r="I115" s="321" t="str">
        <f t="shared" si="16"/>
        <v/>
      </c>
      <c r="J115" s="524"/>
      <c r="K115" s="504"/>
      <c r="L115" s="504"/>
      <c r="M115" s="504"/>
    </row>
    <row r="116" spans="1:13" customFormat="1" ht="12.75" hidden="1" outlineLevel="1" x14ac:dyDescent="0.2">
      <c r="A116" s="3">
        <v>5135951100</v>
      </c>
      <c r="B116" s="207" t="s">
        <v>58</v>
      </c>
      <c r="C116" s="205">
        <f>IFERROR(VLOOKUP(A:A,'PPTO 2017'!A:D,3,0),0)</f>
        <v>0</v>
      </c>
      <c r="D116" s="205">
        <f>IFERROR(VLOOKUP(A:A,EJEC!A:G,5,0),0)</f>
        <v>0</v>
      </c>
      <c r="E116" s="205">
        <f t="shared" si="25"/>
        <v>0</v>
      </c>
      <c r="F116" s="321" t="str">
        <f t="shared" si="20"/>
        <v/>
      </c>
      <c r="G116" s="225">
        <f t="shared" si="27"/>
        <v>0</v>
      </c>
      <c r="H116" s="204" t="e">
        <f t="shared" si="19"/>
        <v>#DIV/0!</v>
      </c>
      <c r="I116" s="321" t="str">
        <f t="shared" si="16"/>
        <v/>
      </c>
      <c r="J116" s="524"/>
      <c r="K116" s="504"/>
      <c r="L116" s="504"/>
      <c r="M116" s="504"/>
    </row>
    <row r="117" spans="1:13" customFormat="1" ht="12.75" hidden="1" outlineLevel="1" x14ac:dyDescent="0.2">
      <c r="A117" s="3">
        <v>5135951300</v>
      </c>
      <c r="B117" s="207" t="s">
        <v>59</v>
      </c>
      <c r="C117" s="205">
        <f>IFERROR(VLOOKUP(A:A,'PPTO 2017'!A:D,3,0),0)</f>
        <v>0</v>
      </c>
      <c r="D117" s="205">
        <f>IFERROR(VLOOKUP(A:A,EJEC!A:G,5,0),0)</f>
        <v>1385.16</v>
      </c>
      <c r="E117" s="205">
        <v>3078</v>
      </c>
      <c r="F117" s="321" t="str">
        <f t="shared" si="20"/>
        <v/>
      </c>
      <c r="G117" s="225">
        <f t="shared" si="27"/>
        <v>3231.9</v>
      </c>
      <c r="H117" s="204">
        <f t="shared" si="19"/>
        <v>5.0000000000000044E-2</v>
      </c>
      <c r="I117" s="321">
        <f t="shared" si="16"/>
        <v>5.0000000000000044E-2</v>
      </c>
      <c r="J117" s="524"/>
      <c r="K117" s="504"/>
      <c r="L117" s="504"/>
      <c r="M117" s="504"/>
    </row>
    <row r="118" spans="1:13" customFormat="1" ht="12.75" hidden="1" outlineLevel="1" x14ac:dyDescent="0.2">
      <c r="A118" s="3">
        <v>5135951600</v>
      </c>
      <c r="B118" s="207" t="s">
        <v>324</v>
      </c>
      <c r="C118" s="205">
        <f>IFERROR(VLOOKUP(A:A,'PPTO 2017'!A:D,3,0),0)</f>
        <v>0</v>
      </c>
      <c r="D118" s="205">
        <f>IFERROR(VLOOKUP(A:A,EJEC!A:G,5,0),0)</f>
        <v>0</v>
      </c>
      <c r="E118" s="205">
        <f t="shared" si="25"/>
        <v>0</v>
      </c>
      <c r="F118" s="321" t="str">
        <f t="shared" si="20"/>
        <v/>
      </c>
      <c r="G118" s="225">
        <f t="shared" si="27"/>
        <v>0</v>
      </c>
      <c r="H118" s="204" t="e">
        <f t="shared" si="19"/>
        <v>#DIV/0!</v>
      </c>
      <c r="I118" s="321" t="str">
        <f t="shared" si="16"/>
        <v/>
      </c>
      <c r="J118" s="524"/>
      <c r="K118" s="504"/>
      <c r="L118" s="504"/>
      <c r="M118" s="504"/>
    </row>
    <row r="119" spans="1:13" customFormat="1" ht="12.75" hidden="1" outlineLevel="1" x14ac:dyDescent="0.2">
      <c r="A119" s="3">
        <v>5135951700</v>
      </c>
      <c r="B119" s="207" t="s">
        <v>325</v>
      </c>
      <c r="C119" s="205">
        <f>IFERROR(VLOOKUP(A:A,'PPTO 2017'!A:D,3,0),0)</f>
        <v>0</v>
      </c>
      <c r="D119" s="205">
        <f>IFERROR(VLOOKUP(A:A,EJEC!A:G,5,0),0)</f>
        <v>0</v>
      </c>
      <c r="E119" s="205">
        <f t="shared" si="25"/>
        <v>0</v>
      </c>
      <c r="F119" s="321" t="str">
        <f t="shared" si="20"/>
        <v/>
      </c>
      <c r="G119" s="225">
        <f t="shared" si="27"/>
        <v>0</v>
      </c>
      <c r="H119" s="204" t="e">
        <f t="shared" si="19"/>
        <v>#DIV/0!</v>
      </c>
      <c r="I119" s="321" t="str">
        <f t="shared" si="16"/>
        <v/>
      </c>
      <c r="J119" s="524"/>
      <c r="K119" s="504"/>
      <c r="L119" s="504"/>
      <c r="M119" s="504"/>
    </row>
    <row r="120" spans="1:13" customFormat="1" ht="12.75" hidden="1" outlineLevel="1" x14ac:dyDescent="0.2">
      <c r="A120" s="3">
        <v>5135951900</v>
      </c>
      <c r="B120" s="207" t="s">
        <v>585</v>
      </c>
      <c r="C120" s="205">
        <f>IFERROR(VLOOKUP(A:A,'PPTO 2017'!A:D,3,0),0)</f>
        <v>0</v>
      </c>
      <c r="D120" s="205">
        <f>IFERROR(VLOOKUP(A:A,EJEC!A:G,5,0),0)</f>
        <v>0</v>
      </c>
      <c r="E120" s="205">
        <f t="shared" si="25"/>
        <v>0</v>
      </c>
      <c r="F120" s="321" t="str">
        <f t="shared" si="20"/>
        <v/>
      </c>
      <c r="G120" s="225">
        <f t="shared" si="27"/>
        <v>0</v>
      </c>
      <c r="H120" s="204"/>
      <c r="I120" s="321" t="str">
        <f t="shared" si="16"/>
        <v/>
      </c>
      <c r="J120" s="524"/>
      <c r="K120" s="504"/>
      <c r="L120" s="504"/>
      <c r="M120" s="504"/>
    </row>
    <row r="121" spans="1:13" customFormat="1" ht="12.75" hidden="1" outlineLevel="1" x14ac:dyDescent="0.2">
      <c r="A121" s="587">
        <v>5135953000</v>
      </c>
      <c r="B121" s="207" t="s">
        <v>691</v>
      </c>
      <c r="C121" s="205">
        <f>IFERROR(VLOOKUP(A:A,'PPTO 2017'!A:D,3,0),0)</f>
        <v>0</v>
      </c>
      <c r="D121" s="205">
        <f>IFERROR(VLOOKUP(A:A,EJEC!A:G,5,0),0)</f>
        <v>0</v>
      </c>
      <c r="E121" s="205">
        <f t="shared" si="25"/>
        <v>0</v>
      </c>
      <c r="F121" s="321" t="str">
        <f>IF(E121=0,"",IF(C121=0,"",(E121/C121)))</f>
        <v/>
      </c>
      <c r="G121" s="225">
        <f t="shared" si="27"/>
        <v>0</v>
      </c>
      <c r="H121" s="204"/>
      <c r="I121" s="321" t="str">
        <f>IF(G121=0,"",IF(E121=0,"",(G121/E121)-1))</f>
        <v/>
      </c>
      <c r="J121" s="524"/>
      <c r="K121" s="504"/>
      <c r="L121" s="504"/>
      <c r="M121" s="504"/>
    </row>
    <row r="122" spans="1:13" customFormat="1" ht="12.75" hidden="1" outlineLevel="1" x14ac:dyDescent="0.2">
      <c r="A122" s="3">
        <v>5135955000</v>
      </c>
      <c r="B122" s="207" t="s">
        <v>60</v>
      </c>
      <c r="C122" s="205">
        <f>IFERROR(VLOOKUP(A:A,'PPTO 2017'!A:D,3,0),0)</f>
        <v>0</v>
      </c>
      <c r="D122" s="205">
        <f>IFERROR(VLOOKUP(A:A,EJEC!A:G,5,0),0)</f>
        <v>0</v>
      </c>
      <c r="E122" s="205">
        <f t="shared" si="25"/>
        <v>0</v>
      </c>
      <c r="F122" s="321" t="str">
        <f t="shared" si="20"/>
        <v/>
      </c>
      <c r="G122" s="225">
        <f t="shared" si="27"/>
        <v>0</v>
      </c>
      <c r="H122" s="204" t="e">
        <f t="shared" si="19"/>
        <v>#DIV/0!</v>
      </c>
      <c r="I122" s="321" t="str">
        <f t="shared" si="16"/>
        <v/>
      </c>
      <c r="J122" s="524"/>
      <c r="K122" s="504"/>
      <c r="L122" s="504"/>
      <c r="M122" s="504"/>
    </row>
    <row r="123" spans="1:13" customFormat="1" ht="12.75" hidden="1" outlineLevel="1" x14ac:dyDescent="0.2">
      <c r="A123" s="3">
        <v>5135956900</v>
      </c>
      <c r="B123" s="207" t="s">
        <v>326</v>
      </c>
      <c r="C123" s="205">
        <f>IFERROR(VLOOKUP(A:A,'PPTO 2017'!A:D,3,0),0)</f>
        <v>0</v>
      </c>
      <c r="D123" s="205">
        <f>IFERROR(VLOOKUP(A:A,EJEC!A:G,5,0),0)</f>
        <v>0</v>
      </c>
      <c r="E123" s="205">
        <f t="shared" si="25"/>
        <v>0</v>
      </c>
      <c r="F123" s="321" t="str">
        <f t="shared" si="20"/>
        <v/>
      </c>
      <c r="G123" s="225">
        <f t="shared" si="27"/>
        <v>0</v>
      </c>
      <c r="H123" s="204" t="e">
        <f t="shared" si="19"/>
        <v>#DIV/0!</v>
      </c>
      <c r="I123" s="321" t="str">
        <f t="shared" si="16"/>
        <v/>
      </c>
      <c r="J123" s="524"/>
      <c r="K123" s="504"/>
      <c r="L123" s="504"/>
      <c r="M123" s="504"/>
    </row>
    <row r="124" spans="1:13" customFormat="1" ht="12.75" hidden="1" outlineLevel="1" x14ac:dyDescent="0.2">
      <c r="A124" s="587">
        <v>5135957000</v>
      </c>
      <c r="B124" s="207" t="s">
        <v>692</v>
      </c>
      <c r="C124" s="205">
        <f>IFERROR(VLOOKUP(A:A,'PPTO 2017'!A:D,3,0),0)</f>
        <v>0</v>
      </c>
      <c r="D124" s="205">
        <f>IFERROR(VLOOKUP(A:A,EJEC!A:G,5,0),0)</f>
        <v>0</v>
      </c>
      <c r="E124" s="205">
        <f t="shared" si="25"/>
        <v>0</v>
      </c>
      <c r="F124" s="321" t="str">
        <f>IF(E124=0,"",IF(C124=0,"",(E124/C124)))</f>
        <v/>
      </c>
      <c r="G124" s="225">
        <f t="shared" si="27"/>
        <v>0</v>
      </c>
      <c r="H124" s="204" t="e">
        <f>(+G124/E124)-1</f>
        <v>#DIV/0!</v>
      </c>
      <c r="I124" s="321" t="str">
        <f>IF(G124=0,"",IF(E124=0,"",(G124/E124)-1))</f>
        <v/>
      </c>
      <c r="J124" s="524"/>
      <c r="K124" s="504"/>
      <c r="L124" s="504"/>
      <c r="M124" s="504"/>
    </row>
    <row r="125" spans="1:13" customFormat="1" ht="12.75" hidden="1" outlineLevel="1" x14ac:dyDescent="0.2">
      <c r="A125" s="3"/>
      <c r="B125" s="212" t="s">
        <v>513</v>
      </c>
      <c r="C125" s="205"/>
      <c r="D125" s="205"/>
      <c r="E125" s="205"/>
      <c r="F125" s="321" t="str">
        <f t="shared" si="20"/>
        <v/>
      </c>
      <c r="G125" s="225" t="s">
        <v>169</v>
      </c>
      <c r="H125" s="204"/>
      <c r="I125" s="321" t="str">
        <f t="shared" si="16"/>
        <v/>
      </c>
      <c r="J125" s="524"/>
      <c r="K125" s="504"/>
      <c r="L125" s="504"/>
      <c r="M125" s="504"/>
    </row>
    <row r="126" spans="1:13" customFormat="1" ht="12.75" hidden="1" outlineLevel="1" x14ac:dyDescent="0.2">
      <c r="A126" s="3">
        <v>5140050000</v>
      </c>
      <c r="B126" s="207" t="s">
        <v>327</v>
      </c>
      <c r="C126" s="205">
        <f>IFERROR(VLOOKUP(A:A,'PPTO 2017'!A:D,3,0),0)</f>
        <v>0</v>
      </c>
      <c r="D126" s="205">
        <f>IFERROR(VLOOKUP(A:A,EJEC!A:G,5,0),0)</f>
        <v>0</v>
      </c>
      <c r="E126" s="205">
        <f t="shared" ref="E126:E130" si="28">+D126/8*12</f>
        <v>0</v>
      </c>
      <c r="F126" s="321" t="str">
        <f t="shared" si="20"/>
        <v/>
      </c>
      <c r="G126" s="225">
        <f t="shared" si="27"/>
        <v>0</v>
      </c>
      <c r="H126" s="204" t="e">
        <f t="shared" si="19"/>
        <v>#DIV/0!</v>
      </c>
      <c r="I126" s="321" t="str">
        <f t="shared" si="16"/>
        <v/>
      </c>
      <c r="J126" s="524"/>
      <c r="K126" s="504"/>
      <c r="L126" s="504"/>
      <c r="M126" s="504"/>
    </row>
    <row r="127" spans="1:13" customFormat="1" ht="12.75" hidden="1" outlineLevel="1" x14ac:dyDescent="0.2">
      <c r="A127" s="3">
        <v>5140150000</v>
      </c>
      <c r="B127" s="207" t="s">
        <v>328</v>
      </c>
      <c r="C127" s="205">
        <f>IFERROR(VLOOKUP(A:A,'PPTO 2017'!A:D,3,0),0)</f>
        <v>0</v>
      </c>
      <c r="D127" s="205">
        <f>IFERROR(VLOOKUP(A:A,EJEC!A:G,5,0),0)</f>
        <v>0</v>
      </c>
      <c r="E127" s="205">
        <f t="shared" si="28"/>
        <v>0</v>
      </c>
      <c r="F127" s="321" t="str">
        <f t="shared" si="20"/>
        <v/>
      </c>
      <c r="G127" s="225">
        <f t="shared" si="27"/>
        <v>0</v>
      </c>
      <c r="H127" s="204" t="e">
        <f t="shared" si="19"/>
        <v>#DIV/0!</v>
      </c>
      <c r="I127" s="321" t="str">
        <f t="shared" si="16"/>
        <v/>
      </c>
      <c r="J127" s="524"/>
      <c r="K127" s="504"/>
      <c r="L127" s="504"/>
      <c r="M127" s="504"/>
    </row>
    <row r="128" spans="1:13" customFormat="1" ht="12.75" hidden="1" outlineLevel="1" x14ac:dyDescent="0.2">
      <c r="A128" s="587">
        <v>5140200000</v>
      </c>
      <c r="B128" s="207" t="s">
        <v>693</v>
      </c>
      <c r="C128" s="205">
        <f>IFERROR(VLOOKUP(A:A,'PPTO 2017'!A:D,3,0),0)</f>
        <v>0</v>
      </c>
      <c r="D128" s="205">
        <f>IFERROR(VLOOKUP(A:A,EJEC!A:G,5,0),0)</f>
        <v>0</v>
      </c>
      <c r="E128" s="205">
        <f t="shared" si="28"/>
        <v>0</v>
      </c>
      <c r="F128" s="321" t="str">
        <f>IF(E128=0,"",IF(C128=0,"",(E128/C128)))</f>
        <v/>
      </c>
      <c r="G128" s="225">
        <f t="shared" si="27"/>
        <v>0</v>
      </c>
      <c r="H128" s="204" t="e">
        <f>(+G128/E128)-1</f>
        <v>#DIV/0!</v>
      </c>
      <c r="I128" s="321" t="str">
        <f>IF(G128=0,"",IF(E128=0,"",(G128/E128)-1))</f>
        <v/>
      </c>
      <c r="J128" s="524"/>
      <c r="K128" s="504"/>
      <c r="L128" s="504"/>
      <c r="M128" s="504"/>
    </row>
    <row r="129" spans="1:13" customFormat="1" ht="12.75" hidden="1" outlineLevel="1" x14ac:dyDescent="0.2">
      <c r="A129" s="587">
        <v>5140210000</v>
      </c>
      <c r="B129" s="207" t="s">
        <v>694</v>
      </c>
      <c r="C129" s="205">
        <f>IFERROR(VLOOKUP(A:A,'PPTO 2017'!A:D,3,0),0)</f>
        <v>0</v>
      </c>
      <c r="D129" s="205">
        <f>IFERROR(VLOOKUP(A:A,EJEC!A:G,5,0),0)</f>
        <v>0</v>
      </c>
      <c r="E129" s="205">
        <f t="shared" si="28"/>
        <v>0</v>
      </c>
      <c r="F129" s="321" t="str">
        <f>IF(E129=0,"",IF(C129=0,"",(E129/C129)))</f>
        <v/>
      </c>
      <c r="G129" s="225">
        <f t="shared" si="27"/>
        <v>0</v>
      </c>
      <c r="H129" s="204" t="e">
        <f>(+G129/E129)-1</f>
        <v>#DIV/0!</v>
      </c>
      <c r="I129" s="321" t="str">
        <f>IF(G129=0,"",IF(E129=0,"",(G129/E129)-1))</f>
        <v/>
      </c>
      <c r="J129" s="524"/>
      <c r="K129" s="504"/>
      <c r="L129" s="504"/>
      <c r="M129" s="504"/>
    </row>
    <row r="130" spans="1:13" customFormat="1" ht="12.75" hidden="1" outlineLevel="1" x14ac:dyDescent="0.2">
      <c r="A130" s="3">
        <v>5140950200</v>
      </c>
      <c r="B130" s="207" t="s">
        <v>329</v>
      </c>
      <c r="C130" s="205">
        <f>IFERROR(VLOOKUP(A:A,'PPTO 2017'!A:D,3,0),0)</f>
        <v>0</v>
      </c>
      <c r="D130" s="205">
        <f>IFERROR(VLOOKUP(A:A,EJEC!A:G,5,0),0)</f>
        <v>0</v>
      </c>
      <c r="E130" s="205">
        <f t="shared" si="28"/>
        <v>0</v>
      </c>
      <c r="F130" s="321" t="str">
        <f t="shared" si="20"/>
        <v/>
      </c>
      <c r="G130" s="225">
        <f t="shared" si="27"/>
        <v>0</v>
      </c>
      <c r="H130" s="204" t="e">
        <f t="shared" si="19"/>
        <v>#DIV/0!</v>
      </c>
      <c r="I130" s="321" t="str">
        <f t="shared" si="16"/>
        <v/>
      </c>
      <c r="J130" s="524"/>
      <c r="K130" s="504"/>
      <c r="L130" s="504"/>
      <c r="M130" s="504"/>
    </row>
    <row r="131" spans="1:13" customFormat="1" ht="12.75" hidden="1" outlineLevel="1" x14ac:dyDescent="0.2">
      <c r="A131" s="3"/>
      <c r="B131" s="212" t="s">
        <v>514</v>
      </c>
      <c r="C131" s="205"/>
      <c r="D131" s="205"/>
      <c r="E131" s="205"/>
      <c r="F131" s="321" t="str">
        <f t="shared" si="20"/>
        <v/>
      </c>
      <c r="G131" s="225" t="s">
        <v>169</v>
      </c>
      <c r="H131" s="204"/>
      <c r="I131" s="321" t="str">
        <f t="shared" si="16"/>
        <v/>
      </c>
      <c r="J131" s="524"/>
      <c r="K131" s="504"/>
      <c r="L131" s="504"/>
      <c r="M131" s="504"/>
    </row>
    <row r="132" spans="1:13" customFormat="1" ht="12.75" hidden="1" outlineLevel="1" x14ac:dyDescent="0.2">
      <c r="A132" s="3">
        <v>5145100000</v>
      </c>
      <c r="B132" s="207" t="s">
        <v>330</v>
      </c>
      <c r="C132" s="205">
        <f>IFERROR(VLOOKUP(A:A,'PPTO 2017'!A:D,3,0),0)</f>
        <v>0</v>
      </c>
      <c r="D132" s="205">
        <f>IFERROR(VLOOKUP(A:A,EJEC!A:G,5,0),0)</f>
        <v>0</v>
      </c>
      <c r="E132" s="205">
        <f t="shared" ref="E132:E138" si="29">+D132/8*12</f>
        <v>0</v>
      </c>
      <c r="F132" s="321" t="str">
        <f t="shared" si="20"/>
        <v/>
      </c>
      <c r="G132" s="225">
        <f t="shared" si="27"/>
        <v>0</v>
      </c>
      <c r="H132" s="204" t="e">
        <f t="shared" si="19"/>
        <v>#DIV/0!</v>
      </c>
      <c r="I132" s="321" t="str">
        <f t="shared" si="16"/>
        <v/>
      </c>
      <c r="J132" s="524"/>
      <c r="K132" s="504"/>
      <c r="L132" s="504"/>
      <c r="M132" s="504"/>
    </row>
    <row r="133" spans="1:13" customFormat="1" ht="12.75" hidden="1" outlineLevel="1" x14ac:dyDescent="0.2">
      <c r="A133" s="3">
        <v>5145150200</v>
      </c>
      <c r="B133" s="207" t="s">
        <v>494</v>
      </c>
      <c r="C133" s="205">
        <f>IFERROR(VLOOKUP(A:A,'PPTO 2017'!A:D,3,0),0)</f>
        <v>0</v>
      </c>
      <c r="D133" s="205">
        <f>IFERROR(VLOOKUP(A:A,EJEC!A:G,5,0),0)</f>
        <v>0</v>
      </c>
      <c r="E133" s="205">
        <f t="shared" si="29"/>
        <v>0</v>
      </c>
      <c r="F133" s="321" t="str">
        <f t="shared" si="20"/>
        <v/>
      </c>
      <c r="G133" s="225">
        <f t="shared" si="27"/>
        <v>0</v>
      </c>
      <c r="H133" s="204" t="e">
        <f t="shared" si="19"/>
        <v>#DIV/0!</v>
      </c>
      <c r="I133" s="321" t="str">
        <f t="shared" si="16"/>
        <v/>
      </c>
      <c r="J133" s="524"/>
      <c r="K133" s="504"/>
      <c r="L133" s="504"/>
      <c r="M133" s="504"/>
    </row>
    <row r="134" spans="1:13" customFormat="1" ht="12.75" hidden="1" outlineLevel="1" x14ac:dyDescent="0.2">
      <c r="A134" s="3">
        <v>5145150300</v>
      </c>
      <c r="B134" s="207" t="s">
        <v>495</v>
      </c>
      <c r="C134" s="205">
        <f>IFERROR(VLOOKUP(A:A,'PPTO 2017'!A:D,3,0),0)</f>
        <v>0</v>
      </c>
      <c r="D134" s="205">
        <f>IFERROR(VLOOKUP(A:A,EJEC!A:G,5,0),0)</f>
        <v>0</v>
      </c>
      <c r="E134" s="205">
        <f t="shared" si="29"/>
        <v>0</v>
      </c>
      <c r="F134" s="321" t="str">
        <f t="shared" si="20"/>
        <v/>
      </c>
      <c r="G134" s="225">
        <f t="shared" si="27"/>
        <v>0</v>
      </c>
      <c r="H134" s="204" t="e">
        <f t="shared" si="19"/>
        <v>#DIV/0!</v>
      </c>
      <c r="I134" s="321" t="str">
        <f t="shared" si="16"/>
        <v/>
      </c>
      <c r="J134" s="524"/>
      <c r="K134" s="504"/>
      <c r="L134" s="504"/>
      <c r="M134" s="504"/>
    </row>
    <row r="135" spans="1:13" customFormat="1" ht="12.75" hidden="1" outlineLevel="1" x14ac:dyDescent="0.2">
      <c r="A135" s="3">
        <v>5145150400</v>
      </c>
      <c r="B135" s="207" t="s">
        <v>496</v>
      </c>
      <c r="C135" s="205">
        <f>IFERROR(VLOOKUP(A:A,'PPTO 2017'!A:D,3,0),0)</f>
        <v>0</v>
      </c>
      <c r="D135" s="205">
        <f>IFERROR(VLOOKUP(A:A,EJEC!A:G,5,0),0)</f>
        <v>0</v>
      </c>
      <c r="E135" s="205">
        <f t="shared" si="29"/>
        <v>0</v>
      </c>
      <c r="F135" s="321" t="str">
        <f t="shared" si="20"/>
        <v/>
      </c>
      <c r="G135" s="225">
        <f t="shared" si="27"/>
        <v>0</v>
      </c>
      <c r="H135" s="204" t="s">
        <v>169</v>
      </c>
      <c r="I135" s="321" t="str">
        <f t="shared" si="16"/>
        <v/>
      </c>
      <c r="J135" s="524"/>
      <c r="K135" s="504"/>
      <c r="L135" s="504"/>
      <c r="M135" s="504"/>
    </row>
    <row r="136" spans="1:13" customFormat="1" ht="12.75" hidden="1" outlineLevel="1" x14ac:dyDescent="0.2">
      <c r="A136" s="3">
        <v>5145250000</v>
      </c>
      <c r="B136" s="207" t="s">
        <v>497</v>
      </c>
      <c r="C136" s="205">
        <f>IFERROR(VLOOKUP(A:A,'PPTO 2017'!A:D,3,0),0)</f>
        <v>0</v>
      </c>
      <c r="D136" s="205">
        <f>IFERROR(VLOOKUP(A:A,EJEC!A:G,5,0),0)</f>
        <v>0</v>
      </c>
      <c r="E136" s="205">
        <f t="shared" si="29"/>
        <v>0</v>
      </c>
      <c r="F136" s="321" t="str">
        <f t="shared" si="20"/>
        <v/>
      </c>
      <c r="G136" s="225">
        <f t="shared" si="27"/>
        <v>0</v>
      </c>
      <c r="H136" s="204" t="s">
        <v>169</v>
      </c>
      <c r="I136" s="321" t="str">
        <f t="shared" si="16"/>
        <v/>
      </c>
      <c r="J136" s="524"/>
      <c r="K136" s="504"/>
      <c r="L136" s="504"/>
      <c r="M136" s="504"/>
    </row>
    <row r="137" spans="1:13" customFormat="1" ht="12.75" hidden="1" outlineLevel="1" x14ac:dyDescent="0.2">
      <c r="A137" s="3">
        <v>5145300000</v>
      </c>
      <c r="B137" s="207" t="s">
        <v>498</v>
      </c>
      <c r="C137" s="205">
        <f>IFERROR(VLOOKUP(A:A,'PPTO 2017'!A:D,3,0),0)</f>
        <v>0</v>
      </c>
      <c r="D137" s="205">
        <f>IFERROR(VLOOKUP(A:A,EJEC!A:G,5,0),0)</f>
        <v>0</v>
      </c>
      <c r="E137" s="205">
        <f t="shared" si="29"/>
        <v>0</v>
      </c>
      <c r="F137" s="321" t="str">
        <f t="shared" si="20"/>
        <v/>
      </c>
      <c r="G137" s="315">
        <f ca="1">(SUMIF(HONORARIOS!$B$27:$B$129,A137,HONORARIOS!$G$27:$G$129)+SUMIF(ASESOR.Y.CONSULT.!$A$7:$A$25,PRESUPUESTO!A137,ASESOR.Y.CONSULT.!$N$7:$N$25)+SUMIF('PROY INVEST.'!$A$5:$A$26,PRESUPUESTO!A137,'PROY INVEST.'!$N$5:$N$26)+SUMIF(P.PROY.SOCIAL!$A$5:$A$28,PRESUPUESTO!A137,P.PROY.SOCIAL!$N$5:$N$28)+SUMIF(GEST.REC.HUM.!$A$6:$A$39,PRESUPUESTO!A137,GEST.REC.HUM.!$M$6:$M$39)+SUMIF('OTRAS ACTIV.'!$A$6:$A$39,PRESUPUESTO!A137,'OTRAS ACTIV.'!$N$6:$N$39)+SUMIF('ADICIONALES PD'!A$6:$A23,PRESUPUESTO!A137,'ADICIONALES PD'!$N$6:$N$23)+SUMIF(SALIDAS!$A$6:$A$19,PRESUPUESTO!A137,SALIDAS!$AE$6:$AE$19)+SUMIF(BIBLIOTECA!$A$7:$A$41,PRESUPUESTO!A137,BIBLIOTECA!$F$5:$F$41)+SUMIF(AFILIACIONES!$A$5:$A$25,PRESUPUESTO!A137,AFILIACIONES!$E$5:$E$25)+SUMIF(IMPRESOS.PUBLIC!$A$7:$A$34,PRESUPUESTO!A137,IMPRESOS.PUBLIC!$D$7:$D$34)+SUMIF(MANTEN.EQUIP.!$A$7:$A$27,PRESUPUESTO!A137,MANTEN.EQUIP.!$D$8:$D$27)+SUMIF(INVER.EQUIPO.COMP!$A$7:$A$37,PRESUPUESTO!A137,INVER.EQUIPO.COMP!$E$8:$E$37)+SUMIF(INVER.OTROS.EQUIPOS!$A$7:$A$37,PRESUPUESTO!A137,INVER.OTROS.EQUIPOS!$E$7:$E$37)+SUMIF(INVER.MUEBLES!$A$7:$A$35,PRESUPUESTO!A137,INVER.MUEBLES!$E$7:$E$35)+SUMIF(ADECUAC.LOCATIVAS!$A$7:$A$29,PRESUPUESTO!A137,ADECUAC.LOCATIVAS!$E$7:$E$29))/1000</f>
        <v>0</v>
      </c>
      <c r="H137" s="204" t="s">
        <v>169</v>
      </c>
      <c r="I137" s="321" t="str">
        <f t="shared" ca="1" si="16"/>
        <v/>
      </c>
      <c r="J137" s="524"/>
      <c r="K137" s="504"/>
      <c r="L137" s="504"/>
      <c r="M137" s="504"/>
    </row>
    <row r="138" spans="1:13" customFormat="1" ht="12.75" hidden="1" outlineLevel="1" x14ac:dyDescent="0.2">
      <c r="A138" s="3">
        <v>5150950000</v>
      </c>
      <c r="B138" s="207" t="s">
        <v>331</v>
      </c>
      <c r="C138" s="205">
        <f>IFERROR(VLOOKUP(A:A,'PPTO 2017'!A:D,3,0),0)</f>
        <v>0</v>
      </c>
      <c r="D138" s="205">
        <f>IFERROR(VLOOKUP(A:A,EJEC!A:G,5,0),0)</f>
        <v>0</v>
      </c>
      <c r="E138" s="205">
        <f t="shared" si="29"/>
        <v>0</v>
      </c>
      <c r="F138" s="321" t="str">
        <f t="shared" si="20"/>
        <v/>
      </c>
      <c r="G138" s="225">
        <f t="shared" si="27"/>
        <v>0</v>
      </c>
      <c r="H138" s="204" t="e">
        <f t="shared" si="19"/>
        <v>#DIV/0!</v>
      </c>
      <c r="I138" s="321" t="str">
        <f t="shared" ref="I138:I202" si="30">IF(G138=0,"",IF(E138=0,"",(G138/E138)-1))</f>
        <v/>
      </c>
      <c r="J138" s="524"/>
      <c r="K138" s="504"/>
      <c r="L138" s="504"/>
      <c r="M138" s="504"/>
    </row>
    <row r="139" spans="1:13" customFormat="1" ht="12.75" hidden="1" outlineLevel="1" x14ac:dyDescent="0.2">
      <c r="A139" s="3"/>
      <c r="B139" s="212" t="s">
        <v>515</v>
      </c>
      <c r="C139" s="205"/>
      <c r="D139" s="205"/>
      <c r="E139" s="205"/>
      <c r="F139" s="321" t="str">
        <f t="shared" si="20"/>
        <v/>
      </c>
      <c r="G139" s="225"/>
      <c r="H139" s="204"/>
      <c r="I139" s="321" t="str">
        <f t="shared" si="30"/>
        <v/>
      </c>
      <c r="J139" s="524"/>
      <c r="K139" s="504"/>
      <c r="L139" s="504"/>
      <c r="M139" s="504"/>
    </row>
    <row r="140" spans="1:13" customFormat="1" ht="12.75" hidden="1" outlineLevel="1" x14ac:dyDescent="0.2">
      <c r="A140" s="3">
        <v>5155050000</v>
      </c>
      <c r="B140" s="207" t="s">
        <v>61</v>
      </c>
      <c r="C140" s="205">
        <f>IFERROR(VLOOKUP(A:A,'PPTO 2017'!A:D,3,0),0)</f>
        <v>6000</v>
      </c>
      <c r="D140" s="205">
        <f>IFERROR(VLOOKUP(A:A,EJEC!A:G,5,0),0)</f>
        <v>0</v>
      </c>
      <c r="E140" s="205">
        <v>5650</v>
      </c>
      <c r="F140" s="321">
        <f t="shared" ref="F140:F204" si="31">IF(E140=0,"",IF(C140=0,"",(E140/C140)))</f>
        <v>0.94166666666666665</v>
      </c>
      <c r="G140" s="226">
        <f ca="1">(SUMIF(HONORARIOS!$B$27:$B$129,A140,HONORARIOS!$G$27:$G$129)+SUMIF(ASESOR.Y.CONSULT.!$A$7:$A$25,PRESUPUESTO!A140,ASESOR.Y.CONSULT.!$N$7:$N$25)+SUMIF('PROY INVEST.'!$A$5:$A$26,PRESUPUESTO!A140,'PROY INVEST.'!$N$5:$N$26)+SUMIF(P.PROY.SOCIAL!$A$5:$A$28,PRESUPUESTO!A140,P.PROY.SOCIAL!$N$5:$N$28)+SUMIF(GEST.REC.HUM.!$A$6:$A$39,PRESUPUESTO!A140,GEST.REC.HUM.!$M$6:$M$39)+SUMIF('OTRAS ACTIV.'!$A$6:$A$39,PRESUPUESTO!A140,'OTRAS ACTIV.'!$N$6:$N$39)+SUMIF('ADICIONALES PD'!A$6:$A23,PRESUPUESTO!A140,'ADICIONALES PD'!$N$6:$N$23)+SUMIF(SALIDAS!$A$6:$A$19,PRESUPUESTO!A140,SALIDAS!$AE$6:$AE$19)+SUMIF(BIBLIOTECA!$A$7:$A$41,PRESUPUESTO!A140,BIBLIOTECA!$F$5:$F$41)+SUMIF(AFILIACIONES!$A$5:$A$25,PRESUPUESTO!A140,AFILIACIONES!$E$5:$E$25)+SUMIF(IMPRESOS.PUBLIC!$A$7:$A$34,PRESUPUESTO!A140,IMPRESOS.PUBLIC!$D$7:$D$34)+SUMIF(MANTEN.EQUIP.!$A$7:$A$27,PRESUPUESTO!A140,MANTEN.EQUIP.!$D$8:$D$27)+SUMIF(INVER.EQUIPO.COMP!$A$7:$A$37,PRESUPUESTO!A140,INVER.EQUIPO.COMP!$E$8:$E$37)+SUMIF(INVER.OTROS.EQUIPOS!$A$7:$A$37,PRESUPUESTO!A140,INVER.OTROS.EQUIPOS!$E$7:$E$37)+SUMIF(INVER.MUEBLES!$A$7:$A$35,PRESUPUESTO!A140,INVER.MUEBLES!$E$7:$E$35)+SUMIF(ADECUAC.LOCATIVAS!$A$7:$A$29,PRESUPUESTO!A140,ADECUAC.LOCATIVAS!$E$7:$E$29))/1000</f>
        <v>6400</v>
      </c>
      <c r="H140" s="204">
        <f t="shared" ca="1" si="19"/>
        <v>0.13274336283185839</v>
      </c>
      <c r="I140" s="321">
        <f t="shared" ca="1" si="30"/>
        <v>0.13274336283185839</v>
      </c>
      <c r="J140" s="524"/>
      <c r="K140" s="504"/>
      <c r="L140" s="504"/>
      <c r="M140" s="504"/>
    </row>
    <row r="141" spans="1:13" customFormat="1" ht="12.75" hidden="1" outlineLevel="1" x14ac:dyDescent="0.2">
      <c r="A141" s="3">
        <v>5155150000</v>
      </c>
      <c r="B141" s="207" t="s">
        <v>62</v>
      </c>
      <c r="C141" s="205">
        <f>IFERROR(VLOOKUP(A:A,'PPTO 2017'!A:D,3,0),0)</f>
        <v>5500</v>
      </c>
      <c r="D141" s="205">
        <f>IFERROR(VLOOKUP(A:A,EJEC!A:G,5,0),0)</f>
        <v>0</v>
      </c>
      <c r="E141" s="205">
        <v>4950</v>
      </c>
      <c r="F141" s="321">
        <f t="shared" si="31"/>
        <v>0.9</v>
      </c>
      <c r="G141" s="226">
        <f ca="1">(SUMIF(HONORARIOS!$B$27:$B$129,A141,HONORARIOS!$G$27:$G$129)+SUMIF(ASESOR.Y.CONSULT.!$A$7:$A$25,PRESUPUESTO!A141,ASESOR.Y.CONSULT.!$N$7:$N$25)+SUMIF('PROY INVEST.'!$A$5:$A$26,PRESUPUESTO!A141,'PROY INVEST.'!$N$5:$N$26)+SUMIF(P.PROY.SOCIAL!$A$5:$A$28,PRESUPUESTO!A141,P.PROY.SOCIAL!$N$5:$N$28)+SUMIF(GEST.REC.HUM.!$A$6:$A$39,PRESUPUESTO!A141,GEST.REC.HUM.!$M$6:$M$39)+SUMIF('OTRAS ACTIV.'!$A$6:$A$39,PRESUPUESTO!A141,'OTRAS ACTIV.'!$N$6:$N$39)+SUMIF('ADICIONALES PD'!A$6:$A23,PRESUPUESTO!A141,'ADICIONALES PD'!$N$6:$N$23)+SUMIF(SALIDAS!$A$6:$A$19,PRESUPUESTO!A141,SALIDAS!$AE$6:$AE$19)+SUMIF(BIBLIOTECA!$A$7:$A$41,PRESUPUESTO!A141,BIBLIOTECA!$F$5:$F$41)+SUMIF(AFILIACIONES!$A$5:$A$25,PRESUPUESTO!A141,AFILIACIONES!$E$5:$E$25)+SUMIF(IMPRESOS.PUBLIC!$A$7:$A$34,PRESUPUESTO!A141,IMPRESOS.PUBLIC!$D$7:$D$34)+SUMIF(MANTEN.EQUIP.!$A$7:$A$27,PRESUPUESTO!A141,MANTEN.EQUIP.!$D$8:$D$27)+SUMIF(INVER.EQUIPO.COMP!$A$7:$A$37,PRESUPUESTO!A141,INVER.EQUIPO.COMP!$E$8:$E$37)+SUMIF(INVER.OTROS.EQUIPOS!$A$7:$A$37,PRESUPUESTO!A141,INVER.OTROS.EQUIPOS!$E$7:$E$37)+SUMIF(INVER.MUEBLES!$A$7:$A$35,PRESUPUESTO!A141,INVER.MUEBLES!$E$7:$E$35)+SUMIF(ADECUAC.LOCATIVAS!$A$7:$A$29,PRESUPUESTO!A141,ADECUAC.LOCATIVAS!$E$7:$E$29))/1000</f>
        <v>7500</v>
      </c>
      <c r="H141" s="204">
        <f t="shared" ref="H141:H175" ca="1" si="32">(+G141/E141)-1</f>
        <v>0.51515151515151514</v>
      </c>
      <c r="I141" s="321">
        <f t="shared" ca="1" si="30"/>
        <v>0.51515151515151514</v>
      </c>
      <c r="J141" s="524"/>
      <c r="K141" s="504"/>
      <c r="L141" s="504"/>
      <c r="M141" s="504"/>
    </row>
    <row r="142" spans="1:13" customFormat="1" ht="12.75" hidden="1" outlineLevel="1" x14ac:dyDescent="0.2">
      <c r="A142" s="3">
        <v>5155200000</v>
      </c>
      <c r="B142" s="207" t="s">
        <v>63</v>
      </c>
      <c r="C142" s="205">
        <f>IFERROR(VLOOKUP(A:A,'PPTO 2017'!A:D,3,0),0)</f>
        <v>1583.6000000000001</v>
      </c>
      <c r="D142" s="205">
        <f>IFERROR(VLOOKUP(A:A,EJEC!A:G,5,0),0)</f>
        <v>0</v>
      </c>
      <c r="E142" s="205">
        <v>1250</v>
      </c>
      <c r="F142" s="321">
        <f t="shared" si="31"/>
        <v>0.78934074261177056</v>
      </c>
      <c r="G142" s="225">
        <v>0</v>
      </c>
      <c r="H142" s="204">
        <f t="shared" si="32"/>
        <v>-1</v>
      </c>
      <c r="I142" s="321" t="str">
        <f t="shared" si="30"/>
        <v/>
      </c>
      <c r="J142" s="524"/>
      <c r="K142" s="504"/>
      <c r="L142" s="504"/>
      <c r="M142" s="504"/>
    </row>
    <row r="143" spans="1:13" customFormat="1" ht="12.75" hidden="1" outlineLevel="1" x14ac:dyDescent="0.2">
      <c r="A143" s="3">
        <v>5155950100</v>
      </c>
      <c r="B143" s="207" t="s">
        <v>285</v>
      </c>
      <c r="C143" s="205">
        <f>IFERROR(VLOOKUP(A:A,'PPTO 2017'!A:D,3,0),0)</f>
        <v>450</v>
      </c>
      <c r="D143" s="205">
        <f>IFERROR(VLOOKUP(A:A,EJEC!A:G,5,0),0)</f>
        <v>0</v>
      </c>
      <c r="E143" s="205">
        <f t="shared" ref="E143:E144" si="33">+D143/8*12</f>
        <v>0</v>
      </c>
      <c r="F143" s="321" t="str">
        <f t="shared" si="31"/>
        <v/>
      </c>
      <c r="G143" s="315">
        <f>SALIDAS!AE17/1000</f>
        <v>600</v>
      </c>
      <c r="H143" s="204" t="e">
        <f t="shared" si="32"/>
        <v>#DIV/0!</v>
      </c>
      <c r="I143" s="321" t="str">
        <f t="shared" si="30"/>
        <v/>
      </c>
      <c r="J143" s="524"/>
      <c r="K143" s="504"/>
      <c r="L143" s="504"/>
      <c r="M143" s="504"/>
    </row>
    <row r="144" spans="1:13" customFormat="1" ht="12.75" hidden="1" outlineLevel="1" x14ac:dyDescent="0.2">
      <c r="A144" s="3">
        <v>5155950200</v>
      </c>
      <c r="B144" s="207" t="s">
        <v>286</v>
      </c>
      <c r="C144" s="205">
        <f>IFERROR(VLOOKUP(A:A,'PPTO 2017'!A:D,3,0),0)</f>
        <v>0</v>
      </c>
      <c r="D144" s="205">
        <f>IFERROR(VLOOKUP(A:A,EJEC!A:G,5,0),0)</f>
        <v>0</v>
      </c>
      <c r="E144" s="205">
        <f t="shared" si="33"/>
        <v>0</v>
      </c>
      <c r="F144" s="321" t="str">
        <f t="shared" si="31"/>
        <v/>
      </c>
      <c r="G144" s="225">
        <f t="shared" ref="G144" si="34">+E144*$O$2</f>
        <v>0</v>
      </c>
      <c r="H144" s="204" t="e">
        <f t="shared" si="32"/>
        <v>#DIV/0!</v>
      </c>
      <c r="I144" s="321" t="str">
        <f t="shared" si="30"/>
        <v/>
      </c>
      <c r="J144" s="524"/>
      <c r="K144" s="504"/>
      <c r="L144" s="504"/>
      <c r="M144" s="504"/>
    </row>
    <row r="145" spans="1:13" customFormat="1" ht="12.75" hidden="1" outlineLevel="1" x14ac:dyDescent="0.2">
      <c r="A145" s="3"/>
      <c r="B145" s="317" t="s">
        <v>516</v>
      </c>
      <c r="C145" s="205"/>
      <c r="D145" s="205"/>
      <c r="E145" s="205"/>
      <c r="F145" s="321" t="str">
        <f t="shared" si="31"/>
        <v/>
      </c>
      <c r="G145" s="225"/>
      <c r="H145" s="204"/>
      <c r="I145" s="321" t="str">
        <f t="shared" si="30"/>
        <v/>
      </c>
      <c r="J145" s="524"/>
      <c r="K145" s="504"/>
      <c r="L145" s="504"/>
      <c r="M145" s="504"/>
    </row>
    <row r="146" spans="1:13" customFormat="1" ht="12.75" hidden="1" outlineLevel="1" x14ac:dyDescent="0.2">
      <c r="A146" s="3">
        <v>5165951000</v>
      </c>
      <c r="B146" s="316" t="s">
        <v>93</v>
      </c>
      <c r="C146" s="205">
        <f>IFERROR(VLOOKUP(A:A,'PPTO 2017'!A:D,3,0),0)</f>
        <v>3000</v>
      </c>
      <c r="D146" s="205">
        <f>IFERROR(VLOOKUP(A:A,EJEC!A:G,5,0),0)</f>
        <v>11.824</v>
      </c>
      <c r="E146" s="205">
        <f>+D146/8*12</f>
        <v>17.736000000000001</v>
      </c>
      <c r="F146" s="321">
        <f t="shared" si="31"/>
        <v>5.9120000000000006E-3</v>
      </c>
      <c r="G146" s="226">
        <f>+BIBLIOTECA!F41/1000-G169</f>
        <v>667.33500000000004</v>
      </c>
      <c r="H146" s="204">
        <f t="shared" si="32"/>
        <v>36.626014884979703</v>
      </c>
      <c r="I146" s="321">
        <f t="shared" si="30"/>
        <v>36.626014884979703</v>
      </c>
      <c r="J146" s="524"/>
      <c r="K146" s="504"/>
      <c r="L146" s="504"/>
      <c r="M146" s="504"/>
    </row>
    <row r="147" spans="1:13" customFormat="1" ht="12.75" hidden="1" outlineLevel="1" x14ac:dyDescent="0.2">
      <c r="A147" s="3"/>
      <c r="B147" s="317" t="s">
        <v>517</v>
      </c>
      <c r="C147" s="205"/>
      <c r="D147" s="205"/>
      <c r="E147" s="205"/>
      <c r="F147" s="321" t="str">
        <f t="shared" si="31"/>
        <v/>
      </c>
      <c r="G147" s="225"/>
      <c r="H147" s="204"/>
      <c r="I147" s="321" t="str">
        <f t="shared" si="30"/>
        <v/>
      </c>
      <c r="J147" s="524"/>
      <c r="K147" s="504"/>
      <c r="L147" s="504"/>
      <c r="M147" s="504"/>
    </row>
    <row r="148" spans="1:13" customFormat="1" ht="12.75" hidden="1" outlineLevel="1" x14ac:dyDescent="0.2">
      <c r="A148" s="3">
        <v>5195100000</v>
      </c>
      <c r="B148" s="207" t="s">
        <v>65</v>
      </c>
      <c r="C148" s="205">
        <f>IFERROR(VLOOKUP(A:A,'PPTO 2017'!A:D,3,0),0)</f>
        <v>0</v>
      </c>
      <c r="D148" s="205">
        <f>IFERROR(VLOOKUP(A:A,EJEC!A:G,5,0),0)</f>
        <v>24.306000000000001</v>
      </c>
      <c r="E148" s="205">
        <f t="shared" ref="E148:E175" si="35">+D148/8*12</f>
        <v>36.459000000000003</v>
      </c>
      <c r="F148" s="321" t="str">
        <f t="shared" si="31"/>
        <v/>
      </c>
      <c r="G148" s="225">
        <f t="shared" ref="G148" si="36">+E148*$O$2</f>
        <v>38.281950000000002</v>
      </c>
      <c r="H148" s="204">
        <f t="shared" si="32"/>
        <v>5.0000000000000044E-2</v>
      </c>
      <c r="I148" s="321">
        <f t="shared" si="30"/>
        <v>5.0000000000000044E-2</v>
      </c>
      <c r="J148" s="524"/>
      <c r="K148" s="504"/>
      <c r="L148" s="504"/>
      <c r="M148" s="504"/>
    </row>
    <row r="149" spans="1:13" customFormat="1" ht="12.75" hidden="1" outlineLevel="1" x14ac:dyDescent="0.2">
      <c r="A149" s="3">
        <v>5195200000</v>
      </c>
      <c r="B149" s="207" t="s">
        <v>66</v>
      </c>
      <c r="C149" s="205">
        <f>IFERROR(VLOOKUP(A:A,'PPTO 2017'!A:D,3,0),0)</f>
        <v>10600</v>
      </c>
      <c r="D149" s="205">
        <f>IFERROR(VLOOKUP(A:A,EJEC!A:G,5,0),0)</f>
        <v>135.37299999999999</v>
      </c>
      <c r="E149" s="205">
        <v>4203</v>
      </c>
      <c r="F149" s="321">
        <f t="shared" si="31"/>
        <v>0.39650943396226412</v>
      </c>
      <c r="G149" s="226">
        <f ca="1">(SUMIF(HONORARIOS!$B$27:$B$129,A149,HONORARIOS!$G$27:$G$129)+SUMIF(ASESOR.Y.CONSULT.!$A$7:$A$25,PRESUPUESTO!A149,ASESOR.Y.CONSULT.!$N$7:$N$25)+SUMIF('PROY INVEST.'!$A$5:$A$26,PRESUPUESTO!A149,'PROY INVEST.'!$N$5:$N$26)+SUMIF(P.PROY.SOCIAL!$A$5:$A$28,PRESUPUESTO!A149,P.PROY.SOCIAL!$N$5:$N$28)+SUMIF(GEST.REC.HUM.!$A$6:$A$39,PRESUPUESTO!A149,GEST.REC.HUM.!$M$6:$M$39)+SUMIF('OTRAS ACTIV.'!$A$6:$A$39,PRESUPUESTO!A149,'OTRAS ACTIV.'!$N$6:$N$39)+SUMIF('ADICIONALES PD'!A$6:$A23,PRESUPUESTO!A149,'ADICIONALES PD'!$N$6:$N$23)+SUMIF(SALIDAS!$A$6:$A$19,PRESUPUESTO!A149,SALIDAS!$AE$6:$AE$19)+SUMIF(BIBLIOTECA!$A$7:$A$41,PRESUPUESTO!A149,BIBLIOTECA!$F$5:$F$41)+SUMIF(AFILIACIONES!$A$5:$A$25,PRESUPUESTO!A149,AFILIACIONES!$E$5:$E$25)+SUMIF(IMPRESOS.PUBLIC!$A$7:$A$34,PRESUPUESTO!A149,IMPRESOS.PUBLIC!$D$7:$D$34)+SUMIF(MANTEN.EQUIP.!$A$7:$A$27,PRESUPUESTO!A149,MANTEN.EQUIP.!$D$8:$D$27)+SUMIF(INVER.EQUIPO.COMP!$A$7:$A$37,PRESUPUESTO!A149,INVER.EQUIPO.COMP!$E$8:$E$37)+SUMIF(INVER.OTROS.EQUIPOS!$A$7:$A$37,PRESUPUESTO!A149,INVER.OTROS.EQUIPOS!$E$7:$E$37)+SUMIF(INVER.MUEBLES!$A$7:$A$35,PRESUPUESTO!A149,INVER.MUEBLES!$E$7:$E$35)+SUMIF(ADECUAC.LOCATIVAS!$A$7:$A$29,PRESUPUESTO!A149,ADECUAC.LOCATIVAS!$E$7:$E$29))/1000</f>
        <v>11100</v>
      </c>
      <c r="H149" s="204">
        <f t="shared" ca="1" si="32"/>
        <v>1.6409707351891507</v>
      </c>
      <c r="I149" s="321">
        <f t="shared" ca="1" si="30"/>
        <v>1.6409707351891507</v>
      </c>
      <c r="J149" s="524"/>
      <c r="K149" s="504"/>
      <c r="L149" s="504"/>
      <c r="M149" s="504"/>
    </row>
    <row r="150" spans="1:13" customFormat="1" ht="12.75" hidden="1" outlineLevel="1" x14ac:dyDescent="0.2">
      <c r="A150" s="3">
        <v>5195250000</v>
      </c>
      <c r="B150" s="207" t="s">
        <v>67</v>
      </c>
      <c r="C150" s="205">
        <f>IFERROR(VLOOKUP(A:A,'PPTO 2017'!A:D,3,0),0)</f>
        <v>1979.5000000000002</v>
      </c>
      <c r="D150" s="205">
        <f>IFERROR(VLOOKUP(A:A,EJEC!A:G,5,0),0)</f>
        <v>1524.1969999999999</v>
      </c>
      <c r="E150" s="205">
        <f t="shared" si="35"/>
        <v>2286.2954999999997</v>
      </c>
      <c r="F150" s="321">
        <f t="shared" si="31"/>
        <v>1.1549863601919674</v>
      </c>
      <c r="G150" s="225">
        <f t="shared" ref="G150" si="37">+E150*$O$2</f>
        <v>2400.610275</v>
      </c>
      <c r="H150" s="204">
        <f t="shared" si="32"/>
        <v>5.0000000000000044E-2</v>
      </c>
      <c r="I150" s="321">
        <f t="shared" si="30"/>
        <v>5.0000000000000044E-2</v>
      </c>
      <c r="J150" s="524"/>
      <c r="K150" s="504"/>
      <c r="L150" s="504"/>
      <c r="M150" s="504"/>
    </row>
    <row r="151" spans="1:13" customFormat="1" ht="12.75" hidden="1" outlineLevel="1" x14ac:dyDescent="0.2">
      <c r="A151" s="3">
        <v>5195300000</v>
      </c>
      <c r="B151" s="207" t="s">
        <v>68</v>
      </c>
      <c r="C151" s="205">
        <f>IFERROR(VLOOKUP(A:A,'PPTO 2017'!A:D,3,0),0)</f>
        <v>4879.2000000000007</v>
      </c>
      <c r="D151" s="205">
        <f>IFERROR(VLOOKUP(A:A,EJEC!A:G,5,0),0)</f>
        <v>2488.6930000000002</v>
      </c>
      <c r="E151" s="205">
        <f t="shared" si="35"/>
        <v>3733.0395000000003</v>
      </c>
      <c r="F151" s="321">
        <f t="shared" si="31"/>
        <v>0.76509253566158386</v>
      </c>
      <c r="G151" s="226">
        <f ca="1">E151*$O$2+(SUMIF(HONORARIOS!$B$27:$B$129,A151,HONORARIOS!$G$27:$G$129)+SUMIF(ASESOR.Y.CONSULT.!$A$7:$A$25,PRESUPUESTO!A151,ASESOR.Y.CONSULT.!$N$7:$N$25)+SUMIF('PROY INVEST.'!$A$5:$A$26,PRESUPUESTO!A151,'PROY INVEST.'!$N$5:$N$26)+SUMIF(P.PROY.SOCIAL!$A$5:$A$28,PRESUPUESTO!A151,P.PROY.SOCIAL!$N$5:$N$28)+SUMIF(GEST.REC.HUM.!$A$6:$A$39,PRESUPUESTO!A151,GEST.REC.HUM.!$M$6:$M$39)+SUMIF('OTRAS ACTIV.'!$A$6:$A$39,PRESUPUESTO!A151,'OTRAS ACTIV.'!$N$6:$N$39)+SUMIF('ADICIONALES PD'!A$6:$A23,PRESUPUESTO!A151,'ADICIONALES PD'!$N$6:$N$23)+SUMIF(SALIDAS!$A$6:$A$19,PRESUPUESTO!A151,SALIDAS!$AE$6:$AE$19)+SUMIF(BIBLIOTECA!$A$7:$A$41,PRESUPUESTO!A151,BIBLIOTECA!$F$5:$F$41)+SUMIF(AFILIACIONES!$A$5:$A$25,PRESUPUESTO!A151,AFILIACIONES!$E$5:$E$25)+SUMIF(IMPRESOS.PUBLIC!$A$7:$A$34,PRESUPUESTO!A151,IMPRESOS.PUBLIC!$D$7:$D$34)+SUMIF(MANTEN.EQUIP.!$A$7:$A$27,PRESUPUESTO!A151,MANTEN.EQUIP.!$D$8:$D$27)+SUMIF(INVER.EQUIPO.COMP!$A$7:$A$37,PRESUPUESTO!A151,INVER.EQUIPO.COMP!$E$8:$E$37)+SUMIF(INVER.OTROS.EQUIPOS!$A$7:$A$37,PRESUPUESTO!A151,INVER.OTROS.EQUIPOS!$E$7:$E$37)+SUMIF(INVER.MUEBLES!$A$7:$A$35,PRESUPUESTO!A151,INVER.MUEBLES!$E$7:$E$35)+SUMIF(ADECUAC.LOCATIVAS!$A$7:$A$29,PRESUPUESTO!A151,ADECUAC.LOCATIVAS!$E$7:$E$29))/1000</f>
        <v>3919.6914750000005</v>
      </c>
      <c r="H151" s="204">
        <f t="shared" ca="1" si="32"/>
        <v>5.0000000000000044E-2</v>
      </c>
      <c r="I151" s="321">
        <f t="shared" ca="1" si="30"/>
        <v>5.0000000000000044E-2</v>
      </c>
      <c r="J151" s="524"/>
      <c r="K151" s="504"/>
      <c r="L151" s="504"/>
      <c r="M151" s="504"/>
    </row>
    <row r="152" spans="1:13" customFormat="1" ht="12.75" hidden="1" outlineLevel="1" x14ac:dyDescent="0.2">
      <c r="A152" s="3">
        <v>5195350000</v>
      </c>
      <c r="B152" s="207" t="s">
        <v>287</v>
      </c>
      <c r="C152" s="205">
        <f>IFERROR(VLOOKUP(A:A,'PPTO 2017'!A:D,3,0),0)</f>
        <v>0</v>
      </c>
      <c r="D152" s="205">
        <f>IFERROR(VLOOKUP(A:A,EJEC!A:G,5,0),0)</f>
        <v>0</v>
      </c>
      <c r="E152" s="205">
        <f t="shared" si="35"/>
        <v>0</v>
      </c>
      <c r="F152" s="321" t="str">
        <f t="shared" si="31"/>
        <v/>
      </c>
      <c r="G152" s="225">
        <f t="shared" ref="G152" si="38">+E152*$O$2</f>
        <v>0</v>
      </c>
      <c r="H152" s="204" t="e">
        <f t="shared" si="32"/>
        <v>#DIV/0!</v>
      </c>
      <c r="I152" s="321" t="str">
        <f t="shared" si="30"/>
        <v/>
      </c>
      <c r="J152" s="524"/>
      <c r="K152" s="504"/>
      <c r="L152" s="504"/>
      <c r="M152" s="504"/>
    </row>
    <row r="153" spans="1:13" customFormat="1" ht="12.75" hidden="1" outlineLevel="1" x14ac:dyDescent="0.2">
      <c r="A153" s="3">
        <v>5195450000</v>
      </c>
      <c r="B153" s="207" t="s">
        <v>69</v>
      </c>
      <c r="C153" s="205">
        <f>IFERROR(VLOOKUP(A:A,'PPTO 2017'!A:D,3,0),0)</f>
        <v>7839.5</v>
      </c>
      <c r="D153" s="205">
        <f>IFERROR(VLOOKUP(A:A,EJEC!A:G,5,0),0)</f>
        <v>809.44799999999998</v>
      </c>
      <c r="E153" s="205">
        <v>3214</v>
      </c>
      <c r="F153" s="321">
        <f t="shared" si="31"/>
        <v>0.40997512596466612</v>
      </c>
      <c r="G153" s="226">
        <f ca="1">(SUMIF(HONORARIOS!$B$27:$B$129,A153,HONORARIOS!$G$27:$G$129)+SUMIF(ASESOR.Y.CONSULT.!$A$7:$A$25,PRESUPUESTO!A153,ASESOR.Y.CONSULT.!$N$7:$N$25)+SUMIF('PROY INVEST.'!$A$5:$A$26,PRESUPUESTO!A153,'PROY INVEST.'!$N$5:$N$26)+SUMIF(P.PROY.SOCIAL!$A$5:$A$28,PRESUPUESTO!A153,P.PROY.SOCIAL!$N$5:$N$28)+SUMIF(GEST.REC.HUM.!$A$6:$A$39,PRESUPUESTO!A153,GEST.REC.HUM.!$M$6:$M$39)+SUMIF('OTRAS ACTIV.'!$A$6:$A$39,PRESUPUESTO!A153,'OTRAS ACTIV.'!$N$6:$N$39)+SUMIF('ADICIONALES PD'!A$6:$A23,PRESUPUESTO!A153,'ADICIONALES PD'!$N$6:$N$23)+SUMIF(SALIDAS!$A$6:$A$19,PRESUPUESTO!A153,SALIDAS!$AE$6:$AE$19)+SUMIF(BIBLIOTECA!$A$7:$A$41,PRESUPUESTO!A153,BIBLIOTECA!$F$5:$F$41)+SUMIF(AFILIACIONES!$A$5:$A$25,PRESUPUESTO!A153,AFILIACIONES!$E$5:$E$25)+SUMIF(IMPRESOS.PUBLIC!$A$7:$A$34,PRESUPUESTO!A153,IMPRESOS.PUBLIC!$D$7:$D$34)+SUMIF(MANTEN.EQUIP.!$A$7:$A$27,PRESUPUESTO!A153,MANTEN.EQUIP.!$D$8:$D$27)+SUMIF(INVER.EQUIPO.COMP!$A$7:$A$37,PRESUPUESTO!A153,INVER.EQUIPO.COMP!$E$8:$E$37)+SUMIF(INVER.OTROS.EQUIPOS!$A$7:$A$37,PRESUPUESTO!A153,INVER.OTROS.EQUIPOS!$E$7:$E$37)+SUMIF(INVER.MUEBLES!$A$7:$A$35,PRESUPUESTO!A153,INVER.MUEBLES!$E$7:$E$35)+SUMIF(ADECUAC.LOCATIVAS!$A$7:$A$29,PRESUPUESTO!A153,ADECUAC.LOCATIVAS!$E$7:$E$29))/1000</f>
        <v>5100</v>
      </c>
      <c r="H153" s="204">
        <f t="shared" ca="1" si="32"/>
        <v>0.58680771624144379</v>
      </c>
      <c r="I153" s="321">
        <f t="shared" ca="1" si="30"/>
        <v>0.58680771624144379</v>
      </c>
      <c r="J153" s="524"/>
      <c r="K153" s="504"/>
      <c r="L153" s="504"/>
      <c r="M153" s="504"/>
    </row>
    <row r="154" spans="1:13" customFormat="1" ht="12.75" hidden="1" outlineLevel="1" x14ac:dyDescent="0.2">
      <c r="A154" s="3">
        <v>5195500000</v>
      </c>
      <c r="B154" s="207" t="s">
        <v>332</v>
      </c>
      <c r="C154" s="205">
        <f>IFERROR(VLOOKUP(A:A,'PPTO 2017'!A:D,3,0),0)</f>
        <v>0</v>
      </c>
      <c r="D154" s="205">
        <f>IFERROR(VLOOKUP(A:A,EJEC!A:G,5,0),0)</f>
        <v>0</v>
      </c>
      <c r="E154" s="205">
        <f t="shared" si="35"/>
        <v>0</v>
      </c>
      <c r="F154" s="321" t="str">
        <f t="shared" si="31"/>
        <v/>
      </c>
      <c r="G154" s="225">
        <f t="shared" ref="G154:G155" si="39">+E154*$O$2</f>
        <v>0</v>
      </c>
      <c r="H154" s="204" t="e">
        <f t="shared" si="32"/>
        <v>#DIV/0!</v>
      </c>
      <c r="I154" s="321" t="str">
        <f t="shared" si="30"/>
        <v/>
      </c>
      <c r="J154" s="524"/>
      <c r="K154" s="504"/>
      <c r="L154" s="504"/>
      <c r="M154" s="504"/>
    </row>
    <row r="155" spans="1:13" customFormat="1" ht="12.75" hidden="1" outlineLevel="1" x14ac:dyDescent="0.2">
      <c r="A155" s="3">
        <v>5195650000</v>
      </c>
      <c r="B155" s="207" t="s">
        <v>333</v>
      </c>
      <c r="C155" s="205">
        <f>IFERROR(VLOOKUP(A:A,'PPTO 2017'!A:D,3,0),0)</f>
        <v>0</v>
      </c>
      <c r="D155" s="205">
        <f>IFERROR(VLOOKUP(A:A,EJEC!A:G,5,0),0)</f>
        <v>0</v>
      </c>
      <c r="E155" s="205">
        <f t="shared" si="35"/>
        <v>0</v>
      </c>
      <c r="F155" s="321" t="str">
        <f t="shared" si="31"/>
        <v/>
      </c>
      <c r="G155" s="225">
        <f t="shared" si="39"/>
        <v>0</v>
      </c>
      <c r="H155" s="204" t="e">
        <f t="shared" si="32"/>
        <v>#DIV/0!</v>
      </c>
      <c r="I155" s="321" t="str">
        <f t="shared" si="30"/>
        <v/>
      </c>
      <c r="J155" s="524"/>
      <c r="K155" s="504"/>
      <c r="L155" s="504"/>
      <c r="M155" s="504"/>
    </row>
    <row r="156" spans="1:13" customFormat="1" ht="12.75" hidden="1" outlineLevel="1" x14ac:dyDescent="0.2">
      <c r="A156" s="3">
        <v>5195950100</v>
      </c>
      <c r="B156" s="207" t="s">
        <v>54</v>
      </c>
      <c r="C156" s="205">
        <f>IFERROR(VLOOKUP(A:A,'PPTO 2017'!A:D,3,0),0)</f>
        <v>16500</v>
      </c>
      <c r="D156" s="205">
        <f>IFERROR(VLOOKUP(A:A,EJEC!A:G,5,0),0)</f>
        <v>4238.1970000000001</v>
      </c>
      <c r="E156" s="205">
        <v>13357</v>
      </c>
      <c r="F156" s="321">
        <f t="shared" si="31"/>
        <v>0.80951515151515152</v>
      </c>
      <c r="G156" s="226">
        <f ca="1">(SUMIF(HONORARIOS!$B$27:$B$129,A156,HONORARIOS!$G$27:$G$129)+SUMIF(ASESOR.Y.CONSULT.!$A$7:$A$25,PRESUPUESTO!A156,ASESOR.Y.CONSULT.!$N$7:$N$25)+SUMIF('PROY INVEST.'!$A$5:$A$26,PRESUPUESTO!A156,'PROY INVEST.'!$N$5:$N$26)+SUMIF(P.PROY.SOCIAL!$A$5:$A$28,PRESUPUESTO!A156,P.PROY.SOCIAL!$N$5:$N$28)+SUMIF(GEST.REC.HUM.!$A$6:$A$39,PRESUPUESTO!A156,GEST.REC.HUM.!$M$6:$M$39)+SUMIF('OTRAS ACTIV.'!$A$6:$A$39,PRESUPUESTO!A156,'OTRAS ACTIV.'!$N$6:$N$39)+SUMIF('ADICIONALES PD'!A$6:$A23,PRESUPUESTO!A156,'ADICIONALES PD'!$N$6:$N$23)+SUMIF(SALIDAS!$A$6:$A$19,PRESUPUESTO!A156,SALIDAS!$AE$6:$AE$19)+SUMIF(BIBLIOTECA!$A$7:$A$41,PRESUPUESTO!A156,BIBLIOTECA!$F$5:$F$41)+SUMIF(AFILIACIONES!$A$5:$A$25,PRESUPUESTO!A156,AFILIACIONES!$E$5:$E$25)+SUMIF(IMPRESOS.PUBLIC!$A$7:$A$34,PRESUPUESTO!A156,IMPRESOS.PUBLIC!$D$7:$D$34)+SUMIF(MANTEN.EQUIP.!$A$7:$A$27,PRESUPUESTO!A156,MANTEN.EQUIP.!$D$8:$D$27)+SUMIF(INVER.EQUIPO.COMP!$A$7:$A$37,PRESUPUESTO!A156,INVER.EQUIPO.COMP!$E$8:$E$37)+SUMIF(INVER.OTROS.EQUIPOS!$A$7:$A$37,PRESUPUESTO!A156,INVER.OTROS.EQUIPOS!$E$7:$E$37)+SUMIF(INVER.MUEBLES!$A$7:$A$35,PRESUPUESTO!A156,INVER.MUEBLES!$E$7:$E$35)+SUMIF(ADECUAC.LOCATIVAS!$A$7:$A$29,PRESUPUESTO!A156,ADECUAC.LOCATIVAS!$E$7:$E$29))/1000</f>
        <v>10000</v>
      </c>
      <c r="H156" s="204">
        <f t="shared" ca="1" si="32"/>
        <v>-0.25132889121808788</v>
      </c>
      <c r="I156" s="321">
        <f t="shared" ca="1" si="30"/>
        <v>-0.25132889121808788</v>
      </c>
      <c r="J156" s="524"/>
      <c r="K156" s="504"/>
      <c r="L156" s="504"/>
      <c r="M156" s="504"/>
    </row>
    <row r="157" spans="1:13" customFormat="1" ht="12.75" hidden="1" outlineLevel="1" x14ac:dyDescent="0.2">
      <c r="A157" s="3">
        <v>5195950200</v>
      </c>
      <c r="B157" s="207" t="s">
        <v>70</v>
      </c>
      <c r="C157" s="205">
        <f>IFERROR(VLOOKUP(A:A,'PPTO 2017'!A:D,3,0),0)</f>
        <v>0</v>
      </c>
      <c r="D157" s="205">
        <f>IFERROR(VLOOKUP(A:A,EJEC!A:G,5,0),0)</f>
        <v>0</v>
      </c>
      <c r="E157" s="205">
        <f t="shared" si="35"/>
        <v>0</v>
      </c>
      <c r="F157" s="321" t="str">
        <f t="shared" si="31"/>
        <v/>
      </c>
      <c r="G157" s="226">
        <f ca="1">E157*$O$2+(SUMIF(HONORARIOS!$B$27:$B$129,A157,HONORARIOS!$G$27:$G$129)+SUMIF(ASESOR.Y.CONSULT.!$A$7:$A$25,PRESUPUESTO!A157,ASESOR.Y.CONSULT.!$N$7:$N$25)+SUMIF('PROY INVEST.'!$A$5:$A$26,PRESUPUESTO!A157,'PROY INVEST.'!$N$5:$N$26)+SUMIF(P.PROY.SOCIAL!$A$5:$A$28,PRESUPUESTO!A157,P.PROY.SOCIAL!$N$5:$N$28)+SUMIF(GEST.REC.HUM.!$A$6:$A$39,PRESUPUESTO!A157,GEST.REC.HUM.!$M$6:$M$39)+SUMIF('OTRAS ACTIV.'!$A$6:$A$39,PRESUPUESTO!A157,'OTRAS ACTIV.'!$N$6:$N$39)+SUMIF('ADICIONALES PD'!A$6:$A23,PRESUPUESTO!A157,'ADICIONALES PD'!$N$6:$N$23)+SUMIF(SALIDAS!$A$6:$A$19,PRESUPUESTO!A157,SALIDAS!$AE$6:$AE$19)+SUMIF(BIBLIOTECA!$A$7:$A$41,PRESUPUESTO!A157,BIBLIOTECA!$F$5:$F$41)+SUMIF(AFILIACIONES!$A$5:$A$25,PRESUPUESTO!A157,AFILIACIONES!$E$5:$E$25)+SUMIF(IMPRESOS.PUBLIC!$A$7:$A$34,PRESUPUESTO!A157,IMPRESOS.PUBLIC!$D$7:$D$34)+SUMIF(MANTEN.EQUIP.!$A$7:$A$27,PRESUPUESTO!A157,MANTEN.EQUIP.!$D$8:$D$27)+SUMIF(INVER.EQUIPO.COMP!$A$7:$A$37,PRESUPUESTO!A157,INVER.EQUIPO.COMP!$E$8:$E$37)+SUMIF(INVER.OTROS.EQUIPOS!$A$7:$A$37,PRESUPUESTO!A157,INVER.OTROS.EQUIPOS!$E$7:$E$37)+SUMIF(INVER.MUEBLES!$A$7:$A$35,PRESUPUESTO!A157,INVER.MUEBLES!$E$7:$E$35)+SUMIF(ADECUAC.LOCATIVAS!$A$7:$A$29,PRESUPUESTO!A157,ADECUAC.LOCATIVAS!$E$7:$E$29))/1000</f>
        <v>0</v>
      </c>
      <c r="H157" s="204" t="e">
        <f t="shared" ca="1" si="32"/>
        <v>#DIV/0!</v>
      </c>
      <c r="I157" s="321" t="str">
        <f t="shared" ca="1" si="30"/>
        <v/>
      </c>
      <c r="J157" s="524"/>
      <c r="K157" s="504"/>
      <c r="L157" s="504"/>
      <c r="M157" s="504"/>
    </row>
    <row r="158" spans="1:13" customFormat="1" ht="12.75" hidden="1" outlineLevel="1" x14ac:dyDescent="0.2">
      <c r="A158" s="3">
        <v>5195950300</v>
      </c>
      <c r="B158" s="207" t="s">
        <v>71</v>
      </c>
      <c r="C158" s="205">
        <f>IFERROR(VLOOKUP(A:A,'PPTO 2017'!A:D,3,0),0)</f>
        <v>0</v>
      </c>
      <c r="D158" s="205">
        <f>IFERROR(VLOOKUP(A:A,EJEC!A:G,5,0),0)</f>
        <v>0</v>
      </c>
      <c r="E158" s="205">
        <f t="shared" si="35"/>
        <v>0</v>
      </c>
      <c r="F158" s="321" t="str">
        <f t="shared" si="31"/>
        <v/>
      </c>
      <c r="G158" s="225">
        <f t="shared" ref="G158:G175" si="40">+E158*$O$2</f>
        <v>0</v>
      </c>
      <c r="H158" s="204" t="e">
        <f t="shared" si="32"/>
        <v>#DIV/0!</v>
      </c>
      <c r="I158" s="321" t="str">
        <f t="shared" si="30"/>
        <v/>
      </c>
      <c r="J158" s="524"/>
      <c r="K158" s="504"/>
      <c r="L158" s="504"/>
      <c r="M158" s="504"/>
    </row>
    <row r="159" spans="1:13" customFormat="1" ht="12.75" hidden="1" outlineLevel="1" x14ac:dyDescent="0.2">
      <c r="A159" s="3">
        <v>5195950400</v>
      </c>
      <c r="B159" s="207" t="s">
        <v>72</v>
      </c>
      <c r="C159" s="205">
        <f>IFERROR(VLOOKUP(A:A,'PPTO 2017'!A:D,3,0),0)</f>
        <v>0</v>
      </c>
      <c r="D159" s="205">
        <f>IFERROR(VLOOKUP(A:A,EJEC!A:G,5,0),0)</f>
        <v>0</v>
      </c>
      <c r="E159" s="205">
        <f t="shared" si="35"/>
        <v>0</v>
      </c>
      <c r="F159" s="321" t="str">
        <f t="shared" si="31"/>
        <v/>
      </c>
      <c r="G159" s="225">
        <f t="shared" si="40"/>
        <v>0</v>
      </c>
      <c r="H159" s="204" t="e">
        <f t="shared" si="32"/>
        <v>#DIV/0!</v>
      </c>
      <c r="I159" s="321" t="str">
        <f t="shared" si="30"/>
        <v/>
      </c>
      <c r="J159" s="524"/>
      <c r="K159" s="504"/>
      <c r="L159" s="504"/>
      <c r="M159" s="504"/>
    </row>
    <row r="160" spans="1:13" customFormat="1" ht="12.75" hidden="1" outlineLevel="1" x14ac:dyDescent="0.2">
      <c r="A160" s="3">
        <v>5195950500</v>
      </c>
      <c r="B160" s="207" t="s">
        <v>334</v>
      </c>
      <c r="C160" s="205">
        <f>IFERROR(VLOOKUP(A:A,'PPTO 2017'!A:D,3,0),0)</f>
        <v>0</v>
      </c>
      <c r="D160" s="205">
        <f>IFERROR(VLOOKUP(A:A,EJEC!A:G,5,0),0)</f>
        <v>0</v>
      </c>
      <c r="E160" s="205">
        <f t="shared" si="35"/>
        <v>0</v>
      </c>
      <c r="F160" s="321" t="str">
        <f t="shared" si="31"/>
        <v/>
      </c>
      <c r="G160" s="225">
        <f t="shared" si="40"/>
        <v>0</v>
      </c>
      <c r="H160" s="204" t="e">
        <f t="shared" si="32"/>
        <v>#DIV/0!</v>
      </c>
      <c r="I160" s="321" t="str">
        <f t="shared" si="30"/>
        <v/>
      </c>
      <c r="J160" s="524"/>
      <c r="K160" s="504"/>
      <c r="L160" s="504"/>
      <c r="M160" s="504"/>
    </row>
    <row r="161" spans="1:13" customFormat="1" ht="12.75" hidden="1" outlineLevel="1" x14ac:dyDescent="0.2">
      <c r="A161" s="3">
        <v>5195950600</v>
      </c>
      <c r="B161" s="207" t="s">
        <v>73</v>
      </c>
      <c r="C161" s="205">
        <f>IFERROR(VLOOKUP(A:A,'PPTO 2017'!A:D,3,0),0)</f>
        <v>0</v>
      </c>
      <c r="D161" s="205">
        <f>IFERROR(VLOOKUP(A:A,EJEC!A:G,5,0),0)</f>
        <v>0</v>
      </c>
      <c r="E161" s="205">
        <f t="shared" si="35"/>
        <v>0</v>
      </c>
      <c r="F161" s="321" t="str">
        <f t="shared" si="31"/>
        <v/>
      </c>
      <c r="G161" s="225">
        <f t="shared" si="40"/>
        <v>0</v>
      </c>
      <c r="H161" s="204" t="e">
        <f t="shared" si="32"/>
        <v>#DIV/0!</v>
      </c>
      <c r="I161" s="321" t="str">
        <f t="shared" si="30"/>
        <v/>
      </c>
      <c r="J161" s="524"/>
      <c r="K161" s="504"/>
      <c r="L161" s="504"/>
      <c r="M161" s="504"/>
    </row>
    <row r="162" spans="1:13" customFormat="1" ht="12.75" hidden="1" outlineLevel="1" x14ac:dyDescent="0.2">
      <c r="A162" s="3">
        <v>5195950800</v>
      </c>
      <c r="B162" s="207" t="s">
        <v>74</v>
      </c>
      <c r="C162" s="205">
        <f>IFERROR(VLOOKUP(A:A,'PPTO 2017'!A:D,3,0),0)</f>
        <v>0</v>
      </c>
      <c r="D162" s="205">
        <f>IFERROR(VLOOKUP(A:A,EJEC!A:G,5,0),0)</f>
        <v>0</v>
      </c>
      <c r="E162" s="205">
        <f t="shared" si="35"/>
        <v>0</v>
      </c>
      <c r="F162" s="321" t="str">
        <f t="shared" si="31"/>
        <v/>
      </c>
      <c r="G162" s="225">
        <f t="shared" si="40"/>
        <v>0</v>
      </c>
      <c r="H162" s="204" t="e">
        <f t="shared" si="32"/>
        <v>#DIV/0!</v>
      </c>
      <c r="I162" s="321" t="str">
        <f t="shared" si="30"/>
        <v/>
      </c>
      <c r="J162" s="524"/>
      <c r="K162" s="504"/>
      <c r="L162" s="504"/>
      <c r="M162" s="504"/>
    </row>
    <row r="163" spans="1:13" customFormat="1" ht="12.75" hidden="1" outlineLevel="1" x14ac:dyDescent="0.2">
      <c r="A163" s="3">
        <v>5195950900</v>
      </c>
      <c r="B163" s="207" t="s">
        <v>335</v>
      </c>
      <c r="C163" s="205">
        <f>IFERROR(VLOOKUP(A:A,'PPTO 2017'!A:D,3,0),0)</f>
        <v>0</v>
      </c>
      <c r="D163" s="205">
        <f>IFERROR(VLOOKUP(A:A,EJEC!A:G,5,0),0)</f>
        <v>0</v>
      </c>
      <c r="E163" s="205">
        <f t="shared" si="35"/>
        <v>0</v>
      </c>
      <c r="F163" s="321" t="str">
        <f t="shared" si="31"/>
        <v/>
      </c>
      <c r="G163" s="225">
        <f t="shared" si="40"/>
        <v>0</v>
      </c>
      <c r="H163" s="204" t="e">
        <f t="shared" si="32"/>
        <v>#DIV/0!</v>
      </c>
      <c r="I163" s="321" t="str">
        <f t="shared" si="30"/>
        <v/>
      </c>
      <c r="J163" s="524"/>
      <c r="K163" s="504"/>
      <c r="L163" s="504"/>
      <c r="M163" s="504"/>
    </row>
    <row r="164" spans="1:13" customFormat="1" ht="12.75" hidden="1" outlineLevel="1" x14ac:dyDescent="0.2">
      <c r="A164" s="3">
        <v>5195951000</v>
      </c>
      <c r="B164" s="207" t="s">
        <v>75</v>
      </c>
      <c r="C164" s="205">
        <f>IFERROR(VLOOKUP(A:A,'PPTO 2017'!A:D,3,0),0)</f>
        <v>0</v>
      </c>
      <c r="D164" s="205">
        <f>IFERROR(VLOOKUP(A:A,EJEC!A:G,5,0),0)</f>
        <v>0</v>
      </c>
      <c r="E164" s="205">
        <f t="shared" si="35"/>
        <v>0</v>
      </c>
      <c r="F164" s="321" t="str">
        <f t="shared" si="31"/>
        <v/>
      </c>
      <c r="G164" s="225">
        <f t="shared" si="40"/>
        <v>0</v>
      </c>
      <c r="H164" s="204" t="e">
        <f t="shared" si="32"/>
        <v>#DIV/0!</v>
      </c>
      <c r="I164" s="321" t="str">
        <f t="shared" si="30"/>
        <v/>
      </c>
      <c r="J164" s="524"/>
      <c r="K164" s="504"/>
      <c r="L164" s="504"/>
      <c r="M164" s="504"/>
    </row>
    <row r="165" spans="1:13" customFormat="1" ht="12.75" hidden="1" outlineLevel="1" x14ac:dyDescent="0.2">
      <c r="A165" s="3">
        <v>5195951100</v>
      </c>
      <c r="B165" s="207" t="s">
        <v>288</v>
      </c>
      <c r="C165" s="205">
        <f>IFERROR(VLOOKUP(A:A,'PPTO 2017'!A:D,3,0),0)</f>
        <v>0</v>
      </c>
      <c r="D165" s="205">
        <f>IFERROR(VLOOKUP(A:A,EJEC!A:G,5,0),0)</f>
        <v>0</v>
      </c>
      <c r="E165" s="205">
        <f t="shared" si="35"/>
        <v>0</v>
      </c>
      <c r="F165" s="321" t="str">
        <f t="shared" si="31"/>
        <v/>
      </c>
      <c r="G165" s="225">
        <f t="shared" si="40"/>
        <v>0</v>
      </c>
      <c r="H165" s="204" t="e">
        <f t="shared" si="32"/>
        <v>#DIV/0!</v>
      </c>
      <c r="I165" s="321" t="str">
        <f t="shared" si="30"/>
        <v/>
      </c>
      <c r="J165" s="524"/>
      <c r="K165" s="504"/>
      <c r="L165" s="504"/>
      <c r="M165" s="504"/>
    </row>
    <row r="166" spans="1:13" customFormat="1" ht="12.75" hidden="1" outlineLevel="1" x14ac:dyDescent="0.2">
      <c r="A166" s="3">
        <v>5195951200</v>
      </c>
      <c r="B166" s="207" t="s">
        <v>336</v>
      </c>
      <c r="C166" s="205">
        <f>IFERROR(VLOOKUP(A:A,'PPTO 2017'!A:D,3,0),0)</f>
        <v>0</v>
      </c>
      <c r="D166" s="205">
        <f>IFERROR(VLOOKUP(A:A,EJEC!A:G,5,0),0)</f>
        <v>0</v>
      </c>
      <c r="E166" s="205">
        <f t="shared" si="35"/>
        <v>0</v>
      </c>
      <c r="F166" s="321" t="str">
        <f t="shared" si="31"/>
        <v/>
      </c>
      <c r="G166" s="225">
        <f t="shared" si="40"/>
        <v>0</v>
      </c>
      <c r="H166" s="204" t="e">
        <f t="shared" si="32"/>
        <v>#DIV/0!</v>
      </c>
      <c r="I166" s="321" t="str">
        <f t="shared" si="30"/>
        <v/>
      </c>
      <c r="J166" s="524"/>
      <c r="K166" s="504"/>
      <c r="L166" s="504"/>
      <c r="M166" s="504"/>
    </row>
    <row r="167" spans="1:13" customFormat="1" ht="12.75" hidden="1" outlineLevel="1" x14ac:dyDescent="0.2">
      <c r="A167" s="3">
        <v>5195951300</v>
      </c>
      <c r="B167" s="207" t="s">
        <v>76</v>
      </c>
      <c r="C167" s="205">
        <f>IFERROR(VLOOKUP(A:A,'PPTO 2017'!A:D,3,0),0)</f>
        <v>0</v>
      </c>
      <c r="D167" s="205">
        <f>IFERROR(VLOOKUP(A:A,EJEC!A:G,5,0),0)</f>
        <v>0</v>
      </c>
      <c r="E167" s="205">
        <f t="shared" si="35"/>
        <v>0</v>
      </c>
      <c r="F167" s="321" t="str">
        <f t="shared" si="31"/>
        <v/>
      </c>
      <c r="G167" s="225">
        <f t="shared" si="40"/>
        <v>0</v>
      </c>
      <c r="H167" s="204" t="e">
        <f t="shared" si="32"/>
        <v>#DIV/0!</v>
      </c>
      <c r="I167" s="321" t="str">
        <f t="shared" si="30"/>
        <v/>
      </c>
      <c r="J167" s="524"/>
      <c r="K167" s="504"/>
      <c r="L167" s="504"/>
      <c r="M167" s="504"/>
    </row>
    <row r="168" spans="1:13" customFormat="1" ht="12.75" hidden="1" outlineLevel="1" x14ac:dyDescent="0.2">
      <c r="A168" s="3">
        <v>5195951400</v>
      </c>
      <c r="B168" s="207" t="s">
        <v>337</v>
      </c>
      <c r="C168" s="205">
        <f>IFERROR(VLOOKUP(A:A,'PPTO 2017'!A:D,3,0),0)</f>
        <v>0</v>
      </c>
      <c r="D168" s="205">
        <f>IFERROR(VLOOKUP(A:A,EJEC!A:G,5,0),0)</f>
        <v>0</v>
      </c>
      <c r="E168" s="205">
        <f t="shared" si="35"/>
        <v>0</v>
      </c>
      <c r="F168" s="321" t="str">
        <f t="shared" si="31"/>
        <v/>
      </c>
      <c r="G168" s="225">
        <f t="shared" si="40"/>
        <v>0</v>
      </c>
      <c r="H168" s="204" t="e">
        <f t="shared" si="32"/>
        <v>#DIV/0!</v>
      </c>
      <c r="I168" s="321" t="str">
        <f t="shared" si="30"/>
        <v/>
      </c>
      <c r="J168" s="524"/>
      <c r="K168" s="504"/>
      <c r="L168" s="504"/>
      <c r="M168" s="504"/>
    </row>
    <row r="169" spans="1:13" customFormat="1" ht="12.75" hidden="1" outlineLevel="1" x14ac:dyDescent="0.2">
      <c r="A169" s="3">
        <v>5195951500</v>
      </c>
      <c r="B169" s="207" t="s">
        <v>77</v>
      </c>
      <c r="C169" s="205">
        <f>IFERROR(VLOOKUP(A:A,'PPTO 2017'!A:D,3,0),0)</f>
        <v>0</v>
      </c>
      <c r="D169" s="205">
        <f>IFERROR(VLOOKUP(A:A,EJEC!A:G,5,0),0)</f>
        <v>338.2</v>
      </c>
      <c r="E169" s="205">
        <f t="shared" si="35"/>
        <v>507.29999999999995</v>
      </c>
      <c r="F169" s="321" t="str">
        <f t="shared" si="31"/>
        <v/>
      </c>
      <c r="G169" s="225">
        <f t="shared" si="40"/>
        <v>532.66499999999996</v>
      </c>
      <c r="H169" s="204">
        <f t="shared" si="32"/>
        <v>5.0000000000000044E-2</v>
      </c>
      <c r="I169" s="321">
        <f t="shared" si="30"/>
        <v>5.0000000000000044E-2</v>
      </c>
      <c r="J169" s="524"/>
      <c r="K169" s="504"/>
      <c r="L169" s="504"/>
      <c r="M169" s="504"/>
    </row>
    <row r="170" spans="1:13" customFormat="1" ht="12.75" hidden="1" outlineLevel="1" x14ac:dyDescent="0.2">
      <c r="A170" s="3">
        <v>5195951600</v>
      </c>
      <c r="B170" s="207" t="s">
        <v>64</v>
      </c>
      <c r="C170" s="205">
        <f>IFERROR(VLOOKUP(A:A,'PPTO 2017'!A:D,3,0),0)</f>
        <v>0</v>
      </c>
      <c r="D170" s="205">
        <f>IFERROR(VLOOKUP(A:A,EJEC!A:G,5,0),0)</f>
        <v>0</v>
      </c>
      <c r="E170" s="205">
        <f t="shared" si="35"/>
        <v>0</v>
      </c>
      <c r="F170" s="321" t="str">
        <f t="shared" si="31"/>
        <v/>
      </c>
      <c r="G170" s="315">
        <f ca="1">+E170*$O$2+(SUMIF(HONORARIOS!$B$27:$B$129,A170,HONORARIOS!$G$27:$G$129)+SUMIF(ASESOR.Y.CONSULT.!$A$7:$A$25,PRESUPUESTO!A170,ASESOR.Y.CONSULT.!$N$7:$N$25)+SUMIF('PROY INVEST.'!$A$5:$A$26,PRESUPUESTO!A170,'PROY INVEST.'!$N$5:$N$26)+SUMIF(P.PROY.SOCIAL!$A$5:$A$28,PRESUPUESTO!A170,P.PROY.SOCIAL!$N$5:$N$28)+SUMIF(GEST.REC.HUM.!$A$6:$A$39,PRESUPUESTO!A170,GEST.REC.HUM.!$M$6:$M$39)+SUMIF('OTRAS ACTIV.'!$A$6:$A$39,PRESUPUESTO!A170,'OTRAS ACTIV.'!$N$6:$N$39)+SUMIF('ADICIONALES PD'!A$6:$A23,PRESUPUESTO!A170,'ADICIONALES PD'!$N$6:$N$23)+SUMIF(SALIDAS!$A$6:$A$19,PRESUPUESTO!A170,SALIDAS!$AE$6:$AE$19)+SUMIF(BIBLIOTECA!$A$7:$A$41,PRESUPUESTO!A170,BIBLIOTECA!$F$5:$F$41)+SUMIF(AFILIACIONES!$A$5:$A$25,PRESUPUESTO!A170,AFILIACIONES!$E$5:$E$25)+SUMIF(IMPRESOS.PUBLIC!$A$7:$A$34,PRESUPUESTO!A170,IMPRESOS.PUBLIC!$D$7:$D$34)+SUMIF(MANTEN.EQUIP.!$A$7:$A$27,PRESUPUESTO!A170,MANTEN.EQUIP.!$D$8:$D$27)+SUMIF(INVER.EQUIPO.COMP!$A$7:$A$37,PRESUPUESTO!A170,INVER.EQUIPO.COMP!$E$8:$E$37)+SUMIF(INVER.OTROS.EQUIPOS!$A$7:$A$37,PRESUPUESTO!A170,INVER.OTROS.EQUIPOS!$E$7:$E$37)+SUMIF(INVER.MUEBLES!$A$7:$A$35,PRESUPUESTO!A170,INVER.MUEBLES!$E$7:$E$35)+SUMIF(ADECUAC.LOCATIVAS!$A$7:$A$29,PRESUPUESTO!A170,ADECUAC.LOCATIVAS!$E$7:$E$29))/1000</f>
        <v>0</v>
      </c>
      <c r="H170" s="204" t="e">
        <f t="shared" ca="1" si="32"/>
        <v>#DIV/0!</v>
      </c>
      <c r="I170" s="321" t="str">
        <f t="shared" ca="1" si="30"/>
        <v/>
      </c>
      <c r="J170" s="524"/>
      <c r="K170" s="504"/>
      <c r="L170" s="504"/>
      <c r="M170" s="504"/>
    </row>
    <row r="171" spans="1:13" customFormat="1" ht="12.75" hidden="1" outlineLevel="1" x14ac:dyDescent="0.2">
      <c r="A171" s="3">
        <v>5195951900</v>
      </c>
      <c r="B171" s="207" t="s">
        <v>78</v>
      </c>
      <c r="C171" s="205">
        <f>IFERROR(VLOOKUP(A:A,'PPTO 2017'!A:D,3,0),0)</f>
        <v>0</v>
      </c>
      <c r="D171" s="205">
        <f>IFERROR(VLOOKUP(A:A,EJEC!A:G,5,0),0)</f>
        <v>128</v>
      </c>
      <c r="E171" s="205">
        <f t="shared" si="35"/>
        <v>192</v>
      </c>
      <c r="F171" s="321" t="str">
        <f t="shared" si="31"/>
        <v/>
      </c>
      <c r="G171" s="225">
        <f t="shared" si="40"/>
        <v>201.60000000000002</v>
      </c>
      <c r="H171" s="204">
        <f t="shared" si="32"/>
        <v>5.0000000000000044E-2</v>
      </c>
      <c r="I171" s="321">
        <f t="shared" si="30"/>
        <v>5.0000000000000044E-2</v>
      </c>
      <c r="J171" s="524"/>
      <c r="K171" s="504"/>
      <c r="L171" s="504"/>
      <c r="M171" s="504"/>
    </row>
    <row r="172" spans="1:13" customFormat="1" ht="12.75" hidden="1" outlineLevel="1" x14ac:dyDescent="0.2">
      <c r="A172" s="3">
        <v>5195952000</v>
      </c>
      <c r="B172" s="207" t="s">
        <v>338</v>
      </c>
      <c r="C172" s="205">
        <f>IFERROR(VLOOKUP(A:A,'PPTO 2017'!A:D,3,0),0)</f>
        <v>0</v>
      </c>
      <c r="D172" s="205">
        <f>IFERROR(VLOOKUP(A:A,EJEC!A:G,5,0),0)</f>
        <v>0</v>
      </c>
      <c r="E172" s="205">
        <f t="shared" si="35"/>
        <v>0</v>
      </c>
      <c r="F172" s="321" t="str">
        <f t="shared" si="31"/>
        <v/>
      </c>
      <c r="G172" s="225">
        <f t="shared" si="40"/>
        <v>0</v>
      </c>
      <c r="H172" s="204" t="e">
        <f t="shared" si="32"/>
        <v>#DIV/0!</v>
      </c>
      <c r="I172" s="321" t="str">
        <f t="shared" si="30"/>
        <v/>
      </c>
      <c r="J172" s="524"/>
      <c r="K172" s="504"/>
      <c r="L172" s="504"/>
      <c r="M172" s="504"/>
    </row>
    <row r="173" spans="1:13" customFormat="1" ht="12.75" hidden="1" outlineLevel="1" x14ac:dyDescent="0.2">
      <c r="A173" s="3">
        <v>5195952800</v>
      </c>
      <c r="B173" s="316" t="s">
        <v>518</v>
      </c>
      <c r="C173" s="205">
        <f>IFERROR(VLOOKUP(A:A,'PPTO 2017'!A:D,3,0),0)</f>
        <v>0</v>
      </c>
      <c r="D173" s="205">
        <f>IFERROR(VLOOKUP(A:A,EJEC!A:G,5,0),0)</f>
        <v>0</v>
      </c>
      <c r="E173" s="205">
        <f t="shared" si="35"/>
        <v>0</v>
      </c>
      <c r="F173" s="321" t="str">
        <f t="shared" si="31"/>
        <v/>
      </c>
      <c r="G173" s="225">
        <f t="shared" si="40"/>
        <v>0</v>
      </c>
      <c r="H173" s="204" t="e">
        <f t="shared" si="32"/>
        <v>#DIV/0!</v>
      </c>
      <c r="I173" s="321" t="str">
        <f t="shared" si="30"/>
        <v/>
      </c>
      <c r="J173" s="524"/>
      <c r="K173" s="504"/>
      <c r="L173" s="504"/>
      <c r="M173" s="504"/>
    </row>
    <row r="174" spans="1:13" customFormat="1" ht="12.75" hidden="1" outlineLevel="1" x14ac:dyDescent="0.2">
      <c r="A174" s="3">
        <v>5195953000</v>
      </c>
      <c r="B174" s="207" t="s">
        <v>339</v>
      </c>
      <c r="C174" s="205">
        <f>IFERROR(VLOOKUP(A:A,'PPTO 2017'!A:D,3,0),0)</f>
        <v>0</v>
      </c>
      <c r="D174" s="205">
        <f>IFERROR(VLOOKUP(A:A,EJEC!A:G,5,0),0)</f>
        <v>0</v>
      </c>
      <c r="E174" s="205">
        <f t="shared" si="35"/>
        <v>0</v>
      </c>
      <c r="F174" s="321" t="str">
        <f t="shared" ref="F174" si="41">IF(E174=0,"",IF(C174=0,"",(E174/C174)))</f>
        <v/>
      </c>
      <c r="G174" s="225">
        <f t="shared" ref="G174" si="42">+E174*$O$2</f>
        <v>0</v>
      </c>
      <c r="H174" s="204" t="e">
        <f t="shared" ref="H174" si="43">(+G174/E174)-1</f>
        <v>#DIV/0!</v>
      </c>
      <c r="I174" s="321" t="str">
        <f t="shared" ref="I174" si="44">IF(G174=0,"",IF(E174=0,"",(G174/E174)-1))</f>
        <v/>
      </c>
      <c r="J174" s="524"/>
      <c r="K174" s="504"/>
      <c r="L174" s="504"/>
      <c r="M174" s="504"/>
    </row>
    <row r="175" spans="1:13" customFormat="1" ht="12.75" hidden="1" outlineLevel="1" x14ac:dyDescent="0.2">
      <c r="A175" s="3">
        <v>5199051000</v>
      </c>
      <c r="B175" s="207" t="s">
        <v>776</v>
      </c>
      <c r="C175" s="205">
        <f>IFERROR(VLOOKUP(A:A,'PPTO 2017'!A:D,3,0),0)</f>
        <v>0</v>
      </c>
      <c r="D175" s="205">
        <f>IFERROR(VLOOKUP(A:A,EJEC!A:G,5,0),0)</f>
        <v>0</v>
      </c>
      <c r="E175" s="205">
        <f t="shared" si="35"/>
        <v>0</v>
      </c>
      <c r="F175" s="321" t="str">
        <f t="shared" si="31"/>
        <v/>
      </c>
      <c r="G175" s="225">
        <f t="shared" si="40"/>
        <v>0</v>
      </c>
      <c r="H175" s="204" t="e">
        <f t="shared" si="32"/>
        <v>#DIV/0!</v>
      </c>
      <c r="I175" s="321" t="str">
        <f t="shared" si="30"/>
        <v/>
      </c>
      <c r="J175" s="524"/>
      <c r="K175" s="504"/>
      <c r="L175" s="504"/>
      <c r="M175" s="504"/>
    </row>
    <row r="176" spans="1:13" customFormat="1" ht="12.75" collapsed="1" x14ac:dyDescent="0.2">
      <c r="A176" s="176"/>
      <c r="B176" s="213" t="s">
        <v>79</v>
      </c>
      <c r="C176" s="214">
        <f>SUM(C79:C175)</f>
        <v>113217.48721594627</v>
      </c>
      <c r="D176" s="214">
        <f>SUM(D79:D175)</f>
        <v>55181.764999999992</v>
      </c>
      <c r="E176" s="214">
        <f>SUM(E79:E175)</f>
        <v>93694.453999999998</v>
      </c>
      <c r="F176" s="522">
        <f t="shared" si="31"/>
        <v>0.82756168065531377</v>
      </c>
      <c r="G176" s="214">
        <f ca="1">SUM(G79:G175)</f>
        <v>101829.03370000001</v>
      </c>
      <c r="H176" s="228">
        <f ca="1">(+G176/E176)-1</f>
        <v>8.682029034504013E-2</v>
      </c>
      <c r="I176" s="321">
        <f t="shared" ca="1" si="30"/>
        <v>8.682029034504013E-2</v>
      </c>
      <c r="J176" s="524"/>
      <c r="K176" s="504"/>
      <c r="L176" s="504"/>
      <c r="M176" s="504"/>
    </row>
    <row r="177" spans="1:13" customFormat="1" ht="12.75" x14ac:dyDescent="0.2">
      <c r="A177" s="176"/>
      <c r="B177" s="209" t="s">
        <v>340</v>
      </c>
      <c r="C177" s="210">
        <f>+C61+C73+C176+C76</f>
        <v>2330401.8055526079</v>
      </c>
      <c r="D177" s="210">
        <f>+D61+D73+D176+D76</f>
        <v>1561949.6250000002</v>
      </c>
      <c r="E177" s="210">
        <f>+E61+E73+E176+E76</f>
        <v>2360095.5049999994</v>
      </c>
      <c r="F177" s="521">
        <f t="shared" si="31"/>
        <v>1.0127418796950127</v>
      </c>
      <c r="G177" s="210">
        <f ca="1">+G61+G73+G176+G76</f>
        <v>2229839.6378537952</v>
      </c>
      <c r="H177" s="211">
        <f ca="1">(+G177/E177)-1</f>
        <v>-5.5190930566262897E-2</v>
      </c>
      <c r="I177" s="321">
        <f t="shared" ca="1" si="30"/>
        <v>-5.5190930566262897E-2</v>
      </c>
      <c r="J177" s="524"/>
      <c r="K177" s="504"/>
      <c r="L177" s="504"/>
      <c r="M177" s="504"/>
    </row>
    <row r="178" spans="1:13" customFormat="1" ht="12.75" hidden="1" x14ac:dyDescent="0.2">
      <c r="A178" s="176"/>
      <c r="B178" s="212" t="s">
        <v>341</v>
      </c>
      <c r="C178" s="205" t="s">
        <v>169</v>
      </c>
      <c r="D178" s="205" t="s">
        <v>169</v>
      </c>
      <c r="E178" s="205" t="s">
        <v>169</v>
      </c>
      <c r="F178" s="321"/>
      <c r="G178" s="225" t="s">
        <v>169</v>
      </c>
      <c r="H178" s="204" t="s">
        <v>169</v>
      </c>
      <c r="I178" s="505" t="s">
        <v>169</v>
      </c>
      <c r="J178" s="524"/>
      <c r="K178" s="504"/>
      <c r="L178" s="504"/>
      <c r="M178" s="504"/>
    </row>
    <row r="179" spans="1:13" customFormat="1" ht="12.75" hidden="1" outlineLevel="1" x14ac:dyDescent="0.2">
      <c r="A179" s="176"/>
      <c r="B179" s="212" t="s">
        <v>85</v>
      </c>
      <c r="C179" s="205" t="s">
        <v>169</v>
      </c>
      <c r="D179" s="205" t="s">
        <v>169</v>
      </c>
      <c r="E179" s="205" t="s">
        <v>169</v>
      </c>
      <c r="F179" s="321"/>
      <c r="G179" s="225" t="s">
        <v>169</v>
      </c>
      <c r="H179" s="204" t="s">
        <v>169</v>
      </c>
      <c r="I179" s="505" t="s">
        <v>169</v>
      </c>
      <c r="J179" s="524"/>
      <c r="K179" s="504"/>
      <c r="L179" s="504"/>
      <c r="M179" s="504"/>
    </row>
    <row r="180" spans="1:13" customFormat="1" ht="12.75" hidden="1" outlineLevel="1" x14ac:dyDescent="0.2">
      <c r="A180" s="176" t="s">
        <v>342</v>
      </c>
      <c r="B180" s="207" t="s">
        <v>343</v>
      </c>
      <c r="C180" s="205">
        <f>IFERROR(VLOOKUP(A:A,'PPTO 2017'!A:D,3,0),0)</f>
        <v>0</v>
      </c>
      <c r="D180" s="205">
        <f>IFERROR(VLOOKUP(A:A,EJEC!A:G,5,0),0)</f>
        <v>0</v>
      </c>
      <c r="E180" s="205">
        <f t="shared" ref="E180:E223" si="45">+D180/8*12</f>
        <v>0</v>
      </c>
      <c r="F180" s="321" t="str">
        <f t="shared" si="31"/>
        <v/>
      </c>
      <c r="G180" s="225">
        <f>+E180*$O$2</f>
        <v>0</v>
      </c>
      <c r="H180" s="204" t="e">
        <f t="shared" ref="H180:H224" si="46">(+G180/E180)-1</f>
        <v>#DIV/0!</v>
      </c>
      <c r="I180" s="321" t="str">
        <f t="shared" si="30"/>
        <v/>
      </c>
      <c r="J180" s="524"/>
      <c r="K180" s="504"/>
      <c r="L180" s="504"/>
      <c r="M180" s="504"/>
    </row>
    <row r="181" spans="1:13" customFormat="1" ht="12.75" hidden="1" outlineLevel="1" x14ac:dyDescent="0.2">
      <c r="A181" s="176" t="s">
        <v>594</v>
      </c>
      <c r="B181" s="207" t="s">
        <v>595</v>
      </c>
      <c r="C181" s="205">
        <f>IFERROR(VLOOKUP(A:A,'PPTO 2017'!A:D,3,0),0)</f>
        <v>0</v>
      </c>
      <c r="D181" s="205">
        <f>IFERROR(VLOOKUP(A:A,EJEC!A:G,5,0),0)</f>
        <v>0</v>
      </c>
      <c r="E181" s="205">
        <f t="shared" si="45"/>
        <v>0</v>
      </c>
      <c r="F181" s="321" t="str">
        <f t="shared" si="31"/>
        <v/>
      </c>
      <c r="G181" s="225">
        <f t="shared" ref="G181:G248" si="47">+E181*$O$2</f>
        <v>0</v>
      </c>
      <c r="H181" s="204"/>
      <c r="I181" s="321" t="str">
        <f t="shared" si="30"/>
        <v/>
      </c>
      <c r="J181" s="524"/>
      <c r="K181" s="504"/>
      <c r="L181" s="504"/>
      <c r="M181" s="504"/>
    </row>
    <row r="182" spans="1:13" customFormat="1" ht="12.75" hidden="1" outlineLevel="1" x14ac:dyDescent="0.2">
      <c r="A182" s="176" t="s">
        <v>836</v>
      </c>
      <c r="B182" s="207" t="s">
        <v>837</v>
      </c>
      <c r="C182" s="205">
        <f>IFERROR(VLOOKUP(A:A,'PPTO 2017'!A:D,3,0),0)</f>
        <v>0</v>
      </c>
      <c r="D182" s="205">
        <f>IFERROR(VLOOKUP(A:A,EJEC!A:G,5,0),0)</f>
        <v>0</v>
      </c>
      <c r="E182" s="205">
        <f t="shared" si="45"/>
        <v>0</v>
      </c>
      <c r="F182" s="321" t="str">
        <f t="shared" ref="F182" si="48">IF(E182=0,"",IF(C182=0,"",(E182/C182)))</f>
        <v/>
      </c>
      <c r="G182" s="225">
        <f t="shared" ref="G182" si="49">+E182*$O$2</f>
        <v>0</v>
      </c>
      <c r="H182" s="204"/>
      <c r="I182" s="321" t="str">
        <f t="shared" ref="I182" si="50">IF(G182=0,"",IF(E182=0,"",(G182/E182)-1))</f>
        <v/>
      </c>
      <c r="J182" s="524"/>
      <c r="K182" s="504"/>
      <c r="L182" s="504"/>
      <c r="M182" s="504"/>
    </row>
    <row r="183" spans="1:13" customFormat="1" ht="12.75" hidden="1" outlineLevel="1" x14ac:dyDescent="0.2">
      <c r="A183" s="176" t="s">
        <v>844</v>
      </c>
      <c r="B183" s="207" t="s">
        <v>845</v>
      </c>
      <c r="C183" s="205">
        <f>IFERROR(VLOOKUP(A:A,'PPTO 2017'!A:D,3,0),0)</f>
        <v>0</v>
      </c>
      <c r="D183" s="205">
        <f>IFERROR(VLOOKUP(A:A,EJEC!A:G,5,0),0)</f>
        <v>0</v>
      </c>
      <c r="E183" s="205">
        <f t="shared" si="45"/>
        <v>0</v>
      </c>
      <c r="F183" s="321" t="str">
        <f t="shared" ref="F183" si="51">IF(E183=0,"",IF(C183=0,"",(E183/C183)))</f>
        <v/>
      </c>
      <c r="G183" s="225">
        <f t="shared" ref="G183" si="52">+E183*$O$2</f>
        <v>0</v>
      </c>
      <c r="H183" s="204"/>
      <c r="I183" s="321" t="str">
        <f t="shared" ref="I183" si="53">IF(G183=0,"",IF(E183=0,"",(G183/E183)-1))</f>
        <v/>
      </c>
      <c r="J183" s="524"/>
      <c r="K183" s="504"/>
      <c r="L183" s="504"/>
      <c r="M183" s="504"/>
    </row>
    <row r="184" spans="1:13" customFormat="1" ht="12.75" hidden="1" outlineLevel="1" x14ac:dyDescent="0.2">
      <c r="A184" s="177" t="s">
        <v>86</v>
      </c>
      <c r="B184" s="207" t="s">
        <v>87</v>
      </c>
      <c r="C184" s="205">
        <f>IFERROR(VLOOKUP(A:A,'PPTO 2017'!A:D,3,0),0)</f>
        <v>2954.7751999999996</v>
      </c>
      <c r="D184" s="205">
        <f>IFERROR(VLOOKUP(A:A,EJEC!A:G,5,0),0)</f>
        <v>1889.9649999999999</v>
      </c>
      <c r="E184" s="205">
        <f t="shared" si="45"/>
        <v>2834.9474999999998</v>
      </c>
      <c r="F184" s="321">
        <f t="shared" si="31"/>
        <v>0.95944608578006207</v>
      </c>
      <c r="G184" s="225">
        <f t="shared" si="47"/>
        <v>2976.6948749999997</v>
      </c>
      <c r="H184" s="204">
        <f t="shared" si="46"/>
        <v>5.0000000000000044E-2</v>
      </c>
      <c r="I184" s="321">
        <f t="shared" si="30"/>
        <v>5.0000000000000044E-2</v>
      </c>
      <c r="J184" s="524"/>
      <c r="K184" s="504"/>
      <c r="L184" s="504"/>
      <c r="M184" s="504"/>
    </row>
    <row r="185" spans="1:13" customFormat="1" ht="12.75" hidden="1" outlineLevel="1" x14ac:dyDescent="0.2">
      <c r="A185" s="177" t="s">
        <v>88</v>
      </c>
      <c r="B185" s="207" t="s">
        <v>89</v>
      </c>
      <c r="C185" s="205">
        <f>IFERROR(VLOOKUP(A:A,'PPTO 2017'!A:D,3,0),0)</f>
        <v>7787.0057599999991</v>
      </c>
      <c r="D185" s="205">
        <f>IFERROR(VLOOKUP(A:A,EJEC!A:G,5,0),0)</f>
        <v>4893.0600000000004</v>
      </c>
      <c r="E185" s="205">
        <f t="shared" si="45"/>
        <v>7339.59</v>
      </c>
      <c r="F185" s="321">
        <f t="shared" si="31"/>
        <v>0.94254328636839235</v>
      </c>
      <c r="G185" s="225">
        <f t="shared" si="47"/>
        <v>7706.5695000000005</v>
      </c>
      <c r="H185" s="204">
        <f t="shared" si="46"/>
        <v>5.0000000000000044E-2</v>
      </c>
      <c r="I185" s="321">
        <f t="shared" si="30"/>
        <v>5.0000000000000044E-2</v>
      </c>
      <c r="J185" s="524"/>
      <c r="K185" s="504"/>
      <c r="L185" s="504"/>
      <c r="M185" s="504"/>
    </row>
    <row r="186" spans="1:13" customFormat="1" ht="12.75" hidden="1" outlineLevel="1" x14ac:dyDescent="0.2">
      <c r="A186" s="177" t="s">
        <v>90</v>
      </c>
      <c r="B186" s="207" t="s">
        <v>91</v>
      </c>
      <c r="C186" s="205">
        <f>IFERROR(VLOOKUP(A:A,'PPTO 2017'!A:D,3,0),0)</f>
        <v>6372.8938399999997</v>
      </c>
      <c r="D186" s="205">
        <f>IFERROR(VLOOKUP(A:A,EJEC!A:G,5,0),0)</f>
        <v>6320.9809999999998</v>
      </c>
      <c r="E186" s="205">
        <f t="shared" si="45"/>
        <v>9481.4714999999997</v>
      </c>
      <c r="F186" s="321">
        <f t="shared" si="31"/>
        <v>1.4877811772869576</v>
      </c>
      <c r="G186" s="225">
        <f t="shared" si="47"/>
        <v>9955.545075</v>
      </c>
      <c r="H186" s="204">
        <f t="shared" si="46"/>
        <v>5.0000000000000044E-2</v>
      </c>
      <c r="I186" s="321">
        <f t="shared" si="30"/>
        <v>5.0000000000000044E-2</v>
      </c>
      <c r="J186" s="524"/>
      <c r="K186" s="504"/>
      <c r="L186" s="504"/>
      <c r="M186" s="504"/>
    </row>
    <row r="187" spans="1:13" customFormat="1" ht="12.75" hidden="1" outlineLevel="1" x14ac:dyDescent="0.2">
      <c r="A187" s="177" t="s">
        <v>92</v>
      </c>
      <c r="B187" s="207" t="s">
        <v>93</v>
      </c>
      <c r="C187" s="205">
        <f>IFERROR(VLOOKUP(A:A,'PPTO 2017'!A:D,3,0),0)</f>
        <v>18101.173599999998</v>
      </c>
      <c r="D187" s="205">
        <f>IFERROR(VLOOKUP(A:A,EJEC!A:G,5,0),0)</f>
        <v>11704.05</v>
      </c>
      <c r="E187" s="205">
        <f t="shared" si="45"/>
        <v>17556.074999999997</v>
      </c>
      <c r="F187" s="321">
        <f t="shared" si="31"/>
        <v>0.96988600783321577</v>
      </c>
      <c r="G187" s="225">
        <f t="shared" si="47"/>
        <v>18433.878749999996</v>
      </c>
      <c r="H187" s="204">
        <f t="shared" si="46"/>
        <v>5.0000000000000044E-2</v>
      </c>
      <c r="I187" s="321">
        <f t="shared" si="30"/>
        <v>5.0000000000000044E-2</v>
      </c>
      <c r="J187" s="524"/>
      <c r="K187" s="504"/>
      <c r="L187" s="504"/>
      <c r="M187" s="504"/>
    </row>
    <row r="188" spans="1:13" customFormat="1" ht="12.75" hidden="1" outlineLevel="1" x14ac:dyDescent="0.2">
      <c r="A188" s="177" t="s">
        <v>94</v>
      </c>
      <c r="B188" s="207" t="s">
        <v>95</v>
      </c>
      <c r="C188" s="205">
        <f>IFERROR(VLOOKUP(A:A,'PPTO 2017'!A:D,3,0),0)</f>
        <v>54339.814879999991</v>
      </c>
      <c r="D188" s="205">
        <f>IFERROR(VLOOKUP(A:A,EJEC!A:G,5,0),0)</f>
        <v>30386.971000000001</v>
      </c>
      <c r="E188" s="205">
        <f t="shared" si="45"/>
        <v>45580.4565</v>
      </c>
      <c r="F188" s="321">
        <f t="shared" si="31"/>
        <v>0.83880404452345836</v>
      </c>
      <c r="G188" s="225">
        <f t="shared" si="47"/>
        <v>47859.479325</v>
      </c>
      <c r="H188" s="204">
        <f t="shared" si="46"/>
        <v>5.0000000000000044E-2</v>
      </c>
      <c r="I188" s="321">
        <f t="shared" si="30"/>
        <v>5.0000000000000044E-2</v>
      </c>
      <c r="J188" s="524"/>
      <c r="K188" s="504"/>
      <c r="L188" s="504"/>
      <c r="M188" s="504"/>
    </row>
    <row r="189" spans="1:13" customFormat="1" ht="12.75" hidden="1" outlineLevel="1" x14ac:dyDescent="0.2">
      <c r="A189" s="177" t="s">
        <v>344</v>
      </c>
      <c r="B189" s="207" t="s">
        <v>345</v>
      </c>
      <c r="C189" s="205">
        <f>IFERROR(VLOOKUP(A:A,'PPTO 2017'!A:D,3,0),0)</f>
        <v>0</v>
      </c>
      <c r="D189" s="205">
        <f>IFERROR(VLOOKUP(A:A,EJEC!A:G,5,0),0)</f>
        <v>0</v>
      </c>
      <c r="E189" s="205">
        <f t="shared" si="45"/>
        <v>0</v>
      </c>
      <c r="F189" s="321" t="str">
        <f t="shared" si="31"/>
        <v/>
      </c>
      <c r="G189" s="225">
        <f t="shared" si="47"/>
        <v>0</v>
      </c>
      <c r="H189" s="204" t="e">
        <f t="shared" si="46"/>
        <v>#DIV/0!</v>
      </c>
      <c r="I189" s="321" t="str">
        <f t="shared" si="30"/>
        <v/>
      </c>
      <c r="J189" s="524"/>
      <c r="K189" s="504"/>
      <c r="L189" s="504"/>
      <c r="M189" s="504"/>
    </row>
    <row r="190" spans="1:13" customFormat="1" ht="12.75" hidden="1" outlineLevel="1" x14ac:dyDescent="0.2">
      <c r="A190" s="177" t="s">
        <v>96</v>
      </c>
      <c r="B190" s="207" t="s">
        <v>97</v>
      </c>
      <c r="C190" s="205">
        <f>IFERROR(VLOOKUP(A:A,'PPTO 2017'!A:D,3,0),0)</f>
        <v>31866.248639999998</v>
      </c>
      <c r="D190" s="205">
        <f>IFERROR(VLOOKUP(A:A,EJEC!A:G,5,0),0)</f>
        <v>18987.314999999999</v>
      </c>
      <c r="E190" s="205">
        <f t="shared" si="45"/>
        <v>28480.972499999996</v>
      </c>
      <c r="F190" s="321">
        <f t="shared" si="31"/>
        <v>0.89376609157092168</v>
      </c>
      <c r="G190" s="225">
        <f t="shared" si="47"/>
        <v>29905.021124999996</v>
      </c>
      <c r="H190" s="204">
        <f t="shared" si="46"/>
        <v>5.0000000000000044E-2</v>
      </c>
      <c r="I190" s="321">
        <f t="shared" si="30"/>
        <v>5.0000000000000044E-2</v>
      </c>
      <c r="J190" s="524"/>
      <c r="K190" s="504"/>
      <c r="L190" s="504"/>
      <c r="M190" s="504"/>
    </row>
    <row r="191" spans="1:13" customFormat="1" ht="12.75" hidden="1" outlineLevel="1" x14ac:dyDescent="0.2">
      <c r="A191" s="177" t="s">
        <v>346</v>
      </c>
      <c r="B191" s="207" t="s">
        <v>347</v>
      </c>
      <c r="C191" s="205">
        <f>IFERROR(VLOOKUP(A:A,'PPTO 2017'!A:D,3,0),0)</f>
        <v>0</v>
      </c>
      <c r="D191" s="205">
        <f>IFERROR(VLOOKUP(A:A,EJEC!A:G,5,0),0)</f>
        <v>0</v>
      </c>
      <c r="E191" s="205">
        <f t="shared" si="45"/>
        <v>0</v>
      </c>
      <c r="F191" s="321" t="str">
        <f t="shared" si="31"/>
        <v/>
      </c>
      <c r="G191" s="225">
        <f t="shared" si="47"/>
        <v>0</v>
      </c>
      <c r="H191" s="204" t="e">
        <f t="shared" si="46"/>
        <v>#DIV/0!</v>
      </c>
      <c r="I191" s="321" t="str">
        <f t="shared" si="30"/>
        <v/>
      </c>
      <c r="J191" s="524"/>
      <c r="K191" s="504"/>
      <c r="L191" s="504"/>
      <c r="M191" s="504"/>
    </row>
    <row r="192" spans="1:13" customFormat="1" ht="12.75" hidden="1" outlineLevel="1" x14ac:dyDescent="0.2">
      <c r="A192" s="177" t="s">
        <v>348</v>
      </c>
      <c r="B192" s="207" t="s">
        <v>349</v>
      </c>
      <c r="C192" s="205">
        <f>IFERROR(VLOOKUP(A:A,'PPTO 2017'!A:D,3,0),0)</f>
        <v>0</v>
      </c>
      <c r="D192" s="205">
        <f>IFERROR(VLOOKUP(A:A,EJEC!A:G,5,0),0)</f>
        <v>0</v>
      </c>
      <c r="E192" s="205">
        <f t="shared" si="45"/>
        <v>0</v>
      </c>
      <c r="F192" s="321" t="str">
        <f t="shared" si="31"/>
        <v/>
      </c>
      <c r="G192" s="225">
        <f t="shared" si="47"/>
        <v>0</v>
      </c>
      <c r="H192" s="204" t="e">
        <f t="shared" si="46"/>
        <v>#DIV/0!</v>
      </c>
      <c r="I192" s="321" t="str">
        <f t="shared" si="30"/>
        <v/>
      </c>
      <c r="J192" s="524"/>
      <c r="K192" s="504"/>
      <c r="L192" s="504"/>
      <c r="M192" s="504"/>
    </row>
    <row r="193" spans="1:13" customFormat="1" ht="12.75" hidden="1" outlineLevel="1" x14ac:dyDescent="0.2">
      <c r="A193" s="177" t="s">
        <v>98</v>
      </c>
      <c r="B193" s="207" t="s">
        <v>99</v>
      </c>
      <c r="C193" s="205">
        <f>IFERROR(VLOOKUP(A:A,'PPTO 2017'!A:D,3,0),0)</f>
        <v>0</v>
      </c>
      <c r="D193" s="205">
        <f>IFERROR(VLOOKUP(A:A,EJEC!A:G,5,0),0)</f>
        <v>0</v>
      </c>
      <c r="E193" s="205">
        <f t="shared" si="45"/>
        <v>0</v>
      </c>
      <c r="F193" s="321" t="str">
        <f t="shared" si="31"/>
        <v/>
      </c>
      <c r="G193" s="225">
        <f t="shared" si="47"/>
        <v>0</v>
      </c>
      <c r="H193" s="204" t="e">
        <f t="shared" si="46"/>
        <v>#DIV/0!</v>
      </c>
      <c r="I193" s="321" t="str">
        <f t="shared" si="30"/>
        <v/>
      </c>
      <c r="J193" s="524"/>
      <c r="K193" s="504"/>
      <c r="L193" s="504"/>
      <c r="M193" s="504"/>
    </row>
    <row r="194" spans="1:13" customFormat="1" ht="12.75" hidden="1" outlineLevel="1" x14ac:dyDescent="0.2">
      <c r="A194" s="177" t="s">
        <v>100</v>
      </c>
      <c r="B194" s="207" t="s">
        <v>101</v>
      </c>
      <c r="C194" s="205">
        <f>IFERROR(VLOOKUP(A:A,'PPTO 2017'!A:D,3,0),0)</f>
        <v>23137.387839999999</v>
      </c>
      <c r="D194" s="205">
        <f>IFERROR(VLOOKUP(A:A,EJEC!A:G,5,0),0)</f>
        <v>17756.185000000001</v>
      </c>
      <c r="E194" s="205">
        <f t="shared" si="45"/>
        <v>26634.277500000004</v>
      </c>
      <c r="F194" s="321">
        <f t="shared" si="31"/>
        <v>1.1511358881210683</v>
      </c>
      <c r="G194" s="225">
        <f t="shared" si="47"/>
        <v>27965.991375000005</v>
      </c>
      <c r="H194" s="204">
        <f t="shared" si="46"/>
        <v>5.0000000000000044E-2</v>
      </c>
      <c r="I194" s="321">
        <f t="shared" si="30"/>
        <v>5.0000000000000044E-2</v>
      </c>
      <c r="J194" s="524"/>
      <c r="K194" s="504"/>
      <c r="L194" s="504"/>
      <c r="M194" s="504"/>
    </row>
    <row r="195" spans="1:13" customFormat="1" ht="12.75" hidden="1" outlineLevel="1" x14ac:dyDescent="0.2">
      <c r="A195" s="177" t="s">
        <v>102</v>
      </c>
      <c r="B195" s="207" t="s">
        <v>103</v>
      </c>
      <c r="C195" s="205">
        <f>IFERROR(VLOOKUP(A:A,'PPTO 2017'!A:D,3,0),0)</f>
        <v>13162.039759999998</v>
      </c>
      <c r="D195" s="205">
        <f>IFERROR(VLOOKUP(A:A,EJEC!A:G,5,0),0)</f>
        <v>8706.2379999999994</v>
      </c>
      <c r="E195" s="205">
        <f t="shared" si="45"/>
        <v>13059.357</v>
      </c>
      <c r="F195" s="321">
        <f t="shared" si="31"/>
        <v>0.99219856786088312</v>
      </c>
      <c r="G195" s="225">
        <f t="shared" si="47"/>
        <v>13712.324850000001</v>
      </c>
      <c r="H195" s="204">
        <f t="shared" si="46"/>
        <v>5.0000000000000044E-2</v>
      </c>
      <c r="I195" s="321">
        <f t="shared" si="30"/>
        <v>5.0000000000000044E-2</v>
      </c>
      <c r="J195" s="524"/>
      <c r="K195" s="504"/>
      <c r="L195" s="504"/>
      <c r="M195" s="504"/>
    </row>
    <row r="196" spans="1:13" customFormat="1" ht="12.75" hidden="1" outlineLevel="1" x14ac:dyDescent="0.2">
      <c r="A196" s="177" t="s">
        <v>104</v>
      </c>
      <c r="B196" s="207" t="s">
        <v>105</v>
      </c>
      <c r="C196" s="205">
        <f>IFERROR(VLOOKUP(A:A,'PPTO 2017'!A:D,3,0),0)</f>
        <v>25526.17584</v>
      </c>
      <c r="D196" s="205">
        <f>IFERROR(VLOOKUP(A:A,EJEC!A:G,5,0),0)</f>
        <v>23815.019</v>
      </c>
      <c r="E196" s="205">
        <f t="shared" si="45"/>
        <v>35722.5285</v>
      </c>
      <c r="F196" s="321">
        <f t="shared" si="31"/>
        <v>1.3994469333719046</v>
      </c>
      <c r="G196" s="225">
        <f t="shared" si="47"/>
        <v>37508.654925000003</v>
      </c>
      <c r="H196" s="204">
        <f t="shared" si="46"/>
        <v>5.0000000000000044E-2</v>
      </c>
      <c r="I196" s="321">
        <f t="shared" si="30"/>
        <v>5.0000000000000044E-2</v>
      </c>
      <c r="J196" s="524"/>
      <c r="K196" s="504"/>
      <c r="L196" s="504"/>
      <c r="M196" s="504"/>
    </row>
    <row r="197" spans="1:13" customFormat="1" ht="12.75" hidden="1" outlineLevel="1" x14ac:dyDescent="0.2">
      <c r="A197" s="177" t="s">
        <v>106</v>
      </c>
      <c r="B197" s="207" t="s">
        <v>107</v>
      </c>
      <c r="C197" s="205">
        <f>IFERROR(VLOOKUP(A:A,'PPTO 2017'!A:D,3,0),0)</f>
        <v>0</v>
      </c>
      <c r="D197" s="205">
        <f>IFERROR(VLOOKUP(A:A,EJEC!A:G,5,0),0)</f>
        <v>0</v>
      </c>
      <c r="E197" s="205">
        <f t="shared" si="45"/>
        <v>0</v>
      </c>
      <c r="F197" s="321" t="str">
        <f t="shared" si="31"/>
        <v/>
      </c>
      <c r="G197" s="225">
        <f t="shared" si="47"/>
        <v>0</v>
      </c>
      <c r="H197" s="204" t="e">
        <f t="shared" si="46"/>
        <v>#DIV/0!</v>
      </c>
      <c r="I197" s="321" t="str">
        <f t="shared" si="30"/>
        <v/>
      </c>
      <c r="J197" s="524"/>
      <c r="K197" s="504"/>
      <c r="L197" s="504"/>
      <c r="M197" s="504"/>
    </row>
    <row r="198" spans="1:13" customFormat="1" ht="12.75" hidden="1" outlineLevel="1" x14ac:dyDescent="0.2">
      <c r="A198" s="177" t="s">
        <v>350</v>
      </c>
      <c r="B198" s="207" t="s">
        <v>351</v>
      </c>
      <c r="C198" s="205">
        <f>IFERROR(VLOOKUP(A:A,'PPTO 2017'!A:D,3,0),0)</f>
        <v>0</v>
      </c>
      <c r="D198" s="205">
        <f>IFERROR(VLOOKUP(A:A,EJEC!A:G,5,0),0)</f>
        <v>0</v>
      </c>
      <c r="E198" s="205">
        <f t="shared" si="45"/>
        <v>0</v>
      </c>
      <c r="F198" s="321" t="str">
        <f t="shared" si="31"/>
        <v/>
      </c>
      <c r="G198" s="225">
        <f t="shared" si="47"/>
        <v>0</v>
      </c>
      <c r="H198" s="204" t="e">
        <f t="shared" si="46"/>
        <v>#DIV/0!</v>
      </c>
      <c r="I198" s="321" t="str">
        <f t="shared" si="30"/>
        <v/>
      </c>
      <c r="J198" s="524"/>
      <c r="K198" s="504"/>
      <c r="L198" s="504"/>
      <c r="M198" s="504"/>
    </row>
    <row r="199" spans="1:13" customFormat="1" ht="12.75" hidden="1" outlineLevel="1" x14ac:dyDescent="0.2">
      <c r="A199" s="177" t="s">
        <v>352</v>
      </c>
      <c r="B199" s="207" t="s">
        <v>353</v>
      </c>
      <c r="C199" s="205">
        <f>IFERROR(VLOOKUP(A:A,'PPTO 2017'!A:D,3,0),0)</f>
        <v>0</v>
      </c>
      <c r="D199" s="205">
        <f>IFERROR(VLOOKUP(A:A,EJEC!A:G,5,0),0)</f>
        <v>0</v>
      </c>
      <c r="E199" s="205">
        <f t="shared" si="45"/>
        <v>0</v>
      </c>
      <c r="F199" s="321" t="str">
        <f t="shared" si="31"/>
        <v/>
      </c>
      <c r="G199" s="225">
        <f t="shared" si="47"/>
        <v>0</v>
      </c>
      <c r="H199" s="204" t="e">
        <f t="shared" si="46"/>
        <v>#DIV/0!</v>
      </c>
      <c r="I199" s="321" t="str">
        <f t="shared" si="30"/>
        <v/>
      </c>
      <c r="J199" s="524"/>
      <c r="K199" s="504"/>
      <c r="L199" s="504"/>
      <c r="M199" s="504"/>
    </row>
    <row r="200" spans="1:13" customFormat="1" ht="12.75" hidden="1" outlineLevel="1" x14ac:dyDescent="0.2">
      <c r="A200" s="177" t="s">
        <v>354</v>
      </c>
      <c r="B200" s="207" t="s">
        <v>355</v>
      </c>
      <c r="C200" s="205">
        <f>IFERROR(VLOOKUP(A:A,'PPTO 2017'!A:D,3,0),0)</f>
        <v>0</v>
      </c>
      <c r="D200" s="205">
        <f>IFERROR(VLOOKUP(A:A,EJEC!A:G,5,0),0)</f>
        <v>0</v>
      </c>
      <c r="E200" s="205">
        <f t="shared" si="45"/>
        <v>0</v>
      </c>
      <c r="F200" s="321" t="str">
        <f t="shared" si="31"/>
        <v/>
      </c>
      <c r="G200" s="225">
        <f t="shared" si="47"/>
        <v>0</v>
      </c>
      <c r="H200" s="204" t="e">
        <f t="shared" si="46"/>
        <v>#DIV/0!</v>
      </c>
      <c r="I200" s="321" t="str">
        <f t="shared" si="30"/>
        <v/>
      </c>
      <c r="J200" s="524"/>
      <c r="K200" s="504"/>
      <c r="L200" s="504"/>
      <c r="M200" s="504"/>
    </row>
    <row r="201" spans="1:13" customFormat="1" ht="12.75" hidden="1" outlineLevel="1" x14ac:dyDescent="0.2">
      <c r="A201" s="177" t="s">
        <v>108</v>
      </c>
      <c r="B201" s="207" t="s">
        <v>109</v>
      </c>
      <c r="C201" s="205">
        <f>IFERROR(VLOOKUP(A:A,'PPTO 2017'!A:D,3,0),0)</f>
        <v>0</v>
      </c>
      <c r="D201" s="205">
        <f>IFERROR(VLOOKUP(A:A,EJEC!A:G,5,0),0)</f>
        <v>0</v>
      </c>
      <c r="E201" s="205">
        <f t="shared" si="45"/>
        <v>0</v>
      </c>
      <c r="F201" s="321" t="str">
        <f t="shared" si="31"/>
        <v/>
      </c>
      <c r="G201" s="225">
        <f t="shared" si="47"/>
        <v>0</v>
      </c>
      <c r="H201" s="204" t="e">
        <f t="shared" si="46"/>
        <v>#DIV/0!</v>
      </c>
      <c r="I201" s="321" t="str">
        <f t="shared" si="30"/>
        <v/>
      </c>
      <c r="J201" s="524"/>
      <c r="K201" s="504"/>
      <c r="L201" s="504"/>
      <c r="M201" s="504"/>
    </row>
    <row r="202" spans="1:13" customFormat="1" ht="12.75" hidden="1" outlineLevel="1" x14ac:dyDescent="0.2">
      <c r="A202" s="177" t="s">
        <v>110</v>
      </c>
      <c r="B202" s="207" t="s">
        <v>111</v>
      </c>
      <c r="C202" s="205">
        <f>IFERROR(VLOOKUP(A:A,'PPTO 2017'!A:D,3,0),0)</f>
        <v>0</v>
      </c>
      <c r="D202" s="205">
        <f>IFERROR(VLOOKUP(A:A,EJEC!A:G,5,0),0)</f>
        <v>0</v>
      </c>
      <c r="E202" s="205">
        <f t="shared" si="45"/>
        <v>0</v>
      </c>
      <c r="F202" s="321" t="str">
        <f t="shared" si="31"/>
        <v/>
      </c>
      <c r="G202" s="225">
        <f t="shared" si="47"/>
        <v>0</v>
      </c>
      <c r="H202" s="204" t="e">
        <f t="shared" si="46"/>
        <v>#DIV/0!</v>
      </c>
      <c r="I202" s="321" t="str">
        <f t="shared" si="30"/>
        <v/>
      </c>
      <c r="J202" s="524"/>
      <c r="K202" s="504"/>
      <c r="L202" s="504"/>
      <c r="M202" s="504"/>
    </row>
    <row r="203" spans="1:13" customFormat="1" ht="12.75" hidden="1" outlineLevel="1" x14ac:dyDescent="0.2">
      <c r="A203" s="177" t="s">
        <v>112</v>
      </c>
      <c r="B203" s="207" t="s">
        <v>356</v>
      </c>
      <c r="C203" s="205">
        <f>IFERROR(VLOOKUP(A:A,'PPTO 2017'!A:D,3,0),0)</f>
        <v>0</v>
      </c>
      <c r="D203" s="205">
        <f>IFERROR(VLOOKUP(A:A,EJEC!A:G,5,0),0)</f>
        <v>0</v>
      </c>
      <c r="E203" s="205">
        <f t="shared" si="45"/>
        <v>0</v>
      </c>
      <c r="F203" s="321" t="str">
        <f t="shared" si="31"/>
        <v/>
      </c>
      <c r="G203" s="225">
        <f t="shared" si="47"/>
        <v>0</v>
      </c>
      <c r="H203" s="204" t="e">
        <f t="shared" si="46"/>
        <v>#DIV/0!</v>
      </c>
      <c r="I203" s="321" t="str">
        <f t="shared" ref="I203:I272" si="54">IF(G203=0,"",IF(E203=0,"",(G203/E203)-1))</f>
        <v/>
      </c>
      <c r="J203" s="524"/>
      <c r="K203" s="504"/>
      <c r="L203" s="504"/>
      <c r="M203" s="504"/>
    </row>
    <row r="204" spans="1:13" customFormat="1" ht="12.75" hidden="1" outlineLevel="1" x14ac:dyDescent="0.2">
      <c r="A204" s="177" t="s">
        <v>289</v>
      </c>
      <c r="B204" s="207" t="s">
        <v>357</v>
      </c>
      <c r="C204" s="205">
        <f>IFERROR(VLOOKUP(A:A,'PPTO 2017'!A:D,3,0),0)</f>
        <v>0</v>
      </c>
      <c r="D204" s="205">
        <f>IFERROR(VLOOKUP(A:A,EJEC!A:G,5,0),0)</f>
        <v>0</v>
      </c>
      <c r="E204" s="205">
        <f t="shared" si="45"/>
        <v>0</v>
      </c>
      <c r="F204" s="321" t="str">
        <f t="shared" si="31"/>
        <v/>
      </c>
      <c r="G204" s="225">
        <f t="shared" si="47"/>
        <v>0</v>
      </c>
      <c r="H204" s="204" t="e">
        <f t="shared" si="46"/>
        <v>#DIV/0!</v>
      </c>
      <c r="I204" s="321" t="str">
        <f t="shared" si="54"/>
        <v/>
      </c>
      <c r="J204" s="524"/>
      <c r="K204" s="504"/>
      <c r="L204" s="504"/>
      <c r="M204" s="504"/>
    </row>
    <row r="205" spans="1:13" customFormat="1" ht="12.75" hidden="1" outlineLevel="1" x14ac:dyDescent="0.2">
      <c r="A205" s="177" t="s">
        <v>358</v>
      </c>
      <c r="B205" s="207" t="s">
        <v>359</v>
      </c>
      <c r="C205" s="205">
        <f>IFERROR(VLOOKUP(A:A,'PPTO 2017'!A:D,3,0),0)</f>
        <v>0</v>
      </c>
      <c r="D205" s="205">
        <f>IFERROR(VLOOKUP(A:A,EJEC!A:G,5,0),0)</f>
        <v>0</v>
      </c>
      <c r="E205" s="205">
        <f t="shared" si="45"/>
        <v>0</v>
      </c>
      <c r="F205" s="321" t="str">
        <f t="shared" ref="F205:F274" si="55">IF(E205=0,"",IF(C205=0,"",(E205/C205)))</f>
        <v/>
      </c>
      <c r="G205" s="225">
        <f t="shared" si="47"/>
        <v>0</v>
      </c>
      <c r="H205" s="204" t="e">
        <f t="shared" si="46"/>
        <v>#DIV/0!</v>
      </c>
      <c r="I205" s="321" t="str">
        <f t="shared" si="54"/>
        <v/>
      </c>
      <c r="J205" s="524"/>
      <c r="K205" s="504"/>
      <c r="L205" s="504"/>
      <c r="M205" s="504"/>
    </row>
    <row r="206" spans="1:13" customFormat="1" ht="12.75" hidden="1" outlineLevel="1" x14ac:dyDescent="0.2">
      <c r="A206" s="177" t="s">
        <v>360</v>
      </c>
      <c r="B206" s="207" t="s">
        <v>361</v>
      </c>
      <c r="C206" s="205">
        <f>IFERROR(VLOOKUP(A:A,'PPTO 2017'!A:D,3,0),0)</f>
        <v>0</v>
      </c>
      <c r="D206" s="205">
        <f>IFERROR(VLOOKUP(A:A,EJEC!A:G,5,0),0)</f>
        <v>0</v>
      </c>
      <c r="E206" s="205">
        <f t="shared" si="45"/>
        <v>0</v>
      </c>
      <c r="F206" s="321" t="str">
        <f t="shared" si="55"/>
        <v/>
      </c>
      <c r="G206" s="225">
        <f t="shared" si="47"/>
        <v>0</v>
      </c>
      <c r="H206" s="204" t="e">
        <f t="shared" si="46"/>
        <v>#DIV/0!</v>
      </c>
      <c r="I206" s="321" t="str">
        <f t="shared" si="54"/>
        <v/>
      </c>
      <c r="J206" s="524"/>
      <c r="K206" s="504"/>
      <c r="L206" s="504"/>
      <c r="M206" s="504"/>
    </row>
    <row r="207" spans="1:13" customFormat="1" ht="12.75" hidden="1" outlineLevel="1" x14ac:dyDescent="0.2">
      <c r="A207" s="177" t="s">
        <v>426</v>
      </c>
      <c r="B207" s="207" t="s">
        <v>427</v>
      </c>
      <c r="C207" s="205">
        <f>IFERROR(VLOOKUP(A:A,'PPTO 2017'!A:D,3,0),0)</f>
        <v>0</v>
      </c>
      <c r="D207" s="205">
        <f>IFERROR(VLOOKUP(A:A,EJEC!A:G,5,0),0)</f>
        <v>0</v>
      </c>
      <c r="E207" s="205">
        <f t="shared" si="45"/>
        <v>0</v>
      </c>
      <c r="F207" s="321" t="str">
        <f t="shared" si="55"/>
        <v/>
      </c>
      <c r="G207" s="225">
        <f t="shared" si="47"/>
        <v>0</v>
      </c>
      <c r="H207" s="204" t="e">
        <f t="shared" si="46"/>
        <v>#DIV/0!</v>
      </c>
      <c r="I207" s="321" t="str">
        <f t="shared" si="54"/>
        <v/>
      </c>
      <c r="J207" s="524"/>
      <c r="K207" s="504"/>
      <c r="L207" s="504"/>
      <c r="M207" s="504"/>
    </row>
    <row r="208" spans="1:13" customFormat="1" ht="12.75" hidden="1" outlineLevel="1" x14ac:dyDescent="0.2">
      <c r="A208" s="177" t="s">
        <v>777</v>
      </c>
      <c r="B208" s="207" t="s">
        <v>778</v>
      </c>
      <c r="C208" s="205">
        <f>IFERROR(VLOOKUP(A:A,'PPTO 2017'!A:D,3,0),0)</f>
        <v>10866.415999999999</v>
      </c>
      <c r="D208" s="205">
        <f>IFERROR(VLOOKUP(A:A,EJEC!A:G,5,0),0)</f>
        <v>15400</v>
      </c>
      <c r="E208" s="205">
        <v>31600</v>
      </c>
      <c r="F208" s="321">
        <f t="shared" ref="F208" si="56">IF(E208=0,"",IF(C208=0,"",(E208/C208)))</f>
        <v>2.9080425413494204</v>
      </c>
      <c r="G208" s="225">
        <f t="shared" si="47"/>
        <v>33180</v>
      </c>
      <c r="H208" s="204">
        <f t="shared" ref="H208" si="57">(+G208/E208)-1</f>
        <v>5.0000000000000044E-2</v>
      </c>
      <c r="I208" s="321">
        <f t="shared" ref="I208" si="58">IF(G208=0,"",IF(E208=0,"",(G208/E208)-1))</f>
        <v>5.0000000000000044E-2</v>
      </c>
      <c r="J208" s="524"/>
      <c r="K208" s="504"/>
      <c r="L208" s="504"/>
      <c r="M208" s="504"/>
    </row>
    <row r="209" spans="1:15" customFormat="1" ht="12.75" hidden="1" outlineLevel="1" x14ac:dyDescent="0.2">
      <c r="A209" s="177" t="s">
        <v>779</v>
      </c>
      <c r="B209" s="207" t="s">
        <v>780</v>
      </c>
      <c r="C209" s="205">
        <f>IFERROR(VLOOKUP(A:A,'PPTO 2017'!A:D,3,0),0)</f>
        <v>1020.8</v>
      </c>
      <c r="D209" s="205">
        <f>IFERROR(VLOOKUP(A:A,EJEC!A:G,5,0),0)</f>
        <v>110</v>
      </c>
      <c r="E209" s="205">
        <v>365</v>
      </c>
      <c r="F209" s="321">
        <f t="shared" ref="F209" si="59">IF(E209=0,"",IF(C209=0,"",(E209/C209)))</f>
        <v>0.35756269592476492</v>
      </c>
      <c r="G209" s="225">
        <f t="shared" si="47"/>
        <v>383.25</v>
      </c>
      <c r="H209" s="204">
        <f t="shared" ref="H209" si="60">(+G209/E209)-1</f>
        <v>5.0000000000000044E-2</v>
      </c>
      <c r="I209" s="321">
        <f t="shared" ref="I209" si="61">IF(G209=0,"",IF(E209=0,"",(G209/E209)-1))</f>
        <v>5.0000000000000044E-2</v>
      </c>
      <c r="J209" s="524"/>
      <c r="K209" s="504"/>
      <c r="L209" s="504"/>
      <c r="M209" s="504"/>
    </row>
    <row r="210" spans="1:15" customFormat="1" ht="12.75" hidden="1" outlineLevel="1" x14ac:dyDescent="0.2">
      <c r="A210" s="177" t="s">
        <v>839</v>
      </c>
      <c r="B210" s="207" t="s">
        <v>840</v>
      </c>
      <c r="C210" s="205">
        <f>IFERROR(VLOOKUP(A:A,'PPTO 2017'!A:D,3,0),0)</f>
        <v>0</v>
      </c>
      <c r="D210" s="205">
        <f>IFERROR(VLOOKUP(A:A,EJEC!A:G,5,0),0)</f>
        <v>0</v>
      </c>
      <c r="E210" s="205">
        <f t="shared" si="45"/>
        <v>0</v>
      </c>
      <c r="F210" s="321" t="str">
        <f t="shared" ref="F210:F212" si="62">IF(E210=0,"",IF(C210=0,"",(E210/C210)))</f>
        <v/>
      </c>
      <c r="G210" s="225">
        <f t="shared" ref="G210:G212" si="63">+E210*$O$2</f>
        <v>0</v>
      </c>
      <c r="H210" s="204" t="e">
        <f t="shared" ref="H210:H212" si="64">(+G210/E210)-1</f>
        <v>#DIV/0!</v>
      </c>
      <c r="I210" s="321" t="str">
        <f t="shared" ref="I210:I212" si="65">IF(G210=0,"",IF(E210=0,"",(G210/E210)-1))</f>
        <v/>
      </c>
      <c r="J210" s="524"/>
      <c r="K210" s="504"/>
      <c r="L210" s="504"/>
      <c r="M210" s="504"/>
    </row>
    <row r="211" spans="1:15" customFormat="1" ht="12.75" hidden="1" outlineLevel="1" x14ac:dyDescent="0.2">
      <c r="A211" s="177" t="s">
        <v>841</v>
      </c>
      <c r="B211" s="207" t="s">
        <v>842</v>
      </c>
      <c r="C211" s="205">
        <f>IFERROR(VLOOKUP(A:A,'PPTO 2017'!A:D,3,0),0)</f>
        <v>0</v>
      </c>
      <c r="D211" s="205">
        <f>IFERROR(VLOOKUP(A:A,EJEC!A:G,5,0),0)</f>
        <v>0</v>
      </c>
      <c r="E211" s="205">
        <f t="shared" si="45"/>
        <v>0</v>
      </c>
      <c r="F211" s="321" t="str">
        <f t="shared" si="62"/>
        <v/>
      </c>
      <c r="G211" s="225">
        <f t="shared" si="63"/>
        <v>0</v>
      </c>
      <c r="H211" s="204" t="e">
        <f t="shared" si="64"/>
        <v>#DIV/0!</v>
      </c>
      <c r="I211" s="321" t="str">
        <f t="shared" si="65"/>
        <v/>
      </c>
      <c r="J211" s="524"/>
      <c r="K211" s="504"/>
      <c r="L211" s="504"/>
      <c r="M211" s="504"/>
    </row>
    <row r="212" spans="1:15" customFormat="1" ht="12.75" hidden="1" outlineLevel="1" x14ac:dyDescent="0.2">
      <c r="A212" s="177" t="s">
        <v>838</v>
      </c>
      <c r="B212" s="207" t="s">
        <v>843</v>
      </c>
      <c r="C212" s="205">
        <f>IFERROR(VLOOKUP(A:A,'PPTO 2017'!A:D,3,0),0)</f>
        <v>0</v>
      </c>
      <c r="D212" s="205">
        <f>IFERROR(VLOOKUP(A:A,EJEC!A:G,5,0),0)</f>
        <v>0</v>
      </c>
      <c r="E212" s="205">
        <f t="shared" si="45"/>
        <v>0</v>
      </c>
      <c r="F212" s="321" t="str">
        <f t="shared" si="62"/>
        <v/>
      </c>
      <c r="G212" s="225">
        <f t="shared" si="63"/>
        <v>0</v>
      </c>
      <c r="H212" s="204" t="e">
        <f t="shared" si="64"/>
        <v>#DIV/0!</v>
      </c>
      <c r="I212" s="321" t="str">
        <f t="shared" si="65"/>
        <v/>
      </c>
      <c r="J212" s="524"/>
      <c r="K212" s="504"/>
      <c r="L212" s="504"/>
      <c r="M212" s="504"/>
    </row>
    <row r="213" spans="1:15" customFormat="1" ht="12.75" hidden="1" outlineLevel="1" x14ac:dyDescent="0.2">
      <c r="A213" s="177" t="s">
        <v>260</v>
      </c>
      <c r="B213" s="207" t="s">
        <v>362</v>
      </c>
      <c r="C213" s="205">
        <f>IFERROR(VLOOKUP(A:A,'PPTO 2017'!A:D,3,0),0)</f>
        <v>127611.59999999999</v>
      </c>
      <c r="D213" s="205">
        <f>IFERROR(VLOOKUP(A:A,EJEC!A:G,5,0),0)</f>
        <v>58950</v>
      </c>
      <c r="E213" s="205">
        <v>119650</v>
      </c>
      <c r="F213" s="321">
        <f t="shared" si="55"/>
        <v>0.93761068742966946</v>
      </c>
      <c r="G213" s="225">
        <f t="shared" si="47"/>
        <v>125632.5</v>
      </c>
      <c r="H213" s="204">
        <f t="shared" si="46"/>
        <v>5.0000000000000044E-2</v>
      </c>
      <c r="I213" s="321">
        <f t="shared" si="54"/>
        <v>5.0000000000000044E-2</v>
      </c>
      <c r="J213" s="524"/>
      <c r="K213" s="504"/>
      <c r="L213" s="504"/>
      <c r="M213" s="504"/>
    </row>
    <row r="214" spans="1:15" customFormat="1" ht="12.75" hidden="1" outlineLevel="1" x14ac:dyDescent="0.2">
      <c r="A214" s="177" t="s">
        <v>421</v>
      </c>
      <c r="B214" s="207" t="s">
        <v>422</v>
      </c>
      <c r="C214" s="205">
        <f>IFERROR(VLOOKUP(A:A,'PPTO 2017'!A:D,3,0),0)</f>
        <v>29646.716239999998</v>
      </c>
      <c r="D214" s="205">
        <f>IFERROR(VLOOKUP(A:A,EJEC!A:G,5,0),0)</f>
        <v>12778.754999999999</v>
      </c>
      <c r="E214" s="205">
        <v>26800</v>
      </c>
      <c r="F214" s="321">
        <f t="shared" si="55"/>
        <v>0.90397869980085188</v>
      </c>
      <c r="G214" s="225">
        <f t="shared" si="47"/>
        <v>28140</v>
      </c>
      <c r="H214" s="204">
        <f t="shared" si="46"/>
        <v>5.0000000000000044E-2</v>
      </c>
      <c r="I214" s="321">
        <f t="shared" si="54"/>
        <v>5.0000000000000044E-2</v>
      </c>
      <c r="J214" s="524"/>
      <c r="K214" s="504"/>
      <c r="L214" s="504"/>
      <c r="M214" s="504"/>
    </row>
    <row r="215" spans="1:15" customFormat="1" ht="12.75" hidden="1" outlineLevel="1" x14ac:dyDescent="0.2">
      <c r="A215" s="320" t="s">
        <v>522</v>
      </c>
      <c r="B215" s="207" t="s">
        <v>523</v>
      </c>
      <c r="C215" s="205">
        <f>IFERROR(VLOOKUP(A:A,'PPTO 2017'!A:D,3,0),0)</f>
        <v>0</v>
      </c>
      <c r="D215" s="205">
        <f>IFERROR(VLOOKUP(A:A,EJEC!A:G,5,0),0)</f>
        <v>0</v>
      </c>
      <c r="E215" s="205">
        <f t="shared" si="45"/>
        <v>0</v>
      </c>
      <c r="F215" s="321" t="str">
        <f t="shared" si="55"/>
        <v/>
      </c>
      <c r="G215" s="225">
        <f t="shared" si="47"/>
        <v>0</v>
      </c>
      <c r="H215" s="204"/>
      <c r="I215" s="321" t="str">
        <f t="shared" si="54"/>
        <v/>
      </c>
      <c r="J215" s="524"/>
      <c r="K215" s="504"/>
      <c r="L215" s="504"/>
      <c r="M215" s="504"/>
    </row>
    <row r="216" spans="1:15" customFormat="1" ht="12.75" hidden="1" outlineLevel="1" x14ac:dyDescent="0.2">
      <c r="A216" s="320" t="s">
        <v>586</v>
      </c>
      <c r="B216" s="207" t="s">
        <v>587</v>
      </c>
      <c r="C216" s="205">
        <f>IFERROR(VLOOKUP(A:A,'PPTO 2017'!A:D,3,0),0)</f>
        <v>242430.77164357677</v>
      </c>
      <c r="D216" s="205">
        <f>IFERROR(VLOOKUP(A:A,EJEC!A:G,5,0),0)</f>
        <v>117545.29300000001</v>
      </c>
      <c r="E216" s="205">
        <f>+E29*O216</f>
        <v>242641.34999999998</v>
      </c>
      <c r="F216" s="321">
        <f t="shared" si="55"/>
        <v>1.0008686123258841</v>
      </c>
      <c r="G216" s="225">
        <f>+G29*O216</f>
        <v>263857.54814999993</v>
      </c>
      <c r="H216" s="204"/>
      <c r="I216" s="321">
        <f t="shared" si="54"/>
        <v>8.7438510171493622E-2</v>
      </c>
      <c r="J216" s="524"/>
      <c r="K216" s="504"/>
      <c r="L216" s="504"/>
      <c r="M216" s="504"/>
      <c r="O216" s="953">
        <f>+C216/C29</f>
        <v>4.4999999999999998E-2</v>
      </c>
    </row>
    <row r="217" spans="1:15" customFormat="1" ht="12.75" hidden="1" outlineLevel="1" x14ac:dyDescent="0.2">
      <c r="A217" s="320" t="s">
        <v>588</v>
      </c>
      <c r="B217" s="207" t="s">
        <v>590</v>
      </c>
      <c r="C217" s="205">
        <f>IFERROR(VLOOKUP(A:A,'PPTO 2017'!A:D,3,0),0)</f>
        <v>292212.12</v>
      </c>
      <c r="D217" s="205">
        <f>IFERROR(VLOOKUP(A:A,EJEC!A:G,5,0),0)</f>
        <v>185584.85</v>
      </c>
      <c r="E217" s="205">
        <v>375600</v>
      </c>
      <c r="F217" s="321">
        <f t="shared" si="55"/>
        <v>1.2853676295151619</v>
      </c>
      <c r="G217" s="225">
        <f t="shared" si="47"/>
        <v>394380</v>
      </c>
      <c r="H217" s="204"/>
      <c r="I217" s="321">
        <f t="shared" si="54"/>
        <v>5.0000000000000044E-2</v>
      </c>
      <c r="J217" s="524"/>
      <c r="K217" s="504"/>
      <c r="L217" s="504"/>
      <c r="M217" s="504"/>
    </row>
    <row r="218" spans="1:15" customFormat="1" ht="12.75" hidden="1" outlineLevel="1" x14ac:dyDescent="0.2">
      <c r="A218" s="320" t="s">
        <v>919</v>
      </c>
      <c r="B218" s="207" t="s">
        <v>969</v>
      </c>
      <c r="C218" s="205">
        <f>IFERROR(VLOOKUP(A:A,'PPTO 2017'!A:D,3,0),0)</f>
        <v>38870</v>
      </c>
      <c r="D218" s="205">
        <f>IFERROR(VLOOKUP(A:A,EJEC!A:G,5,0),0)</f>
        <v>0</v>
      </c>
      <c r="E218" s="205">
        <v>38500</v>
      </c>
      <c r="F218" s="321">
        <f t="shared" ref="F218:F219" si="66">IF(E218=0,"",IF(C218=0,"",(E218/C218)))</f>
        <v>0.99048109081553892</v>
      </c>
      <c r="G218" s="225">
        <f t="shared" ref="G218:G219" si="67">+E218*$O$2</f>
        <v>40425</v>
      </c>
      <c r="H218" s="204"/>
      <c r="I218" s="321">
        <f t="shared" ref="I218:I219" si="68">IF(G218=0,"",IF(E218=0,"",(G218/E218)-1))</f>
        <v>5.0000000000000044E-2</v>
      </c>
      <c r="J218" s="524"/>
      <c r="K218" s="504"/>
      <c r="L218" s="504"/>
      <c r="M218" s="504"/>
    </row>
    <row r="219" spans="1:15" customFormat="1" ht="12.75" hidden="1" outlineLevel="1" x14ac:dyDescent="0.2">
      <c r="A219" s="320" t="s">
        <v>918</v>
      </c>
      <c r="B219" s="207" t="s">
        <v>970</v>
      </c>
      <c r="C219" s="205">
        <f>IFERROR(VLOOKUP(A:A,'PPTO 2017'!A:D,3,0),0)</f>
        <v>-4884</v>
      </c>
      <c r="D219" s="205">
        <f>IFERROR(VLOOKUP(A:A,EJEC!A:G,5,0),0)</f>
        <v>0</v>
      </c>
      <c r="E219" s="205">
        <f t="shared" si="45"/>
        <v>0</v>
      </c>
      <c r="F219" s="321" t="str">
        <f t="shared" si="66"/>
        <v/>
      </c>
      <c r="G219" s="225">
        <f t="shared" si="67"/>
        <v>0</v>
      </c>
      <c r="H219" s="204"/>
      <c r="I219" s="321" t="str">
        <f t="shared" si="68"/>
        <v/>
      </c>
      <c r="J219" s="524"/>
      <c r="K219" s="504"/>
      <c r="L219" s="504"/>
      <c r="M219" s="504"/>
    </row>
    <row r="220" spans="1:15" customFormat="1" ht="12.75" hidden="1" outlineLevel="1" x14ac:dyDescent="0.2">
      <c r="A220" s="320" t="s">
        <v>591</v>
      </c>
      <c r="B220" s="207" t="s">
        <v>589</v>
      </c>
      <c r="C220" s="205">
        <f>IFERROR(VLOOKUP(A:A,'PPTO 2017'!A:D,3,0),0)</f>
        <v>107747.00961936745</v>
      </c>
      <c r="D220" s="205">
        <f>IFERROR(VLOOKUP(A:A,EJEC!A:G,5,0),0)</f>
        <v>52242.353000000003</v>
      </c>
      <c r="E220" s="205">
        <f>+E29*0.02</f>
        <v>107840.6</v>
      </c>
      <c r="F220" s="321">
        <f t="shared" si="55"/>
        <v>1.0008686123258843</v>
      </c>
      <c r="G220" s="225">
        <f>+G29*0.02</f>
        <v>117270.02139999997</v>
      </c>
      <c r="H220" s="204"/>
      <c r="I220" s="321">
        <f t="shared" si="54"/>
        <v>8.74385101714934E-2</v>
      </c>
      <c r="J220" s="524"/>
      <c r="K220" s="504"/>
      <c r="L220" s="504"/>
      <c r="M220" s="504"/>
    </row>
    <row r="221" spans="1:15" customFormat="1" ht="12.75" hidden="1" outlineLevel="1" x14ac:dyDescent="0.2">
      <c r="A221" s="1014" t="s">
        <v>1080</v>
      </c>
      <c r="B221" s="207" t="s">
        <v>1081</v>
      </c>
      <c r="C221" s="205"/>
      <c r="D221" s="205"/>
      <c r="E221" s="205"/>
      <c r="F221" s="321"/>
      <c r="G221" s="225">
        <f>+G29*0.01</f>
        <v>58635.010699999984</v>
      </c>
      <c r="H221" s="204"/>
      <c r="I221" s="321"/>
      <c r="J221" s="524"/>
      <c r="K221" s="504"/>
      <c r="L221" s="504"/>
      <c r="M221" s="504"/>
    </row>
    <row r="222" spans="1:15" customFormat="1" ht="12.75" hidden="1" outlineLevel="1" x14ac:dyDescent="0.2">
      <c r="A222" s="177" t="s">
        <v>593</v>
      </c>
      <c r="B222" s="207" t="s">
        <v>592</v>
      </c>
      <c r="C222" s="205">
        <f>IFERROR(VLOOKUP(A:A,'PPTO 2017'!A:D,3,0),0)</f>
        <v>0</v>
      </c>
      <c r="D222" s="205">
        <f>IFERROR(VLOOKUP(A:A,EJEC!A:G,5,0),0)</f>
        <v>0</v>
      </c>
      <c r="E222" s="205">
        <f t="shared" si="45"/>
        <v>0</v>
      </c>
      <c r="F222" s="321" t="str">
        <f t="shared" si="55"/>
        <v/>
      </c>
      <c r="G222" s="225">
        <f t="shared" si="47"/>
        <v>0</v>
      </c>
      <c r="H222" s="204"/>
      <c r="I222" s="321" t="str">
        <f t="shared" si="54"/>
        <v/>
      </c>
      <c r="J222" s="524"/>
      <c r="K222" s="504"/>
      <c r="L222" s="504"/>
      <c r="M222" s="504"/>
    </row>
    <row r="223" spans="1:15" customFormat="1" ht="12.75" hidden="1" outlineLevel="1" x14ac:dyDescent="0.2">
      <c r="A223" s="177" t="s">
        <v>834</v>
      </c>
      <c r="B223" s="207" t="s">
        <v>835</v>
      </c>
      <c r="C223" s="205">
        <f>IFERROR(VLOOKUP(A:A,'PPTO 2017'!A:D,3,0),0)</f>
        <v>0</v>
      </c>
      <c r="D223" s="205">
        <f>IFERROR(VLOOKUP(A:A,EJEC!A:G,5,0),0)</f>
        <v>0</v>
      </c>
      <c r="E223" s="205">
        <f t="shared" si="45"/>
        <v>0</v>
      </c>
      <c r="F223" s="321" t="str">
        <f t="shared" ref="F223" si="69">IF(E223=0,"",IF(C223=0,"",(E223/C223)))</f>
        <v/>
      </c>
      <c r="G223" s="225">
        <f t="shared" ref="G223" si="70">+E223*$O$2</f>
        <v>0</v>
      </c>
      <c r="H223" s="204"/>
      <c r="I223" s="321" t="str">
        <f t="shared" ref="I223" si="71">IF(G223=0,"",IF(E223=0,"",(G223/E223)-1))</f>
        <v/>
      </c>
      <c r="J223" s="524"/>
      <c r="K223" s="504"/>
      <c r="L223" s="504"/>
      <c r="M223" s="504"/>
    </row>
    <row r="224" spans="1:15" customFormat="1" ht="12.75" hidden="1" outlineLevel="1" x14ac:dyDescent="0.2">
      <c r="A224" s="177" t="s">
        <v>423</v>
      </c>
      <c r="B224" s="207" t="s">
        <v>424</v>
      </c>
      <c r="C224" s="205">
        <f>IFERROR(VLOOKUP(A:A,'PPTO 2017'!A:D,3,0),0)</f>
        <v>24539.871999999999</v>
      </c>
      <c r="D224" s="205">
        <f>IFERROR(VLOOKUP(A:A,EJEC!A:G,5,0),0)</f>
        <v>-231.07</v>
      </c>
      <c r="E224" s="205">
        <v>12600</v>
      </c>
      <c r="F224" s="321">
        <f t="shared" si="55"/>
        <v>0.51345011090522397</v>
      </c>
      <c r="G224" s="225">
        <f t="shared" si="47"/>
        <v>13230</v>
      </c>
      <c r="H224" s="204">
        <f t="shared" si="46"/>
        <v>5.0000000000000044E-2</v>
      </c>
      <c r="I224" s="321">
        <f t="shared" si="54"/>
        <v>5.0000000000000044E-2</v>
      </c>
      <c r="J224" s="524"/>
      <c r="K224" s="504"/>
      <c r="L224" s="504"/>
      <c r="M224" s="504"/>
    </row>
    <row r="225" spans="1:13" customFormat="1" ht="12.75" collapsed="1" x14ac:dyDescent="0.2">
      <c r="A225" s="177"/>
      <c r="B225" s="213" t="s">
        <v>113</v>
      </c>
      <c r="C225" s="214">
        <f>SUM(C180:C224)</f>
        <v>1053308.8208629442</v>
      </c>
      <c r="D225" s="214">
        <f>SUM(D180:D224)</f>
        <v>566839.96500000008</v>
      </c>
      <c r="E225" s="214">
        <f>SUM(E180:E224)</f>
        <v>1142286.6259999999</v>
      </c>
      <c r="F225" s="522">
        <f t="shared" si="55"/>
        <v>1.0844745656493779</v>
      </c>
      <c r="G225" s="214">
        <f>SUM(G180:G224)</f>
        <v>1271157.4900499999</v>
      </c>
      <c r="H225" s="228">
        <f>(+G225/E225)-1</f>
        <v>0.11281832520553392</v>
      </c>
      <c r="I225" s="321">
        <f t="shared" si="54"/>
        <v>0.11281832520553392</v>
      </c>
      <c r="J225" s="524"/>
      <c r="K225" s="504"/>
      <c r="L225" s="504"/>
      <c r="M225" s="504"/>
    </row>
    <row r="226" spans="1:13" customFormat="1" ht="12.75" hidden="1" outlineLevel="1" x14ac:dyDescent="0.2">
      <c r="A226" s="177"/>
      <c r="B226" s="212" t="s">
        <v>114</v>
      </c>
      <c r="C226" s="205"/>
      <c r="D226" s="205"/>
      <c r="E226" s="205"/>
      <c r="F226" s="321" t="str">
        <f t="shared" si="55"/>
        <v/>
      </c>
      <c r="G226" s="208">
        <f t="shared" si="47"/>
        <v>0</v>
      </c>
      <c r="H226" s="204" t="s">
        <v>169</v>
      </c>
      <c r="I226" s="321" t="str">
        <f t="shared" si="54"/>
        <v/>
      </c>
      <c r="J226" s="524"/>
      <c r="K226" s="504"/>
      <c r="L226" s="504"/>
      <c r="M226" s="504"/>
    </row>
    <row r="227" spans="1:13" customFormat="1" ht="12.75" hidden="1" outlineLevel="1" x14ac:dyDescent="0.2">
      <c r="A227" s="177" t="s">
        <v>115</v>
      </c>
      <c r="B227" s="207" t="s">
        <v>116</v>
      </c>
      <c r="C227" s="205">
        <f>IFERROR(VLOOKUP(A:A,'PPTO 2017'!A:D,3,0),0)</f>
        <v>4914.6183999999994</v>
      </c>
      <c r="D227" s="205">
        <f>IFERROR(VLOOKUP(A:A,EJEC!A:G,5,0),0)</f>
        <v>2921.8290000000002</v>
      </c>
      <c r="E227" s="205">
        <f t="shared" ref="E227:E248" si="72">+D227/8*12</f>
        <v>4382.7435000000005</v>
      </c>
      <c r="F227" s="321">
        <f t="shared" si="55"/>
        <v>0.8917769688893854</v>
      </c>
      <c r="G227" s="225">
        <f t="shared" si="47"/>
        <v>4601.8806750000003</v>
      </c>
      <c r="H227" s="204">
        <f t="shared" ref="H227:H248" si="73">(+G227/E227)-1</f>
        <v>5.0000000000000044E-2</v>
      </c>
      <c r="I227" s="321">
        <f t="shared" si="54"/>
        <v>5.0000000000000044E-2</v>
      </c>
      <c r="J227" s="524"/>
      <c r="K227" s="504"/>
      <c r="L227" s="504"/>
      <c r="M227" s="504"/>
    </row>
    <row r="228" spans="1:13" customFormat="1" ht="12.75" hidden="1" outlineLevel="1" x14ac:dyDescent="0.2">
      <c r="A228" s="177" t="s">
        <v>117</v>
      </c>
      <c r="B228" s="207" t="s">
        <v>118</v>
      </c>
      <c r="C228" s="205">
        <f>IFERROR(VLOOKUP(A:A,'PPTO 2017'!A:D,3,0),0)</f>
        <v>1271.60592</v>
      </c>
      <c r="D228" s="205">
        <f>IFERROR(VLOOKUP(A:A,EJEC!A:G,5,0),0)</f>
        <v>356.19299999999998</v>
      </c>
      <c r="E228" s="205">
        <f t="shared" si="72"/>
        <v>534.28949999999998</v>
      </c>
      <c r="F228" s="321">
        <f t="shared" si="55"/>
        <v>0.42016908823450583</v>
      </c>
      <c r="G228" s="225">
        <f t="shared" si="47"/>
        <v>561.00397499999997</v>
      </c>
      <c r="H228" s="204">
        <f t="shared" si="73"/>
        <v>5.0000000000000044E-2</v>
      </c>
      <c r="I228" s="321">
        <f t="shared" si="54"/>
        <v>5.0000000000000044E-2</v>
      </c>
      <c r="J228" s="524"/>
      <c r="K228" s="504"/>
      <c r="L228" s="504"/>
      <c r="M228" s="504"/>
    </row>
    <row r="229" spans="1:13" customFormat="1" ht="12.75" hidden="1" outlineLevel="1" x14ac:dyDescent="0.2">
      <c r="A229" s="177" t="s">
        <v>119</v>
      </c>
      <c r="B229" s="207" t="s">
        <v>120</v>
      </c>
      <c r="C229" s="205">
        <f>IFERROR(VLOOKUP(A:A,'PPTO 2017'!A:D,3,0),0)</f>
        <v>6755.2646399999994</v>
      </c>
      <c r="D229" s="205">
        <f>IFERROR(VLOOKUP(A:A,EJEC!A:G,5,0),0)</f>
        <v>4346.8140000000003</v>
      </c>
      <c r="E229" s="205">
        <f t="shared" si="72"/>
        <v>6520.2210000000005</v>
      </c>
      <c r="F229" s="321">
        <f t="shared" si="55"/>
        <v>0.96520585757540378</v>
      </c>
      <c r="G229" s="225">
        <f t="shared" si="47"/>
        <v>6846.2320500000005</v>
      </c>
      <c r="H229" s="204">
        <f t="shared" si="73"/>
        <v>5.0000000000000044E-2</v>
      </c>
      <c r="I229" s="321">
        <f t="shared" si="54"/>
        <v>5.0000000000000044E-2</v>
      </c>
      <c r="J229" s="524"/>
      <c r="K229" s="504"/>
      <c r="L229" s="504"/>
      <c r="M229" s="504"/>
    </row>
    <row r="230" spans="1:13" customFormat="1" ht="12.75" hidden="1" outlineLevel="1" x14ac:dyDescent="0.2">
      <c r="A230" s="177" t="s">
        <v>121</v>
      </c>
      <c r="B230" s="207" t="s">
        <v>122</v>
      </c>
      <c r="C230" s="205">
        <f>IFERROR(VLOOKUP(A:A,'PPTO 2017'!A:D,3,0),0)</f>
        <v>3769.8399199999999</v>
      </c>
      <c r="D230" s="205">
        <f>IFERROR(VLOOKUP(A:A,EJEC!A:G,5,0),0)</f>
        <v>1889.5550000000001</v>
      </c>
      <c r="E230" s="205">
        <f t="shared" si="72"/>
        <v>2834.3325</v>
      </c>
      <c r="F230" s="321">
        <f t="shared" si="55"/>
        <v>0.75184425868141369</v>
      </c>
      <c r="G230" s="225">
        <f t="shared" si="47"/>
        <v>2976.049125</v>
      </c>
      <c r="H230" s="204">
        <f t="shared" si="73"/>
        <v>5.0000000000000044E-2</v>
      </c>
      <c r="I230" s="321">
        <f t="shared" si="54"/>
        <v>5.0000000000000044E-2</v>
      </c>
      <c r="J230" s="524"/>
      <c r="K230" s="504"/>
      <c r="L230" s="504"/>
      <c r="M230" s="504"/>
    </row>
    <row r="231" spans="1:13" customFormat="1" ht="12.75" hidden="1" outlineLevel="1" x14ac:dyDescent="0.2">
      <c r="A231" s="177" t="s">
        <v>123</v>
      </c>
      <c r="B231" s="207" t="s">
        <v>124</v>
      </c>
      <c r="C231" s="205">
        <f>IFERROR(VLOOKUP(A:A,'PPTO 2017'!A:D,3,0),0)</f>
        <v>7557.4092799999989</v>
      </c>
      <c r="D231" s="205">
        <f>IFERROR(VLOOKUP(A:A,EJEC!A:G,5,0),0)</f>
        <v>4708.5410000000002</v>
      </c>
      <c r="E231" s="205">
        <f t="shared" si="72"/>
        <v>7062.8114999999998</v>
      </c>
      <c r="F231" s="321">
        <f t="shared" si="55"/>
        <v>0.93455458588052021</v>
      </c>
      <c r="G231" s="225">
        <f t="shared" si="47"/>
        <v>7415.9520750000001</v>
      </c>
      <c r="H231" s="204">
        <f t="shared" si="73"/>
        <v>5.0000000000000044E-2</v>
      </c>
      <c r="I231" s="321">
        <f t="shared" si="54"/>
        <v>5.0000000000000044E-2</v>
      </c>
      <c r="J231" s="524"/>
      <c r="K231" s="504"/>
      <c r="L231" s="504"/>
      <c r="M231" s="504"/>
    </row>
    <row r="232" spans="1:13" customFormat="1" ht="12.75" hidden="1" outlineLevel="1" x14ac:dyDescent="0.2">
      <c r="A232" s="177" t="s">
        <v>125</v>
      </c>
      <c r="B232" s="207" t="s">
        <v>126</v>
      </c>
      <c r="C232" s="205">
        <f>IFERROR(VLOOKUP(A:A,'PPTO 2017'!A:D,3,0),0)</f>
        <v>1193.9694400000001</v>
      </c>
      <c r="D232" s="205">
        <f>IFERROR(VLOOKUP(A:A,EJEC!A:G,5,0),0)</f>
        <v>1956.454</v>
      </c>
      <c r="E232" s="205">
        <f t="shared" si="72"/>
        <v>2934.681</v>
      </c>
      <c r="F232" s="321">
        <f t="shared" si="55"/>
        <v>2.4579196934889724</v>
      </c>
      <c r="G232" s="225">
        <f t="shared" si="47"/>
        <v>3081.4150500000001</v>
      </c>
      <c r="H232" s="204">
        <f t="shared" si="73"/>
        <v>5.0000000000000044E-2</v>
      </c>
      <c r="I232" s="321">
        <f t="shared" si="54"/>
        <v>5.0000000000000044E-2</v>
      </c>
      <c r="J232" s="524"/>
      <c r="K232" s="504"/>
      <c r="L232" s="504"/>
      <c r="M232" s="504"/>
    </row>
    <row r="233" spans="1:13" customFormat="1" ht="12.75" hidden="1" outlineLevel="1" x14ac:dyDescent="0.2">
      <c r="A233" s="177" t="s">
        <v>127</v>
      </c>
      <c r="B233" s="207" t="s">
        <v>128</v>
      </c>
      <c r="C233" s="205">
        <f>IFERROR(VLOOKUP(A:A,'PPTO 2017'!A:D,3,0),0)</f>
        <v>12713.21024</v>
      </c>
      <c r="D233" s="205">
        <f>IFERROR(VLOOKUP(A:A,EJEC!A:G,5,0),0)</f>
        <v>9365.4500000000007</v>
      </c>
      <c r="E233" s="205">
        <f t="shared" si="72"/>
        <v>14048.175000000001</v>
      </c>
      <c r="F233" s="321">
        <f t="shared" si="55"/>
        <v>1.1050061105573286</v>
      </c>
      <c r="G233" s="225">
        <f t="shared" si="47"/>
        <v>14750.583750000002</v>
      </c>
      <c r="H233" s="204">
        <f t="shared" si="73"/>
        <v>5.0000000000000044E-2</v>
      </c>
      <c r="I233" s="321">
        <f t="shared" si="54"/>
        <v>5.0000000000000044E-2</v>
      </c>
      <c r="J233" s="524"/>
      <c r="K233" s="504"/>
      <c r="L233" s="504"/>
      <c r="M233" s="504"/>
    </row>
    <row r="234" spans="1:13" customFormat="1" ht="12.75" hidden="1" outlineLevel="1" x14ac:dyDescent="0.2">
      <c r="A234" s="177" t="s">
        <v>129</v>
      </c>
      <c r="B234" s="207" t="s">
        <v>130</v>
      </c>
      <c r="C234" s="205">
        <f>IFERROR(VLOOKUP(A:A,'PPTO 2017'!A:D,3,0),0)</f>
        <v>11777.271199999999</v>
      </c>
      <c r="D234" s="205">
        <f>IFERROR(VLOOKUP(A:A,EJEC!A:G,5,0),0)</f>
        <v>8499.6820000000007</v>
      </c>
      <c r="E234" s="205">
        <f t="shared" si="72"/>
        <v>12749.523000000001</v>
      </c>
      <c r="F234" s="321">
        <f t="shared" si="55"/>
        <v>1.0825532318556104</v>
      </c>
      <c r="G234" s="225">
        <f t="shared" si="47"/>
        <v>13386.999150000001</v>
      </c>
      <c r="H234" s="204">
        <f t="shared" si="73"/>
        <v>5.0000000000000044E-2</v>
      </c>
      <c r="I234" s="321">
        <f t="shared" si="54"/>
        <v>5.0000000000000044E-2</v>
      </c>
      <c r="J234" s="524"/>
      <c r="K234" s="504"/>
      <c r="L234" s="504"/>
      <c r="M234" s="504"/>
    </row>
    <row r="235" spans="1:13" customFormat="1" ht="12.75" hidden="1" outlineLevel="1" x14ac:dyDescent="0.2">
      <c r="A235" s="177" t="s">
        <v>131</v>
      </c>
      <c r="B235" s="207" t="s">
        <v>132</v>
      </c>
      <c r="C235" s="205">
        <f>IFERROR(VLOOKUP(A:A,'PPTO 2017'!A:D,3,0),0)</f>
        <v>13839.26864</v>
      </c>
      <c r="D235" s="205">
        <f>IFERROR(VLOOKUP(A:A,EJEC!A:G,5,0),0)</f>
        <v>10235.744000000001</v>
      </c>
      <c r="E235" s="205">
        <f t="shared" si="72"/>
        <v>15353.616000000002</v>
      </c>
      <c r="F235" s="321">
        <f t="shared" si="55"/>
        <v>1.1094239442410305</v>
      </c>
      <c r="G235" s="225">
        <f t="shared" si="47"/>
        <v>16121.296800000002</v>
      </c>
      <c r="H235" s="204">
        <f t="shared" si="73"/>
        <v>5.0000000000000044E-2</v>
      </c>
      <c r="I235" s="321">
        <f t="shared" si="54"/>
        <v>5.0000000000000044E-2</v>
      </c>
      <c r="J235" s="524"/>
      <c r="K235" s="504"/>
      <c r="L235" s="504"/>
      <c r="M235" s="504"/>
    </row>
    <row r="236" spans="1:13" customFormat="1" ht="12.75" hidden="1" outlineLevel="1" x14ac:dyDescent="0.2">
      <c r="A236" s="177" t="s">
        <v>363</v>
      </c>
      <c r="B236" s="207" t="s">
        <v>364</v>
      </c>
      <c r="C236" s="205">
        <f>IFERROR(VLOOKUP(A:A,'PPTO 2017'!A:D,3,0),0)</f>
        <v>73753.280239999993</v>
      </c>
      <c r="D236" s="205">
        <f>IFERROR(VLOOKUP(A:A,EJEC!A:G,5,0),0)</f>
        <v>32060.896000000001</v>
      </c>
      <c r="E236" s="205">
        <v>58091</v>
      </c>
      <c r="F236" s="321">
        <f t="shared" si="55"/>
        <v>0.78763954377305678</v>
      </c>
      <c r="G236" s="225">
        <f t="shared" si="47"/>
        <v>60995.55</v>
      </c>
      <c r="H236" s="204">
        <f t="shared" si="73"/>
        <v>5.0000000000000044E-2</v>
      </c>
      <c r="I236" s="321">
        <f t="shared" si="54"/>
        <v>5.0000000000000044E-2</v>
      </c>
      <c r="J236" s="524"/>
      <c r="K236" s="504"/>
      <c r="L236" s="504"/>
      <c r="M236" s="504"/>
    </row>
    <row r="237" spans="1:13" customFormat="1" ht="12.75" hidden="1" outlineLevel="1" x14ac:dyDescent="0.2">
      <c r="A237" s="177" t="s">
        <v>365</v>
      </c>
      <c r="B237" s="207" t="s">
        <v>366</v>
      </c>
      <c r="C237" s="205">
        <f>IFERROR(VLOOKUP(A:A,'PPTO 2017'!A:D,3,0),0)</f>
        <v>139863.26479999998</v>
      </c>
      <c r="D237" s="205">
        <f>IFERROR(VLOOKUP(A:A,EJEC!A:G,5,0),0)</f>
        <v>11208.374</v>
      </c>
      <c r="E237" s="205">
        <f t="shared" si="72"/>
        <v>16812.561000000002</v>
      </c>
      <c r="F237" s="321">
        <f t="shared" si="55"/>
        <v>0.12020712532373265</v>
      </c>
      <c r="G237" s="225">
        <f t="shared" si="47"/>
        <v>17653.189050000001</v>
      </c>
      <c r="H237" s="204">
        <f t="shared" si="73"/>
        <v>5.0000000000000044E-2</v>
      </c>
      <c r="I237" s="321">
        <f t="shared" si="54"/>
        <v>5.0000000000000044E-2</v>
      </c>
      <c r="J237" s="524"/>
      <c r="K237" s="504"/>
      <c r="L237" s="504"/>
      <c r="M237" s="504"/>
    </row>
    <row r="238" spans="1:13" customFormat="1" ht="12.75" hidden="1" outlineLevel="1" x14ac:dyDescent="0.2">
      <c r="A238" s="177" t="s">
        <v>367</v>
      </c>
      <c r="B238" s="207" t="s">
        <v>368</v>
      </c>
      <c r="C238" s="205">
        <f>IFERROR(VLOOKUP(A:A,'PPTO 2017'!A:D,3,0),0)</f>
        <v>17408.509759999997</v>
      </c>
      <c r="D238" s="205">
        <f>IFERROR(VLOOKUP(A:A,EJEC!A:G,5,0),0)</f>
        <v>5298.92</v>
      </c>
      <c r="E238" s="205">
        <f t="shared" si="72"/>
        <v>7948.38</v>
      </c>
      <c r="F238" s="321">
        <f t="shared" si="55"/>
        <v>0.45658015014376518</v>
      </c>
      <c r="G238" s="225">
        <f t="shared" si="47"/>
        <v>8345.7990000000009</v>
      </c>
      <c r="H238" s="204">
        <f t="shared" si="73"/>
        <v>5.0000000000000044E-2</v>
      </c>
      <c r="I238" s="321">
        <f t="shared" si="54"/>
        <v>5.0000000000000044E-2</v>
      </c>
      <c r="J238" s="524"/>
      <c r="K238" s="504"/>
      <c r="L238" s="504"/>
      <c r="M238" s="504"/>
    </row>
    <row r="239" spans="1:13" customFormat="1" ht="12.75" hidden="1" outlineLevel="1" x14ac:dyDescent="0.2">
      <c r="A239" s="177" t="s">
        <v>133</v>
      </c>
      <c r="B239" s="207" t="s">
        <v>134</v>
      </c>
      <c r="C239" s="205">
        <f>IFERROR(VLOOKUP(A:A,'PPTO 2017'!A:D,3,0),0)</f>
        <v>0</v>
      </c>
      <c r="D239" s="205">
        <f>IFERROR(VLOOKUP(A:A,EJEC!A:G,5,0),0)</f>
        <v>0</v>
      </c>
      <c r="E239" s="205">
        <f t="shared" si="72"/>
        <v>0</v>
      </c>
      <c r="F239" s="321" t="str">
        <f t="shared" si="55"/>
        <v/>
      </c>
      <c r="G239" s="225">
        <f t="shared" si="47"/>
        <v>0</v>
      </c>
      <c r="H239" s="204" t="e">
        <f t="shared" si="73"/>
        <v>#DIV/0!</v>
      </c>
      <c r="I239" s="321" t="str">
        <f t="shared" si="54"/>
        <v/>
      </c>
      <c r="J239" s="524"/>
      <c r="K239" s="504"/>
      <c r="L239" s="504"/>
      <c r="M239" s="504"/>
    </row>
    <row r="240" spans="1:13" customFormat="1" ht="12.75" hidden="1" outlineLevel="1" x14ac:dyDescent="0.2">
      <c r="A240" s="177" t="s">
        <v>135</v>
      </c>
      <c r="B240" s="207" t="s">
        <v>136</v>
      </c>
      <c r="C240" s="205">
        <f>IFERROR(VLOOKUP(A:A,'PPTO 2017'!A:D,3,0),0)</f>
        <v>428941.98815999995</v>
      </c>
      <c r="D240" s="205">
        <f>IFERROR(VLOOKUP(A:A,EJEC!A:G,5,0),0)</f>
        <v>238632.443</v>
      </c>
      <c r="E240" s="205">
        <v>397949</v>
      </c>
      <c r="F240" s="321">
        <f t="shared" si="55"/>
        <v>0.92774550168672409</v>
      </c>
      <c r="G240" s="225">
        <f t="shared" si="47"/>
        <v>417846.45</v>
      </c>
      <c r="H240" s="204">
        <f t="shared" si="73"/>
        <v>5.0000000000000044E-2</v>
      </c>
      <c r="I240" s="321">
        <f t="shared" si="54"/>
        <v>5.0000000000000044E-2</v>
      </c>
      <c r="J240" s="524"/>
      <c r="K240" s="504"/>
      <c r="L240" s="504"/>
      <c r="M240" s="504"/>
    </row>
    <row r="241" spans="1:13" customFormat="1" ht="12.75" hidden="1" outlineLevel="1" x14ac:dyDescent="0.2">
      <c r="A241" s="177" t="s">
        <v>137</v>
      </c>
      <c r="B241" s="207" t="s">
        <v>138</v>
      </c>
      <c r="C241" s="205">
        <f>IFERROR(VLOOKUP(A:A,'PPTO 2017'!A:D,3,0),0)</f>
        <v>7498.24</v>
      </c>
      <c r="D241" s="205">
        <f>IFERROR(VLOOKUP(A:A,EJEC!A:G,5,0),0)</f>
        <v>4433.2820000000002</v>
      </c>
      <c r="E241" s="205">
        <f t="shared" si="72"/>
        <v>6649.9230000000007</v>
      </c>
      <c r="F241" s="321">
        <f t="shared" si="55"/>
        <v>0.88686451754011619</v>
      </c>
      <c r="G241" s="225">
        <f t="shared" si="47"/>
        <v>6982.4191500000006</v>
      </c>
      <c r="H241" s="204">
        <f t="shared" si="73"/>
        <v>5.0000000000000044E-2</v>
      </c>
      <c r="I241" s="321">
        <f t="shared" si="54"/>
        <v>5.0000000000000044E-2</v>
      </c>
      <c r="J241" s="524"/>
      <c r="K241" s="504"/>
      <c r="L241" s="504"/>
      <c r="M241" s="504"/>
    </row>
    <row r="242" spans="1:13" customFormat="1" ht="12.75" hidden="1" outlineLevel="1" x14ac:dyDescent="0.2">
      <c r="A242" s="177" t="s">
        <v>139</v>
      </c>
      <c r="B242" s="207" t="s">
        <v>140</v>
      </c>
      <c r="C242" s="205">
        <f>IFERROR(VLOOKUP(A:A,'PPTO 2017'!A:D,3,0),0)</f>
        <v>17552.655999999999</v>
      </c>
      <c r="D242" s="205">
        <f>IFERROR(VLOOKUP(A:A,EJEC!A:G,5,0),0)</f>
        <v>13242.022000000001</v>
      </c>
      <c r="E242" s="205">
        <f t="shared" si="72"/>
        <v>19863.033000000003</v>
      </c>
      <c r="F242" s="321">
        <f t="shared" si="55"/>
        <v>1.1316254930307985</v>
      </c>
      <c r="G242" s="225">
        <f t="shared" si="47"/>
        <v>20856.184650000003</v>
      </c>
      <c r="H242" s="204">
        <f t="shared" si="73"/>
        <v>5.0000000000000044E-2</v>
      </c>
      <c r="I242" s="321">
        <f t="shared" si="54"/>
        <v>5.0000000000000044E-2</v>
      </c>
      <c r="J242" s="524"/>
      <c r="K242" s="504"/>
      <c r="L242" s="504"/>
      <c r="M242" s="504"/>
    </row>
    <row r="243" spans="1:13" customFormat="1" ht="12.75" hidden="1" outlineLevel="1" x14ac:dyDescent="0.2">
      <c r="A243" s="177" t="s">
        <v>141</v>
      </c>
      <c r="B243" s="207" t="s">
        <v>142</v>
      </c>
      <c r="C243" s="205">
        <f>IFERROR(VLOOKUP(A:A,'PPTO 2017'!A:D,3,0),0)</f>
        <v>10542.02896</v>
      </c>
      <c r="D243" s="205">
        <f>IFERROR(VLOOKUP(A:A,EJEC!A:G,5,0),0)</f>
        <v>6042.4129999999996</v>
      </c>
      <c r="E243" s="205">
        <f t="shared" si="72"/>
        <v>9063.6194999999989</v>
      </c>
      <c r="F243" s="321">
        <f t="shared" si="55"/>
        <v>0.85976044406540875</v>
      </c>
      <c r="G243" s="225">
        <f t="shared" si="47"/>
        <v>9516.800475</v>
      </c>
      <c r="H243" s="204">
        <f t="shared" si="73"/>
        <v>5.0000000000000044E-2</v>
      </c>
      <c r="I243" s="321">
        <f t="shared" si="54"/>
        <v>5.0000000000000044E-2</v>
      </c>
      <c r="J243" s="524"/>
      <c r="K243" s="504"/>
      <c r="L243" s="504"/>
      <c r="M243" s="504"/>
    </row>
    <row r="244" spans="1:13" customFormat="1" ht="12.75" hidden="1" outlineLevel="1" x14ac:dyDescent="0.2">
      <c r="A244" s="177" t="s">
        <v>143</v>
      </c>
      <c r="B244" s="207" t="s">
        <v>144</v>
      </c>
      <c r="C244" s="205">
        <f>IFERROR(VLOOKUP(A:A,'PPTO 2017'!A:D,3,0),0)</f>
        <v>15.873439999999999</v>
      </c>
      <c r="D244" s="205">
        <f>IFERROR(VLOOKUP(A:A,EJEC!A:G,5,0),0)</f>
        <v>11.778</v>
      </c>
      <c r="E244" s="205">
        <f t="shared" si="72"/>
        <v>17.667000000000002</v>
      </c>
      <c r="F244" s="321">
        <f t="shared" si="55"/>
        <v>1.1129912608735097</v>
      </c>
      <c r="G244" s="225">
        <f t="shared" si="47"/>
        <v>18.550350000000002</v>
      </c>
      <c r="H244" s="204">
        <f t="shared" si="73"/>
        <v>5.0000000000000044E-2</v>
      </c>
      <c r="I244" s="321">
        <f t="shared" si="54"/>
        <v>5.0000000000000044E-2</v>
      </c>
      <c r="J244" s="524"/>
      <c r="K244" s="504"/>
      <c r="L244" s="504"/>
      <c r="M244" s="504"/>
    </row>
    <row r="245" spans="1:13" customFormat="1" ht="12.75" hidden="1" outlineLevel="1" x14ac:dyDescent="0.2">
      <c r="A245" s="177" t="s">
        <v>145</v>
      </c>
      <c r="B245" s="207" t="s">
        <v>146</v>
      </c>
      <c r="C245" s="205">
        <f>IFERROR(VLOOKUP(A:A,'PPTO 2017'!A:D,3,0),0)</f>
        <v>8425.5718399999987</v>
      </c>
      <c r="D245" s="205">
        <f>IFERROR(VLOOKUP(A:A,EJEC!A:G,5,0),0)</f>
        <v>20858.511999999999</v>
      </c>
      <c r="E245" s="205">
        <f t="shared" si="72"/>
        <v>31287.767999999996</v>
      </c>
      <c r="F245" s="321">
        <f t="shared" si="55"/>
        <v>3.7134296157161484</v>
      </c>
      <c r="G245" s="225">
        <f t="shared" si="47"/>
        <v>32852.1564</v>
      </c>
      <c r="H245" s="204">
        <f t="shared" si="73"/>
        <v>5.0000000000000044E-2</v>
      </c>
      <c r="I245" s="321">
        <f t="shared" si="54"/>
        <v>5.0000000000000044E-2</v>
      </c>
      <c r="J245" s="524"/>
      <c r="K245" s="504"/>
      <c r="L245" s="504"/>
      <c r="M245" s="504"/>
    </row>
    <row r="246" spans="1:13" customFormat="1" ht="12.75" hidden="1" outlineLevel="1" x14ac:dyDescent="0.2">
      <c r="A246" s="177" t="s">
        <v>369</v>
      </c>
      <c r="B246" s="207" t="s">
        <v>370</v>
      </c>
      <c r="C246" s="205">
        <f>IFERROR(VLOOKUP(A:A,'PPTO 2017'!A:D,3,0),0)</f>
        <v>674.59103999999991</v>
      </c>
      <c r="D246" s="205">
        <f>IFERROR(VLOOKUP(A:A,EJEC!A:G,5,0),0)</f>
        <v>843.08</v>
      </c>
      <c r="E246" s="205">
        <f t="shared" si="72"/>
        <v>1264.6200000000001</v>
      </c>
      <c r="F246" s="321">
        <f t="shared" si="55"/>
        <v>1.8746468971778818</v>
      </c>
      <c r="G246" s="225">
        <f t="shared" si="47"/>
        <v>1327.8510000000001</v>
      </c>
      <c r="H246" s="204">
        <f t="shared" si="73"/>
        <v>5.0000000000000044E-2</v>
      </c>
      <c r="I246" s="321">
        <f t="shared" si="54"/>
        <v>5.0000000000000044E-2</v>
      </c>
      <c r="J246" s="524"/>
      <c r="K246" s="504"/>
      <c r="L246" s="504"/>
      <c r="M246" s="504"/>
    </row>
    <row r="247" spans="1:13" customFormat="1" ht="12.75" hidden="1" outlineLevel="1" x14ac:dyDescent="0.2">
      <c r="A247" s="177" t="s">
        <v>147</v>
      </c>
      <c r="B247" s="207" t="s">
        <v>148</v>
      </c>
      <c r="C247" s="205">
        <f>IFERROR(VLOOKUP(A:A,'PPTO 2017'!A:D,3,0),0)</f>
        <v>9615.7596799999992</v>
      </c>
      <c r="D247" s="205">
        <f>IFERROR(VLOOKUP(A:A,EJEC!A:G,5,0),0)</f>
        <v>5787.8159999999998</v>
      </c>
      <c r="E247" s="205">
        <f t="shared" si="72"/>
        <v>8681.7240000000002</v>
      </c>
      <c r="F247" s="321">
        <f t="shared" si="55"/>
        <v>0.90286407823370241</v>
      </c>
      <c r="G247" s="225">
        <f t="shared" si="47"/>
        <v>9115.8101999999999</v>
      </c>
      <c r="H247" s="204">
        <f t="shared" si="73"/>
        <v>5.0000000000000044E-2</v>
      </c>
      <c r="I247" s="321">
        <f t="shared" si="54"/>
        <v>5.0000000000000044E-2</v>
      </c>
      <c r="J247" s="524"/>
      <c r="K247" s="504"/>
      <c r="L247" s="504"/>
      <c r="M247" s="504"/>
    </row>
    <row r="248" spans="1:13" customFormat="1" ht="12.75" hidden="1" outlineLevel="1" x14ac:dyDescent="0.2">
      <c r="A248" s="177" t="s">
        <v>149</v>
      </c>
      <c r="B248" s="207" t="s">
        <v>150</v>
      </c>
      <c r="C248" s="205">
        <f>IFERROR(VLOOKUP(A:A,'PPTO 2017'!A:D,3,0),0)</f>
        <v>5425.5148799999988</v>
      </c>
      <c r="D248" s="205">
        <f>IFERROR(VLOOKUP(A:A,EJEC!A:G,5,0),0)</f>
        <v>3615.76</v>
      </c>
      <c r="E248" s="205">
        <f t="shared" si="72"/>
        <v>5423.64</v>
      </c>
      <c r="F248" s="321">
        <f t="shared" si="55"/>
        <v>0.99965443279735355</v>
      </c>
      <c r="G248" s="225">
        <f t="shared" si="47"/>
        <v>5694.822000000001</v>
      </c>
      <c r="H248" s="204">
        <f t="shared" si="73"/>
        <v>5.0000000000000044E-2</v>
      </c>
      <c r="I248" s="321">
        <f t="shared" si="54"/>
        <v>5.0000000000000044E-2</v>
      </c>
      <c r="J248" s="524"/>
      <c r="K248" s="504"/>
      <c r="L248" s="504"/>
      <c r="M248" s="504"/>
    </row>
    <row r="249" spans="1:13" customFormat="1" ht="12.75" collapsed="1" x14ac:dyDescent="0.2">
      <c r="A249" s="3"/>
      <c r="B249" s="215" t="s">
        <v>151</v>
      </c>
      <c r="C249" s="214">
        <f>SUM(C227:C248)</f>
        <v>783509.73647999996</v>
      </c>
      <c r="D249" s="214">
        <f>SUM(D227:D248)</f>
        <v>386315.55800000002</v>
      </c>
      <c r="E249" s="214">
        <f>SUM(E227:E248)</f>
        <v>629473.32850000018</v>
      </c>
      <c r="F249" s="522">
        <f t="shared" si="55"/>
        <v>0.80340205002170795</v>
      </c>
      <c r="G249" s="214">
        <f>SUM(G227:G248)</f>
        <v>660946.99492500001</v>
      </c>
      <c r="H249" s="228">
        <f>(+G249/E249)-1</f>
        <v>4.9999999999999822E-2</v>
      </c>
      <c r="I249" s="321">
        <f t="shared" si="54"/>
        <v>4.9999999999999822E-2</v>
      </c>
      <c r="J249" s="524"/>
      <c r="K249" s="504"/>
      <c r="L249" s="504"/>
      <c r="M249" s="504"/>
    </row>
    <row r="250" spans="1:13" customFormat="1" ht="12.75" x14ac:dyDescent="0.2">
      <c r="A250" s="1"/>
      <c r="B250" s="216" t="s">
        <v>371</v>
      </c>
      <c r="C250" s="210">
        <f>+C225+C249</f>
        <v>1836818.5573429442</v>
      </c>
      <c r="D250" s="210">
        <f>+D225+D249</f>
        <v>953155.52300000004</v>
      </c>
      <c r="E250" s="210">
        <f>+E225+E249</f>
        <v>1771759.9545</v>
      </c>
      <c r="F250" s="521">
        <f t="shared" si="55"/>
        <v>0.96458082232299802</v>
      </c>
      <c r="G250" s="210">
        <f>+G225+G249</f>
        <v>1932104.4849749999</v>
      </c>
      <c r="H250" s="211">
        <f>(+G250/E250)-1</f>
        <v>9.0500143694832502E-2</v>
      </c>
      <c r="I250" s="321">
        <f t="shared" si="54"/>
        <v>9.0500143694832502E-2</v>
      </c>
      <c r="J250" s="524"/>
      <c r="K250" s="504"/>
      <c r="L250" s="504"/>
      <c r="M250" s="504"/>
    </row>
    <row r="251" spans="1:13" customFormat="1" ht="12.75" x14ac:dyDescent="0.2">
      <c r="A251" s="178"/>
      <c r="B251" s="209" t="s">
        <v>372</v>
      </c>
      <c r="C251" s="210">
        <f>+C177+C250</f>
        <v>4167220.3628955521</v>
      </c>
      <c r="D251" s="210">
        <f>+D177+D250</f>
        <v>2515105.148</v>
      </c>
      <c r="E251" s="210">
        <f>+E177+E250</f>
        <v>4131855.4594999994</v>
      </c>
      <c r="F251" s="518">
        <f t="shared" si="55"/>
        <v>0.99151355092463123</v>
      </c>
      <c r="G251" s="210">
        <f ca="1">+G177+G250</f>
        <v>4161944.1228287951</v>
      </c>
      <c r="H251" s="211">
        <f ca="1">(+G251/E251)-1</f>
        <v>7.2821190440279793E-3</v>
      </c>
      <c r="I251" s="321">
        <f t="shared" ca="1" si="54"/>
        <v>7.2821190440279793E-3</v>
      </c>
      <c r="J251" s="524"/>
      <c r="K251" s="504"/>
      <c r="L251" s="504"/>
      <c r="M251" s="504"/>
    </row>
    <row r="252" spans="1:13" customFormat="1" ht="12.75" x14ac:dyDescent="0.2">
      <c r="A252" s="176"/>
      <c r="B252" s="209" t="s">
        <v>373</v>
      </c>
      <c r="C252" s="210">
        <f>+C29-C251</f>
        <v>1220130.1180728208</v>
      </c>
      <c r="D252" s="210">
        <f>+D29-D251</f>
        <v>996302.99800000014</v>
      </c>
      <c r="E252" s="210">
        <f>+E29-E251</f>
        <v>1260174.5405000006</v>
      </c>
      <c r="F252" s="521">
        <f t="shared" si="55"/>
        <v>1.0328197967036741</v>
      </c>
      <c r="G252" s="210">
        <f ca="1">+G29-G251</f>
        <v>1701556.9471712033</v>
      </c>
      <c r="H252" s="211">
        <f ca="1">(+G252/E252)-1</f>
        <v>0.35025497856517163</v>
      </c>
      <c r="I252" s="321">
        <f t="shared" ca="1" si="54"/>
        <v>0.35025497856517163</v>
      </c>
      <c r="J252" s="524"/>
      <c r="K252" s="504"/>
      <c r="L252" s="504"/>
      <c r="M252" s="504"/>
    </row>
    <row r="253" spans="1:13" customFormat="1" ht="12.75" hidden="1" outlineLevel="1" x14ac:dyDescent="0.2">
      <c r="A253" s="176"/>
      <c r="B253" s="212" t="s">
        <v>374</v>
      </c>
      <c r="C253" s="205"/>
      <c r="D253" s="205"/>
      <c r="E253" s="205"/>
      <c r="F253" s="321" t="str">
        <f t="shared" si="55"/>
        <v/>
      </c>
      <c r="G253" s="208" t="s">
        <v>169</v>
      </c>
      <c r="H253" s="204" t="s">
        <v>169</v>
      </c>
      <c r="I253" s="321" t="str">
        <f t="shared" si="54"/>
        <v/>
      </c>
      <c r="J253" s="524"/>
      <c r="K253" s="504"/>
      <c r="L253" s="504"/>
      <c r="M253" s="504"/>
    </row>
    <row r="254" spans="1:13" customFormat="1" ht="12.75" hidden="1" outlineLevel="1" x14ac:dyDescent="0.2">
      <c r="A254" s="176"/>
      <c r="B254" s="212" t="s">
        <v>519</v>
      </c>
      <c r="C254" s="205"/>
      <c r="D254" s="205"/>
      <c r="E254" s="205"/>
      <c r="F254" s="321" t="str">
        <f t="shared" si="55"/>
        <v/>
      </c>
      <c r="G254" s="208"/>
      <c r="H254" s="204"/>
      <c r="I254" s="321" t="str">
        <f t="shared" si="54"/>
        <v/>
      </c>
      <c r="J254" s="524"/>
      <c r="K254" s="504"/>
      <c r="L254" s="504"/>
      <c r="M254" s="504"/>
    </row>
    <row r="255" spans="1:13" customFormat="1" ht="12.75" hidden="1" outlineLevel="1" x14ac:dyDescent="0.2">
      <c r="A255" s="176">
        <v>4210050500</v>
      </c>
      <c r="B255" s="207" t="s">
        <v>14</v>
      </c>
      <c r="C255" s="205">
        <f>IFERROR(VLOOKUP(A:A,'PPTO 2017'!A:D,3,0),0)</f>
        <v>0</v>
      </c>
      <c r="D255" s="205">
        <f>IFERROR(VLOOKUP(A:A,EJEC!A:G,5,0),0)</f>
        <v>0</v>
      </c>
      <c r="E255" s="205">
        <v>0</v>
      </c>
      <c r="F255" s="321" t="str">
        <f t="shared" si="55"/>
        <v/>
      </c>
      <c r="G255" s="225">
        <f>+E255*$N$2</f>
        <v>0</v>
      </c>
      <c r="H255" s="204" t="e">
        <f t="shared" ref="H255:H304" si="74">(+G255/E255)-1</f>
        <v>#DIV/0!</v>
      </c>
      <c r="I255" s="321" t="str">
        <f t="shared" si="54"/>
        <v/>
      </c>
      <c r="J255" s="524"/>
      <c r="K255" s="504"/>
      <c r="L255" s="504"/>
      <c r="M255" s="504"/>
    </row>
    <row r="256" spans="1:13" customFormat="1" ht="12.75" hidden="1" outlineLevel="1" x14ac:dyDescent="0.2">
      <c r="A256" s="176">
        <v>4210050601</v>
      </c>
      <c r="B256" s="207" t="s">
        <v>375</v>
      </c>
      <c r="C256" s="205">
        <f>IFERROR(VLOOKUP(A:A,'PPTO 2017'!A:D,3,0),0)</f>
        <v>0</v>
      </c>
      <c r="D256" s="205">
        <f>IFERROR(VLOOKUP(A:A,EJEC!A:G,5,0),0)</f>
        <v>0</v>
      </c>
      <c r="E256" s="205">
        <v>0</v>
      </c>
      <c r="F256" s="321" t="str">
        <f t="shared" si="55"/>
        <v/>
      </c>
      <c r="G256" s="225">
        <f t="shared" ref="G256:G304" si="75">+E256*$N$2</f>
        <v>0</v>
      </c>
      <c r="H256" s="204" t="e">
        <f t="shared" si="74"/>
        <v>#DIV/0!</v>
      </c>
      <c r="I256" s="321" t="str">
        <f t="shared" si="54"/>
        <v/>
      </c>
      <c r="J256" s="524"/>
      <c r="K256" s="504"/>
      <c r="L256" s="504"/>
      <c r="M256" s="504"/>
    </row>
    <row r="257" spans="1:13" customFormat="1" ht="12.75" hidden="1" outlineLevel="1" x14ac:dyDescent="0.2">
      <c r="A257" s="176">
        <v>4210050602</v>
      </c>
      <c r="B257" s="207" t="s">
        <v>376</v>
      </c>
      <c r="C257" s="205">
        <f>IFERROR(VLOOKUP(A:A,'PPTO 2017'!A:D,3,0),0)</f>
        <v>0</v>
      </c>
      <c r="D257" s="205">
        <f>IFERROR(VLOOKUP(A:A,EJEC!A:G,5,0),0)</f>
        <v>0</v>
      </c>
      <c r="E257" s="205">
        <v>0</v>
      </c>
      <c r="F257" s="321" t="str">
        <f t="shared" si="55"/>
        <v/>
      </c>
      <c r="G257" s="225">
        <f t="shared" si="75"/>
        <v>0</v>
      </c>
      <c r="H257" s="204" t="e">
        <f t="shared" si="74"/>
        <v>#DIV/0!</v>
      </c>
      <c r="I257" s="321" t="str">
        <f t="shared" si="54"/>
        <v/>
      </c>
      <c r="J257" s="524"/>
      <c r="K257" s="504"/>
      <c r="L257" s="504"/>
      <c r="M257" s="504"/>
    </row>
    <row r="258" spans="1:13" customFormat="1" ht="12.75" hidden="1" outlineLevel="1" x14ac:dyDescent="0.2">
      <c r="A258" s="589">
        <v>4210050608</v>
      </c>
      <c r="B258" s="207" t="s">
        <v>695</v>
      </c>
      <c r="C258" s="205">
        <f>IFERROR(VLOOKUP(A:A,'PPTO 2017'!A:D,3,0),0)</f>
        <v>0</v>
      </c>
      <c r="D258" s="205">
        <f>IFERROR(VLOOKUP(A:A,EJEC!A:G,5,0),0)</f>
        <v>0</v>
      </c>
      <c r="E258" s="205">
        <v>0</v>
      </c>
      <c r="F258" s="321" t="str">
        <f>IF(E258=0,"",IF(C258=0,"",(E258/C258)))</f>
        <v/>
      </c>
      <c r="G258" s="225">
        <f t="shared" si="75"/>
        <v>0</v>
      </c>
      <c r="H258" s="204" t="e">
        <f>(+G258/E258)-1</f>
        <v>#DIV/0!</v>
      </c>
      <c r="I258" s="321" t="str">
        <f>IF(G258=0,"",IF(E258=0,"",(G258/E258)-1))</f>
        <v/>
      </c>
      <c r="J258" s="524"/>
      <c r="K258" s="504"/>
      <c r="L258" s="504"/>
      <c r="M258" s="504"/>
    </row>
    <row r="259" spans="1:13" customFormat="1" ht="12.75" hidden="1" outlineLevel="1" x14ac:dyDescent="0.2">
      <c r="A259" s="176">
        <v>4210050603</v>
      </c>
      <c r="B259" s="207" t="s">
        <v>377</v>
      </c>
      <c r="C259" s="205">
        <f>IFERROR(VLOOKUP(A:A,'PPTO 2017'!A:D,3,0),0)</f>
        <v>0</v>
      </c>
      <c r="D259" s="205">
        <f>IFERROR(VLOOKUP(A:A,EJEC!A:G,5,0),0)</f>
        <v>0</v>
      </c>
      <c r="E259" s="205">
        <v>0</v>
      </c>
      <c r="F259" s="321" t="str">
        <f t="shared" si="55"/>
        <v/>
      </c>
      <c r="G259" s="225">
        <f t="shared" si="75"/>
        <v>0</v>
      </c>
      <c r="H259" s="204" t="e">
        <f t="shared" si="74"/>
        <v>#DIV/0!</v>
      </c>
      <c r="I259" s="321" t="str">
        <f t="shared" si="54"/>
        <v/>
      </c>
      <c r="J259" s="524"/>
      <c r="K259" s="504"/>
      <c r="L259" s="504"/>
      <c r="M259" s="504"/>
    </row>
    <row r="260" spans="1:13" customFormat="1" ht="12.75" hidden="1" outlineLevel="1" x14ac:dyDescent="0.2">
      <c r="A260" s="589">
        <v>4210050606</v>
      </c>
      <c r="B260" s="316" t="s">
        <v>696</v>
      </c>
      <c r="C260" s="205">
        <f>IFERROR(VLOOKUP(A:A,'PPTO 2017'!A:D,3,0),0)</f>
        <v>0</v>
      </c>
      <c r="D260" s="205">
        <f>IFERROR(VLOOKUP(A:A,EJEC!A:G,5,0),0)</f>
        <v>0</v>
      </c>
      <c r="E260" s="205">
        <v>0</v>
      </c>
      <c r="F260" s="321" t="str">
        <f>IF(E260=0,"",IF(C260=0,"",(E260/C260)))</f>
        <v/>
      </c>
      <c r="G260" s="225">
        <f t="shared" si="75"/>
        <v>0</v>
      </c>
      <c r="H260" s="204" t="e">
        <f>(+G260/E260)-1</f>
        <v>#DIV/0!</v>
      </c>
      <c r="I260" s="321" t="str">
        <f>IF(G260=0,"",IF(E260=0,"",(G260/E260)-1))</f>
        <v/>
      </c>
      <c r="J260" s="524"/>
      <c r="K260" s="504"/>
      <c r="L260" s="504"/>
      <c r="M260" s="504"/>
    </row>
    <row r="261" spans="1:13" customFormat="1" ht="12.75" hidden="1" outlineLevel="1" x14ac:dyDescent="0.2">
      <c r="A261" s="176">
        <v>4210200000</v>
      </c>
      <c r="B261" s="207" t="s">
        <v>15</v>
      </c>
      <c r="C261" s="205">
        <f>IFERROR(VLOOKUP(A:A,'PPTO 2017'!A:D,3,0),0)</f>
        <v>0</v>
      </c>
      <c r="D261" s="205">
        <f>IFERROR(VLOOKUP(A:A,EJEC!A:G,5,0),0)</f>
        <v>0</v>
      </c>
      <c r="E261" s="205">
        <v>0</v>
      </c>
      <c r="F261" s="321" t="str">
        <f t="shared" si="55"/>
        <v/>
      </c>
      <c r="G261" s="225">
        <f t="shared" si="75"/>
        <v>0</v>
      </c>
      <c r="H261" s="204" t="e">
        <f t="shared" si="74"/>
        <v>#DIV/0!</v>
      </c>
      <c r="I261" s="321" t="str">
        <f t="shared" si="54"/>
        <v/>
      </c>
      <c r="J261" s="524"/>
      <c r="K261" s="504"/>
      <c r="L261" s="504"/>
      <c r="M261" s="504"/>
    </row>
    <row r="262" spans="1:13" customFormat="1" ht="12.75" hidden="1" outlineLevel="1" x14ac:dyDescent="0.2">
      <c r="A262" s="176">
        <v>4210400000</v>
      </c>
      <c r="B262" s="207" t="s">
        <v>428</v>
      </c>
      <c r="C262" s="205">
        <f>IFERROR(VLOOKUP(A:A,'PPTO 2017'!A:D,3,0),0)</f>
        <v>0</v>
      </c>
      <c r="D262" s="205">
        <f>IFERROR(VLOOKUP(A:A,EJEC!A:G,5,0),0)</f>
        <v>0</v>
      </c>
      <c r="E262" s="205">
        <v>0</v>
      </c>
      <c r="F262" s="321" t="str">
        <f t="shared" si="55"/>
        <v/>
      </c>
      <c r="G262" s="225">
        <f t="shared" si="75"/>
        <v>0</v>
      </c>
      <c r="H262" s="204" t="e">
        <f t="shared" si="74"/>
        <v>#DIV/0!</v>
      </c>
      <c r="I262" s="321" t="str">
        <f t="shared" si="54"/>
        <v/>
      </c>
      <c r="J262" s="524"/>
      <c r="K262" s="504"/>
      <c r="L262" s="504"/>
      <c r="M262" s="504"/>
    </row>
    <row r="263" spans="1:13" customFormat="1" ht="12.75" hidden="1" outlineLevel="1" x14ac:dyDescent="0.2">
      <c r="A263" s="176">
        <v>4210600000</v>
      </c>
      <c r="B263" s="207" t="s">
        <v>16</v>
      </c>
      <c r="C263" s="205">
        <f>IFERROR(VLOOKUP(A:A,'PPTO 2017'!A:D,3,0),0)</f>
        <v>0</v>
      </c>
      <c r="D263" s="205">
        <f>IFERROR(VLOOKUP(A:A,EJEC!A:G,5,0),0)</f>
        <v>0</v>
      </c>
      <c r="E263" s="205">
        <v>0</v>
      </c>
      <c r="F263" s="321" t="str">
        <f t="shared" si="55"/>
        <v/>
      </c>
      <c r="G263" s="225">
        <f t="shared" si="75"/>
        <v>0</v>
      </c>
      <c r="H263" s="204" t="e">
        <f t="shared" si="74"/>
        <v>#DIV/0!</v>
      </c>
      <c r="I263" s="321" t="str">
        <f t="shared" si="54"/>
        <v/>
      </c>
      <c r="J263" s="524"/>
      <c r="K263" s="504"/>
      <c r="L263" s="504"/>
      <c r="M263" s="504"/>
    </row>
    <row r="264" spans="1:13" customFormat="1" ht="12.75" hidden="1" outlineLevel="1" x14ac:dyDescent="0.2">
      <c r="A264" s="176">
        <v>4210950200</v>
      </c>
      <c r="B264" s="207" t="s">
        <v>17</v>
      </c>
      <c r="C264" s="205">
        <f>IFERROR(VLOOKUP(A:A,'PPTO 2017'!A:D,3,0),0)</f>
        <v>0</v>
      </c>
      <c r="D264" s="205">
        <f>IFERROR(VLOOKUP(A:A,EJEC!A:G,5,0),0)</f>
        <v>0</v>
      </c>
      <c r="E264" s="205">
        <v>0</v>
      </c>
      <c r="F264" s="321" t="str">
        <f t="shared" si="55"/>
        <v/>
      </c>
      <c r="G264" s="225">
        <f t="shared" si="75"/>
        <v>0</v>
      </c>
      <c r="H264" s="204" t="e">
        <f t="shared" si="74"/>
        <v>#DIV/0!</v>
      </c>
      <c r="I264" s="321" t="str">
        <f t="shared" si="54"/>
        <v/>
      </c>
      <c r="J264" s="524"/>
      <c r="K264" s="504"/>
      <c r="L264" s="504"/>
      <c r="M264" s="504"/>
    </row>
    <row r="265" spans="1:13" customFormat="1" ht="12.75" hidden="1" outlineLevel="1" x14ac:dyDescent="0.2">
      <c r="A265" s="176">
        <v>4210950300</v>
      </c>
      <c r="B265" s="207" t="s">
        <v>378</v>
      </c>
      <c r="C265" s="205">
        <f>IFERROR(VLOOKUP(A:A,'PPTO 2017'!A:D,3,0),0)</f>
        <v>0</v>
      </c>
      <c r="D265" s="205">
        <f>IFERROR(VLOOKUP(A:A,EJEC!A:G,5,0),0)</f>
        <v>0</v>
      </c>
      <c r="E265" s="205">
        <v>0</v>
      </c>
      <c r="F265" s="321" t="str">
        <f t="shared" si="55"/>
        <v/>
      </c>
      <c r="G265" s="225">
        <f t="shared" si="75"/>
        <v>0</v>
      </c>
      <c r="H265" s="204" t="e">
        <f t="shared" si="74"/>
        <v>#DIV/0!</v>
      </c>
      <c r="I265" s="321" t="str">
        <f t="shared" si="54"/>
        <v/>
      </c>
      <c r="J265" s="524"/>
      <c r="K265" s="504"/>
      <c r="L265" s="504"/>
      <c r="M265" s="504"/>
    </row>
    <row r="266" spans="1:13" customFormat="1" ht="12.75" hidden="1" outlineLevel="1" x14ac:dyDescent="0.2">
      <c r="A266" s="589">
        <v>4210953501</v>
      </c>
      <c r="B266" s="207" t="s">
        <v>713</v>
      </c>
      <c r="C266" s="205">
        <f>IFERROR(VLOOKUP(A:A,'PPTO 2017'!A:D,3,0),0)</f>
        <v>0</v>
      </c>
      <c r="D266" s="205">
        <f>IFERROR(VLOOKUP(A:A,EJEC!A:G,5,0),0)</f>
        <v>0</v>
      </c>
      <c r="E266" s="205">
        <v>0</v>
      </c>
      <c r="F266" s="321" t="str">
        <f t="shared" ref="F266:F267" si="76">IF(E266=0,"",IF(C266=0,"",(E266/C266)))</f>
        <v/>
      </c>
      <c r="G266" s="225">
        <f t="shared" si="75"/>
        <v>0</v>
      </c>
      <c r="H266" s="204" t="e">
        <f t="shared" ref="H266:H267" si="77">(+G266/E266)-1</f>
        <v>#DIV/0!</v>
      </c>
      <c r="I266" s="321" t="str">
        <f t="shared" ref="I266:I267" si="78">IF(G266=0,"",IF(E266=0,"",(G266/E266)-1))</f>
        <v/>
      </c>
      <c r="J266" s="524"/>
      <c r="K266" s="504"/>
      <c r="L266" s="504"/>
      <c r="M266" s="504"/>
    </row>
    <row r="267" spans="1:13" customFormat="1" ht="12.75" hidden="1" outlineLevel="1" x14ac:dyDescent="0.2">
      <c r="A267" s="589">
        <v>4210953502</v>
      </c>
      <c r="B267" s="207" t="s">
        <v>697</v>
      </c>
      <c r="C267" s="205">
        <f>IFERROR(VLOOKUP(A:A,'PPTO 2017'!A:D,3,0),0)</f>
        <v>0</v>
      </c>
      <c r="D267" s="205">
        <f>IFERROR(VLOOKUP(A:A,EJEC!A:G,5,0),0)</f>
        <v>0</v>
      </c>
      <c r="E267" s="205">
        <v>0</v>
      </c>
      <c r="F267" s="321" t="str">
        <f t="shared" si="76"/>
        <v/>
      </c>
      <c r="G267" s="225">
        <f t="shared" si="75"/>
        <v>0</v>
      </c>
      <c r="H267" s="204" t="e">
        <f t="shared" si="77"/>
        <v>#DIV/0!</v>
      </c>
      <c r="I267" s="321" t="str">
        <f t="shared" si="78"/>
        <v/>
      </c>
      <c r="J267" s="524"/>
      <c r="K267" s="504"/>
      <c r="L267" s="504"/>
      <c r="M267" s="504"/>
    </row>
    <row r="268" spans="1:13" customFormat="1" ht="12.75" hidden="1" outlineLevel="1" x14ac:dyDescent="0.2">
      <c r="A268" s="176"/>
      <c r="B268" s="212" t="s">
        <v>446</v>
      </c>
      <c r="C268" s="205"/>
      <c r="D268" s="205"/>
      <c r="E268" s="205"/>
      <c r="F268" s="321" t="str">
        <f t="shared" si="55"/>
        <v/>
      </c>
      <c r="G268" s="225"/>
      <c r="H268" s="204"/>
      <c r="I268" s="321" t="str">
        <f t="shared" si="54"/>
        <v/>
      </c>
      <c r="J268" s="524"/>
      <c r="K268" s="504"/>
      <c r="L268" s="504"/>
      <c r="M268" s="504"/>
    </row>
    <row r="269" spans="1:13" customFormat="1" ht="12.75" hidden="1" outlineLevel="1" x14ac:dyDescent="0.2">
      <c r="A269" s="176">
        <v>4220100100</v>
      </c>
      <c r="B269" s="207" t="s">
        <v>379</v>
      </c>
      <c r="C269" s="205">
        <f>IFERROR(VLOOKUP(A:A,'PPTO 2017'!A:D,3,0),0)</f>
        <v>0</v>
      </c>
      <c r="D269" s="205">
        <f>IFERROR(VLOOKUP(A:A,EJEC!A:G,5,0),0)</f>
        <v>0</v>
      </c>
      <c r="E269" s="205">
        <v>0</v>
      </c>
      <c r="F269" s="321" t="str">
        <f t="shared" si="55"/>
        <v/>
      </c>
      <c r="G269" s="225">
        <f t="shared" si="75"/>
        <v>0</v>
      </c>
      <c r="H269" s="204" t="e">
        <f t="shared" si="74"/>
        <v>#DIV/0!</v>
      </c>
      <c r="I269" s="321" t="str">
        <f t="shared" si="54"/>
        <v/>
      </c>
      <c r="J269" s="524"/>
      <c r="K269" s="504"/>
      <c r="L269" s="504"/>
      <c r="M269" s="504"/>
    </row>
    <row r="270" spans="1:13" customFormat="1" ht="12.75" hidden="1" outlineLevel="1" x14ac:dyDescent="0.2">
      <c r="A270" s="176">
        <v>4220100200</v>
      </c>
      <c r="B270" s="207" t="s">
        <v>380</v>
      </c>
      <c r="C270" s="205">
        <f>IFERROR(VLOOKUP(A:A,'PPTO 2017'!A:D,3,0),0)</f>
        <v>0</v>
      </c>
      <c r="D270" s="205">
        <f>IFERROR(VLOOKUP(A:A,EJEC!A:G,5,0),0)</f>
        <v>0</v>
      </c>
      <c r="E270" s="205">
        <v>0</v>
      </c>
      <c r="F270" s="321" t="str">
        <f t="shared" si="55"/>
        <v/>
      </c>
      <c r="G270" s="225">
        <f t="shared" si="75"/>
        <v>0</v>
      </c>
      <c r="H270" s="204" t="e">
        <f t="shared" si="74"/>
        <v>#DIV/0!</v>
      </c>
      <c r="I270" s="321" t="str">
        <f t="shared" si="54"/>
        <v/>
      </c>
      <c r="J270" s="524"/>
      <c r="K270" s="504"/>
      <c r="L270" s="504"/>
      <c r="M270" s="504"/>
    </row>
    <row r="271" spans="1:13" customFormat="1" ht="12.75" hidden="1" outlineLevel="1" x14ac:dyDescent="0.2">
      <c r="A271" s="176">
        <v>4220100300</v>
      </c>
      <c r="B271" s="207" t="s">
        <v>381</v>
      </c>
      <c r="C271" s="205">
        <f>IFERROR(VLOOKUP(A:A,'PPTO 2017'!A:D,3,0),0)</f>
        <v>0</v>
      </c>
      <c r="D271" s="205">
        <f>IFERROR(VLOOKUP(A:A,EJEC!A:G,5,0),0)</f>
        <v>0</v>
      </c>
      <c r="E271" s="205">
        <v>0</v>
      </c>
      <c r="F271" s="321" t="str">
        <f t="shared" si="55"/>
        <v/>
      </c>
      <c r="G271" s="225">
        <f t="shared" si="75"/>
        <v>0</v>
      </c>
      <c r="H271" s="204" t="e">
        <f t="shared" si="74"/>
        <v>#DIV/0!</v>
      </c>
      <c r="I271" s="321" t="str">
        <f t="shared" si="54"/>
        <v/>
      </c>
      <c r="J271" s="524"/>
      <c r="K271" s="504"/>
      <c r="L271" s="504"/>
      <c r="M271" s="504"/>
    </row>
    <row r="272" spans="1:13" customFormat="1" ht="12.75" hidden="1" outlineLevel="1" x14ac:dyDescent="0.2">
      <c r="A272" s="176">
        <v>4220100400</v>
      </c>
      <c r="B272" s="207" t="s">
        <v>382</v>
      </c>
      <c r="C272" s="205">
        <f>IFERROR(VLOOKUP(A:A,'PPTO 2017'!A:D,3,0),0)</f>
        <v>0</v>
      </c>
      <c r="D272" s="205">
        <f>IFERROR(VLOOKUP(A:A,EJEC!A:G,5,0),0)</f>
        <v>0</v>
      </c>
      <c r="E272" s="205">
        <v>0</v>
      </c>
      <c r="F272" s="321" t="str">
        <f t="shared" si="55"/>
        <v/>
      </c>
      <c r="G272" s="225">
        <f t="shared" si="75"/>
        <v>0</v>
      </c>
      <c r="H272" s="204" t="e">
        <f t="shared" si="74"/>
        <v>#DIV/0!</v>
      </c>
      <c r="I272" s="321" t="str">
        <f t="shared" si="54"/>
        <v/>
      </c>
      <c r="J272" s="524"/>
      <c r="K272" s="504"/>
      <c r="L272" s="504"/>
      <c r="M272" s="504"/>
    </row>
    <row r="273" spans="1:13" customFormat="1" ht="12.75" hidden="1" outlineLevel="1" x14ac:dyDescent="0.2">
      <c r="A273" s="176">
        <v>4220100500</v>
      </c>
      <c r="B273" s="207" t="s">
        <v>333</v>
      </c>
      <c r="C273" s="205">
        <f>IFERROR(VLOOKUP(A:A,'PPTO 2017'!A:D,3,0),0)</f>
        <v>0</v>
      </c>
      <c r="D273" s="205">
        <f>IFERROR(VLOOKUP(A:A,EJEC!A:G,5,0),0)</f>
        <v>0</v>
      </c>
      <c r="E273" s="205">
        <v>0</v>
      </c>
      <c r="F273" s="321" t="str">
        <f t="shared" si="55"/>
        <v/>
      </c>
      <c r="G273" s="225">
        <f t="shared" si="75"/>
        <v>0</v>
      </c>
      <c r="H273" s="204" t="e">
        <f t="shared" si="74"/>
        <v>#DIV/0!</v>
      </c>
      <c r="I273" s="321" t="str">
        <f t="shared" ref="I273:I329" si="79">IF(G273=0,"",IF(E273=0,"",(G273/E273)-1))</f>
        <v/>
      </c>
      <c r="J273" s="524"/>
      <c r="K273" s="504"/>
      <c r="L273" s="504"/>
      <c r="M273" s="504"/>
    </row>
    <row r="274" spans="1:13" customFormat="1" ht="12.75" hidden="1" outlineLevel="1" x14ac:dyDescent="0.2">
      <c r="A274" s="176">
        <v>4220100600</v>
      </c>
      <c r="B274" s="207" t="s">
        <v>383</v>
      </c>
      <c r="C274" s="205">
        <f>IFERROR(VLOOKUP(A:A,'PPTO 2017'!A:D,3,0),0)</f>
        <v>0</v>
      </c>
      <c r="D274" s="205">
        <f>IFERROR(VLOOKUP(A:A,EJEC!A:G,5,0),0)</f>
        <v>0</v>
      </c>
      <c r="E274" s="205">
        <v>0</v>
      </c>
      <c r="F274" s="321" t="str">
        <f t="shared" si="55"/>
        <v/>
      </c>
      <c r="G274" s="225">
        <f t="shared" si="75"/>
        <v>0</v>
      </c>
      <c r="H274" s="204" t="e">
        <f t="shared" si="74"/>
        <v>#DIV/0!</v>
      </c>
      <c r="I274" s="321" t="str">
        <f t="shared" si="79"/>
        <v/>
      </c>
      <c r="J274" s="524"/>
      <c r="K274" s="504"/>
      <c r="L274" s="504"/>
      <c r="M274" s="504"/>
    </row>
    <row r="275" spans="1:13" customFormat="1" ht="12.75" hidden="1" outlineLevel="1" x14ac:dyDescent="0.2">
      <c r="A275" s="176">
        <v>4220100700</v>
      </c>
      <c r="B275" s="207" t="s">
        <v>384</v>
      </c>
      <c r="C275" s="205">
        <f>IFERROR(VLOOKUP(A:A,'PPTO 2017'!A:D,3,0),0)</f>
        <v>0</v>
      </c>
      <c r="D275" s="205">
        <f>IFERROR(VLOOKUP(A:A,EJEC!A:G,5,0),0)</f>
        <v>0</v>
      </c>
      <c r="E275" s="205">
        <v>0</v>
      </c>
      <c r="F275" s="321" t="str">
        <f t="shared" ref="F275:F330" si="80">IF(E275=0,"",IF(C275=0,"",(E275/C275)))</f>
        <v/>
      </c>
      <c r="G275" s="225">
        <f t="shared" si="75"/>
        <v>0</v>
      </c>
      <c r="H275" s="204" t="e">
        <f t="shared" si="74"/>
        <v>#DIV/0!</v>
      </c>
      <c r="I275" s="321" t="str">
        <f t="shared" si="79"/>
        <v/>
      </c>
      <c r="J275" s="524"/>
      <c r="K275" s="504"/>
      <c r="L275" s="504"/>
      <c r="M275" s="504"/>
    </row>
    <row r="276" spans="1:13" customFormat="1" ht="12.75" hidden="1" outlineLevel="1" x14ac:dyDescent="0.2">
      <c r="A276" s="176">
        <v>4220100800</v>
      </c>
      <c r="B276" s="207" t="s">
        <v>385</v>
      </c>
      <c r="C276" s="205">
        <f>IFERROR(VLOOKUP(A:A,'PPTO 2017'!A:D,3,0),0)</f>
        <v>0</v>
      </c>
      <c r="D276" s="205">
        <f>IFERROR(VLOOKUP(A:A,EJEC!A:G,5,0),0)</f>
        <v>0</v>
      </c>
      <c r="E276" s="205">
        <v>0</v>
      </c>
      <c r="F276" s="321" t="str">
        <f t="shared" si="80"/>
        <v/>
      </c>
      <c r="G276" s="225">
        <f t="shared" si="75"/>
        <v>0</v>
      </c>
      <c r="H276" s="204" t="e">
        <f t="shared" si="74"/>
        <v>#DIV/0!</v>
      </c>
      <c r="I276" s="321" t="str">
        <f t="shared" si="79"/>
        <v/>
      </c>
      <c r="J276" s="524"/>
      <c r="K276" s="504"/>
      <c r="L276" s="504"/>
      <c r="M276" s="504"/>
    </row>
    <row r="277" spans="1:13" customFormat="1" ht="12.75" hidden="1" outlineLevel="1" x14ac:dyDescent="0.2">
      <c r="A277" s="176"/>
      <c r="B277" s="212" t="s">
        <v>223</v>
      </c>
      <c r="C277" s="205"/>
      <c r="D277" s="205"/>
      <c r="E277" s="205"/>
      <c r="F277" s="321" t="str">
        <f t="shared" si="80"/>
        <v/>
      </c>
      <c r="G277" s="225"/>
      <c r="H277" s="204"/>
      <c r="I277" s="321" t="str">
        <f t="shared" si="79"/>
        <v/>
      </c>
      <c r="J277" s="524"/>
      <c r="K277" s="504"/>
      <c r="L277" s="504"/>
      <c r="M277" s="504"/>
    </row>
    <row r="278" spans="1:13" customFormat="1" ht="12.75" hidden="1" outlineLevel="1" x14ac:dyDescent="0.2">
      <c r="A278" s="176">
        <v>4230050000</v>
      </c>
      <c r="B278" s="207" t="s">
        <v>386</v>
      </c>
      <c r="C278" s="205">
        <f>IFERROR(VLOOKUP(A:A,'PPTO 2017'!A:D,3,0),0)</f>
        <v>0</v>
      </c>
      <c r="D278" s="205">
        <f>IFERROR(VLOOKUP(A:A,EJEC!A:G,5,0),0)</f>
        <v>0</v>
      </c>
      <c r="E278" s="205">
        <v>0</v>
      </c>
      <c r="F278" s="321" t="str">
        <f t="shared" si="80"/>
        <v/>
      </c>
      <c r="G278" s="315">
        <f>ASESOR.Y.CONSULT.!C8/1000</f>
        <v>0</v>
      </c>
      <c r="H278" s="204" t="e">
        <f t="shared" si="74"/>
        <v>#DIV/0!</v>
      </c>
      <c r="I278" s="321" t="str">
        <f t="shared" si="79"/>
        <v/>
      </c>
      <c r="J278" s="524"/>
      <c r="K278" s="504"/>
      <c r="L278" s="504"/>
      <c r="M278" s="504"/>
    </row>
    <row r="279" spans="1:13" customFormat="1" ht="12.75" hidden="1" outlineLevel="1" x14ac:dyDescent="0.2">
      <c r="A279" s="176">
        <v>4230100000</v>
      </c>
      <c r="B279" s="207" t="s">
        <v>317</v>
      </c>
      <c r="C279" s="205">
        <f>IFERROR(VLOOKUP(A:A,'PPTO 2017'!A:D,3,0),0)</f>
        <v>0</v>
      </c>
      <c r="D279" s="205">
        <f>IFERROR(VLOOKUP(A:A,EJEC!A:G,5,0),0)</f>
        <v>0</v>
      </c>
      <c r="E279" s="205">
        <v>0</v>
      </c>
      <c r="F279" s="321" t="str">
        <f t="shared" si="80"/>
        <v/>
      </c>
      <c r="G279" s="586">
        <f t="shared" si="75"/>
        <v>0</v>
      </c>
      <c r="H279" s="204" t="e">
        <f t="shared" si="74"/>
        <v>#DIV/0!</v>
      </c>
      <c r="I279" s="321" t="str">
        <f t="shared" si="79"/>
        <v/>
      </c>
      <c r="J279" s="524"/>
      <c r="K279" s="504"/>
      <c r="L279" s="504"/>
      <c r="M279" s="504"/>
    </row>
    <row r="280" spans="1:13" customFormat="1" ht="12.75" hidden="1" outlineLevel="1" x14ac:dyDescent="0.2">
      <c r="A280" s="176"/>
      <c r="B280" s="212" t="s">
        <v>512</v>
      </c>
      <c r="C280" s="205"/>
      <c r="D280" s="205"/>
      <c r="E280" s="205"/>
      <c r="F280" s="321" t="str">
        <f t="shared" si="80"/>
        <v/>
      </c>
      <c r="G280" s="225"/>
      <c r="H280" s="204"/>
      <c r="I280" s="321" t="str">
        <f t="shared" si="79"/>
        <v/>
      </c>
      <c r="J280" s="524"/>
      <c r="K280" s="504"/>
      <c r="L280" s="504"/>
      <c r="M280" s="504"/>
    </row>
    <row r="281" spans="1:13" customFormat="1" ht="12.75" hidden="1" outlineLevel="1" x14ac:dyDescent="0.2">
      <c r="A281" s="589">
        <v>4235100000</v>
      </c>
      <c r="B281" s="207" t="s">
        <v>698</v>
      </c>
      <c r="C281" s="205">
        <f>IFERROR(VLOOKUP(A:A,'PPTO 2017'!A:D,3,0),0)</f>
        <v>0</v>
      </c>
      <c r="D281" s="205">
        <f>IFERROR(VLOOKUP(A:A,EJEC!A:G,5,0),0)</f>
        <v>0</v>
      </c>
      <c r="E281" s="205"/>
      <c r="F281" s="758" t="str">
        <f>IF(E281=0,"",IF(C281=0,"",(E281/C281)))</f>
        <v/>
      </c>
      <c r="G281" s="225">
        <f t="shared" si="75"/>
        <v>0</v>
      </c>
      <c r="H281" s="204"/>
      <c r="I281" s="321" t="str">
        <f>IF(G281=0,"",IF(E281=0,"",(G281/E281)-1))</f>
        <v/>
      </c>
      <c r="J281" s="524"/>
      <c r="K281" s="504"/>
      <c r="L281" s="504"/>
      <c r="M281" s="504"/>
    </row>
    <row r="282" spans="1:13" customFormat="1" ht="12.75" hidden="1" outlineLevel="1" x14ac:dyDescent="0.2">
      <c r="A282" s="176">
        <v>4235200000</v>
      </c>
      <c r="B282" s="207" t="s">
        <v>387</v>
      </c>
      <c r="C282" s="205">
        <f>IFERROR(VLOOKUP(A:A,'PPTO 2017'!A:D,3,0),0)</f>
        <v>0</v>
      </c>
      <c r="D282" s="205">
        <f>IFERROR(VLOOKUP(A:A,EJEC!A:G,5,0),0)</f>
        <v>0</v>
      </c>
      <c r="E282" s="205">
        <v>0</v>
      </c>
      <c r="F282" s="758" t="str">
        <f t="shared" si="80"/>
        <v/>
      </c>
      <c r="G282" s="225">
        <f t="shared" si="75"/>
        <v>0</v>
      </c>
      <c r="H282" s="204" t="e">
        <f t="shared" si="74"/>
        <v>#DIV/0!</v>
      </c>
      <c r="I282" s="321" t="str">
        <f t="shared" si="79"/>
        <v/>
      </c>
      <c r="J282" s="524"/>
      <c r="K282" s="504"/>
      <c r="L282" s="504"/>
      <c r="M282" s="504"/>
    </row>
    <row r="283" spans="1:13" customFormat="1" ht="12.75" hidden="1" outlineLevel="1" x14ac:dyDescent="0.2">
      <c r="A283" s="176">
        <v>4235550000</v>
      </c>
      <c r="B283" s="207" t="s">
        <v>388</v>
      </c>
      <c r="C283" s="205">
        <f>IFERROR(VLOOKUP(A:A,'PPTO 2017'!A:D,3,0),0)</f>
        <v>0</v>
      </c>
      <c r="D283" s="205">
        <f>IFERROR(VLOOKUP(A:A,EJEC!A:G,5,0),0)</f>
        <v>0</v>
      </c>
      <c r="E283" s="205">
        <v>0</v>
      </c>
      <c r="F283" s="758" t="str">
        <f t="shared" si="80"/>
        <v/>
      </c>
      <c r="G283" s="226">
        <f>'PROY INVEST.'!N8/1000-P.PROY.SOCIAL!N8/1000</f>
        <v>0</v>
      </c>
      <c r="H283" s="204" t="e">
        <f t="shared" si="74"/>
        <v>#DIV/0!</v>
      </c>
      <c r="I283" s="321" t="str">
        <f t="shared" si="79"/>
        <v/>
      </c>
      <c r="J283" s="524"/>
      <c r="K283" s="504"/>
      <c r="L283" s="504"/>
      <c r="M283" s="504"/>
    </row>
    <row r="284" spans="1:13" customFormat="1" ht="12.75" hidden="1" outlineLevel="1" x14ac:dyDescent="0.2">
      <c r="A284" s="176">
        <v>4235653500</v>
      </c>
      <c r="B284" s="207" t="s">
        <v>389</v>
      </c>
      <c r="C284" s="205">
        <f>IFERROR(VLOOKUP(A:A,'PPTO 2017'!A:D,3,0),0)</f>
        <v>0</v>
      </c>
      <c r="D284" s="205">
        <f>IFERROR(VLOOKUP(A:A,EJEC!A:G,5,0),0)</f>
        <v>0</v>
      </c>
      <c r="E284" s="205">
        <v>0</v>
      </c>
      <c r="F284" s="758" t="str">
        <f t="shared" si="80"/>
        <v/>
      </c>
      <c r="G284" s="225">
        <f t="shared" si="75"/>
        <v>0</v>
      </c>
      <c r="H284" s="204" t="e">
        <f t="shared" si="74"/>
        <v>#DIV/0!</v>
      </c>
      <c r="I284" s="321" t="str">
        <f t="shared" si="79"/>
        <v/>
      </c>
      <c r="J284" s="524"/>
      <c r="K284" s="504"/>
      <c r="L284" s="504"/>
      <c r="M284" s="504"/>
    </row>
    <row r="285" spans="1:13" customFormat="1" ht="12.75" hidden="1" outlineLevel="1" x14ac:dyDescent="0.2">
      <c r="A285" s="589">
        <v>4235950900</v>
      </c>
      <c r="B285" s="207" t="s">
        <v>699</v>
      </c>
      <c r="C285" s="205">
        <f>IFERROR(VLOOKUP(A:A,'PPTO 2017'!A:D,3,0),0)</f>
        <v>0</v>
      </c>
      <c r="D285" s="205">
        <f>IFERROR(VLOOKUP(A:A,EJEC!A:G,5,0),0)</f>
        <v>0</v>
      </c>
      <c r="E285" s="205">
        <v>0</v>
      </c>
      <c r="F285" s="758" t="str">
        <f>IF(E285=0,"",IF(C285=0,"",(E285/C285)))</f>
        <v/>
      </c>
      <c r="G285" s="225">
        <f t="shared" si="75"/>
        <v>0</v>
      </c>
      <c r="H285" s="204" t="e">
        <f>(+G285/E285)-1</f>
        <v>#DIV/0!</v>
      </c>
      <c r="I285" s="321" t="str">
        <f>IF(G285=0,"",IF(E285=0,"",(G285/E285)-1))</f>
        <v/>
      </c>
      <c r="J285" s="524"/>
      <c r="K285" s="504"/>
      <c r="L285" s="504"/>
      <c r="M285" s="504"/>
    </row>
    <row r="286" spans="1:13" customFormat="1" ht="12.75" hidden="1" outlineLevel="1" x14ac:dyDescent="0.2">
      <c r="A286" s="176">
        <v>4235950100</v>
      </c>
      <c r="B286" s="207" t="s">
        <v>390</v>
      </c>
      <c r="C286" s="205">
        <f>IFERROR(VLOOKUP(A:A,'PPTO 2017'!A:D,3,0),0)</f>
        <v>0</v>
      </c>
      <c r="D286" s="205">
        <f>IFERROR(VLOOKUP(A:A,EJEC!A:G,5,0),0)</f>
        <v>0</v>
      </c>
      <c r="E286" s="205">
        <v>0</v>
      </c>
      <c r="F286" s="758" t="str">
        <f t="shared" si="80"/>
        <v/>
      </c>
      <c r="G286" s="225">
        <f t="shared" si="75"/>
        <v>0</v>
      </c>
      <c r="H286" s="204" t="e">
        <f t="shared" si="74"/>
        <v>#DIV/0!</v>
      </c>
      <c r="I286" s="321" t="str">
        <f t="shared" si="79"/>
        <v/>
      </c>
      <c r="J286" s="524"/>
      <c r="K286" s="504"/>
      <c r="L286" s="504"/>
      <c r="M286" s="504"/>
    </row>
    <row r="287" spans="1:13" customFormat="1" ht="12.75" hidden="1" outlineLevel="1" x14ac:dyDescent="0.2">
      <c r="A287" s="176">
        <v>4235950200</v>
      </c>
      <c r="B287" s="207" t="s">
        <v>391</v>
      </c>
      <c r="C287" s="205">
        <f>IFERROR(VLOOKUP(A:A,'PPTO 2017'!A:D,3,0),0)</f>
        <v>0</v>
      </c>
      <c r="D287" s="205">
        <f>IFERROR(VLOOKUP(A:A,EJEC!A:G,5,0),0)</f>
        <v>0</v>
      </c>
      <c r="E287" s="205">
        <v>0</v>
      </c>
      <c r="F287" s="758" t="str">
        <f t="shared" si="80"/>
        <v/>
      </c>
      <c r="G287" s="225">
        <f t="shared" si="75"/>
        <v>0</v>
      </c>
      <c r="H287" s="204" t="e">
        <f t="shared" si="74"/>
        <v>#DIV/0!</v>
      </c>
      <c r="I287" s="321" t="str">
        <f t="shared" si="79"/>
        <v/>
      </c>
      <c r="J287" s="524"/>
      <c r="K287" s="504"/>
      <c r="L287" s="504"/>
      <c r="M287" s="504"/>
    </row>
    <row r="288" spans="1:13" customFormat="1" ht="12.75" hidden="1" outlineLevel="1" x14ac:dyDescent="0.2">
      <c r="A288" s="176">
        <v>4235950500</v>
      </c>
      <c r="B288" s="207" t="s">
        <v>392</v>
      </c>
      <c r="C288" s="205">
        <f>IFERROR(VLOOKUP(A:A,'PPTO 2017'!A:D,3,0),0)</f>
        <v>0</v>
      </c>
      <c r="D288" s="205">
        <f>IFERROR(VLOOKUP(A:A,EJEC!A:G,5,0),0)</f>
        <v>0</v>
      </c>
      <c r="E288" s="205">
        <v>0</v>
      </c>
      <c r="F288" s="758" t="str">
        <f t="shared" si="80"/>
        <v/>
      </c>
      <c r="G288" s="225">
        <f t="shared" si="75"/>
        <v>0</v>
      </c>
      <c r="H288" s="204" t="e">
        <f t="shared" si="74"/>
        <v>#DIV/0!</v>
      </c>
      <c r="I288" s="321" t="str">
        <f t="shared" si="79"/>
        <v/>
      </c>
      <c r="J288" s="524"/>
      <c r="K288" s="504"/>
      <c r="L288" s="504"/>
      <c r="M288" s="504"/>
    </row>
    <row r="289" spans="1:13" customFormat="1" ht="12.75" hidden="1" outlineLevel="1" x14ac:dyDescent="0.2">
      <c r="A289" s="3">
        <v>4235950600</v>
      </c>
      <c r="B289" s="207" t="s">
        <v>393</v>
      </c>
      <c r="C289" s="205">
        <f>IFERROR(VLOOKUP(A:A,'PPTO 2017'!A:D,3,0),0)</f>
        <v>0</v>
      </c>
      <c r="D289" s="205">
        <f>IFERROR(VLOOKUP(A:A,EJEC!A:G,5,0),0)</f>
        <v>0</v>
      </c>
      <c r="E289" s="205">
        <v>0</v>
      </c>
      <c r="F289" s="758" t="str">
        <f t="shared" si="80"/>
        <v/>
      </c>
      <c r="G289" s="225">
        <f t="shared" si="75"/>
        <v>0</v>
      </c>
      <c r="H289" s="204" t="e">
        <f t="shared" si="74"/>
        <v>#DIV/0!</v>
      </c>
      <c r="I289" s="321" t="str">
        <f t="shared" si="79"/>
        <v/>
      </c>
      <c r="J289" s="524"/>
      <c r="K289" s="504"/>
      <c r="L289" s="504"/>
      <c r="M289" s="504"/>
    </row>
    <row r="290" spans="1:13" customFormat="1" ht="12.75" hidden="1" outlineLevel="1" x14ac:dyDescent="0.2">
      <c r="A290" s="587">
        <v>4235950800</v>
      </c>
      <c r="B290" s="207" t="s">
        <v>700</v>
      </c>
      <c r="C290" s="205">
        <f>IFERROR(VLOOKUP(A:A,'PPTO 2017'!A:D,3,0),0)</f>
        <v>0</v>
      </c>
      <c r="D290" s="205">
        <f>IFERROR(VLOOKUP(A:A,EJEC!A:G,5,0),0)</f>
        <v>0</v>
      </c>
      <c r="E290" s="205">
        <v>0</v>
      </c>
      <c r="F290" s="758" t="str">
        <f>IF(E290=0,"",IF(C290=0,"",(E290/C290)))</f>
        <v/>
      </c>
      <c r="G290" s="225">
        <f t="shared" si="75"/>
        <v>0</v>
      </c>
      <c r="H290" s="204" t="e">
        <f>(+G290/E290)-1</f>
        <v>#DIV/0!</v>
      </c>
      <c r="I290" s="321" t="str">
        <f>IF(G290=0,"",IF(E290=0,"",(G290/E290)-1))</f>
        <v/>
      </c>
      <c r="J290" s="524"/>
      <c r="K290" s="504"/>
      <c r="L290" s="504"/>
      <c r="M290" s="504"/>
    </row>
    <row r="291" spans="1:13" customFormat="1" ht="12.75" hidden="1" outlineLevel="1" x14ac:dyDescent="0.2">
      <c r="A291" s="3"/>
      <c r="B291" s="212" t="s">
        <v>520</v>
      </c>
      <c r="C291" s="205"/>
      <c r="D291" s="205"/>
      <c r="E291" s="205"/>
      <c r="F291" s="758" t="str">
        <f t="shared" si="80"/>
        <v/>
      </c>
      <c r="G291" s="225"/>
      <c r="H291" s="204"/>
      <c r="I291" s="321" t="str">
        <f t="shared" si="79"/>
        <v/>
      </c>
      <c r="J291" s="524"/>
      <c r="K291" s="504"/>
      <c r="L291" s="504"/>
      <c r="M291" s="504"/>
    </row>
    <row r="292" spans="1:13" customFormat="1" ht="12.75" hidden="1" outlineLevel="1" x14ac:dyDescent="0.2">
      <c r="A292" s="587">
        <v>4250150000</v>
      </c>
      <c r="B292" s="316" t="s">
        <v>701</v>
      </c>
      <c r="C292" s="205">
        <f>IFERROR(VLOOKUP(A:A,'PPTO 2017'!A:D,3,0),0)</f>
        <v>0</v>
      </c>
      <c r="D292" s="205">
        <f>IFERROR(VLOOKUP(A:A,EJEC!A:G,5,0),0)</f>
        <v>0</v>
      </c>
      <c r="E292" s="205">
        <v>0</v>
      </c>
      <c r="F292" s="758" t="str">
        <f>IF(E292=0,"",IF(C292=0,"",(E292/C292)))</f>
        <v/>
      </c>
      <c r="G292" s="225">
        <f t="shared" si="75"/>
        <v>0</v>
      </c>
      <c r="H292" s="204"/>
      <c r="I292" s="321" t="str">
        <f>IF(G292=0,"",IF(E292=0,"",(G292/E292)-1))</f>
        <v/>
      </c>
      <c r="J292" s="524"/>
      <c r="K292" s="504"/>
      <c r="L292" s="504"/>
      <c r="M292" s="504"/>
    </row>
    <row r="293" spans="1:13" customFormat="1" ht="12.75" hidden="1" outlineLevel="1" x14ac:dyDescent="0.2">
      <c r="A293" s="587">
        <v>4250350200</v>
      </c>
      <c r="B293" s="316" t="s">
        <v>702</v>
      </c>
      <c r="C293" s="205">
        <f>IFERROR(VLOOKUP(A:A,'PPTO 2017'!A:D,3,0),0)</f>
        <v>0</v>
      </c>
      <c r="D293" s="205">
        <f>IFERROR(VLOOKUP(A:A,EJEC!A:G,5,0),0)</f>
        <v>0</v>
      </c>
      <c r="E293" s="205">
        <v>0</v>
      </c>
      <c r="F293" s="758" t="str">
        <f>IF(E293=0,"",IF(C293=0,"",(E293/C293)))</f>
        <v/>
      </c>
      <c r="G293" s="225">
        <f t="shared" si="75"/>
        <v>0</v>
      </c>
      <c r="H293" s="204"/>
      <c r="I293" s="321" t="str">
        <f>IF(G293=0,"",IF(E293=0,"",(G293/E293)-1))</f>
        <v/>
      </c>
      <c r="J293" s="524"/>
      <c r="K293" s="504"/>
      <c r="L293" s="504"/>
      <c r="M293" s="504"/>
    </row>
    <row r="294" spans="1:13" customFormat="1" ht="12.75" hidden="1" outlineLevel="1" x14ac:dyDescent="0.2">
      <c r="A294" s="176">
        <v>4250500000</v>
      </c>
      <c r="B294" s="207" t="s">
        <v>18</v>
      </c>
      <c r="C294" s="205">
        <f>IFERROR(VLOOKUP(A:A,'PPTO 2017'!A:D,3,0),0)</f>
        <v>0</v>
      </c>
      <c r="D294" s="205">
        <f>IFERROR(VLOOKUP(A:A,EJEC!A:G,5,0),0)</f>
        <v>0</v>
      </c>
      <c r="E294" s="205">
        <v>0</v>
      </c>
      <c r="F294" s="758" t="str">
        <f t="shared" si="80"/>
        <v/>
      </c>
      <c r="G294" s="225">
        <f t="shared" si="75"/>
        <v>0</v>
      </c>
      <c r="H294" s="204" t="e">
        <f t="shared" si="74"/>
        <v>#DIV/0!</v>
      </c>
      <c r="I294" s="321" t="str">
        <f t="shared" si="79"/>
        <v/>
      </c>
      <c r="J294" s="524"/>
      <c r="K294" s="504"/>
      <c r="L294" s="504"/>
      <c r="M294" s="504"/>
    </row>
    <row r="295" spans="1:13" customFormat="1" ht="12.75" hidden="1" outlineLevel="1" x14ac:dyDescent="0.2">
      <c r="A295" s="176">
        <v>4255050000</v>
      </c>
      <c r="B295" s="207" t="s">
        <v>394</v>
      </c>
      <c r="C295" s="205">
        <f>IFERROR(VLOOKUP(A:A,'PPTO 2017'!A:D,3,0),0)</f>
        <v>0</v>
      </c>
      <c r="D295" s="205">
        <f>IFERROR(VLOOKUP(A:A,EJEC!A:G,5,0),0)</f>
        <v>0</v>
      </c>
      <c r="E295" s="205">
        <v>0</v>
      </c>
      <c r="F295" s="758" t="str">
        <f t="shared" si="80"/>
        <v/>
      </c>
      <c r="G295" s="225">
        <f t="shared" si="75"/>
        <v>0</v>
      </c>
      <c r="H295" s="204" t="e">
        <f t="shared" si="74"/>
        <v>#DIV/0!</v>
      </c>
      <c r="I295" s="321" t="str">
        <f t="shared" si="79"/>
        <v/>
      </c>
      <c r="J295" s="524"/>
      <c r="K295" s="504"/>
      <c r="L295" s="504"/>
      <c r="M295" s="504"/>
    </row>
    <row r="296" spans="1:13" customFormat="1" ht="12.75" hidden="1" outlineLevel="1" x14ac:dyDescent="0.2">
      <c r="A296" s="176"/>
      <c r="B296" s="212" t="s">
        <v>521</v>
      </c>
      <c r="C296" s="205"/>
      <c r="D296" s="205"/>
      <c r="E296" s="205"/>
      <c r="F296" s="758" t="str">
        <f t="shared" si="80"/>
        <v/>
      </c>
      <c r="G296" s="225"/>
      <c r="H296" s="204"/>
      <c r="I296" s="321" t="str">
        <f t="shared" si="79"/>
        <v/>
      </c>
      <c r="J296" s="524"/>
      <c r="K296" s="504"/>
      <c r="L296" s="504"/>
      <c r="M296" s="504"/>
    </row>
    <row r="297" spans="1:13" customFormat="1" ht="12.75" hidden="1" outlineLevel="1" x14ac:dyDescent="0.2">
      <c r="A297" s="176">
        <v>4265010000</v>
      </c>
      <c r="B297" s="207" t="s">
        <v>19</v>
      </c>
      <c r="C297" s="205">
        <f>IFERROR(VLOOKUP(A:A,'PPTO 2017'!A:D,3,0),0)</f>
        <v>0</v>
      </c>
      <c r="D297" s="205">
        <f>IFERROR(VLOOKUP(A:A,EJEC!A:G,5,0),0)</f>
        <v>0</v>
      </c>
      <c r="E297" s="205">
        <v>0</v>
      </c>
      <c r="F297" s="758" t="str">
        <f t="shared" si="80"/>
        <v/>
      </c>
      <c r="G297" s="225">
        <f t="shared" si="75"/>
        <v>0</v>
      </c>
      <c r="H297" s="204" t="e">
        <f t="shared" si="74"/>
        <v>#DIV/0!</v>
      </c>
      <c r="I297" s="321" t="str">
        <f t="shared" si="79"/>
        <v/>
      </c>
      <c r="J297" s="524"/>
      <c r="K297" s="504"/>
      <c r="L297" s="504"/>
      <c r="M297" s="504"/>
    </row>
    <row r="298" spans="1:13" customFormat="1" ht="12.75" hidden="1" outlineLevel="1" x14ac:dyDescent="0.2">
      <c r="A298" s="176"/>
      <c r="B298" s="212" t="s">
        <v>443</v>
      </c>
      <c r="C298" s="205"/>
      <c r="D298" s="205"/>
      <c r="E298" s="205"/>
      <c r="F298" s="758" t="str">
        <f t="shared" si="80"/>
        <v/>
      </c>
      <c r="G298" s="225"/>
      <c r="H298" s="204"/>
      <c r="I298" s="321" t="str">
        <f t="shared" si="79"/>
        <v/>
      </c>
      <c r="J298" s="524"/>
      <c r="K298" s="504"/>
      <c r="L298" s="504"/>
      <c r="M298" s="504"/>
    </row>
    <row r="299" spans="1:13" customFormat="1" ht="12.75" hidden="1" outlineLevel="1" x14ac:dyDescent="0.2">
      <c r="A299" s="176">
        <v>4295050000</v>
      </c>
      <c r="B299" s="316" t="s">
        <v>395</v>
      </c>
      <c r="C299" s="205">
        <f>IFERROR(VLOOKUP(A:A,'PPTO 2017'!A:D,3,0),0)</f>
        <v>0</v>
      </c>
      <c r="D299" s="205">
        <f>IFERROR(VLOOKUP(A:A,EJEC!A:G,5,0),0)</f>
        <v>0</v>
      </c>
      <c r="E299" s="205">
        <v>0</v>
      </c>
      <c r="F299" s="758" t="str">
        <f t="shared" si="80"/>
        <v/>
      </c>
      <c r="G299" s="225">
        <f t="shared" si="75"/>
        <v>0</v>
      </c>
      <c r="H299" s="204" t="e">
        <f t="shared" si="74"/>
        <v>#DIV/0!</v>
      </c>
      <c r="I299" s="321" t="str">
        <f t="shared" si="79"/>
        <v/>
      </c>
      <c r="J299" s="524"/>
      <c r="K299" s="504"/>
      <c r="L299" s="504"/>
      <c r="M299" s="504"/>
    </row>
    <row r="300" spans="1:13" customFormat="1" ht="12.75" hidden="1" outlineLevel="1" x14ac:dyDescent="0.2">
      <c r="A300" s="176">
        <v>4295070000</v>
      </c>
      <c r="B300" s="316" t="s">
        <v>28</v>
      </c>
      <c r="C300" s="205">
        <f>IFERROR(VLOOKUP(A:A,'PPTO 2017'!A:D,3,0),0)</f>
        <v>0</v>
      </c>
      <c r="D300" s="205">
        <f>IFERROR(VLOOKUP(A:A,EJEC!A:G,5,0),0)</f>
        <v>0</v>
      </c>
      <c r="E300" s="205">
        <v>0</v>
      </c>
      <c r="F300" s="758" t="str">
        <f t="shared" si="80"/>
        <v/>
      </c>
      <c r="G300" s="225">
        <f t="shared" si="75"/>
        <v>0</v>
      </c>
      <c r="H300" s="204"/>
      <c r="I300" s="321" t="str">
        <f t="shared" si="79"/>
        <v/>
      </c>
      <c r="J300" s="524"/>
      <c r="K300" s="504"/>
      <c r="L300" s="504"/>
      <c r="M300" s="504"/>
    </row>
    <row r="301" spans="1:13" customFormat="1" ht="12.75" hidden="1" outlineLevel="1" x14ac:dyDescent="0.2">
      <c r="A301" s="176">
        <v>4295090600</v>
      </c>
      <c r="B301" s="316" t="s">
        <v>396</v>
      </c>
      <c r="C301" s="205">
        <f>IFERROR(VLOOKUP(A:A,'PPTO 2017'!A:D,3,0),0)</f>
        <v>0</v>
      </c>
      <c r="D301" s="205">
        <f>IFERROR(VLOOKUP(A:A,EJEC!A:G,5,0),0)</f>
        <v>0</v>
      </c>
      <c r="E301" s="205">
        <v>0</v>
      </c>
      <c r="F301" s="758" t="str">
        <f t="shared" si="80"/>
        <v/>
      </c>
      <c r="G301" s="225">
        <f t="shared" si="75"/>
        <v>0</v>
      </c>
      <c r="H301" s="204" t="e">
        <f t="shared" si="74"/>
        <v>#DIV/0!</v>
      </c>
      <c r="I301" s="321" t="str">
        <f t="shared" si="79"/>
        <v/>
      </c>
      <c r="J301" s="524"/>
      <c r="K301" s="504"/>
      <c r="L301" s="504"/>
      <c r="M301" s="504"/>
    </row>
    <row r="302" spans="1:13" customFormat="1" ht="12.75" hidden="1" outlineLevel="1" x14ac:dyDescent="0.2">
      <c r="A302" s="176">
        <v>4295110000</v>
      </c>
      <c r="B302" s="316" t="s">
        <v>596</v>
      </c>
      <c r="C302" s="205">
        <f>IFERROR(VLOOKUP(A:A,'PPTO 2017'!A:D,3,0),0)</f>
        <v>0</v>
      </c>
      <c r="D302" s="205">
        <f>IFERROR(VLOOKUP(A:A,EJEC!A:G,5,0),0)</f>
        <v>0</v>
      </c>
      <c r="E302" s="205">
        <v>0</v>
      </c>
      <c r="F302" s="758" t="str">
        <f t="shared" si="80"/>
        <v/>
      </c>
      <c r="G302" s="225">
        <f t="shared" si="75"/>
        <v>0</v>
      </c>
      <c r="H302" s="204"/>
      <c r="I302" s="321" t="str">
        <f t="shared" si="79"/>
        <v/>
      </c>
      <c r="J302" s="524"/>
      <c r="K302" s="504"/>
      <c r="L302" s="504"/>
      <c r="M302" s="504"/>
    </row>
    <row r="303" spans="1:13" customFormat="1" ht="12.75" hidden="1" outlineLevel="1" x14ac:dyDescent="0.2">
      <c r="A303" s="176">
        <v>4295510000</v>
      </c>
      <c r="B303" s="316" t="s">
        <v>397</v>
      </c>
      <c r="C303" s="205">
        <f>IFERROR(VLOOKUP(A:A,'PPTO 2017'!A:D,3,0),0)</f>
        <v>0</v>
      </c>
      <c r="D303" s="205">
        <f>IFERROR(VLOOKUP(A:A,EJEC!A:G,5,0),0)</f>
        <v>0</v>
      </c>
      <c r="E303" s="205">
        <v>0</v>
      </c>
      <c r="F303" s="758" t="str">
        <f t="shared" si="80"/>
        <v/>
      </c>
      <c r="G303" s="225">
        <f t="shared" si="75"/>
        <v>0</v>
      </c>
      <c r="H303" s="204" t="e">
        <f t="shared" si="74"/>
        <v>#DIV/0!</v>
      </c>
      <c r="I303" s="321" t="str">
        <f t="shared" si="79"/>
        <v/>
      </c>
      <c r="J303" s="524"/>
      <c r="K303" s="504"/>
      <c r="L303" s="504"/>
      <c r="M303" s="504"/>
    </row>
    <row r="304" spans="1:13" customFormat="1" ht="12.75" hidden="1" outlineLevel="1" x14ac:dyDescent="0.2">
      <c r="A304" s="176">
        <v>4295530000</v>
      </c>
      <c r="B304" s="316" t="s">
        <v>398</v>
      </c>
      <c r="C304" s="205">
        <f>IFERROR(VLOOKUP(A:A,'PPTO 2017'!A:D,3,0),0)</f>
        <v>0</v>
      </c>
      <c r="D304" s="205">
        <f>IFERROR(VLOOKUP(A:A,EJEC!A:G,5,0),0)</f>
        <v>0</v>
      </c>
      <c r="E304" s="205">
        <v>0</v>
      </c>
      <c r="F304" s="321" t="str">
        <f t="shared" si="80"/>
        <v/>
      </c>
      <c r="G304" s="225">
        <f t="shared" si="75"/>
        <v>0</v>
      </c>
      <c r="H304" s="204" t="e">
        <f t="shared" si="74"/>
        <v>#DIV/0!</v>
      </c>
      <c r="I304" s="321" t="str">
        <f t="shared" si="79"/>
        <v/>
      </c>
      <c r="J304" s="524"/>
      <c r="K304" s="504"/>
      <c r="L304" s="504"/>
      <c r="M304" s="504"/>
    </row>
    <row r="305" spans="1:13" customFormat="1" ht="12.75" collapsed="1" x14ac:dyDescent="0.2">
      <c r="A305" s="3"/>
      <c r="B305" s="213" t="s">
        <v>399</v>
      </c>
      <c r="C305" s="214">
        <f>SUM(C255:C304)</f>
        <v>0</v>
      </c>
      <c r="D305" s="214">
        <f>SUM(D255:D304)</f>
        <v>0</v>
      </c>
      <c r="E305" s="214">
        <f>SUM(E255:E304)</f>
        <v>0</v>
      </c>
      <c r="F305" s="522" t="str">
        <f t="shared" si="80"/>
        <v/>
      </c>
      <c r="G305" s="214">
        <f>SUM(G255:G304)</f>
        <v>0</v>
      </c>
      <c r="H305" s="228" t="e">
        <f>(+G305/E305)-1</f>
        <v>#DIV/0!</v>
      </c>
      <c r="I305" s="321" t="str">
        <f t="shared" si="79"/>
        <v/>
      </c>
      <c r="J305" s="524"/>
      <c r="K305" s="504"/>
      <c r="L305" s="504"/>
      <c r="M305" s="504"/>
    </row>
    <row r="306" spans="1:13" customFormat="1" ht="12.75" hidden="1" x14ac:dyDescent="0.2">
      <c r="A306" s="176"/>
      <c r="B306" s="212" t="s">
        <v>400</v>
      </c>
      <c r="C306" s="205"/>
      <c r="D306" s="205"/>
      <c r="E306" s="205"/>
      <c r="F306" s="321" t="str">
        <f t="shared" si="80"/>
        <v/>
      </c>
      <c r="G306" s="208" t="s">
        <v>169</v>
      </c>
      <c r="H306" s="204" t="s">
        <v>169</v>
      </c>
      <c r="I306" s="321" t="str">
        <f t="shared" si="79"/>
        <v/>
      </c>
      <c r="J306" s="524"/>
      <c r="K306" s="504"/>
      <c r="L306" s="504"/>
      <c r="M306" s="504"/>
    </row>
    <row r="307" spans="1:13" customFormat="1" ht="12.75" hidden="1" outlineLevel="1" x14ac:dyDescent="0.2">
      <c r="A307" s="176"/>
      <c r="B307" s="212" t="s">
        <v>80</v>
      </c>
      <c r="C307" s="205"/>
      <c r="D307" s="205"/>
      <c r="E307" s="205"/>
      <c r="F307" s="321" t="str">
        <f t="shared" si="80"/>
        <v/>
      </c>
      <c r="G307" s="208" t="s">
        <v>169</v>
      </c>
      <c r="H307" s="204" t="s">
        <v>169</v>
      </c>
      <c r="I307" s="321" t="str">
        <f t="shared" si="79"/>
        <v/>
      </c>
      <c r="J307" s="524"/>
      <c r="K307" s="504"/>
      <c r="L307" s="504"/>
      <c r="M307" s="504"/>
    </row>
    <row r="308" spans="1:13" customFormat="1" ht="12.75" hidden="1" outlineLevel="1" x14ac:dyDescent="0.2">
      <c r="A308" s="176">
        <v>5305050100</v>
      </c>
      <c r="B308" s="318" t="s">
        <v>401</v>
      </c>
      <c r="C308" s="205">
        <f>IFERROR(VLOOKUP(A:A,'PPTO 2017'!A:D,3,0),0)</f>
        <v>0</v>
      </c>
      <c r="D308" s="205">
        <f>IFERROR(VLOOKUP(A:A,EJEC!A:G,5,0),0)</f>
        <v>0</v>
      </c>
      <c r="E308" s="205">
        <v>0</v>
      </c>
      <c r="F308" s="321" t="str">
        <f t="shared" si="80"/>
        <v/>
      </c>
      <c r="G308" s="225">
        <f>+E308*$O$2</f>
        <v>0</v>
      </c>
      <c r="H308" s="204" t="e">
        <f t="shared" ref="H308:H327" si="81">(+G308/E308)-1</f>
        <v>#DIV/0!</v>
      </c>
      <c r="I308" s="321" t="str">
        <f t="shared" si="79"/>
        <v/>
      </c>
      <c r="J308" s="524"/>
      <c r="K308" s="504"/>
      <c r="L308" s="504"/>
      <c r="M308" s="504"/>
    </row>
    <row r="309" spans="1:13" customFormat="1" ht="12.75" hidden="1" outlineLevel="1" x14ac:dyDescent="0.2">
      <c r="A309" s="589">
        <v>5305050000</v>
      </c>
      <c r="B309" s="318" t="s">
        <v>703</v>
      </c>
      <c r="C309" s="205">
        <f>IFERROR(VLOOKUP(A:A,'PPTO 2017'!A:D,3,0),0)</f>
        <v>0</v>
      </c>
      <c r="D309" s="205">
        <f>IFERROR(VLOOKUP(A:A,EJEC!A:G,5,0),0)</f>
        <v>0</v>
      </c>
      <c r="E309" s="205">
        <v>0</v>
      </c>
      <c r="F309" s="321" t="str">
        <f>IF(E309=0,"",IF(C309=0,"",(E309/C309)))</f>
        <v/>
      </c>
      <c r="G309" s="225">
        <f t="shared" ref="G309:G326" si="82">+E309*$O$2</f>
        <v>0</v>
      </c>
      <c r="H309" s="204" t="e">
        <f>(+G309/E309)-1</f>
        <v>#DIV/0!</v>
      </c>
      <c r="I309" s="321" t="str">
        <f>IF(G309=0,"",IF(E309=0,"",(G309/E309)-1))</f>
        <v/>
      </c>
      <c r="J309" s="524"/>
      <c r="K309" s="504"/>
      <c r="L309" s="504"/>
      <c r="M309" s="504"/>
    </row>
    <row r="310" spans="1:13" customFormat="1" ht="12.75" hidden="1" outlineLevel="1" x14ac:dyDescent="0.2">
      <c r="A310" s="176">
        <v>5305050200</v>
      </c>
      <c r="B310" s="318" t="s">
        <v>402</v>
      </c>
      <c r="C310" s="205">
        <f>IFERROR(VLOOKUP(A:A,'PPTO 2017'!A:D,3,0),0)</f>
        <v>0</v>
      </c>
      <c r="D310" s="205">
        <f>IFERROR(VLOOKUP(A:A,EJEC!A:G,5,0),0)</f>
        <v>0</v>
      </c>
      <c r="E310" s="205">
        <v>0</v>
      </c>
      <c r="F310" s="321" t="str">
        <f t="shared" si="80"/>
        <v/>
      </c>
      <c r="G310" s="225">
        <f t="shared" si="82"/>
        <v>0</v>
      </c>
      <c r="H310" s="204" t="e">
        <f t="shared" si="81"/>
        <v>#DIV/0!</v>
      </c>
      <c r="I310" s="321" t="str">
        <f t="shared" si="79"/>
        <v/>
      </c>
      <c r="J310" s="524"/>
      <c r="K310" s="504"/>
      <c r="L310" s="504"/>
      <c r="M310" s="504"/>
    </row>
    <row r="311" spans="1:13" customFormat="1" ht="12.75" hidden="1" outlineLevel="1" x14ac:dyDescent="0.2">
      <c r="A311" s="589">
        <v>5305050400</v>
      </c>
      <c r="B311" s="318" t="s">
        <v>704</v>
      </c>
      <c r="C311" s="205">
        <f>IFERROR(VLOOKUP(A:A,'PPTO 2017'!A:D,3,0),0)</f>
        <v>0</v>
      </c>
      <c r="D311" s="205">
        <f>IFERROR(VLOOKUP(A:A,EJEC!A:G,5,0),0)</f>
        <v>0</v>
      </c>
      <c r="E311" s="205">
        <v>0</v>
      </c>
      <c r="F311" s="321" t="str">
        <f>IF(E311=0,"",IF(C311=0,"",(E311/C311)))</f>
        <v/>
      </c>
      <c r="G311" s="225">
        <f t="shared" si="82"/>
        <v>0</v>
      </c>
      <c r="H311" s="204" t="e">
        <f>(+G311/E311)-1</f>
        <v>#DIV/0!</v>
      </c>
      <c r="I311" s="321" t="str">
        <f>IF(G311=0,"",IF(E311=0,"",(G311/E311)-1))</f>
        <v/>
      </c>
      <c r="J311" s="524"/>
      <c r="K311" s="504"/>
      <c r="L311" s="504"/>
      <c r="M311" s="504"/>
    </row>
    <row r="312" spans="1:13" customFormat="1" ht="12.75" hidden="1" outlineLevel="1" x14ac:dyDescent="0.2">
      <c r="A312" s="176">
        <v>5305150000</v>
      </c>
      <c r="B312" s="316" t="s">
        <v>81</v>
      </c>
      <c r="C312" s="205">
        <f>IFERROR(VLOOKUP(A:A,'PPTO 2017'!A:D,3,0),0)</f>
        <v>0</v>
      </c>
      <c r="D312" s="205">
        <f>IFERROR(VLOOKUP(A:A,EJEC!A:G,5,0),0)</f>
        <v>0</v>
      </c>
      <c r="E312" s="205">
        <v>0</v>
      </c>
      <c r="F312" s="321" t="str">
        <f t="shared" si="80"/>
        <v/>
      </c>
      <c r="G312" s="225">
        <f t="shared" si="82"/>
        <v>0</v>
      </c>
      <c r="H312" s="204" t="e">
        <f t="shared" si="81"/>
        <v>#DIV/0!</v>
      </c>
      <c r="I312" s="321" t="str">
        <f t="shared" si="79"/>
        <v/>
      </c>
      <c r="J312" s="524"/>
      <c r="K312" s="504"/>
      <c r="L312" s="504"/>
      <c r="M312" s="504"/>
    </row>
    <row r="313" spans="1:13" customFormat="1" ht="12.75" hidden="1" outlineLevel="1" x14ac:dyDescent="0.2">
      <c r="A313" s="176">
        <v>5305200200</v>
      </c>
      <c r="B313" s="318" t="s">
        <v>403</v>
      </c>
      <c r="C313" s="205">
        <f>IFERROR(VLOOKUP(A:A,'PPTO 2017'!A:D,3,0),0)</f>
        <v>0</v>
      </c>
      <c r="D313" s="205">
        <f>IFERROR(VLOOKUP(A:A,EJEC!A:G,5,0),0)</f>
        <v>0</v>
      </c>
      <c r="E313" s="205">
        <v>0</v>
      </c>
      <c r="F313" s="321" t="str">
        <f t="shared" si="80"/>
        <v/>
      </c>
      <c r="G313" s="225">
        <f t="shared" si="82"/>
        <v>0</v>
      </c>
      <c r="H313" s="204" t="e">
        <f t="shared" si="81"/>
        <v>#DIV/0!</v>
      </c>
      <c r="I313" s="321" t="str">
        <f t="shared" si="79"/>
        <v/>
      </c>
      <c r="J313" s="524"/>
      <c r="K313" s="504"/>
      <c r="L313" s="504"/>
      <c r="M313" s="504"/>
    </row>
    <row r="314" spans="1:13" customFormat="1" ht="12.75" hidden="1" outlineLevel="1" x14ac:dyDescent="0.2">
      <c r="A314" s="176">
        <v>5305200300</v>
      </c>
      <c r="B314" s="316" t="s">
        <v>82</v>
      </c>
      <c r="C314" s="205">
        <f>IFERROR(VLOOKUP(A:A,'PPTO 2017'!A:D,3,0),0)</f>
        <v>0</v>
      </c>
      <c r="D314" s="205">
        <f>IFERROR(VLOOKUP(A:A,EJEC!A:G,5,0),0)</f>
        <v>0</v>
      </c>
      <c r="E314" s="205">
        <v>0</v>
      </c>
      <c r="F314" s="321" t="str">
        <f t="shared" si="80"/>
        <v/>
      </c>
      <c r="G314" s="225">
        <f t="shared" si="82"/>
        <v>0</v>
      </c>
      <c r="H314" s="204" t="e">
        <f t="shared" si="81"/>
        <v>#DIV/0!</v>
      </c>
      <c r="I314" s="321" t="str">
        <f t="shared" si="79"/>
        <v/>
      </c>
      <c r="J314" s="524"/>
      <c r="K314" s="504"/>
      <c r="L314" s="504"/>
      <c r="M314" s="504"/>
    </row>
    <row r="315" spans="1:13" customFormat="1" ht="12.75" hidden="1" outlineLevel="1" x14ac:dyDescent="0.2">
      <c r="A315" s="176">
        <v>5305250000</v>
      </c>
      <c r="B315" s="316" t="s">
        <v>15</v>
      </c>
      <c r="C315" s="205">
        <f>IFERROR(VLOOKUP(A:A,'PPTO 2017'!A:D,3,0),0)</f>
        <v>0</v>
      </c>
      <c r="D315" s="205">
        <f>IFERROR(VLOOKUP(A:A,EJEC!A:G,5,0),0)</f>
        <v>0</v>
      </c>
      <c r="E315" s="205">
        <v>0</v>
      </c>
      <c r="F315" s="321" t="str">
        <f t="shared" si="80"/>
        <v/>
      </c>
      <c r="G315" s="225">
        <f t="shared" si="82"/>
        <v>0</v>
      </c>
      <c r="H315" s="204" t="e">
        <f t="shared" si="81"/>
        <v>#DIV/0!</v>
      </c>
      <c r="I315" s="321" t="str">
        <f t="shared" si="79"/>
        <v/>
      </c>
      <c r="J315" s="524"/>
      <c r="K315" s="504"/>
      <c r="L315" s="504"/>
      <c r="M315" s="504"/>
    </row>
    <row r="316" spans="1:13" customFormat="1" ht="12.75" hidden="1" outlineLevel="1" x14ac:dyDescent="0.2">
      <c r="A316" s="589">
        <v>5305450100</v>
      </c>
      <c r="B316" s="316" t="s">
        <v>705</v>
      </c>
      <c r="C316" s="205">
        <f>IFERROR(VLOOKUP(A:A,'PPTO 2017'!A:D,3,0),0)</f>
        <v>0</v>
      </c>
      <c r="D316" s="205">
        <f>IFERROR(VLOOKUP(A:A,EJEC!A:G,5,0),0)</f>
        <v>0</v>
      </c>
      <c r="E316" s="205">
        <v>0</v>
      </c>
      <c r="F316" s="321" t="str">
        <f>IF(E316=0,"",IF(C316=0,"",(E316/C316)))</f>
        <v/>
      </c>
      <c r="G316" s="225">
        <f t="shared" si="82"/>
        <v>0</v>
      </c>
      <c r="H316" s="204" t="e">
        <f>(+G316/E316)-1</f>
        <v>#DIV/0!</v>
      </c>
      <c r="I316" s="321" t="str">
        <f>IF(G316=0,"",IF(E316=0,"",(G316/E316)-1))</f>
        <v/>
      </c>
      <c r="J316" s="524"/>
      <c r="K316" s="504"/>
      <c r="L316" s="504"/>
      <c r="M316" s="504"/>
    </row>
    <row r="317" spans="1:13" customFormat="1" ht="12.75" hidden="1" outlineLevel="1" x14ac:dyDescent="0.2">
      <c r="A317" s="589">
        <v>5305953501</v>
      </c>
      <c r="B317" s="316" t="s">
        <v>706</v>
      </c>
      <c r="C317" s="205">
        <f>IFERROR(VLOOKUP(A:A,'PPTO 2017'!A:D,3,0),0)</f>
        <v>0</v>
      </c>
      <c r="D317" s="205">
        <f>IFERROR(VLOOKUP(A:A,EJEC!A:G,5,0),0)</f>
        <v>0</v>
      </c>
      <c r="E317" s="205">
        <v>0</v>
      </c>
      <c r="F317" s="321" t="str">
        <f>IF(E317=0,"",IF(C317=0,"",(E317/C317)))</f>
        <v/>
      </c>
      <c r="G317" s="225">
        <f t="shared" si="82"/>
        <v>0</v>
      </c>
      <c r="H317" s="204" t="e">
        <f>(+G317/E317)-1</f>
        <v>#DIV/0!</v>
      </c>
      <c r="I317" s="321" t="str">
        <f>IF(G317=0,"",IF(E317=0,"",(G317/E317)-1))</f>
        <v/>
      </c>
      <c r="J317" s="524"/>
      <c r="K317" s="504"/>
      <c r="L317" s="504"/>
      <c r="M317" s="504"/>
    </row>
    <row r="318" spans="1:13" customFormat="1" ht="12.75" hidden="1" outlineLevel="1" x14ac:dyDescent="0.2">
      <c r="A318" s="176">
        <v>5315100000</v>
      </c>
      <c r="B318" s="318" t="s">
        <v>404</v>
      </c>
      <c r="C318" s="205">
        <f>IFERROR(VLOOKUP(A:A,'PPTO 2017'!A:D,3,0),0)</f>
        <v>0</v>
      </c>
      <c r="D318" s="205">
        <f>IFERROR(VLOOKUP(A:A,EJEC!A:G,5,0),0)</f>
        <v>0</v>
      </c>
      <c r="E318" s="205">
        <v>0</v>
      </c>
      <c r="F318" s="321" t="str">
        <f t="shared" si="80"/>
        <v/>
      </c>
      <c r="G318" s="225">
        <f t="shared" si="82"/>
        <v>0</v>
      </c>
      <c r="H318" s="204" t="e">
        <f t="shared" si="81"/>
        <v>#DIV/0!</v>
      </c>
      <c r="I318" s="321" t="str">
        <f t="shared" si="79"/>
        <v/>
      </c>
      <c r="J318" s="524"/>
      <c r="K318" s="504"/>
      <c r="L318" s="504"/>
      <c r="M318" s="504"/>
    </row>
    <row r="319" spans="1:13" customFormat="1" ht="12.75" hidden="1" outlineLevel="1" x14ac:dyDescent="0.2">
      <c r="A319" s="176">
        <v>5315150500</v>
      </c>
      <c r="B319" s="316" t="s">
        <v>406</v>
      </c>
      <c r="C319" s="205">
        <f>IFERROR(VLOOKUP(A:A,'PPTO 2017'!A:D,3,0),0)</f>
        <v>0</v>
      </c>
      <c r="D319" s="205">
        <f>IFERROR(VLOOKUP(A:A,EJEC!A:G,5,0),0)</f>
        <v>0</v>
      </c>
      <c r="E319" s="205">
        <v>0</v>
      </c>
      <c r="F319" s="321" t="str">
        <f t="shared" si="80"/>
        <v/>
      </c>
      <c r="G319" s="225">
        <f t="shared" si="82"/>
        <v>0</v>
      </c>
      <c r="H319" s="204" t="e">
        <f t="shared" si="81"/>
        <v>#DIV/0!</v>
      </c>
      <c r="I319" s="321" t="str">
        <f t="shared" si="79"/>
        <v/>
      </c>
      <c r="J319" s="524"/>
      <c r="K319" s="504"/>
      <c r="L319" s="504"/>
      <c r="M319" s="504"/>
    </row>
    <row r="320" spans="1:13" customFormat="1" ht="12.75" hidden="1" outlineLevel="1" x14ac:dyDescent="0.2">
      <c r="A320" s="176">
        <v>5315200000</v>
      </c>
      <c r="B320" s="316" t="s">
        <v>407</v>
      </c>
      <c r="C320" s="205">
        <f>IFERROR(VLOOKUP(A:A,'PPTO 2017'!A:D,3,0),0)</f>
        <v>0</v>
      </c>
      <c r="D320" s="205">
        <f>IFERROR(VLOOKUP(A:A,EJEC!A:G,5,0),0)</f>
        <v>0</v>
      </c>
      <c r="E320" s="205">
        <v>0</v>
      </c>
      <c r="F320" s="321" t="str">
        <f t="shared" si="80"/>
        <v/>
      </c>
      <c r="G320" s="225">
        <f t="shared" si="82"/>
        <v>0</v>
      </c>
      <c r="H320" s="204" t="e">
        <f t="shared" si="81"/>
        <v>#DIV/0!</v>
      </c>
      <c r="I320" s="321" t="str">
        <f t="shared" si="79"/>
        <v/>
      </c>
      <c r="J320" s="524"/>
      <c r="K320" s="504"/>
      <c r="L320" s="504"/>
      <c r="M320" s="504"/>
    </row>
    <row r="321" spans="1:13" customFormat="1" ht="12.75" hidden="1" outlineLevel="1" x14ac:dyDescent="0.2">
      <c r="A321" s="176">
        <v>5315950100</v>
      </c>
      <c r="B321" s="316" t="s">
        <v>280</v>
      </c>
      <c r="C321" s="205">
        <f>IFERROR(VLOOKUP(A:A,'PPTO 2017'!A:D,3,0),0)</f>
        <v>0</v>
      </c>
      <c r="D321" s="205">
        <f>IFERROR(VLOOKUP(A:A,EJEC!A:G,5,0),0)</f>
        <v>0</v>
      </c>
      <c r="E321" s="205">
        <v>0</v>
      </c>
      <c r="F321" s="321" t="str">
        <f t="shared" si="80"/>
        <v/>
      </c>
      <c r="G321" s="225">
        <f t="shared" si="82"/>
        <v>0</v>
      </c>
      <c r="H321" s="204" t="e">
        <f t="shared" si="81"/>
        <v>#DIV/0!</v>
      </c>
      <c r="I321" s="321" t="str">
        <f t="shared" si="79"/>
        <v/>
      </c>
      <c r="J321" s="524"/>
      <c r="K321" s="504"/>
      <c r="L321" s="504"/>
      <c r="M321" s="504"/>
    </row>
    <row r="322" spans="1:13" customFormat="1" ht="12.75" hidden="1" outlineLevel="1" x14ac:dyDescent="0.2">
      <c r="A322" s="589">
        <v>5395080000</v>
      </c>
      <c r="B322" s="316" t="s">
        <v>707</v>
      </c>
      <c r="C322" s="205">
        <f>IFERROR(VLOOKUP(A:A,'PPTO 2017'!A:D,3,0),0)</f>
        <v>0</v>
      </c>
      <c r="D322" s="205">
        <f>IFERROR(VLOOKUP(A:A,EJEC!A:G,5,0),0)</f>
        <v>0</v>
      </c>
      <c r="E322" s="205">
        <v>0</v>
      </c>
      <c r="F322" s="321" t="str">
        <f>IF(E322=0,"",IF(C322=0,"",(E322/C322)))</f>
        <v/>
      </c>
      <c r="G322" s="225">
        <f t="shared" si="82"/>
        <v>0</v>
      </c>
      <c r="H322" s="204" t="e">
        <f>(+G322/E322)-1</f>
        <v>#DIV/0!</v>
      </c>
      <c r="I322" s="321" t="str">
        <f>IF(G322=0,"",IF(E322=0,"",(G322/E322)-1))</f>
        <v/>
      </c>
      <c r="J322" s="524"/>
      <c r="K322" s="504"/>
      <c r="L322" s="504"/>
      <c r="M322" s="504"/>
    </row>
    <row r="323" spans="1:13" customFormat="1" ht="12.75" hidden="1" outlineLevel="1" x14ac:dyDescent="0.2">
      <c r="A323" s="176">
        <v>5395070000</v>
      </c>
      <c r="B323" s="316" t="s">
        <v>597</v>
      </c>
      <c r="C323" s="205">
        <f>IFERROR(VLOOKUP(A:A,'PPTO 2017'!A:D,3,0),0)</f>
        <v>2805.54</v>
      </c>
      <c r="D323" s="205">
        <f>IFERROR(VLOOKUP(A:A,EJEC!A:G,5,0),0)</f>
        <v>2371.924</v>
      </c>
      <c r="E323" s="205">
        <v>2872</v>
      </c>
      <c r="F323" s="321">
        <f t="shared" si="80"/>
        <v>1.023688844215374</v>
      </c>
      <c r="G323" s="225">
        <f t="shared" si="82"/>
        <v>3015.6</v>
      </c>
      <c r="H323" s="204"/>
      <c r="I323" s="321">
        <f t="shared" si="79"/>
        <v>5.0000000000000044E-2</v>
      </c>
      <c r="J323" s="524"/>
      <c r="K323" s="504"/>
      <c r="L323" s="504"/>
      <c r="M323" s="504"/>
    </row>
    <row r="324" spans="1:13" customFormat="1" ht="12.75" hidden="1" outlineLevel="1" x14ac:dyDescent="0.2">
      <c r="A324" s="176">
        <v>5395200000</v>
      </c>
      <c r="B324" s="318" t="s">
        <v>405</v>
      </c>
      <c r="C324" s="205">
        <f>IFERROR(VLOOKUP(A:A,'PPTO 2017'!A:D,3,0),0)</f>
        <v>0</v>
      </c>
      <c r="D324" s="205">
        <f>IFERROR(VLOOKUP(A:A,EJEC!A:G,5,0),0)</f>
        <v>0</v>
      </c>
      <c r="E324" s="205">
        <v>0</v>
      </c>
      <c r="F324" s="321" t="str">
        <f t="shared" si="80"/>
        <v/>
      </c>
      <c r="G324" s="225">
        <f t="shared" si="82"/>
        <v>0</v>
      </c>
      <c r="H324" s="204" t="e">
        <f t="shared" si="81"/>
        <v>#DIV/0!</v>
      </c>
      <c r="I324" s="321" t="str">
        <f t="shared" si="79"/>
        <v/>
      </c>
      <c r="J324" s="524"/>
      <c r="K324" s="504"/>
      <c r="L324" s="504"/>
      <c r="M324" s="504"/>
    </row>
    <row r="325" spans="1:13" customFormat="1" ht="12.75" hidden="1" outlineLevel="1" x14ac:dyDescent="0.2">
      <c r="A325" s="589">
        <v>5395250000</v>
      </c>
      <c r="B325" s="318" t="s">
        <v>708</v>
      </c>
      <c r="C325" s="205">
        <f>IFERROR(VLOOKUP(A:A,'PPTO 2017'!A:D,3,0),0)</f>
        <v>0</v>
      </c>
      <c r="D325" s="205">
        <f>IFERROR(VLOOKUP(A:A,EJEC!A:G,5,0),0)</f>
        <v>0</v>
      </c>
      <c r="E325" s="205">
        <v>0</v>
      </c>
      <c r="F325" s="321" t="str">
        <f>IF(E325=0,"",IF(C325=0,"",(E325/C325)))</f>
        <v/>
      </c>
      <c r="G325" s="225">
        <f t="shared" si="82"/>
        <v>0</v>
      </c>
      <c r="H325" s="204" t="e">
        <f>(+G325/E325)-1</f>
        <v>#DIV/0!</v>
      </c>
      <c r="I325" s="321" t="str">
        <f>IF(G325=0,"",IF(E325=0,"",(G325/E325)-1))</f>
        <v/>
      </c>
      <c r="J325" s="524"/>
      <c r="K325" s="504"/>
      <c r="L325" s="504"/>
      <c r="M325" s="504"/>
    </row>
    <row r="326" spans="1:13" customFormat="1" ht="12.75" hidden="1" outlineLevel="1" x14ac:dyDescent="0.2">
      <c r="A326" s="589">
        <v>5395950200</v>
      </c>
      <c r="B326" s="318" t="s">
        <v>709</v>
      </c>
      <c r="C326" s="205">
        <f>IFERROR(VLOOKUP(A:A,'PPTO 2017'!A:D,3,0),0)</f>
        <v>0</v>
      </c>
      <c r="D326" s="205">
        <f>IFERROR(VLOOKUP(A:A,EJEC!A:G,5,0),0)</f>
        <v>0</v>
      </c>
      <c r="E326" s="205">
        <v>0</v>
      </c>
      <c r="F326" s="321" t="str">
        <f>IF(E326=0,"",IF(C326=0,"",(E326/C326)))</f>
        <v/>
      </c>
      <c r="G326" s="225">
        <f t="shared" si="82"/>
        <v>0</v>
      </c>
      <c r="H326" s="204" t="e">
        <f>(+G326/E326)-1</f>
        <v>#DIV/0!</v>
      </c>
      <c r="I326" s="321" t="str">
        <f>IF(G326=0,"",IF(E326=0,"",(G326/E326)-1))</f>
        <v/>
      </c>
      <c r="J326" s="524"/>
      <c r="K326" s="504"/>
      <c r="L326" s="504"/>
      <c r="M326" s="504"/>
    </row>
    <row r="327" spans="1:13" customFormat="1" ht="12.75" hidden="1" outlineLevel="1" x14ac:dyDescent="0.2">
      <c r="A327" s="176">
        <v>5395950000</v>
      </c>
      <c r="B327" s="316" t="s">
        <v>84</v>
      </c>
      <c r="C327" s="205">
        <f>IFERROR(VLOOKUP(A:A,'PPTO 2017'!A:D,3,0),0)</f>
        <v>400</v>
      </c>
      <c r="D327" s="205">
        <f>IFERROR(VLOOKUP(A:A,EJEC!A:G,5,0),0)</f>
        <v>0</v>
      </c>
      <c r="E327" s="205">
        <v>0</v>
      </c>
      <c r="F327" s="321" t="str">
        <f t="shared" si="80"/>
        <v/>
      </c>
      <c r="G327" s="315">
        <f ca="1">(SUMIF(HONORARIOS!$B$27:$B$129,A327,HONORARIOS!$G$27:$G$129)+SUMIF(ASESOR.Y.CONSULT.!$A$7:$A$25,PRESUPUESTO!A327,ASESOR.Y.CONSULT.!$N$7:$N$25)+SUMIF('PROY INVEST.'!$A$5:$A$26,PRESUPUESTO!A327,'PROY INVEST.'!$N$5:$N$26)+SUMIF(P.PROY.SOCIAL!$A$5:$A$28,PRESUPUESTO!A327,P.PROY.SOCIAL!$N$5:$N$28)+SUMIF(GEST.REC.HUM.!$A$6:$A$39,PRESUPUESTO!A327,GEST.REC.HUM.!$M$6:$M$39)+SUMIF('OTRAS ACTIV.'!$A$6:$A$39,PRESUPUESTO!A327,'OTRAS ACTIV.'!$N$6:$N$39)+SUMIF('ADICIONALES PD'!$A$6:$A$23,PRESUPUESTO!A327,'ADICIONALES PD'!$N$6:$N$23)+SUMIF(SALIDAS!$A$6:$A$19,PRESUPUESTO!A327,SALIDAS!$AE$6:$AE$19)+SUMIF(BIBLIOTECA!$A$7:$A$41,PRESUPUESTO!A327,BIBLIOTECA!$F$5:$F$41)+SUMIF(AFILIACIONES!$A$5:$A$25,PRESUPUESTO!A327,AFILIACIONES!$E$5:$E$25)+SUMIF(IMPRESOS.PUBLIC!$A$7:$A$34,PRESUPUESTO!A327,IMPRESOS.PUBLIC!$D$7:$D$34)+SUMIF(MANTEN.EQUIP.!$A$7:$A$27,PRESUPUESTO!A327,MANTEN.EQUIP.!$D$8:$D$27)+SUMIF(INVER.EQUIPO.COMP!$A$7:$A$37,PRESUPUESTO!A327,INVER.EQUIPO.COMP!$E$8:$E$37)+SUMIF(INVER.OTROS.EQUIPOS!$A$7:$A$37,PRESUPUESTO!A327,INVER.OTROS.EQUIPOS!$E$7:$E$37)+SUMIF(INVER.MUEBLES!$A$7:$A$35,PRESUPUESTO!A327,INVER.MUEBLES!$E$7:$E$35)+SUMIF(ADECUAC.LOCATIVAS!$A$7:$A$29,PRESUPUESTO!A327,ADECUAC.LOCATIVAS!$E$7:$E$29))/1000</f>
        <v>2900</v>
      </c>
      <c r="H327" s="204" t="e">
        <f t="shared" ca="1" si="81"/>
        <v>#DIV/0!</v>
      </c>
      <c r="I327" s="321" t="str">
        <f t="shared" ca="1" si="79"/>
        <v/>
      </c>
      <c r="J327" s="524"/>
      <c r="K327" s="504"/>
      <c r="L327" s="504"/>
      <c r="M327" s="504"/>
    </row>
    <row r="328" spans="1:13" customFormat="1" ht="12.75" hidden="1" outlineLevel="1" x14ac:dyDescent="0.2">
      <c r="A328" s="589">
        <v>6160050200</v>
      </c>
      <c r="B328" s="316" t="s">
        <v>710</v>
      </c>
      <c r="C328" s="205">
        <f>IFERROR(VLOOKUP(A:A,'PPTO 2017'!A:D,3,0),0)</f>
        <v>0</v>
      </c>
      <c r="D328" s="205">
        <f>IFERROR(VLOOKUP(A:A,EJEC!A:G,5,0),0)</f>
        <v>0</v>
      </c>
      <c r="E328" s="205">
        <v>0</v>
      </c>
      <c r="F328" s="321" t="str">
        <f>IF(E328=0,"",IF(C328=0,"",(E328/C328)))</f>
        <v/>
      </c>
      <c r="G328" s="586">
        <f>+E328*$O$2</f>
        <v>0</v>
      </c>
      <c r="H328" s="204" t="e">
        <f>(+G328/E328)-1</f>
        <v>#DIV/0!</v>
      </c>
      <c r="I328" s="321" t="str">
        <f>IF(G328=0,"",IF(E328=0,"",(G328/E328)-1))</f>
        <v/>
      </c>
      <c r="J328" s="524"/>
      <c r="K328" s="504"/>
      <c r="L328" s="504"/>
      <c r="M328" s="504"/>
    </row>
    <row r="329" spans="1:13" customFormat="1" ht="12.75" collapsed="1" x14ac:dyDescent="0.2">
      <c r="A329" s="176"/>
      <c r="B329" s="213" t="s">
        <v>408</v>
      </c>
      <c r="C329" s="214">
        <f>SUM(C308:C328)</f>
        <v>3205.54</v>
      </c>
      <c r="D329" s="214">
        <f>SUM(D308:D328)</f>
        <v>2371.924</v>
      </c>
      <c r="E329" s="214">
        <f>SUM(E308:E328)</f>
        <v>2872</v>
      </c>
      <c r="F329" s="522">
        <f t="shared" si="80"/>
        <v>0.8959488884868072</v>
      </c>
      <c r="G329" s="214">
        <f ca="1">SUM(G308:G328)</f>
        <v>5915.6</v>
      </c>
      <c r="H329" s="228">
        <f ca="1">(+G329/E329)-1</f>
        <v>1.05974930362117</v>
      </c>
      <c r="I329" s="321">
        <f t="shared" ca="1" si="79"/>
        <v>1.05974930362117</v>
      </c>
      <c r="J329" s="524"/>
      <c r="K329" s="504"/>
      <c r="L329" s="504"/>
      <c r="M329" s="504"/>
    </row>
    <row r="330" spans="1:13" customFormat="1" ht="12.75" x14ac:dyDescent="0.2">
      <c r="A330" s="1"/>
      <c r="B330" s="209" t="s">
        <v>409</v>
      </c>
      <c r="C330" s="210">
        <f>+C305-C329</f>
        <v>-3205.54</v>
      </c>
      <c r="D330" s="210">
        <f>+D305-D329</f>
        <v>-2371.924</v>
      </c>
      <c r="E330" s="210">
        <f>+E305-E329</f>
        <v>-2872</v>
      </c>
      <c r="F330" s="521">
        <f t="shared" si="80"/>
        <v>0.8959488884868072</v>
      </c>
      <c r="G330" s="210">
        <f ca="1">+G305-G329</f>
        <v>-5915.6</v>
      </c>
      <c r="H330" s="211">
        <f ca="1">(+G330/E330)-1</f>
        <v>1.05974930362117</v>
      </c>
      <c r="I330" s="321">
        <f t="shared" ref="I330:I338" ca="1" si="83">IF(G330=0,"",IF(E330=0,"",(G330/E330)-1))</f>
        <v>1.05974930362117</v>
      </c>
      <c r="J330" s="524"/>
      <c r="K330" s="504"/>
      <c r="L330" s="504"/>
      <c r="M330" s="504"/>
    </row>
    <row r="331" spans="1:13" customFormat="1" ht="12.75" x14ac:dyDescent="0.2">
      <c r="A331" s="3"/>
      <c r="B331" s="216" t="s">
        <v>152</v>
      </c>
      <c r="C331" s="210">
        <f>+C252+C330</f>
        <v>1216924.5780728208</v>
      </c>
      <c r="D331" s="210">
        <f>+D252+D330</f>
        <v>993931.07400000014</v>
      </c>
      <c r="E331" s="210">
        <f>+E252+E330</f>
        <v>1257302.5405000006</v>
      </c>
      <c r="F331" s="521">
        <f t="shared" ref="F331:F338" si="84">IF(E331=0,"",IF(C331=0,"",(E331/C331)))</f>
        <v>1.033180332745949</v>
      </c>
      <c r="G331" s="210">
        <f ca="1">+G252+G330</f>
        <v>1695641.3471712032</v>
      </c>
      <c r="H331" s="211">
        <f ca="1">(+G331/E331)-1</f>
        <v>0.34863431238823805</v>
      </c>
      <c r="I331" s="321">
        <f t="shared" ca="1" si="83"/>
        <v>0.34863431238823805</v>
      </c>
      <c r="J331" s="524"/>
      <c r="K331" s="504"/>
      <c r="L331" s="504"/>
      <c r="M331" s="504"/>
    </row>
    <row r="332" spans="1:13" customFormat="1" ht="12.75" hidden="1" x14ac:dyDescent="0.2">
      <c r="A332" s="1"/>
      <c r="B332" s="206" t="s">
        <v>238</v>
      </c>
      <c r="C332" s="205"/>
      <c r="D332" s="205"/>
      <c r="E332" s="205"/>
      <c r="F332" s="321" t="str">
        <f t="shared" si="84"/>
        <v/>
      </c>
      <c r="G332" s="208"/>
      <c r="H332" s="204" t="s">
        <v>169</v>
      </c>
      <c r="I332" s="321" t="str">
        <f t="shared" si="83"/>
        <v/>
      </c>
      <c r="J332" s="524"/>
      <c r="K332" s="504"/>
      <c r="L332" s="504"/>
      <c r="M332" s="504"/>
    </row>
    <row r="333" spans="1:13" customFormat="1" ht="12.75" hidden="1" outlineLevel="1" x14ac:dyDescent="0.2">
      <c r="A333" s="1"/>
      <c r="B333" s="206" t="s">
        <v>410</v>
      </c>
      <c r="C333" s="205"/>
      <c r="D333" s="205"/>
      <c r="E333" s="205"/>
      <c r="F333" s="321" t="str">
        <f t="shared" si="84"/>
        <v/>
      </c>
      <c r="G333" s="208"/>
      <c r="H333" s="204" t="s">
        <v>169</v>
      </c>
      <c r="I333" s="321" t="str">
        <f t="shared" si="83"/>
        <v/>
      </c>
      <c r="J333" s="524"/>
      <c r="K333" s="504"/>
      <c r="L333" s="504"/>
      <c r="M333" s="504"/>
    </row>
    <row r="334" spans="1:13" customFormat="1" ht="12.75" hidden="1" outlineLevel="1" x14ac:dyDescent="0.2">
      <c r="A334" s="1">
        <v>1524050000</v>
      </c>
      <c r="B334" s="319" t="s">
        <v>411</v>
      </c>
      <c r="C334" s="205">
        <f>IFERROR(VLOOKUP(A:A,'PPTO 2017'!A:D,3,0),0)</f>
        <v>0</v>
      </c>
      <c r="D334" s="205">
        <f>IFERROR(VLOOKUP(A:A,EJEC!A:G,5,0),0)</f>
        <v>0</v>
      </c>
      <c r="E334" s="205">
        <v>0</v>
      </c>
      <c r="F334" s="321" t="str">
        <f t="shared" si="84"/>
        <v/>
      </c>
      <c r="G334" s="226">
        <f ca="1">(SUMIF(HONORARIOS!$B$27:$B$129,A334,HONORARIOS!$G$27:$G$129)+SUMIF(ASESOR.Y.CONSULT.!$A$7:$A$25,PRESUPUESTO!A334,ASESOR.Y.CONSULT.!$N$7:$N$25)+SUMIF('PROY INVEST.'!$A$5:$A$26,PRESUPUESTO!A334,'PROY INVEST.'!$N$5:$N$26)+SUMIF(P.PROY.SOCIAL!$A$5:$A$28,PRESUPUESTO!A334,P.PROY.SOCIAL!$N$5:$N$28)+SUMIF(GEST.REC.HUM.!$A$6:$A$39,PRESUPUESTO!A334,GEST.REC.HUM.!$M$6:$M$39)+SUMIF('OTRAS ACTIV.'!$A$6:$A$39,PRESUPUESTO!A334,'OTRAS ACTIV.'!$N$6:$N$39)+SUMIF('ADICIONALES PD'!$A$6:$A$23,PRESUPUESTO!A334,'ADICIONALES PD'!$N$6:$N$23)+SUMIF(SALIDAS!$A$6:$A$19,PRESUPUESTO!A334,SALIDAS!$AE$6:$AE$19)+SUMIF(BIBLIOTECA!$A$7:$A$41,PRESUPUESTO!A334,BIBLIOTECA!$F$5:$F$41)+SUMIF(AFILIACIONES!$A$5:$A$25,PRESUPUESTO!A334,AFILIACIONES!$E$5:$E$25)+SUMIF(IMPRESOS.PUBLIC!$A$7:$A$34,PRESUPUESTO!A334,IMPRESOS.PUBLIC!$D$7:$D$34)+SUMIF(MANTEN.EQUIP.!$A$7:$A$27,PRESUPUESTO!A334,MANTEN.EQUIP.!$D$8:$D$27)+SUMIF(INVER.EQUIPO.COMP!$A$7:$A$37,PRESUPUESTO!A334,INVER.EQUIPO.COMP!$E$8:$E$37)+SUMIF(INVER.OTROS.EQUIPOS!$A$7:$A$37,PRESUPUESTO!A334,INVER.OTROS.EQUIPOS!$E$7:$E$37)+SUMIF(INVER.MUEBLES!$A$7:$A$35,PRESUPUESTO!A334,INVER.MUEBLES!$E$7:$E$35)+SUMIF(ADECUAC.LOCATIVAS!$A$7:$A$29,PRESUPUESTO!A334,ADECUAC.LOCATIVAS!$E$7:$E$29))/1000</f>
        <v>0</v>
      </c>
      <c r="H334" s="204" t="e">
        <f ca="1">(+G334/E334)-1</f>
        <v>#DIV/0!</v>
      </c>
      <c r="I334" s="321" t="str">
        <f t="shared" ca="1" si="83"/>
        <v/>
      </c>
      <c r="J334" s="524"/>
      <c r="K334" s="504"/>
      <c r="L334" s="504"/>
      <c r="M334" s="504"/>
    </row>
    <row r="335" spans="1:13" customFormat="1" ht="12.75" hidden="1" outlineLevel="1" x14ac:dyDescent="0.2">
      <c r="A335" s="1">
        <v>1528050000</v>
      </c>
      <c r="B335" s="319" t="s">
        <v>598</v>
      </c>
      <c r="C335" s="205">
        <f>IFERROR(VLOOKUP(A:A,'PPTO 2017'!A:D,3,0),0)</f>
        <v>20500</v>
      </c>
      <c r="D335" s="205">
        <f>IFERROR(VLOOKUP(A:A,EJEC!A:G,5,0),0)</f>
        <v>0</v>
      </c>
      <c r="E335" s="205">
        <v>16600</v>
      </c>
      <c r="F335" s="321">
        <f t="shared" si="84"/>
        <v>0.80975609756097566</v>
      </c>
      <c r="G335" s="226">
        <f ca="1">(SUMIF(HONORARIOS!$B$27:$B$129,A335,HONORARIOS!$G$27:$G$129)+SUMIF(ASESOR.Y.CONSULT.!$A$7:$A$25,PRESUPUESTO!A335,ASESOR.Y.CONSULT.!$N$7:$N$25)+SUMIF('PROY INVEST.'!$A$5:$A$26,PRESUPUESTO!A335,'PROY INVEST.'!$N$5:$N$26)+SUMIF(P.PROY.SOCIAL!$A$5:$A$28,PRESUPUESTO!A335,P.PROY.SOCIAL!$N$5:$N$28)+SUMIF(GEST.REC.HUM.!$A$6:$A$39,PRESUPUESTO!A335,GEST.REC.HUM.!$M$6:$M$39)+SUMIF('OTRAS ACTIV.'!$A$6:$A$39,PRESUPUESTO!A335,'OTRAS ACTIV.'!$N$6:$N$39)+SUMIF('ADICIONALES PD'!$A$6:$A$23,PRESUPUESTO!A335,'ADICIONALES PD'!$N$6:$N$23)+SUMIF(SALIDAS!$A$6:$A$19,PRESUPUESTO!A335,SALIDAS!$AE$6:$AE$19)+SUMIF(BIBLIOTECA!$A$7:$A$41,PRESUPUESTO!A335,BIBLIOTECA!$F$5:$F$41)+SUMIF(AFILIACIONES!$A$5:$A$25,PRESUPUESTO!A335,AFILIACIONES!$E$5:$E$25)+SUMIF(IMPRESOS.PUBLIC!$A$7:$A$34,PRESUPUESTO!A335,IMPRESOS.PUBLIC!$D$7:$D$34)+SUMIF(MANTEN.EQUIP.!$A$7:$A$27,PRESUPUESTO!A335,MANTEN.EQUIP.!$D$8:$D$27)+SUMIF(INVER.EQUIPO.COMP!$A$7:$A$37,PRESUPUESTO!A335,INVER.EQUIPO.COMP!$E$8:$E$37)+SUMIF(INVER.OTROS.EQUIPOS!$A$7:$A$37,PRESUPUESTO!A335,INVER.OTROS.EQUIPOS!$E$7:$E$37)+SUMIF(INVER.MUEBLES!$A$7:$A$35,PRESUPUESTO!A335,INVER.MUEBLES!$E$7:$E$35)+SUMIF(ADECUAC.LOCATIVAS!$A$7:$A$29,PRESUPUESTO!A335,ADECUAC.LOCATIVAS!$E$7:$E$29))/1000+INVER.EQUIPO.COMP!E37/1000</f>
        <v>7000</v>
      </c>
      <c r="H335" s="204">
        <f ca="1">(+G335/E335)-1</f>
        <v>-0.57831325301204817</v>
      </c>
      <c r="I335" s="321">
        <f t="shared" ca="1" si="83"/>
        <v>-0.57831325301204817</v>
      </c>
      <c r="J335" s="524"/>
      <c r="K335" s="504"/>
      <c r="L335" s="504"/>
      <c r="M335" s="504"/>
    </row>
    <row r="336" spans="1:13" customFormat="1" ht="12.75" hidden="1" outlineLevel="1" x14ac:dyDescent="0.2">
      <c r="A336" s="1">
        <v>1532050000</v>
      </c>
      <c r="B336" s="319" t="s">
        <v>599</v>
      </c>
      <c r="C336" s="205">
        <f>IFERROR(VLOOKUP(A:A,'PPTO 2017'!A:D,3,0),0)</f>
        <v>0</v>
      </c>
      <c r="D336" s="205">
        <f>IFERROR(VLOOKUP(A:A,EJEC!A:G,5,0),0)</f>
        <v>0</v>
      </c>
      <c r="E336" s="205">
        <v>0</v>
      </c>
      <c r="F336" s="321" t="str">
        <f t="shared" si="84"/>
        <v/>
      </c>
      <c r="G336" s="226">
        <f ca="1">(SUMIF(HONORARIOS!$B$27:$B$129,A336,HONORARIOS!$G$27:$G$129)+SUMIF(ASESOR.Y.CONSULT.!$A$7:$A$25,PRESUPUESTO!A336,ASESOR.Y.CONSULT.!$N$7:$N$25)+SUMIF('PROY INVEST.'!$A$5:$A$26,PRESUPUESTO!A336,'PROY INVEST.'!$N$5:$N$26)+SUMIF(P.PROY.SOCIAL!$A$5:$A$28,PRESUPUESTO!A336,P.PROY.SOCIAL!$N$5:$N$28)+SUMIF(GEST.REC.HUM.!$A$6:$A$39,PRESUPUESTO!A336,GEST.REC.HUM.!$M$6:$M$39)+SUMIF('OTRAS ACTIV.'!$A$6:$A$39,PRESUPUESTO!A336,'OTRAS ACTIV.'!$N$6:$N$39)+SUMIF('ADICIONALES PD'!$A$6:$A$23,PRESUPUESTO!A336,'ADICIONALES PD'!$N$6:$N$23)+SUMIF(SALIDAS!$A$6:$A$19,PRESUPUESTO!A336,SALIDAS!$AE$6:$AE$19)+SUMIF(BIBLIOTECA!$A$7:$A$41,PRESUPUESTO!A336,BIBLIOTECA!$F$5:$F$41)+SUMIF(AFILIACIONES!$A$5:$A$25,PRESUPUESTO!A336,AFILIACIONES!$E$5:$E$25)+SUMIF(IMPRESOS.PUBLIC!$A$7:$A$34,PRESUPUESTO!A336,IMPRESOS.PUBLIC!$D$7:$D$34)+SUMIF(MANTEN.EQUIP.!$A$7:$A$27,PRESUPUESTO!A336,MANTEN.EQUIP.!$D$8:$D$27)+SUMIF(INVER.EQUIPO.COMP!$A$7:$A$37,PRESUPUESTO!A336,INVER.EQUIPO.COMP!$E$8:$E$37)+SUMIF(INVER.OTROS.EQUIPOS!$A$7:$A$37,PRESUPUESTO!A336,INVER.OTROS.EQUIPOS!$E$7:$E$37)+SUMIF(INVER.MUEBLES!$A$7:$A$35,PRESUPUESTO!A336,INVER.MUEBLES!$E$7:$E$35)+SUMIF(ADECUAC.LOCATIVAS!$A$7:$A$29,PRESUPUESTO!A336,ADECUAC.LOCATIVAS!$E$7:$E$29))/1000</f>
        <v>5000</v>
      </c>
      <c r="H336" s="204" t="e">
        <f ca="1">(+G336/E336)-1</f>
        <v>#DIV/0!</v>
      </c>
      <c r="I336" s="321" t="str">
        <f t="shared" ca="1" si="83"/>
        <v/>
      </c>
      <c r="J336" s="524"/>
      <c r="K336" s="504"/>
      <c r="L336" s="504"/>
      <c r="M336" s="504"/>
    </row>
    <row r="337" spans="1:13" customFormat="1" ht="12.75" collapsed="1" x14ac:dyDescent="0.2">
      <c r="A337" s="1"/>
      <c r="B337" s="217" t="s">
        <v>239</v>
      </c>
      <c r="C337" s="214">
        <f>SUM(C334:C336)</f>
        <v>20500</v>
      </c>
      <c r="D337" s="214">
        <f>SUM(D334:D336)</f>
        <v>0</v>
      </c>
      <c r="E337" s="214">
        <f>SUM(E334:E336)</f>
        <v>16600</v>
      </c>
      <c r="F337" s="522">
        <f t="shared" si="84"/>
        <v>0.80975609756097566</v>
      </c>
      <c r="G337" s="214">
        <f ca="1">SUM(G334:G336)</f>
        <v>12000</v>
      </c>
      <c r="H337" s="228">
        <f ca="1">(+G337/E337)-1</f>
        <v>-0.27710843373493976</v>
      </c>
      <c r="I337" s="321">
        <f t="shared" ca="1" si="83"/>
        <v>-0.27710843373493976</v>
      </c>
      <c r="J337" s="524"/>
      <c r="K337" s="504"/>
      <c r="L337" s="504"/>
      <c r="M337" s="504"/>
    </row>
    <row r="338" spans="1:13" customFormat="1" ht="13.5" thickBot="1" x14ac:dyDescent="0.25">
      <c r="A338" s="1"/>
      <c r="B338" s="218" t="s">
        <v>240</v>
      </c>
      <c r="C338" s="219">
        <f>+C331-C337</f>
        <v>1196424.5780728208</v>
      </c>
      <c r="D338" s="219">
        <f>+D331-D337</f>
        <v>993931.07400000014</v>
      </c>
      <c r="E338" s="219">
        <f>+E331-E337</f>
        <v>1240702.5405000006</v>
      </c>
      <c r="F338" s="521">
        <f t="shared" si="84"/>
        <v>1.0370085697324121</v>
      </c>
      <c r="G338" s="219">
        <f ca="1">+G331-G337</f>
        <v>1683641.3471712032</v>
      </c>
      <c r="H338" s="211">
        <f ca="1">(+G338/E338)-1</f>
        <v>0.35700644772815515</v>
      </c>
      <c r="I338" s="919">
        <f t="shared" ca="1" si="83"/>
        <v>0.35700644772815515</v>
      </c>
      <c r="J338" s="524"/>
      <c r="K338" s="504"/>
      <c r="L338" s="504"/>
      <c r="M338" s="504"/>
    </row>
    <row r="339" spans="1:13" ht="16.5" customHeight="1" x14ac:dyDescent="0.2">
      <c r="B339" s="220" t="s">
        <v>784</v>
      </c>
      <c r="C339" s="659">
        <f>IFERROR((C338/(+C29+C305)),"Sin datos")</f>
        <v>0.22208033100860447</v>
      </c>
      <c r="D339" s="659"/>
      <c r="E339" s="659">
        <f>IFERROR((E338/(+E29+E305)),"Sin datos")</f>
        <v>0.23009933930263751</v>
      </c>
      <c r="F339" s="660"/>
      <c r="G339" s="659">
        <f ca="1">IFERROR(G338/(+G29+G305),"Sin datos")</f>
        <v>0.28713925811071844</v>
      </c>
      <c r="J339" s="525"/>
      <c r="K339" s="503"/>
      <c r="L339" s="503"/>
      <c r="M339" s="503"/>
    </row>
    <row r="340" spans="1:13" ht="16.5" customHeight="1" x14ac:dyDescent="0.2">
      <c r="B340" s="220" t="s">
        <v>785</v>
      </c>
      <c r="C340" s="763">
        <f>IFERROR((C29/C251)-1,"Sin datos")</f>
        <v>0.29279232001665134</v>
      </c>
      <c r="D340" s="659"/>
      <c r="E340" s="659">
        <f t="shared" ref="E340:G340" si="85">IFERROR((E29/E251)-1,"Sin datos")</f>
        <v>0.30498998642428199</v>
      </c>
      <c r="F340" s="660"/>
      <c r="G340" s="659">
        <f t="shared" ca="1" si="85"/>
        <v>0.40883704753217276</v>
      </c>
      <c r="J340" s="525"/>
      <c r="K340" s="503"/>
      <c r="L340" s="503"/>
      <c r="M340" s="503"/>
    </row>
    <row r="341" spans="1:13" ht="27.75" customHeight="1" x14ac:dyDescent="0.2">
      <c r="B341" s="760" t="s">
        <v>783</v>
      </c>
      <c r="C341" s="761">
        <f>IFERROR((SUM(C9:C28)+C305)/(C305+C29),"Sin datos")</f>
        <v>1.560128124147812E-2</v>
      </c>
      <c r="D341" s="761"/>
      <c r="E341" s="761">
        <f>IFERROR((SUM(E9:E28)+E305)/(E305+E29),"Sin datos")</f>
        <v>1.5109522758589993E-2</v>
      </c>
      <c r="F341" s="762"/>
      <c r="G341" s="761">
        <f t="shared" ref="G341" si="86">IFERROR((SUM(G9:G28)+G305)/(G305+G29),"Sin datos")</f>
        <v>1.4589329647721888E-2</v>
      </c>
      <c r="J341" s="525"/>
      <c r="K341" s="503"/>
      <c r="L341" s="503"/>
      <c r="M341" s="503"/>
    </row>
    <row r="342" spans="1:13" ht="16.5" customHeight="1" thickBot="1" x14ac:dyDescent="0.25">
      <c r="C342" s="660"/>
      <c r="D342" s="660"/>
      <c r="E342" s="660"/>
      <c r="F342" s="660"/>
      <c r="G342" s="660"/>
    </row>
    <row r="343" spans="1:13" ht="16.5" customHeight="1" x14ac:dyDescent="0.2">
      <c r="B343" s="596" t="s">
        <v>717</v>
      </c>
      <c r="C343" s="661">
        <f>IFERROR((C61+C73)/(C29+C305), "Sin datos")</f>
        <v>0.41155375470172195</v>
      </c>
      <c r="D343" s="661"/>
      <c r="E343" s="661">
        <f t="shared" ref="E343:G343" si="87">IFERROR((E61+E73)/(E29+E305), "Sin datos")</f>
        <v>0.42032426581454468</v>
      </c>
      <c r="F343" s="661"/>
      <c r="G343" s="662">
        <f t="shared" ca="1" si="87"/>
        <v>0.36292491102995494</v>
      </c>
    </row>
    <row r="344" spans="1:13" ht="16.5" customHeight="1" x14ac:dyDescent="0.2">
      <c r="B344" s="595" t="s">
        <v>718</v>
      </c>
      <c r="C344" s="663">
        <f>IFERROR(C61/C29,"Sin datos")</f>
        <v>0.41072977452525455</v>
      </c>
      <c r="D344" s="663"/>
      <c r="E344" s="663">
        <f t="shared" ref="E344:G344" si="88">IFERROR(E61/E29,"Sin datos")</f>
        <v>0.42008613657564953</v>
      </c>
      <c r="F344" s="663"/>
      <c r="G344" s="664">
        <f t="shared" ca="1" si="88"/>
        <v>0.36241327131774459</v>
      </c>
    </row>
    <row r="345" spans="1:13" ht="16.5" customHeight="1" x14ac:dyDescent="0.2">
      <c r="B345" s="597" t="s">
        <v>719</v>
      </c>
      <c r="C345" s="665">
        <f>IFERROR((C61/(C29+C305)),"Sin datos")</f>
        <v>0.41072977452525455</v>
      </c>
      <c r="D345" s="665"/>
      <c r="E345" s="665">
        <f t="shared" ref="E345:G345" si="89">IFERROR((E61/(E29+E305)),"Sin datos")</f>
        <v>0.42008613657564953</v>
      </c>
      <c r="F345" s="665"/>
      <c r="G345" s="666">
        <f t="shared" ca="1" si="89"/>
        <v>0.36241327131774459</v>
      </c>
    </row>
    <row r="346" spans="1:13" ht="16.5" customHeight="1" x14ac:dyDescent="0.2">
      <c r="B346" s="595" t="s">
        <v>720</v>
      </c>
      <c r="C346" s="663">
        <f>IFERROR(C73/C29,"Sin datos")</f>
        <v>8.2398017646739027E-4</v>
      </c>
      <c r="D346" s="663"/>
      <c r="E346" s="663">
        <f t="shared" ref="E346:G346" si="90">IFERROR(E73/E29,"Sin datos")</f>
        <v>2.3812923889518419E-4</v>
      </c>
      <c r="F346" s="663"/>
      <c r="G346" s="664">
        <f t="shared" ca="1" si="90"/>
        <v>5.1163971221037069E-4</v>
      </c>
      <c r="H346" s="196"/>
      <c r="I346" s="196"/>
      <c r="J346" s="196"/>
    </row>
    <row r="347" spans="1:13" ht="16.5" customHeight="1" x14ac:dyDescent="0.2">
      <c r="B347" s="597" t="s">
        <v>781</v>
      </c>
      <c r="C347" s="665">
        <f>IFERROR(C250/(C29+C305),"Sin datos")</f>
        <v>0.34095026188323602</v>
      </c>
      <c r="D347" s="665"/>
      <c r="E347" s="665">
        <f t="shared" ref="E347:G347" si="91">IFERROR(E250/(E29+E305),"Sin datos")</f>
        <v>0.32858866781156632</v>
      </c>
      <c r="F347" s="665"/>
      <c r="G347" s="666">
        <f t="shared" si="91"/>
        <v>0.32951379421765847</v>
      </c>
      <c r="H347" s="196"/>
      <c r="I347" s="196"/>
      <c r="J347" s="196"/>
    </row>
    <row r="348" spans="1:13" ht="16.5" customHeight="1" x14ac:dyDescent="0.2">
      <c r="B348" s="595" t="s">
        <v>722</v>
      </c>
      <c r="C348" s="663">
        <f>IFERROR((C331/(C29+C305)),"Sin datos")</f>
        <v>0.22588554102276995</v>
      </c>
      <c r="D348" s="663"/>
      <c r="E348" s="663">
        <f t="shared" ref="E348:G348" si="92">IFERROR((E331/(E29+E305)),"Sin datos")</f>
        <v>0.2331779571886656</v>
      </c>
      <c r="F348" s="663"/>
      <c r="G348" s="664">
        <f t="shared" ca="1" si="92"/>
        <v>0.28918581695955992</v>
      </c>
      <c r="H348" s="196"/>
      <c r="I348" s="196"/>
      <c r="J348" s="196"/>
    </row>
    <row r="349" spans="1:13" ht="16.5" customHeight="1" x14ac:dyDescent="0.2">
      <c r="B349" s="597" t="s">
        <v>723</v>
      </c>
      <c r="C349" s="665">
        <f>IFERROR((C337/C29),"Sin datos")</f>
        <v>3.8052100141654673E-3</v>
      </c>
      <c r="D349" s="665"/>
      <c r="E349" s="665">
        <f t="shared" ref="E349:G349" si="93">IFERROR((E337/E29),"Sin datos")</f>
        <v>3.0786178860280821E-3</v>
      </c>
      <c r="F349" s="665"/>
      <c r="G349" s="666">
        <f t="shared" ca="1" si="93"/>
        <v>2.0465588488414828E-3</v>
      </c>
    </row>
    <row r="350" spans="1:13" ht="16.5" customHeight="1" x14ac:dyDescent="0.2">
      <c r="B350" s="595" t="s">
        <v>724</v>
      </c>
      <c r="C350" s="663">
        <f>IFERROR((C337/(C29+C305)),"Sin datos")</f>
        <v>3.8052100141654673E-3</v>
      </c>
      <c r="D350" s="663"/>
      <c r="E350" s="663">
        <f t="shared" ref="E350:G350" si="94">IFERROR((E337/(E29+E305)),"Sin datos")</f>
        <v>3.0786178860280821E-3</v>
      </c>
      <c r="F350" s="663"/>
      <c r="G350" s="664">
        <f t="shared" ca="1" si="94"/>
        <v>2.0465588488414828E-3</v>
      </c>
      <c r="H350" s="196"/>
      <c r="I350" s="196"/>
      <c r="J350" s="196"/>
    </row>
    <row r="351" spans="1:13" ht="16.5" customHeight="1" thickBot="1" x14ac:dyDescent="0.25">
      <c r="B351" s="598" t="s">
        <v>725</v>
      </c>
      <c r="C351" s="667">
        <f>IFERROR((C251+C329)/(C29+C305),"Sin datos")</f>
        <v>0.77411445897723008</v>
      </c>
      <c r="D351" s="667"/>
      <c r="E351" s="667">
        <f t="shared" ref="E351:G351" si="95">IFERROR((E251+E329)/(E29+E305),"Sin datos")</f>
        <v>0.76682204281133437</v>
      </c>
      <c r="F351" s="667"/>
      <c r="G351" s="668">
        <f t="shared" ca="1" si="95"/>
        <v>0.71081418304044008</v>
      </c>
      <c r="H351" s="196"/>
      <c r="I351" s="196"/>
      <c r="J351" s="196"/>
    </row>
    <row r="352" spans="1:13" ht="16.5" customHeight="1" thickBot="1" x14ac:dyDescent="0.25">
      <c r="B352" s="196"/>
      <c r="C352" s="660" t="s">
        <v>169</v>
      </c>
      <c r="D352" s="660"/>
      <c r="E352" s="660"/>
      <c r="F352" s="660"/>
      <c r="G352" s="660"/>
      <c r="H352" s="196"/>
      <c r="I352" s="196"/>
      <c r="J352" s="196"/>
    </row>
    <row r="353" spans="2:7" ht="16.5" customHeight="1" x14ac:dyDescent="0.2">
      <c r="B353" s="594" t="s">
        <v>830</v>
      </c>
      <c r="C353" s="669"/>
      <c r="D353" s="669"/>
      <c r="E353" s="669"/>
      <c r="F353" s="669"/>
      <c r="G353" s="670">
        <f>IFERROR((G8/E8)-1,"Sin datos")</f>
        <v>8.8012866442120252E-2</v>
      </c>
    </row>
    <row r="354" spans="2:7" ht="16.5" customHeight="1" x14ac:dyDescent="0.2">
      <c r="B354" s="597" t="s">
        <v>831</v>
      </c>
      <c r="C354" s="665"/>
      <c r="D354" s="665"/>
      <c r="E354" s="665"/>
      <c r="F354" s="665"/>
      <c r="G354" s="666">
        <f ca="1">IFERROR((G61/E61)-1,"Sin datos")</f>
        <v>-6.1853954427807833E-2</v>
      </c>
    </row>
    <row r="355" spans="2:7" ht="16.5" customHeight="1" x14ac:dyDescent="0.2">
      <c r="B355" s="595" t="s">
        <v>832</v>
      </c>
      <c r="C355" s="663"/>
      <c r="D355" s="663"/>
      <c r="E355" s="663"/>
      <c r="F355" s="663"/>
      <c r="G355" s="664">
        <f ca="1">IFERROR((G73/E73)-1,"Sin datos")</f>
        <v>1.3364485981308412</v>
      </c>
    </row>
    <row r="356" spans="2:7" ht="16.5" customHeight="1" thickBot="1" x14ac:dyDescent="0.25">
      <c r="B356" s="598" t="s">
        <v>833</v>
      </c>
      <c r="C356" s="667"/>
      <c r="D356" s="667"/>
      <c r="E356" s="667"/>
      <c r="F356" s="667"/>
      <c r="G356" s="668">
        <f ca="1">IFERROR((G176/E176)-1,"Sin datos")</f>
        <v>8.682029034504013E-2</v>
      </c>
    </row>
  </sheetData>
  <protectedRanges>
    <protectedRange sqref="J4:M341" name="Rango1"/>
  </protectedRanges>
  <mergeCells count="11">
    <mergeCell ref="C1:G1"/>
    <mergeCell ref="J4:M5"/>
    <mergeCell ref="I4:I5"/>
    <mergeCell ref="B2:H2"/>
    <mergeCell ref="B4:B5"/>
    <mergeCell ref="C4:C5"/>
    <mergeCell ref="G4:G5"/>
    <mergeCell ref="H4:H5"/>
    <mergeCell ref="D4:D5"/>
    <mergeCell ref="E4:E5"/>
    <mergeCell ref="F4:F5"/>
  </mergeCells>
  <phoneticPr fontId="27" type="noConversion"/>
  <pageMargins left="0.15748031496062992" right="0.15748031496062992" top="0.15748031496062992" bottom="0.19685039370078741" header="0" footer="0"/>
  <pageSetup fitToWidth="3" fitToHeight="5" orientation="landscape" r:id="rId1"/>
  <headerFooter alignWithMargins="0">
    <oddFooter xml:space="preserve">&amp;R&amp;P </oddFooter>
  </headerFooter>
  <ignoredErrors>
    <ignoredError sqref="F29 G76 G143 G84 G73:G74 G331:G333 F176:F177 F268:F275 F305 F329:F331 F337:F338 G176:G179 F61:F65 F72:F80 G78 F82 G253:G254 F259 F261:F265 G278 G283 F84:F95 F97:F115 F225:F257 G305:G307 G249:G251 F67:F70 G225 E216:G216 E219:G220 F217:G217 F218:G218" formula="1"/>
    <ignoredError sqref="F339" evalError="1" formula="1"/>
    <ignoredError sqref="E341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25"/>
  <sheetViews>
    <sheetView topLeftCell="A4" workbookViewId="0">
      <selection activeCell="B13" sqref="B13"/>
    </sheetView>
  </sheetViews>
  <sheetFormatPr baseColWidth="10" defaultRowHeight="12.75" x14ac:dyDescent="0.2"/>
  <cols>
    <col min="1" max="1" width="13.5703125" style="5" customWidth="1"/>
    <col min="2" max="2" width="30.140625" style="5" customWidth="1"/>
    <col min="3" max="3" width="22.42578125" style="5" customWidth="1"/>
    <col min="4" max="4" width="26.28515625" style="194" customWidth="1"/>
    <col min="5" max="5" width="15" style="194" customWidth="1"/>
    <col min="6" max="17" width="10.7109375" style="5" customWidth="1"/>
    <col min="18" max="16384" width="11.42578125" style="5"/>
  </cols>
  <sheetData>
    <row r="2" spans="1:17" ht="18" x14ac:dyDescent="0.25">
      <c r="A2" s="1241" t="s">
        <v>477</v>
      </c>
      <c r="B2" s="1241"/>
      <c r="C2" s="1241"/>
      <c r="D2" s="1241"/>
      <c r="E2" s="1241"/>
    </row>
    <row r="3" spans="1:17" ht="18" x14ac:dyDescent="0.25">
      <c r="A3" s="1245" t="str">
        <f>+PRESUPUESTO!B2</f>
        <v>ADMINISTRACION DE EMPRESAS</v>
      </c>
      <c r="B3" s="1245"/>
      <c r="C3" s="1245"/>
      <c r="D3" s="1245"/>
      <c r="E3" s="1245"/>
    </row>
    <row r="4" spans="1:17" ht="18.75" thickBot="1" x14ac:dyDescent="0.3">
      <c r="A4" s="1197">
        <v>2018</v>
      </c>
      <c r="B4" s="1197"/>
      <c r="C4" s="1197"/>
      <c r="D4" s="1197"/>
      <c r="E4" s="1197"/>
      <c r="F4" s="1231" t="s">
        <v>492</v>
      </c>
      <c r="G4" s="1231"/>
      <c r="H4" s="1231"/>
      <c r="I4" s="1231"/>
      <c r="J4" s="1231"/>
      <c r="K4" s="1231"/>
      <c r="L4" s="1231"/>
      <c r="M4" s="1231"/>
      <c r="N4" s="1231"/>
      <c r="O4" s="1231"/>
      <c r="P4" s="1231"/>
      <c r="Q4" s="1231"/>
    </row>
    <row r="5" spans="1:17" ht="12.75" customHeight="1" x14ac:dyDescent="0.2">
      <c r="A5" s="1214" t="s">
        <v>418</v>
      </c>
      <c r="B5" s="1219" t="s">
        <v>256</v>
      </c>
      <c r="C5" s="1198" t="s">
        <v>257</v>
      </c>
      <c r="D5" s="1242" t="s">
        <v>255</v>
      </c>
      <c r="E5" s="1200" t="s">
        <v>475</v>
      </c>
      <c r="F5" s="1229" t="s">
        <v>484</v>
      </c>
      <c r="G5" s="1229" t="s">
        <v>485</v>
      </c>
      <c r="H5" s="1229" t="s">
        <v>486</v>
      </c>
      <c r="I5" s="1229" t="s">
        <v>487</v>
      </c>
      <c r="J5" s="1229" t="s">
        <v>488</v>
      </c>
      <c r="K5" s="1229" t="s">
        <v>489</v>
      </c>
      <c r="L5" s="1229" t="s">
        <v>490</v>
      </c>
      <c r="M5" s="1229" t="s">
        <v>491</v>
      </c>
      <c r="N5" s="1229" t="s">
        <v>251</v>
      </c>
      <c r="O5" s="1229" t="s">
        <v>252</v>
      </c>
      <c r="P5" s="1229" t="s">
        <v>253</v>
      </c>
      <c r="Q5" s="1229" t="s">
        <v>254</v>
      </c>
    </row>
    <row r="6" spans="1:17" ht="13.5" thickBot="1" x14ac:dyDescent="0.25">
      <c r="A6" s="1215"/>
      <c r="B6" s="1220"/>
      <c r="C6" s="1199"/>
      <c r="D6" s="1243"/>
      <c r="E6" s="1244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</row>
    <row r="7" spans="1:17" ht="158.25" x14ac:dyDescent="0.2">
      <c r="A7" s="865"/>
      <c r="B7" s="1001" t="s">
        <v>1038</v>
      </c>
      <c r="C7" s="1002">
        <v>2018</v>
      </c>
      <c r="D7" s="1003" t="s">
        <v>1039</v>
      </c>
      <c r="E7" s="539">
        <v>2500000</v>
      </c>
      <c r="F7" s="534">
        <v>0</v>
      </c>
      <c r="G7" s="535">
        <v>2500000</v>
      </c>
      <c r="H7" s="535">
        <v>0</v>
      </c>
      <c r="I7" s="535">
        <v>0</v>
      </c>
      <c r="J7" s="535">
        <v>0</v>
      </c>
      <c r="K7" s="535">
        <v>0</v>
      </c>
      <c r="L7" s="535">
        <v>0</v>
      </c>
      <c r="M7" s="535">
        <v>0</v>
      </c>
      <c r="N7" s="535">
        <v>0</v>
      </c>
      <c r="O7" s="535">
        <v>0</v>
      </c>
      <c r="P7" s="535">
        <v>0</v>
      </c>
      <c r="Q7" s="535">
        <v>0</v>
      </c>
    </row>
    <row r="8" spans="1:17" x14ac:dyDescent="0.2">
      <c r="A8" s="866"/>
      <c r="B8" s="1004"/>
      <c r="C8" s="1004"/>
      <c r="D8" s="1005"/>
      <c r="E8" s="1006"/>
      <c r="F8" s="1000">
        <v>0</v>
      </c>
      <c r="G8" s="537">
        <v>0</v>
      </c>
      <c r="H8" s="537">
        <v>0</v>
      </c>
      <c r="I8" s="537">
        <v>0</v>
      </c>
      <c r="J8" s="537">
        <v>0</v>
      </c>
      <c r="K8" s="537">
        <v>0</v>
      </c>
      <c r="L8" s="537">
        <v>0</v>
      </c>
      <c r="M8" s="537">
        <v>0</v>
      </c>
      <c r="N8" s="537">
        <v>0</v>
      </c>
      <c r="O8" s="537">
        <v>0</v>
      </c>
      <c r="P8" s="537">
        <v>0</v>
      </c>
      <c r="Q8" s="537">
        <v>0</v>
      </c>
    </row>
    <row r="9" spans="1:17" x14ac:dyDescent="0.2">
      <c r="A9" s="866"/>
      <c r="B9" s="531" t="s">
        <v>169</v>
      </c>
      <c r="C9" s="531"/>
      <c r="D9" s="533" t="s">
        <v>169</v>
      </c>
      <c r="E9" s="539"/>
      <c r="F9" s="536">
        <v>0</v>
      </c>
      <c r="G9" s="537">
        <v>0</v>
      </c>
      <c r="H9" s="537">
        <v>0</v>
      </c>
      <c r="I9" s="537">
        <v>0</v>
      </c>
      <c r="J9" s="537">
        <v>0</v>
      </c>
      <c r="K9" s="537">
        <v>0</v>
      </c>
      <c r="L9" s="537">
        <v>0</v>
      </c>
      <c r="M9" s="537">
        <v>0</v>
      </c>
      <c r="N9" s="537">
        <v>0</v>
      </c>
      <c r="O9" s="537">
        <v>0</v>
      </c>
      <c r="P9" s="537">
        <v>0</v>
      </c>
      <c r="Q9" s="537">
        <v>0</v>
      </c>
    </row>
    <row r="10" spans="1:17" x14ac:dyDescent="0.2">
      <c r="A10" s="866"/>
      <c r="B10" s="531" t="s">
        <v>169</v>
      </c>
      <c r="C10" s="531"/>
      <c r="D10" s="533"/>
      <c r="E10" s="539">
        <f t="shared" ref="E10:E15" si="0">SUM(F10:Q10)</f>
        <v>0</v>
      </c>
      <c r="F10" s="536">
        <v>0</v>
      </c>
      <c r="G10" s="537">
        <v>0</v>
      </c>
      <c r="H10" s="537">
        <v>0</v>
      </c>
      <c r="I10" s="537">
        <v>0</v>
      </c>
      <c r="J10" s="537">
        <v>0</v>
      </c>
      <c r="K10" s="537">
        <v>0</v>
      </c>
      <c r="L10" s="537">
        <v>0</v>
      </c>
      <c r="M10" s="537">
        <v>0</v>
      </c>
      <c r="N10" s="537">
        <v>0</v>
      </c>
      <c r="O10" s="537">
        <v>0</v>
      </c>
      <c r="P10" s="537">
        <v>0</v>
      </c>
      <c r="Q10" s="537">
        <v>0</v>
      </c>
    </row>
    <row r="11" spans="1:17" x14ac:dyDescent="0.2">
      <c r="A11" s="866"/>
      <c r="B11" s="531"/>
      <c r="C11" s="531"/>
      <c r="D11" s="533"/>
      <c r="E11" s="539">
        <f t="shared" si="0"/>
        <v>0</v>
      </c>
      <c r="F11" s="536">
        <v>0</v>
      </c>
      <c r="G11" s="537">
        <v>0</v>
      </c>
      <c r="H11" s="537">
        <v>0</v>
      </c>
      <c r="I11" s="537">
        <v>0</v>
      </c>
      <c r="J11" s="537">
        <v>0</v>
      </c>
      <c r="K11" s="537">
        <v>0</v>
      </c>
      <c r="L11" s="537">
        <v>0</v>
      </c>
      <c r="M11" s="537">
        <v>0</v>
      </c>
      <c r="N11" s="537">
        <v>0</v>
      </c>
      <c r="O11" s="537">
        <v>0</v>
      </c>
      <c r="P11" s="537">
        <v>0</v>
      </c>
      <c r="Q11" s="537">
        <v>0</v>
      </c>
    </row>
    <row r="12" spans="1:17" x14ac:dyDescent="0.2">
      <c r="A12" s="866"/>
      <c r="B12" s="531"/>
      <c r="C12" s="531"/>
      <c r="D12" s="533"/>
      <c r="E12" s="539">
        <f t="shared" si="0"/>
        <v>0</v>
      </c>
      <c r="F12" s="536">
        <v>0</v>
      </c>
      <c r="G12" s="537">
        <v>0</v>
      </c>
      <c r="H12" s="537">
        <v>0</v>
      </c>
      <c r="I12" s="537">
        <v>0</v>
      </c>
      <c r="J12" s="537">
        <v>0</v>
      </c>
      <c r="K12" s="537">
        <v>0</v>
      </c>
      <c r="L12" s="537">
        <v>0</v>
      </c>
      <c r="M12" s="537">
        <v>0</v>
      </c>
      <c r="N12" s="537">
        <v>0</v>
      </c>
      <c r="O12" s="537">
        <v>0</v>
      </c>
      <c r="P12" s="537">
        <v>0</v>
      </c>
      <c r="Q12" s="537">
        <v>0</v>
      </c>
    </row>
    <row r="13" spans="1:17" x14ac:dyDescent="0.2">
      <c r="A13" s="866"/>
      <c r="B13" s="531"/>
      <c r="C13" s="531"/>
      <c r="D13" s="533"/>
      <c r="E13" s="539">
        <f t="shared" si="0"/>
        <v>0</v>
      </c>
      <c r="F13" s="536">
        <v>0</v>
      </c>
      <c r="G13" s="537">
        <v>0</v>
      </c>
      <c r="H13" s="537">
        <v>0</v>
      </c>
      <c r="I13" s="537">
        <v>0</v>
      </c>
      <c r="J13" s="537">
        <v>0</v>
      </c>
      <c r="K13" s="537">
        <v>0</v>
      </c>
      <c r="L13" s="537">
        <v>0</v>
      </c>
      <c r="M13" s="537">
        <v>0</v>
      </c>
      <c r="N13" s="537">
        <v>0</v>
      </c>
      <c r="O13" s="537">
        <v>0</v>
      </c>
      <c r="P13" s="537">
        <v>0</v>
      </c>
      <c r="Q13" s="537">
        <v>0</v>
      </c>
    </row>
    <row r="14" spans="1:17" x14ac:dyDescent="0.2">
      <c r="A14" s="866"/>
      <c r="B14" s="531"/>
      <c r="C14" s="531"/>
      <c r="D14" s="533"/>
      <c r="E14" s="539">
        <f t="shared" si="0"/>
        <v>0</v>
      </c>
      <c r="F14" s="536">
        <v>0</v>
      </c>
      <c r="G14" s="537">
        <v>0</v>
      </c>
      <c r="H14" s="537">
        <v>0</v>
      </c>
      <c r="I14" s="537">
        <v>0</v>
      </c>
      <c r="J14" s="537">
        <v>0</v>
      </c>
      <c r="K14" s="537">
        <v>0</v>
      </c>
      <c r="L14" s="537">
        <v>0</v>
      </c>
      <c r="M14" s="537">
        <v>0</v>
      </c>
      <c r="N14" s="537">
        <v>0</v>
      </c>
      <c r="O14" s="537">
        <v>0</v>
      </c>
      <c r="P14" s="537">
        <v>0</v>
      </c>
      <c r="Q14" s="537">
        <v>0</v>
      </c>
    </row>
    <row r="15" spans="1:17" ht="13.5" thickBot="1" x14ac:dyDescent="0.25">
      <c r="A15" s="867"/>
      <c r="B15" s="868"/>
      <c r="C15" s="531"/>
      <c r="D15" s="533"/>
      <c r="E15" s="539">
        <f t="shared" si="0"/>
        <v>0</v>
      </c>
      <c r="F15" s="536">
        <v>0</v>
      </c>
      <c r="G15" s="537">
        <v>0</v>
      </c>
      <c r="H15" s="537">
        <v>0</v>
      </c>
      <c r="I15" s="537">
        <v>0</v>
      </c>
      <c r="J15" s="537">
        <v>0</v>
      </c>
      <c r="K15" s="537">
        <v>0</v>
      </c>
      <c r="L15" s="537">
        <v>0</v>
      </c>
      <c r="M15" s="537">
        <v>0</v>
      </c>
      <c r="N15" s="537">
        <v>0</v>
      </c>
      <c r="O15" s="537">
        <v>0</v>
      </c>
      <c r="P15" s="537">
        <v>0</v>
      </c>
      <c r="Q15" s="537">
        <v>0</v>
      </c>
    </row>
    <row r="16" spans="1:17" ht="22.5" customHeight="1" thickBot="1" x14ac:dyDescent="0.25">
      <c r="A16" s="1238" t="s">
        <v>767</v>
      </c>
      <c r="B16" s="1239"/>
      <c r="C16" s="1239"/>
      <c r="D16" s="1240"/>
      <c r="E16" s="822">
        <f>SUM(E7:E15)</f>
        <v>2500000</v>
      </c>
      <c r="F16" s="650">
        <v>0</v>
      </c>
      <c r="G16" s="651">
        <v>0</v>
      </c>
      <c r="H16" s="651">
        <v>0</v>
      </c>
      <c r="I16" s="651">
        <v>0</v>
      </c>
      <c r="J16" s="651">
        <v>0</v>
      </c>
      <c r="K16" s="651">
        <v>0</v>
      </c>
      <c r="L16" s="651">
        <v>0</v>
      </c>
      <c r="M16" s="651">
        <v>0</v>
      </c>
      <c r="N16" s="651">
        <v>0</v>
      </c>
      <c r="O16" s="651">
        <v>0</v>
      </c>
      <c r="P16" s="651">
        <v>0</v>
      </c>
      <c r="Q16" s="651">
        <v>0</v>
      </c>
    </row>
    <row r="17" spans="1:17" ht="101.25" x14ac:dyDescent="0.2">
      <c r="A17" s="865"/>
      <c r="B17" s="985" t="s">
        <v>1040</v>
      </c>
      <c r="C17" s="985">
        <v>2018</v>
      </c>
      <c r="D17" s="532" t="s">
        <v>1041</v>
      </c>
      <c r="E17" s="539">
        <v>5000000</v>
      </c>
      <c r="F17" s="536">
        <v>0</v>
      </c>
      <c r="G17" s="537">
        <v>5000000</v>
      </c>
      <c r="H17" s="537">
        <v>0</v>
      </c>
      <c r="I17" s="537">
        <v>0</v>
      </c>
      <c r="J17" s="537">
        <v>0</v>
      </c>
      <c r="K17" s="537">
        <v>0</v>
      </c>
      <c r="L17" s="537">
        <v>0</v>
      </c>
      <c r="M17" s="537">
        <v>0</v>
      </c>
      <c r="N17" s="537">
        <v>0</v>
      </c>
      <c r="O17" s="537">
        <v>0</v>
      </c>
      <c r="P17" s="537">
        <v>0</v>
      </c>
      <c r="Q17" s="537">
        <v>0</v>
      </c>
    </row>
    <row r="18" spans="1:17" x14ac:dyDescent="0.2">
      <c r="A18" s="866"/>
      <c r="B18" s="531"/>
      <c r="C18" s="531"/>
      <c r="D18" s="533"/>
      <c r="E18" s="539">
        <f t="shared" ref="E18:E23" si="1">SUM(F18:Q18)</f>
        <v>0</v>
      </c>
      <c r="F18" s="536">
        <v>0</v>
      </c>
      <c r="G18" s="537">
        <v>0</v>
      </c>
      <c r="H18" s="537">
        <v>0</v>
      </c>
      <c r="I18" s="537">
        <v>0</v>
      </c>
      <c r="J18" s="537">
        <v>0</v>
      </c>
      <c r="K18" s="537">
        <v>0</v>
      </c>
      <c r="L18" s="537">
        <v>0</v>
      </c>
      <c r="M18" s="537">
        <v>0</v>
      </c>
      <c r="N18" s="537">
        <v>0</v>
      </c>
      <c r="O18" s="537">
        <v>0</v>
      </c>
      <c r="P18" s="537">
        <v>0</v>
      </c>
      <c r="Q18" s="537">
        <v>0</v>
      </c>
    </row>
    <row r="19" spans="1:17" x14ac:dyDescent="0.2">
      <c r="A19" s="866"/>
      <c r="B19" s="531"/>
      <c r="C19" s="531"/>
      <c r="D19" s="533"/>
      <c r="E19" s="539">
        <f t="shared" si="1"/>
        <v>0</v>
      </c>
      <c r="F19" s="536">
        <v>0</v>
      </c>
      <c r="G19" s="537">
        <v>0</v>
      </c>
      <c r="H19" s="537">
        <v>0</v>
      </c>
      <c r="I19" s="537">
        <v>0</v>
      </c>
      <c r="J19" s="537">
        <v>0</v>
      </c>
      <c r="K19" s="537">
        <v>0</v>
      </c>
      <c r="L19" s="537">
        <v>0</v>
      </c>
      <c r="M19" s="537">
        <v>0</v>
      </c>
      <c r="N19" s="537">
        <v>0</v>
      </c>
      <c r="O19" s="537">
        <v>0</v>
      </c>
      <c r="P19" s="537">
        <v>0</v>
      </c>
      <c r="Q19" s="537">
        <v>0</v>
      </c>
    </row>
    <row r="20" spans="1:17" x14ac:dyDescent="0.2">
      <c r="A20" s="866"/>
      <c r="B20" s="531"/>
      <c r="C20" s="531"/>
      <c r="D20" s="533"/>
      <c r="E20" s="539">
        <f t="shared" si="1"/>
        <v>0</v>
      </c>
      <c r="F20" s="536">
        <v>0</v>
      </c>
      <c r="G20" s="537">
        <v>0</v>
      </c>
      <c r="H20" s="537">
        <v>0</v>
      </c>
      <c r="I20" s="537">
        <v>0</v>
      </c>
      <c r="J20" s="537">
        <v>0</v>
      </c>
      <c r="K20" s="537">
        <v>0</v>
      </c>
      <c r="L20" s="537">
        <v>0</v>
      </c>
      <c r="M20" s="537">
        <v>0</v>
      </c>
      <c r="N20" s="537">
        <v>0</v>
      </c>
      <c r="O20" s="537">
        <v>0</v>
      </c>
      <c r="P20" s="537">
        <v>0</v>
      </c>
      <c r="Q20" s="537">
        <v>0</v>
      </c>
    </row>
    <row r="21" spans="1:17" x14ac:dyDescent="0.2">
      <c r="A21" s="866"/>
      <c r="B21" s="531"/>
      <c r="C21" s="531"/>
      <c r="D21" s="533"/>
      <c r="E21" s="539">
        <f t="shared" si="1"/>
        <v>0</v>
      </c>
      <c r="F21" s="536">
        <v>0</v>
      </c>
      <c r="G21" s="537">
        <v>0</v>
      </c>
      <c r="H21" s="537">
        <v>0</v>
      </c>
      <c r="I21" s="537">
        <v>0</v>
      </c>
      <c r="J21" s="537">
        <v>0</v>
      </c>
      <c r="K21" s="537">
        <v>0</v>
      </c>
      <c r="L21" s="537">
        <v>0</v>
      </c>
      <c r="M21" s="537">
        <v>0</v>
      </c>
      <c r="N21" s="537">
        <v>0</v>
      </c>
      <c r="O21" s="537">
        <v>0</v>
      </c>
      <c r="P21" s="537">
        <v>0</v>
      </c>
      <c r="Q21" s="537">
        <v>0</v>
      </c>
    </row>
    <row r="22" spans="1:17" x14ac:dyDescent="0.2">
      <c r="A22" s="866"/>
      <c r="B22" s="531"/>
      <c r="C22" s="531"/>
      <c r="D22" s="533"/>
      <c r="E22" s="539">
        <f t="shared" si="1"/>
        <v>0</v>
      </c>
      <c r="F22" s="536">
        <v>0</v>
      </c>
      <c r="G22" s="537">
        <v>0</v>
      </c>
      <c r="H22" s="537">
        <v>0</v>
      </c>
      <c r="I22" s="537">
        <v>0</v>
      </c>
      <c r="J22" s="537">
        <v>0</v>
      </c>
      <c r="K22" s="537">
        <v>0</v>
      </c>
      <c r="L22" s="537">
        <v>0</v>
      </c>
      <c r="M22" s="537">
        <v>0</v>
      </c>
      <c r="N22" s="537">
        <v>0</v>
      </c>
      <c r="O22" s="537">
        <v>0</v>
      </c>
      <c r="P22" s="537">
        <v>0</v>
      </c>
      <c r="Q22" s="537">
        <v>0</v>
      </c>
    </row>
    <row r="23" spans="1:17" ht="13.5" thickBot="1" x14ac:dyDescent="0.25">
      <c r="A23" s="867"/>
      <c r="B23" s="868"/>
      <c r="C23" s="531"/>
      <c r="D23" s="533"/>
      <c r="E23" s="539">
        <f t="shared" si="1"/>
        <v>0</v>
      </c>
      <c r="F23" s="536">
        <v>0</v>
      </c>
      <c r="G23" s="537">
        <v>0</v>
      </c>
      <c r="H23" s="537">
        <v>0</v>
      </c>
      <c r="I23" s="537">
        <v>0</v>
      </c>
      <c r="J23" s="537">
        <v>0</v>
      </c>
      <c r="K23" s="537">
        <v>0</v>
      </c>
      <c r="L23" s="537">
        <v>0</v>
      </c>
      <c r="M23" s="537">
        <v>0</v>
      </c>
      <c r="N23" s="537">
        <v>0</v>
      </c>
      <c r="O23" s="537">
        <v>0</v>
      </c>
      <c r="P23" s="537">
        <v>0</v>
      </c>
      <c r="Q23" s="537">
        <v>0</v>
      </c>
    </row>
    <row r="24" spans="1:17" ht="13.5" thickBot="1" x14ac:dyDescent="0.25">
      <c r="A24" s="1232" t="s">
        <v>768</v>
      </c>
      <c r="B24" s="1233"/>
      <c r="C24" s="1233"/>
      <c r="D24" s="1234"/>
      <c r="E24" s="822">
        <f>SUM(E17:E23)</f>
        <v>5000000</v>
      </c>
      <c r="F24" s="536">
        <v>0</v>
      </c>
      <c r="G24" s="537">
        <v>0</v>
      </c>
      <c r="H24" s="537">
        <v>0</v>
      </c>
      <c r="I24" s="537">
        <v>0</v>
      </c>
      <c r="J24" s="537">
        <v>0</v>
      </c>
      <c r="K24" s="537">
        <v>0</v>
      </c>
      <c r="L24" s="537">
        <v>0</v>
      </c>
      <c r="M24" s="537">
        <v>0</v>
      </c>
      <c r="N24" s="537">
        <v>0</v>
      </c>
      <c r="O24" s="537">
        <v>0</v>
      </c>
      <c r="P24" s="537">
        <v>0</v>
      </c>
      <c r="Q24" s="537">
        <v>0</v>
      </c>
    </row>
    <row r="25" spans="1:17" ht="13.5" thickBot="1" x14ac:dyDescent="0.25">
      <c r="A25" s="652">
        <v>5125100000</v>
      </c>
      <c r="B25" s="1235"/>
      <c r="C25" s="1236"/>
      <c r="D25" s="1237"/>
      <c r="E25" s="540">
        <f>+E16+E24</f>
        <v>7500000</v>
      </c>
      <c r="F25" s="278">
        <f t="shared" ref="F25:Q25" si="2">+F16+F24</f>
        <v>0</v>
      </c>
      <c r="G25" s="278">
        <f t="shared" si="2"/>
        <v>0</v>
      </c>
      <c r="H25" s="278">
        <f t="shared" si="2"/>
        <v>0</v>
      </c>
      <c r="I25" s="278">
        <f t="shared" si="2"/>
        <v>0</v>
      </c>
      <c r="J25" s="278">
        <f t="shared" si="2"/>
        <v>0</v>
      </c>
      <c r="K25" s="278">
        <f t="shared" si="2"/>
        <v>0</v>
      </c>
      <c r="L25" s="278">
        <f t="shared" si="2"/>
        <v>0</v>
      </c>
      <c r="M25" s="278">
        <f t="shared" si="2"/>
        <v>0</v>
      </c>
      <c r="N25" s="278">
        <f t="shared" si="2"/>
        <v>0</v>
      </c>
      <c r="O25" s="278">
        <f t="shared" si="2"/>
        <v>0</v>
      </c>
      <c r="P25" s="278">
        <f t="shared" si="2"/>
        <v>0</v>
      </c>
      <c r="Q25" s="278">
        <f t="shared" si="2"/>
        <v>0</v>
      </c>
    </row>
    <row r="26" spans="1:17" x14ac:dyDescent="0.2">
      <c r="E26" s="5"/>
    </row>
    <row r="27" spans="1:17" x14ac:dyDescent="0.2">
      <c r="A27" s="251" t="s">
        <v>476</v>
      </c>
      <c r="B27" s="252"/>
      <c r="C27" s="252"/>
      <c r="D27" s="252"/>
      <c r="E27" s="5"/>
    </row>
    <row r="29" spans="1:17" x14ac:dyDescent="0.2">
      <c r="E29" s="550"/>
      <c r="F29" s="550"/>
    </row>
    <row r="65525" spans="6:6" x14ac:dyDescent="0.2">
      <c r="F65525" s="6">
        <v>0</v>
      </c>
    </row>
  </sheetData>
  <mergeCells count="24">
    <mergeCell ref="I5:I6"/>
    <mergeCell ref="K5:K6"/>
    <mergeCell ref="Q5:Q6"/>
    <mergeCell ref="F4:Q4"/>
    <mergeCell ref="F5:F6"/>
    <mergeCell ref="G5:G6"/>
    <mergeCell ref="H5:H6"/>
    <mergeCell ref="L5:L6"/>
    <mergeCell ref="M5:M6"/>
    <mergeCell ref="O5:O6"/>
    <mergeCell ref="P5:P6"/>
    <mergeCell ref="J5:J6"/>
    <mergeCell ref="N5:N6"/>
    <mergeCell ref="A24:D24"/>
    <mergeCell ref="B25:D25"/>
    <mergeCell ref="A16:D16"/>
    <mergeCell ref="A2:E2"/>
    <mergeCell ref="A4:E4"/>
    <mergeCell ref="D5:D6"/>
    <mergeCell ref="E5:E6"/>
    <mergeCell ref="B5:B6"/>
    <mergeCell ref="A3:E3"/>
    <mergeCell ref="A5:A6"/>
    <mergeCell ref="C5:C6"/>
  </mergeCells>
  <phoneticPr fontId="27" type="noConversion"/>
  <pageMargins left="0.17" right="0.25" top="0.81" bottom="1" header="0" footer="0"/>
  <pageSetup scale="6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A7:A15 A17:A23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65532"/>
  <sheetViews>
    <sheetView workbookViewId="0">
      <selection activeCell="K14" sqref="K14"/>
    </sheetView>
  </sheetViews>
  <sheetFormatPr baseColWidth="10" defaultRowHeight="12.75" x14ac:dyDescent="0.2"/>
  <cols>
    <col min="1" max="1" width="12.140625" style="5" customWidth="1"/>
    <col min="2" max="2" width="38.140625" style="5" customWidth="1"/>
    <col min="3" max="3" width="32.42578125" style="194" customWidth="1"/>
    <col min="4" max="4" width="18" style="194" customWidth="1"/>
    <col min="5" max="16" width="10.7109375" style="5" customWidth="1"/>
    <col min="17" max="16384" width="11.42578125" style="5"/>
  </cols>
  <sheetData>
    <row r="2" spans="1:16" ht="18" x14ac:dyDescent="0.25">
      <c r="A2" s="1196" t="s">
        <v>235</v>
      </c>
      <c r="B2" s="1196"/>
      <c r="C2" s="1196"/>
      <c r="D2" s="1196"/>
    </row>
    <row r="3" spans="1:16" ht="18" x14ac:dyDescent="0.25">
      <c r="A3" s="1195" t="str">
        <f>+PRESUPUESTO!B2</f>
        <v>ADMINISTRACION DE EMPRESAS</v>
      </c>
      <c r="B3" s="1195"/>
      <c r="C3" s="1195"/>
      <c r="D3" s="1195"/>
    </row>
    <row r="4" spans="1:16" ht="18.75" thickBot="1" x14ac:dyDescent="0.3">
      <c r="A4" s="1197">
        <v>2018</v>
      </c>
      <c r="B4" s="1197"/>
      <c r="C4" s="1197"/>
      <c r="D4" s="1197"/>
      <c r="E4" s="1231" t="s">
        <v>492</v>
      </c>
      <c r="F4" s="1231"/>
      <c r="G4" s="1231"/>
      <c r="H4" s="1231"/>
      <c r="I4" s="1231"/>
      <c r="J4" s="1231"/>
      <c r="K4" s="1231"/>
      <c r="L4" s="1231"/>
      <c r="M4" s="1231"/>
      <c r="N4" s="1231"/>
      <c r="O4" s="1231"/>
      <c r="P4" s="1231"/>
    </row>
    <row r="5" spans="1:16" ht="12.75" customHeight="1" x14ac:dyDescent="0.2">
      <c r="A5" s="1214" t="s">
        <v>418</v>
      </c>
      <c r="B5" s="1219" t="s">
        <v>281</v>
      </c>
      <c r="C5" s="1219" t="s">
        <v>255</v>
      </c>
      <c r="D5" s="1219" t="s">
        <v>475</v>
      </c>
      <c r="E5" s="1229" t="s">
        <v>484</v>
      </c>
      <c r="F5" s="1229" t="s">
        <v>485</v>
      </c>
      <c r="G5" s="1229" t="s">
        <v>486</v>
      </c>
      <c r="H5" s="1229" t="s">
        <v>487</v>
      </c>
      <c r="I5" s="1229" t="s">
        <v>488</v>
      </c>
      <c r="J5" s="1229" t="s">
        <v>489</v>
      </c>
      <c r="K5" s="1229" t="s">
        <v>490</v>
      </c>
      <c r="L5" s="1229" t="s">
        <v>491</v>
      </c>
      <c r="M5" s="1229" t="s">
        <v>251</v>
      </c>
      <c r="N5" s="1229" t="s">
        <v>252</v>
      </c>
      <c r="O5" s="1229" t="s">
        <v>253</v>
      </c>
      <c r="P5" s="1229" t="s">
        <v>254</v>
      </c>
    </row>
    <row r="6" spans="1:16" ht="13.5" thickBot="1" x14ac:dyDescent="0.25">
      <c r="A6" s="1246"/>
      <c r="B6" s="1220"/>
      <c r="C6" s="1220"/>
      <c r="D6" s="1220"/>
      <c r="E6" s="123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</row>
    <row r="7" spans="1:16" ht="22.5" x14ac:dyDescent="0.2">
      <c r="A7" s="871"/>
      <c r="B7" s="543" t="s">
        <v>1060</v>
      </c>
      <c r="C7" s="532" t="s">
        <v>1061</v>
      </c>
      <c r="D7" s="739">
        <v>8000000</v>
      </c>
      <c r="E7" s="541">
        <v>0</v>
      </c>
      <c r="F7" s="297">
        <v>0</v>
      </c>
      <c r="G7" s="297">
        <v>4000000</v>
      </c>
      <c r="H7" s="297">
        <v>0</v>
      </c>
      <c r="I7" s="297">
        <v>0</v>
      </c>
      <c r="J7" s="297">
        <v>0</v>
      </c>
      <c r="K7" s="297">
        <v>0</v>
      </c>
      <c r="L7" s="297">
        <v>4000000</v>
      </c>
      <c r="M7" s="297">
        <v>0</v>
      </c>
      <c r="N7" s="297">
        <v>0</v>
      </c>
      <c r="O7" s="297">
        <v>0</v>
      </c>
      <c r="P7" s="297">
        <v>0</v>
      </c>
    </row>
    <row r="8" spans="1:16" x14ac:dyDescent="0.2">
      <c r="A8" s="866"/>
      <c r="B8" s="531" t="s">
        <v>1062</v>
      </c>
      <c r="C8" s="533" t="s">
        <v>1063</v>
      </c>
      <c r="D8" s="544">
        <v>2000000</v>
      </c>
      <c r="E8" s="542">
        <v>0</v>
      </c>
      <c r="F8" s="253">
        <v>0</v>
      </c>
      <c r="G8" s="253">
        <v>0</v>
      </c>
      <c r="H8" s="253">
        <v>1000000</v>
      </c>
      <c r="I8" s="253">
        <v>0</v>
      </c>
      <c r="J8" s="253">
        <v>0</v>
      </c>
      <c r="K8" s="253">
        <v>0</v>
      </c>
      <c r="L8" s="253">
        <v>0</v>
      </c>
      <c r="M8" s="253">
        <v>1000000</v>
      </c>
      <c r="N8" s="253">
        <v>0</v>
      </c>
      <c r="O8" s="253">
        <v>0</v>
      </c>
      <c r="P8" s="253">
        <v>0</v>
      </c>
    </row>
    <row r="9" spans="1:16" x14ac:dyDescent="0.2">
      <c r="A9" s="866"/>
      <c r="B9" s="531"/>
      <c r="C9" s="533"/>
      <c r="D9" s="544">
        <f t="shared" ref="D9:D33" si="0">SUM(E9:P9)</f>
        <v>0</v>
      </c>
      <c r="E9" s="542"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</row>
    <row r="10" spans="1:16" x14ac:dyDescent="0.2">
      <c r="A10" s="866"/>
      <c r="B10" s="531"/>
      <c r="C10" s="533"/>
      <c r="D10" s="544">
        <f t="shared" si="0"/>
        <v>0</v>
      </c>
      <c r="E10" s="542"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</row>
    <row r="11" spans="1:16" x14ac:dyDescent="0.2">
      <c r="A11" s="866"/>
      <c r="B11" s="531"/>
      <c r="C11" s="533"/>
      <c r="D11" s="544">
        <f t="shared" si="0"/>
        <v>0</v>
      </c>
      <c r="E11" s="542"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</row>
    <row r="12" spans="1:16" x14ac:dyDescent="0.2">
      <c r="A12" s="866"/>
      <c r="B12" s="531"/>
      <c r="C12" s="533"/>
      <c r="D12" s="544">
        <f t="shared" si="0"/>
        <v>0</v>
      </c>
      <c r="E12" s="542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</row>
    <row r="13" spans="1:16" x14ac:dyDescent="0.2">
      <c r="A13" s="866"/>
      <c r="B13" s="531"/>
      <c r="C13" s="533"/>
      <c r="D13" s="544">
        <f t="shared" si="0"/>
        <v>0</v>
      </c>
      <c r="E13" s="542"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</row>
    <row r="14" spans="1:16" x14ac:dyDescent="0.2">
      <c r="A14" s="866"/>
      <c r="B14" s="531"/>
      <c r="C14" s="533"/>
      <c r="D14" s="544">
        <f t="shared" si="0"/>
        <v>0</v>
      </c>
      <c r="E14" s="542"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</row>
    <row r="15" spans="1:16" x14ac:dyDescent="0.2">
      <c r="A15" s="866"/>
      <c r="B15" s="531"/>
      <c r="C15" s="533"/>
      <c r="D15" s="544">
        <f t="shared" si="0"/>
        <v>0</v>
      </c>
      <c r="E15" s="542"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</row>
    <row r="16" spans="1:16" x14ac:dyDescent="0.2">
      <c r="A16" s="866"/>
      <c r="B16" s="531"/>
      <c r="C16" s="533"/>
      <c r="D16" s="544">
        <f t="shared" si="0"/>
        <v>0</v>
      </c>
      <c r="E16" s="542"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</row>
    <row r="17" spans="1:16" x14ac:dyDescent="0.2">
      <c r="A17" s="866"/>
      <c r="B17" s="531"/>
      <c r="C17" s="533"/>
      <c r="D17" s="544">
        <f t="shared" si="0"/>
        <v>0</v>
      </c>
      <c r="E17" s="542"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</row>
    <row r="18" spans="1:16" x14ac:dyDescent="0.2">
      <c r="A18" s="866"/>
      <c r="B18" s="531"/>
      <c r="C18" s="533"/>
      <c r="D18" s="544">
        <f t="shared" si="0"/>
        <v>0</v>
      </c>
      <c r="E18" s="542"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</row>
    <row r="19" spans="1:16" x14ac:dyDescent="0.2">
      <c r="A19" s="866"/>
      <c r="B19" s="531"/>
      <c r="C19" s="533"/>
      <c r="D19" s="544">
        <f t="shared" si="0"/>
        <v>0</v>
      </c>
      <c r="E19" s="542"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</row>
    <row r="20" spans="1:16" x14ac:dyDescent="0.2">
      <c r="A20" s="866"/>
      <c r="B20" s="531"/>
      <c r="C20" s="533"/>
      <c r="D20" s="544">
        <f t="shared" si="0"/>
        <v>0</v>
      </c>
      <c r="E20" s="542"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</row>
    <row r="21" spans="1:16" x14ac:dyDescent="0.2">
      <c r="A21" s="866"/>
      <c r="B21" s="531"/>
      <c r="C21" s="533"/>
      <c r="D21" s="544">
        <f t="shared" si="0"/>
        <v>0</v>
      </c>
      <c r="E21" s="542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</row>
    <row r="22" spans="1:16" x14ac:dyDescent="0.2">
      <c r="A22" s="866"/>
      <c r="B22" s="531"/>
      <c r="C22" s="533"/>
      <c r="D22" s="544">
        <f t="shared" si="0"/>
        <v>0</v>
      </c>
      <c r="E22" s="542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</row>
    <row r="23" spans="1:16" x14ac:dyDescent="0.2">
      <c r="A23" s="866"/>
      <c r="B23" s="531"/>
      <c r="C23" s="533"/>
      <c r="D23" s="544">
        <f t="shared" si="0"/>
        <v>0</v>
      </c>
      <c r="E23" s="542"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</row>
    <row r="24" spans="1:16" x14ac:dyDescent="0.2">
      <c r="A24" s="866"/>
      <c r="B24" s="531"/>
      <c r="C24" s="533"/>
      <c r="D24" s="544">
        <f t="shared" si="0"/>
        <v>0</v>
      </c>
      <c r="E24" s="542"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</row>
    <row r="25" spans="1:16" x14ac:dyDescent="0.2">
      <c r="A25" s="866"/>
      <c r="B25" s="531"/>
      <c r="C25" s="533"/>
      <c r="D25" s="544">
        <f t="shared" si="0"/>
        <v>0</v>
      </c>
      <c r="E25" s="542"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</row>
    <row r="26" spans="1:16" x14ac:dyDescent="0.2">
      <c r="A26" s="866"/>
      <c r="B26" s="531"/>
      <c r="C26" s="533"/>
      <c r="D26" s="544">
        <f t="shared" si="0"/>
        <v>0</v>
      </c>
      <c r="E26" s="542"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</row>
    <row r="27" spans="1:16" x14ac:dyDescent="0.2">
      <c r="A27" s="866"/>
      <c r="B27" s="531"/>
      <c r="C27" s="533"/>
      <c r="D27" s="544">
        <f t="shared" si="0"/>
        <v>0</v>
      </c>
      <c r="E27" s="542"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</row>
    <row r="28" spans="1:16" x14ac:dyDescent="0.2">
      <c r="A28" s="866"/>
      <c r="B28" s="531"/>
      <c r="C28" s="533"/>
      <c r="D28" s="544">
        <f t="shared" si="0"/>
        <v>0</v>
      </c>
      <c r="E28" s="542"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</row>
    <row r="29" spans="1:16" x14ac:dyDescent="0.2">
      <c r="A29" s="866"/>
      <c r="B29" s="531"/>
      <c r="C29" s="533"/>
      <c r="D29" s="544">
        <f t="shared" si="0"/>
        <v>0</v>
      </c>
      <c r="E29" s="542"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</row>
    <row r="30" spans="1:16" x14ac:dyDescent="0.2">
      <c r="A30" s="866"/>
      <c r="B30" s="531"/>
      <c r="C30" s="533"/>
      <c r="D30" s="544">
        <f t="shared" si="0"/>
        <v>0</v>
      </c>
      <c r="E30" s="542"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</row>
    <row r="31" spans="1:16" x14ac:dyDescent="0.2">
      <c r="A31" s="866"/>
      <c r="B31" s="531"/>
      <c r="C31" s="533"/>
      <c r="D31" s="544">
        <f t="shared" si="0"/>
        <v>0</v>
      </c>
      <c r="E31" s="542"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</row>
    <row r="32" spans="1:16" x14ac:dyDescent="0.2">
      <c r="A32" s="866"/>
      <c r="B32" s="531"/>
      <c r="C32" s="533"/>
      <c r="D32" s="544">
        <f t="shared" si="0"/>
        <v>0</v>
      </c>
      <c r="E32" s="542"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</row>
    <row r="33" spans="1:16" ht="13.5" thickBot="1" x14ac:dyDescent="0.25">
      <c r="A33" s="867"/>
      <c r="B33" s="531"/>
      <c r="C33" s="533"/>
      <c r="D33" s="544">
        <f t="shared" si="0"/>
        <v>0</v>
      </c>
      <c r="E33" s="542"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</row>
    <row r="34" spans="1:16" ht="13.5" thickBot="1" x14ac:dyDescent="0.25">
      <c r="A34" s="870">
        <v>5195950100</v>
      </c>
      <c r="B34" s="173"/>
      <c r="C34" s="175"/>
      <c r="D34" s="195">
        <f>SUM(D7:D33)</f>
        <v>10000000</v>
      </c>
      <c r="E34" s="278">
        <f t="shared" ref="E34:P34" si="1">SUM(E7:E33)</f>
        <v>0</v>
      </c>
      <c r="F34" s="278">
        <f t="shared" si="1"/>
        <v>0</v>
      </c>
      <c r="G34" s="278">
        <f t="shared" si="1"/>
        <v>4000000</v>
      </c>
      <c r="H34" s="278">
        <f t="shared" si="1"/>
        <v>1000000</v>
      </c>
      <c r="I34" s="278">
        <f t="shared" si="1"/>
        <v>0</v>
      </c>
      <c r="J34" s="278">
        <f t="shared" si="1"/>
        <v>0</v>
      </c>
      <c r="K34" s="278">
        <f t="shared" si="1"/>
        <v>0</v>
      </c>
      <c r="L34" s="278">
        <f t="shared" si="1"/>
        <v>4000000</v>
      </c>
      <c r="M34" s="278">
        <f t="shared" si="1"/>
        <v>1000000</v>
      </c>
      <c r="N34" s="278">
        <f t="shared" si="1"/>
        <v>0</v>
      </c>
      <c r="O34" s="278">
        <f t="shared" si="1"/>
        <v>0</v>
      </c>
      <c r="P34" s="278">
        <f t="shared" si="1"/>
        <v>0</v>
      </c>
    </row>
    <row r="36" spans="1:16" x14ac:dyDescent="0.2">
      <c r="A36" s="251" t="s">
        <v>476</v>
      </c>
      <c r="B36" s="252"/>
      <c r="C36" s="252"/>
      <c r="D36" s="252"/>
      <c r="E36" s="550"/>
    </row>
    <row r="40" spans="1:16" x14ac:dyDescent="0.2">
      <c r="F40" s="550"/>
    </row>
    <row r="65532" spans="5:5" x14ac:dyDescent="0.2">
      <c r="E65532" s="6">
        <v>0</v>
      </c>
    </row>
  </sheetData>
  <mergeCells count="20">
    <mergeCell ref="K5:K6"/>
    <mergeCell ref="L5:L6"/>
    <mergeCell ref="M5:M6"/>
    <mergeCell ref="A3:D3"/>
    <mergeCell ref="B5:B6"/>
    <mergeCell ref="E4:P4"/>
    <mergeCell ref="I5:I6"/>
    <mergeCell ref="J5:J6"/>
    <mergeCell ref="O5:O6"/>
    <mergeCell ref="P5:P6"/>
    <mergeCell ref="E5:E6"/>
    <mergeCell ref="F5:F6"/>
    <mergeCell ref="G5:G6"/>
    <mergeCell ref="H5:H6"/>
    <mergeCell ref="N5:N6"/>
    <mergeCell ref="A2:D2"/>
    <mergeCell ref="A4:D4"/>
    <mergeCell ref="C5:C6"/>
    <mergeCell ref="D5:D6"/>
    <mergeCell ref="A5:A6"/>
  </mergeCells>
  <phoneticPr fontId="27" type="noConversion"/>
  <pageMargins left="0.17" right="0.17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P65525"/>
  <sheetViews>
    <sheetView zoomScaleNormal="100" workbookViewId="0">
      <selection activeCell="B7" sqref="B7:G7"/>
    </sheetView>
  </sheetViews>
  <sheetFormatPr baseColWidth="10" defaultRowHeight="12.75" x14ac:dyDescent="0.2"/>
  <cols>
    <col min="1" max="1" width="12.140625" style="5" customWidth="1"/>
    <col min="2" max="2" width="44.42578125" style="5" customWidth="1"/>
    <col min="3" max="3" width="28.85546875" style="194" customWidth="1"/>
    <col min="4" max="4" width="18" style="194" customWidth="1"/>
    <col min="5" max="16" width="10.7109375" style="5" customWidth="1"/>
    <col min="17" max="16384" width="11.42578125" style="5"/>
  </cols>
  <sheetData>
    <row r="2" spans="1:16" ht="18" x14ac:dyDescent="0.25">
      <c r="A2" s="1196" t="s">
        <v>483</v>
      </c>
      <c r="B2" s="1196"/>
      <c r="C2" s="1196"/>
      <c r="D2" s="1196"/>
    </row>
    <row r="3" spans="1:16" ht="18" x14ac:dyDescent="0.25">
      <c r="A3" s="1195" t="str">
        <f>+PRESUPUESTO!B2</f>
        <v>ADMINISTRACION DE EMPRESAS</v>
      </c>
      <c r="B3" s="1195"/>
      <c r="C3" s="1195"/>
      <c r="D3" s="1195"/>
    </row>
    <row r="4" spans="1:16" ht="18.75" thickBot="1" x14ac:dyDescent="0.3">
      <c r="A4" s="1197">
        <v>2018</v>
      </c>
      <c r="B4" s="1197"/>
      <c r="C4" s="1197"/>
      <c r="D4" s="1197"/>
      <c r="E4" s="1231" t="s">
        <v>492</v>
      </c>
      <c r="F4" s="1231"/>
      <c r="G4" s="1231"/>
      <c r="H4" s="1231"/>
      <c r="I4" s="1231"/>
      <c r="J4" s="1231"/>
      <c r="K4" s="1231"/>
      <c r="L4" s="1231"/>
      <c r="M4" s="1231"/>
      <c r="N4" s="1231"/>
      <c r="O4" s="1231"/>
      <c r="P4" s="1231"/>
    </row>
    <row r="5" spans="1:16" ht="12.75" customHeight="1" x14ac:dyDescent="0.2">
      <c r="A5" s="1214" t="s">
        <v>418</v>
      </c>
      <c r="B5" s="1219" t="s">
        <v>229</v>
      </c>
      <c r="C5" s="1219" t="s">
        <v>255</v>
      </c>
      <c r="D5" s="1219" t="s">
        <v>475</v>
      </c>
      <c r="E5" s="1229" t="s">
        <v>484</v>
      </c>
      <c r="F5" s="1229" t="s">
        <v>485</v>
      </c>
      <c r="G5" s="1229" t="s">
        <v>486</v>
      </c>
      <c r="H5" s="1229" t="s">
        <v>487</v>
      </c>
      <c r="I5" s="1229" t="s">
        <v>488</v>
      </c>
      <c r="J5" s="1229" t="s">
        <v>489</v>
      </c>
      <c r="K5" s="1229" t="s">
        <v>490</v>
      </c>
      <c r="L5" s="1229" t="s">
        <v>491</v>
      </c>
      <c r="M5" s="1229" t="s">
        <v>251</v>
      </c>
      <c r="N5" s="1229" t="s">
        <v>252</v>
      </c>
      <c r="O5" s="1229" t="s">
        <v>253</v>
      </c>
      <c r="P5" s="1229" t="s">
        <v>254</v>
      </c>
    </row>
    <row r="6" spans="1:16" ht="13.5" thickBot="1" x14ac:dyDescent="0.25">
      <c r="A6" s="1246"/>
      <c r="B6" s="1220"/>
      <c r="C6" s="1220"/>
      <c r="D6" s="1220"/>
      <c r="E6" s="123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</row>
    <row r="7" spans="1:16" x14ac:dyDescent="0.2">
      <c r="A7" s="865"/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</row>
    <row r="8" spans="1:16" x14ac:dyDescent="0.2">
      <c r="A8" s="866"/>
      <c r="B8" s="531" t="s">
        <v>169</v>
      </c>
      <c r="C8" s="533"/>
      <c r="D8" s="544">
        <f t="shared" ref="D8:D26" si="0">SUM(E8:P8)</f>
        <v>0</v>
      </c>
      <c r="E8" s="253"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</row>
    <row r="9" spans="1:16" x14ac:dyDescent="0.2">
      <c r="A9" s="866"/>
      <c r="B9" s="531"/>
      <c r="C9" s="533"/>
      <c r="D9" s="544">
        <f t="shared" si="0"/>
        <v>0</v>
      </c>
      <c r="E9" s="253"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</row>
    <row r="10" spans="1:16" x14ac:dyDescent="0.2">
      <c r="A10" s="866"/>
      <c r="B10" s="531"/>
      <c r="C10" s="533"/>
      <c r="D10" s="544">
        <f t="shared" si="0"/>
        <v>0</v>
      </c>
      <c r="E10" s="253"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</row>
    <row r="11" spans="1:16" x14ac:dyDescent="0.2">
      <c r="A11" s="866"/>
      <c r="B11" s="531"/>
      <c r="C11" s="533"/>
      <c r="D11" s="544">
        <f t="shared" si="0"/>
        <v>0</v>
      </c>
      <c r="E11" s="253"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</row>
    <row r="12" spans="1:16" x14ac:dyDescent="0.2">
      <c r="A12" s="866"/>
      <c r="B12" s="531"/>
      <c r="C12" s="533"/>
      <c r="D12" s="544">
        <f t="shared" si="0"/>
        <v>0</v>
      </c>
      <c r="E12" s="253"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</row>
    <row r="13" spans="1:16" x14ac:dyDescent="0.2">
      <c r="A13" s="866"/>
      <c r="B13" s="531"/>
      <c r="C13" s="533"/>
      <c r="D13" s="544">
        <f t="shared" si="0"/>
        <v>0</v>
      </c>
      <c r="E13" s="253"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</row>
    <row r="14" spans="1:16" x14ac:dyDescent="0.2">
      <c r="A14" s="866"/>
      <c r="B14" s="531"/>
      <c r="C14" s="533"/>
      <c r="D14" s="544">
        <f t="shared" si="0"/>
        <v>0</v>
      </c>
      <c r="E14" s="253"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</row>
    <row r="15" spans="1:16" x14ac:dyDescent="0.2">
      <c r="A15" s="866"/>
      <c r="B15" s="531"/>
      <c r="C15" s="533"/>
      <c r="D15" s="544">
        <f t="shared" si="0"/>
        <v>0</v>
      </c>
      <c r="E15" s="253"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</row>
    <row r="16" spans="1:16" x14ac:dyDescent="0.2">
      <c r="A16" s="866"/>
      <c r="B16" s="531"/>
      <c r="C16" s="533"/>
      <c r="D16" s="544">
        <f t="shared" si="0"/>
        <v>0</v>
      </c>
      <c r="E16" s="253"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</row>
    <row r="17" spans="1:16" x14ac:dyDescent="0.2">
      <c r="A17" s="866"/>
      <c r="B17" s="531"/>
      <c r="C17" s="533"/>
      <c r="D17" s="544">
        <f t="shared" si="0"/>
        <v>0</v>
      </c>
      <c r="E17" s="253"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</row>
    <row r="18" spans="1:16" x14ac:dyDescent="0.2">
      <c r="A18" s="866"/>
      <c r="B18" s="531"/>
      <c r="C18" s="533"/>
      <c r="D18" s="544">
        <f t="shared" si="0"/>
        <v>0</v>
      </c>
      <c r="E18" s="253"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</row>
    <row r="19" spans="1:16" x14ac:dyDescent="0.2">
      <c r="A19" s="866"/>
      <c r="B19" s="531"/>
      <c r="C19" s="533"/>
      <c r="D19" s="544">
        <f t="shared" si="0"/>
        <v>0</v>
      </c>
      <c r="E19" s="253"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</row>
    <row r="20" spans="1:16" x14ac:dyDescent="0.2">
      <c r="A20" s="866"/>
      <c r="B20" s="531"/>
      <c r="C20" s="533"/>
      <c r="D20" s="544">
        <f t="shared" si="0"/>
        <v>0</v>
      </c>
      <c r="E20" s="253"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</row>
    <row r="21" spans="1:16" x14ac:dyDescent="0.2">
      <c r="A21" s="866"/>
      <c r="B21" s="531"/>
      <c r="C21" s="533"/>
      <c r="D21" s="544">
        <f t="shared" si="0"/>
        <v>0</v>
      </c>
      <c r="E21" s="253"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</row>
    <row r="22" spans="1:16" x14ac:dyDescent="0.2">
      <c r="A22" s="866"/>
      <c r="B22" s="531"/>
      <c r="C22" s="533"/>
      <c r="D22" s="544">
        <f t="shared" si="0"/>
        <v>0</v>
      </c>
      <c r="E22" s="253"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</row>
    <row r="23" spans="1:16" x14ac:dyDescent="0.2">
      <c r="A23" s="866"/>
      <c r="B23" s="531"/>
      <c r="C23" s="533"/>
      <c r="D23" s="544">
        <f t="shared" si="0"/>
        <v>0</v>
      </c>
      <c r="E23" s="253"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</row>
    <row r="24" spans="1:16" x14ac:dyDescent="0.2">
      <c r="A24" s="866"/>
      <c r="B24" s="531"/>
      <c r="C24" s="533"/>
      <c r="D24" s="544">
        <f t="shared" si="0"/>
        <v>0</v>
      </c>
      <c r="E24" s="253"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</row>
    <row r="25" spans="1:16" x14ac:dyDescent="0.2">
      <c r="A25" s="866"/>
      <c r="B25" s="531"/>
      <c r="C25" s="533"/>
      <c r="D25" s="544">
        <f t="shared" si="0"/>
        <v>0</v>
      </c>
      <c r="E25" s="253"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</row>
    <row r="26" spans="1:16" ht="13.5" thickBot="1" x14ac:dyDescent="0.25">
      <c r="A26" s="867"/>
      <c r="B26" s="531"/>
      <c r="C26" s="533"/>
      <c r="D26" s="544">
        <f t="shared" si="0"/>
        <v>0</v>
      </c>
      <c r="E26" s="253"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</row>
    <row r="27" spans="1:16" ht="13.5" thickBot="1" x14ac:dyDescent="0.25">
      <c r="A27" s="870">
        <v>5145300000</v>
      </c>
      <c r="B27" s="173"/>
      <c r="C27" s="175"/>
      <c r="D27" s="195">
        <f>SUM(D8:D26)</f>
        <v>0</v>
      </c>
      <c r="E27" s="278">
        <f>SUM(E8:E26)</f>
        <v>0</v>
      </c>
      <c r="F27" s="278">
        <f>SUM(F8:F26)</f>
        <v>0</v>
      </c>
      <c r="G27" s="278">
        <f>SUM(G8:G26)</f>
        <v>0</v>
      </c>
      <c r="H27" s="278">
        <f t="shared" ref="H27:P27" si="1">SUM(H7:H26)</f>
        <v>0</v>
      </c>
      <c r="I27" s="278">
        <f t="shared" si="1"/>
        <v>0</v>
      </c>
      <c r="J27" s="278">
        <f t="shared" si="1"/>
        <v>0</v>
      </c>
      <c r="K27" s="278">
        <f t="shared" si="1"/>
        <v>0</v>
      </c>
      <c r="L27" s="278">
        <f t="shared" si="1"/>
        <v>0</v>
      </c>
      <c r="M27" s="278">
        <f t="shared" si="1"/>
        <v>0</v>
      </c>
      <c r="N27" s="278">
        <f t="shared" si="1"/>
        <v>0</v>
      </c>
      <c r="O27" s="278">
        <f t="shared" si="1"/>
        <v>0</v>
      </c>
      <c r="P27" s="278">
        <f t="shared" si="1"/>
        <v>0</v>
      </c>
    </row>
    <row r="29" spans="1:16" x14ac:dyDescent="0.2">
      <c r="A29" s="251" t="s">
        <v>476</v>
      </c>
      <c r="B29" s="252"/>
      <c r="C29" s="252"/>
      <c r="D29" s="252"/>
      <c r="E29" s="550"/>
    </row>
    <row r="65525" spans="5:5" x14ac:dyDescent="0.2">
      <c r="E65525" s="6">
        <v>0</v>
      </c>
    </row>
  </sheetData>
  <mergeCells count="20">
    <mergeCell ref="N5:N6"/>
    <mergeCell ref="O5:O6"/>
    <mergeCell ref="P5:P6"/>
    <mergeCell ref="E4:P4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A2:D2"/>
    <mergeCell ref="A4:D4"/>
    <mergeCell ref="A5:A6"/>
    <mergeCell ref="B5:B6"/>
    <mergeCell ref="C5:C6"/>
    <mergeCell ref="D5:D6"/>
    <mergeCell ref="A3:D3"/>
  </mergeCells>
  <phoneticPr fontId="0" type="noConversion"/>
  <pageMargins left="0.16" right="0.16" top="0.75" bottom="0.75" header="0.3" footer="0.3"/>
  <pageSetup scale="6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A7:A26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5"/>
  <sheetViews>
    <sheetView topLeftCell="A4" workbookViewId="0">
      <selection activeCell="B7" sqref="B7:G7"/>
    </sheetView>
  </sheetViews>
  <sheetFormatPr baseColWidth="10" defaultRowHeight="12.75" x14ac:dyDescent="0.2"/>
  <cols>
    <col min="1" max="1" width="12.28515625" style="5" customWidth="1"/>
    <col min="2" max="2" width="31" style="5" customWidth="1"/>
    <col min="3" max="3" width="19.5703125" style="5" customWidth="1"/>
    <col min="4" max="4" width="30" style="5" customWidth="1"/>
    <col min="5" max="5" width="11.42578125" style="194" customWidth="1"/>
    <col min="6" max="17" width="10.7109375" style="5" customWidth="1"/>
    <col min="18" max="16384" width="11.42578125" style="5"/>
  </cols>
  <sheetData>
    <row r="2" spans="1:17" ht="18" x14ac:dyDescent="0.25">
      <c r="A2" s="1196" t="s">
        <v>615</v>
      </c>
      <c r="B2" s="1196"/>
      <c r="C2" s="1196"/>
      <c r="D2" s="1196"/>
      <c r="E2" s="1196"/>
      <c r="F2" s="1196"/>
      <c r="G2" s="1196"/>
    </row>
    <row r="3" spans="1:17" ht="18" x14ac:dyDescent="0.25">
      <c r="A3" s="1195" t="str">
        <f>+PRESUPUESTO!B2</f>
        <v>ADMINISTRACION DE EMPRESAS</v>
      </c>
      <c r="B3" s="1195"/>
      <c r="C3" s="1195"/>
      <c r="D3" s="1195"/>
      <c r="E3" s="1195"/>
    </row>
    <row r="4" spans="1:17" ht="18.75" thickBot="1" x14ac:dyDescent="0.3">
      <c r="A4" s="1197">
        <v>2018</v>
      </c>
      <c r="B4" s="1197"/>
      <c r="C4" s="1197"/>
      <c r="D4" s="1197"/>
      <c r="E4" s="1197"/>
      <c r="F4" s="1231" t="s">
        <v>492</v>
      </c>
      <c r="G4" s="1231"/>
      <c r="H4" s="1231"/>
      <c r="I4" s="1231"/>
      <c r="J4" s="1231"/>
      <c r="K4" s="1231"/>
      <c r="L4" s="1231"/>
      <c r="M4" s="1231"/>
      <c r="N4" s="1231"/>
      <c r="O4" s="1231"/>
      <c r="P4" s="1231"/>
      <c r="Q4" s="1231"/>
    </row>
    <row r="5" spans="1:17" ht="12.75" customHeight="1" x14ac:dyDescent="0.2">
      <c r="A5" s="1214" t="s">
        <v>418</v>
      </c>
      <c r="B5" s="1247" t="s">
        <v>479</v>
      </c>
      <c r="C5" s="1247" t="s">
        <v>478</v>
      </c>
      <c r="D5" s="1249" t="s">
        <v>255</v>
      </c>
      <c r="E5" s="1219" t="s">
        <v>475</v>
      </c>
      <c r="F5" s="1229" t="s">
        <v>484</v>
      </c>
      <c r="G5" s="1229" t="s">
        <v>485</v>
      </c>
      <c r="H5" s="1229" t="s">
        <v>486</v>
      </c>
      <c r="I5" s="1229" t="s">
        <v>487</v>
      </c>
      <c r="J5" s="1229" t="s">
        <v>488</v>
      </c>
      <c r="K5" s="1229" t="s">
        <v>489</v>
      </c>
      <c r="L5" s="1229" t="s">
        <v>490</v>
      </c>
      <c r="M5" s="1229" t="s">
        <v>491</v>
      </c>
      <c r="N5" s="1229" t="s">
        <v>251</v>
      </c>
      <c r="O5" s="1229" t="s">
        <v>252</v>
      </c>
      <c r="P5" s="1229" t="s">
        <v>253</v>
      </c>
      <c r="Q5" s="1229" t="s">
        <v>254</v>
      </c>
    </row>
    <row r="6" spans="1:17" ht="13.5" thickBot="1" x14ac:dyDescent="0.25">
      <c r="A6" s="1246"/>
      <c r="B6" s="1248"/>
      <c r="C6" s="1248"/>
      <c r="D6" s="1248"/>
      <c r="E6" s="122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</row>
    <row r="7" spans="1:17" s="302" customFormat="1" ht="21.75" thickBot="1" x14ac:dyDescent="0.25">
      <c r="A7" s="872"/>
      <c r="B7" s="1008" t="s">
        <v>1072</v>
      </c>
      <c r="C7" s="1007" t="s">
        <v>1070</v>
      </c>
      <c r="D7" s="1009" t="s">
        <v>1064</v>
      </c>
      <c r="E7" s="1010">
        <v>7000000</v>
      </c>
      <c r="F7" s="1011">
        <v>0</v>
      </c>
      <c r="G7" s="1011">
        <v>7000000</v>
      </c>
      <c r="H7" s="301">
        <v>0</v>
      </c>
      <c r="I7" s="301">
        <v>0</v>
      </c>
      <c r="J7" s="301">
        <v>0</v>
      </c>
      <c r="K7" s="301">
        <v>0</v>
      </c>
      <c r="L7" s="301">
        <v>0</v>
      </c>
      <c r="M7" s="301">
        <v>0</v>
      </c>
      <c r="N7" s="301">
        <v>0</v>
      </c>
      <c r="O7" s="301">
        <v>0</v>
      </c>
      <c r="P7" s="301">
        <v>0</v>
      </c>
      <c r="Q7" s="301">
        <v>0</v>
      </c>
    </row>
    <row r="8" spans="1:17" s="302" customFormat="1" ht="11.25" x14ac:dyDescent="0.15">
      <c r="A8" s="873"/>
      <c r="B8" s="531"/>
      <c r="C8" s="533"/>
      <c r="D8" s="996"/>
      <c r="E8" s="538">
        <v>0</v>
      </c>
      <c r="F8" s="254">
        <v>0</v>
      </c>
      <c r="G8" s="254">
        <v>0</v>
      </c>
      <c r="H8" s="303">
        <v>0</v>
      </c>
      <c r="I8" s="303">
        <v>0</v>
      </c>
      <c r="J8" s="303">
        <v>0</v>
      </c>
      <c r="K8" s="303">
        <v>0</v>
      </c>
      <c r="L8" s="303">
        <v>0</v>
      </c>
      <c r="M8" s="303">
        <v>0</v>
      </c>
      <c r="N8" s="303">
        <v>0</v>
      </c>
      <c r="O8" s="303">
        <v>0</v>
      </c>
      <c r="P8" s="303">
        <v>0</v>
      </c>
      <c r="Q8" s="303">
        <v>0</v>
      </c>
    </row>
    <row r="9" spans="1:17" s="302" customFormat="1" ht="11.25" x14ac:dyDescent="0.15">
      <c r="A9" s="873"/>
      <c r="B9" s="545"/>
      <c r="C9" s="545"/>
      <c r="D9" s="545"/>
      <c r="E9" s="544">
        <f t="shared" ref="E9:E36" si="0">SUM(F9:Q9)</f>
        <v>0</v>
      </c>
      <c r="F9" s="303">
        <v>0</v>
      </c>
      <c r="G9" s="303">
        <v>0</v>
      </c>
      <c r="H9" s="303">
        <v>0</v>
      </c>
      <c r="I9" s="303">
        <v>0</v>
      </c>
      <c r="J9" s="303">
        <v>0</v>
      </c>
      <c r="K9" s="303">
        <v>0</v>
      </c>
      <c r="L9" s="303">
        <v>0</v>
      </c>
      <c r="M9" s="303">
        <v>0</v>
      </c>
      <c r="N9" s="303">
        <v>0</v>
      </c>
      <c r="O9" s="303">
        <v>0</v>
      </c>
      <c r="P9" s="303">
        <v>0</v>
      </c>
      <c r="Q9" s="303">
        <v>0</v>
      </c>
    </row>
    <row r="10" spans="1:17" x14ac:dyDescent="0.2">
      <c r="A10" s="873"/>
      <c r="B10" s="531"/>
      <c r="C10" s="531"/>
      <c r="D10" s="531"/>
      <c r="E10" s="544">
        <f t="shared" si="0"/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73"/>
      <c r="B11" s="531"/>
      <c r="C11" s="531"/>
      <c r="D11" s="531"/>
      <c r="E11" s="544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73"/>
      <c r="B12" s="531"/>
      <c r="C12" s="531"/>
      <c r="D12" s="531"/>
      <c r="E12" s="544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73"/>
      <c r="B13" s="531"/>
      <c r="C13" s="531"/>
      <c r="D13" s="531"/>
      <c r="E13" s="544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73"/>
      <c r="B14" s="531"/>
      <c r="C14" s="531"/>
      <c r="D14" s="531"/>
      <c r="E14" s="544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73"/>
      <c r="B15" s="531"/>
      <c r="C15" s="531"/>
      <c r="D15" s="531"/>
      <c r="E15" s="544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73"/>
      <c r="B16" s="531"/>
      <c r="C16" s="531"/>
      <c r="D16" s="531"/>
      <c r="E16" s="544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73"/>
      <c r="B17" s="531"/>
      <c r="C17" s="531"/>
      <c r="D17" s="531"/>
      <c r="E17" s="544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73"/>
      <c r="B18" s="531"/>
      <c r="C18" s="531"/>
      <c r="D18" s="531"/>
      <c r="E18" s="544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73"/>
      <c r="B19" s="531"/>
      <c r="C19" s="531"/>
      <c r="D19" s="531"/>
      <c r="E19" s="544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73"/>
      <c r="B20" s="531"/>
      <c r="C20" s="531"/>
      <c r="D20" s="531"/>
      <c r="E20" s="544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73"/>
      <c r="B21" s="531"/>
      <c r="C21" s="531"/>
      <c r="D21" s="531"/>
      <c r="E21" s="544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73"/>
      <c r="B22" s="531"/>
      <c r="C22" s="531"/>
      <c r="D22" s="531"/>
      <c r="E22" s="544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73"/>
      <c r="B23" s="531"/>
      <c r="C23" s="531"/>
      <c r="D23" s="531"/>
      <c r="E23" s="544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73"/>
      <c r="B24" s="531"/>
      <c r="C24" s="531"/>
      <c r="D24" s="531"/>
      <c r="E24" s="544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73"/>
      <c r="B25" s="531"/>
      <c r="C25" s="531"/>
      <c r="D25" s="531"/>
      <c r="E25" s="544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73"/>
      <c r="B26" s="531"/>
      <c r="C26" s="531"/>
      <c r="D26" s="531"/>
      <c r="E26" s="544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73"/>
      <c r="B27" s="531"/>
      <c r="C27" s="531"/>
      <c r="D27" s="531"/>
      <c r="E27" s="544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873"/>
      <c r="B28" s="531"/>
      <c r="C28" s="531"/>
      <c r="D28" s="531"/>
      <c r="E28" s="544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873"/>
      <c r="B29" s="531"/>
      <c r="C29" s="531"/>
      <c r="D29" s="531"/>
      <c r="E29" s="544">
        <f t="shared" si="0"/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873"/>
      <c r="B30" s="531"/>
      <c r="C30" s="531"/>
      <c r="D30" s="531"/>
      <c r="E30" s="544">
        <f t="shared" si="0"/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873"/>
      <c r="B31" s="531"/>
      <c r="C31" s="531"/>
      <c r="D31" s="531"/>
      <c r="E31" s="544">
        <f t="shared" si="0"/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873"/>
      <c r="B32" s="531"/>
      <c r="C32" s="531"/>
      <c r="D32" s="531"/>
      <c r="E32" s="544">
        <f t="shared" si="0"/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873"/>
      <c r="B33" s="531"/>
      <c r="C33" s="531"/>
      <c r="D33" s="531"/>
      <c r="E33" s="544">
        <f t="shared" si="0"/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x14ac:dyDescent="0.2">
      <c r="A34" s="873"/>
      <c r="B34" s="531"/>
      <c r="C34" s="531"/>
      <c r="D34" s="531"/>
      <c r="E34" s="544">
        <f t="shared" si="0"/>
        <v>0</v>
      </c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x14ac:dyDescent="0.2">
      <c r="A35" s="873"/>
      <c r="B35" s="531"/>
      <c r="C35" s="531"/>
      <c r="D35" s="531"/>
      <c r="E35" s="544">
        <f t="shared" si="0"/>
        <v>0</v>
      </c>
      <c r="F35" s="253"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</row>
    <row r="36" spans="1:17" ht="13.5" thickBot="1" x14ac:dyDescent="0.25">
      <c r="A36" s="874"/>
      <c r="B36" s="531"/>
      <c r="C36" s="531"/>
      <c r="D36" s="531"/>
      <c r="E36" s="544">
        <f t="shared" si="0"/>
        <v>0</v>
      </c>
      <c r="F36" s="253"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</row>
    <row r="37" spans="1:17" ht="13.5" thickBot="1" x14ac:dyDescent="0.25">
      <c r="A37" s="870">
        <v>1528050000</v>
      </c>
      <c r="B37" s="173"/>
      <c r="C37" s="255"/>
      <c r="D37" s="174"/>
      <c r="E37" s="195">
        <f>SUM(E7:E36)</f>
        <v>7000000</v>
      </c>
      <c r="F37" s="278">
        <f>SUM(F8:F36)</f>
        <v>0</v>
      </c>
      <c r="G37" s="278">
        <f>SUM(G8:G36)</f>
        <v>0</v>
      </c>
      <c r="H37" s="278">
        <f t="shared" ref="H37:Q37" si="1">SUM(H7:H36)</f>
        <v>0</v>
      </c>
      <c r="I37" s="278">
        <f t="shared" si="1"/>
        <v>0</v>
      </c>
      <c r="J37" s="278">
        <f t="shared" si="1"/>
        <v>0</v>
      </c>
      <c r="K37" s="278">
        <f t="shared" si="1"/>
        <v>0</v>
      </c>
      <c r="L37" s="278">
        <f t="shared" si="1"/>
        <v>0</v>
      </c>
      <c r="M37" s="278">
        <f t="shared" si="1"/>
        <v>0</v>
      </c>
      <c r="N37" s="278">
        <f t="shared" si="1"/>
        <v>0</v>
      </c>
      <c r="O37" s="278">
        <f t="shared" si="1"/>
        <v>0</v>
      </c>
      <c r="P37" s="278">
        <f t="shared" si="1"/>
        <v>0</v>
      </c>
      <c r="Q37" s="278">
        <f t="shared" si="1"/>
        <v>0</v>
      </c>
    </row>
    <row r="39" spans="1:17" x14ac:dyDescent="0.2">
      <c r="A39" s="251" t="s">
        <v>476</v>
      </c>
      <c r="B39" s="252"/>
      <c r="C39" s="252"/>
      <c r="D39" s="252"/>
      <c r="E39" s="252"/>
      <c r="F39" s="237"/>
    </row>
    <row r="65535" spans="6:6" x14ac:dyDescent="0.2">
      <c r="F65535" s="6">
        <v>0</v>
      </c>
    </row>
  </sheetData>
  <mergeCells count="21">
    <mergeCell ref="I5:I6"/>
    <mergeCell ref="K5:K6"/>
    <mergeCell ref="Q5:Q6"/>
    <mergeCell ref="F4:Q4"/>
    <mergeCell ref="F5:F6"/>
    <mergeCell ref="G5:G6"/>
    <mergeCell ref="H5:H6"/>
    <mergeCell ref="L5:L6"/>
    <mergeCell ref="M5:M6"/>
    <mergeCell ref="O5:O6"/>
    <mergeCell ref="P5:P6"/>
    <mergeCell ref="J5:J6"/>
    <mergeCell ref="N5:N6"/>
    <mergeCell ref="A2:G2"/>
    <mergeCell ref="A4:E4"/>
    <mergeCell ref="B5:B6"/>
    <mergeCell ref="E5:E6"/>
    <mergeCell ref="A5:A6"/>
    <mergeCell ref="A3:E3"/>
    <mergeCell ref="C5:C6"/>
    <mergeCell ref="D5:D6"/>
  </mergeCells>
  <phoneticPr fontId="27" type="noConversion"/>
  <pageMargins left="0.17" right="0.16" top="1" bottom="1" header="0" footer="0"/>
  <pageSetup paperSize="9" scale="7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4"/>
  <sheetViews>
    <sheetView workbookViewId="0">
      <selection activeCell="D14" sqref="D14"/>
    </sheetView>
  </sheetViews>
  <sheetFormatPr baseColWidth="10" defaultRowHeight="12.75" x14ac:dyDescent="0.2"/>
  <cols>
    <col min="1" max="1" width="12.140625" style="5" customWidth="1"/>
    <col min="2" max="2" width="31" style="5" customWidth="1"/>
    <col min="3" max="3" width="21.85546875" style="5" customWidth="1"/>
    <col min="4" max="4" width="26.28515625" style="5" customWidth="1"/>
    <col min="5" max="5" width="12.85546875" style="194" customWidth="1"/>
    <col min="6" max="6" width="12.5703125" style="5" customWidth="1"/>
    <col min="7" max="17" width="11.85546875" style="5" customWidth="1"/>
    <col min="18" max="16384" width="11.42578125" style="5"/>
  </cols>
  <sheetData>
    <row r="2" spans="1:17" ht="18" x14ac:dyDescent="0.25">
      <c r="A2" s="1196" t="s">
        <v>236</v>
      </c>
      <c r="B2" s="1196"/>
      <c r="C2" s="1196"/>
      <c r="D2" s="1196"/>
      <c r="E2" s="1196"/>
    </row>
    <row r="3" spans="1:17" ht="18" x14ac:dyDescent="0.25">
      <c r="A3" s="1195" t="str">
        <f>+PRESUPUESTO!B2</f>
        <v>ADMINISTRACION DE EMPRESAS</v>
      </c>
      <c r="B3" s="1195"/>
      <c r="C3" s="1195"/>
      <c r="D3" s="1195"/>
      <c r="E3" s="1195"/>
    </row>
    <row r="4" spans="1:17" ht="18.75" thickBot="1" x14ac:dyDescent="0.3">
      <c r="A4" s="1197">
        <v>2018</v>
      </c>
      <c r="B4" s="1197"/>
      <c r="C4" s="1197"/>
      <c r="D4" s="1197"/>
      <c r="E4" s="1197"/>
      <c r="F4" s="1231" t="s">
        <v>492</v>
      </c>
      <c r="G4" s="1231"/>
      <c r="H4" s="1231"/>
      <c r="I4" s="1231"/>
      <c r="J4" s="1231"/>
      <c r="K4" s="1231"/>
      <c r="L4" s="1231"/>
      <c r="M4" s="1231"/>
      <c r="N4" s="1231"/>
      <c r="O4" s="1231"/>
      <c r="P4" s="1231"/>
      <c r="Q4" s="1231"/>
    </row>
    <row r="5" spans="1:17" ht="12.75" customHeight="1" x14ac:dyDescent="0.2">
      <c r="A5" s="1214" t="s">
        <v>418</v>
      </c>
      <c r="B5" s="1247" t="s">
        <v>479</v>
      </c>
      <c r="C5" s="1247" t="s">
        <v>478</v>
      </c>
      <c r="D5" s="1249" t="s">
        <v>255</v>
      </c>
      <c r="E5" s="1219" t="s">
        <v>475</v>
      </c>
      <c r="F5" s="1229" t="s">
        <v>484</v>
      </c>
      <c r="G5" s="1229" t="s">
        <v>485</v>
      </c>
      <c r="H5" s="1229" t="s">
        <v>486</v>
      </c>
      <c r="I5" s="1229" t="s">
        <v>487</v>
      </c>
      <c r="J5" s="1229" t="s">
        <v>488</v>
      </c>
      <c r="K5" s="1229" t="s">
        <v>489</v>
      </c>
      <c r="L5" s="1229" t="s">
        <v>490</v>
      </c>
      <c r="M5" s="1229" t="s">
        <v>491</v>
      </c>
      <c r="N5" s="1229" t="s">
        <v>251</v>
      </c>
      <c r="O5" s="1229" t="s">
        <v>252</v>
      </c>
      <c r="P5" s="1229" t="s">
        <v>253</v>
      </c>
      <c r="Q5" s="1229" t="s">
        <v>254</v>
      </c>
    </row>
    <row r="6" spans="1:17" ht="13.5" thickBot="1" x14ac:dyDescent="0.25">
      <c r="A6" s="1246"/>
      <c r="B6" s="1248"/>
      <c r="C6" s="1248"/>
      <c r="D6" s="1248"/>
      <c r="E6" s="122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</row>
    <row r="7" spans="1:17" ht="42" x14ac:dyDescent="0.2">
      <c r="A7" s="865"/>
      <c r="B7" s="545" t="s">
        <v>1065</v>
      </c>
      <c r="C7" s="545" t="s">
        <v>1066</v>
      </c>
      <c r="D7" s="545" t="s">
        <v>1067</v>
      </c>
      <c r="E7" s="739">
        <v>5000000</v>
      </c>
      <c r="F7" s="301">
        <v>0</v>
      </c>
      <c r="G7" s="301">
        <v>5000000</v>
      </c>
      <c r="H7" s="254">
        <v>0</v>
      </c>
      <c r="I7" s="254">
        <v>0</v>
      </c>
      <c r="J7" s="254">
        <v>0</v>
      </c>
      <c r="K7" s="254">
        <v>0</v>
      </c>
      <c r="L7" s="254">
        <v>0</v>
      </c>
      <c r="M7" s="254">
        <v>0</v>
      </c>
      <c r="N7" s="254">
        <v>0</v>
      </c>
      <c r="O7" s="254">
        <v>0</v>
      </c>
      <c r="P7" s="254">
        <v>0</v>
      </c>
      <c r="Q7" s="254">
        <v>0</v>
      </c>
    </row>
    <row r="8" spans="1:17" x14ac:dyDescent="0.2">
      <c r="A8" s="866"/>
      <c r="B8" s="531"/>
      <c r="C8" s="531"/>
      <c r="D8" s="531" t="s">
        <v>169</v>
      </c>
      <c r="E8" s="544">
        <f t="shared" ref="E8:E36" si="0">SUM(F8:Q8)</f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</row>
    <row r="9" spans="1:17" x14ac:dyDescent="0.2">
      <c r="A9" s="866"/>
      <c r="B9" s="531"/>
      <c r="C9" s="531"/>
      <c r="D9" s="531"/>
      <c r="E9" s="544">
        <f t="shared" si="0"/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66"/>
      <c r="B10" s="531"/>
      <c r="C10" s="531"/>
      <c r="D10" s="531"/>
      <c r="E10" s="544">
        <f t="shared" si="0"/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66"/>
      <c r="B11" s="531"/>
      <c r="C11" s="531"/>
      <c r="D11" s="531"/>
      <c r="E11" s="544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66"/>
      <c r="B12" s="531"/>
      <c r="C12" s="531"/>
      <c r="D12" s="531"/>
      <c r="E12" s="544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66"/>
      <c r="B13" s="531"/>
      <c r="C13" s="531"/>
      <c r="D13" s="531"/>
      <c r="E13" s="544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66"/>
      <c r="B14" s="531"/>
      <c r="C14" s="531"/>
      <c r="D14" s="531"/>
      <c r="E14" s="544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66"/>
      <c r="B15" s="531"/>
      <c r="C15" s="531"/>
      <c r="D15" s="531"/>
      <c r="E15" s="544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66"/>
      <c r="B16" s="531"/>
      <c r="C16" s="531"/>
      <c r="D16" s="531"/>
      <c r="E16" s="544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66"/>
      <c r="B17" s="531"/>
      <c r="C17" s="531"/>
      <c r="D17" s="531"/>
      <c r="E17" s="544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66"/>
      <c r="B18" s="531"/>
      <c r="C18" s="531"/>
      <c r="D18" s="531"/>
      <c r="E18" s="544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66"/>
      <c r="B19" s="531"/>
      <c r="C19" s="531"/>
      <c r="D19" s="531"/>
      <c r="E19" s="544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66"/>
      <c r="B20" s="531"/>
      <c r="C20" s="531"/>
      <c r="D20" s="531"/>
      <c r="E20" s="544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66"/>
      <c r="B21" s="531"/>
      <c r="C21" s="531"/>
      <c r="D21" s="531"/>
      <c r="E21" s="544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66"/>
      <c r="B22" s="531"/>
      <c r="C22" s="531"/>
      <c r="D22" s="531"/>
      <c r="E22" s="544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66"/>
      <c r="B23" s="531"/>
      <c r="C23" s="531"/>
      <c r="D23" s="531"/>
      <c r="E23" s="544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66"/>
      <c r="B24" s="531"/>
      <c r="C24" s="531"/>
      <c r="D24" s="531"/>
      <c r="E24" s="544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66"/>
      <c r="B25" s="531"/>
      <c r="C25" s="531"/>
      <c r="D25" s="531"/>
      <c r="E25" s="544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66"/>
      <c r="B26" s="531"/>
      <c r="C26" s="531"/>
      <c r="D26" s="531"/>
      <c r="E26" s="544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66"/>
      <c r="B27" s="531"/>
      <c r="C27" s="531"/>
      <c r="D27" s="531"/>
      <c r="E27" s="544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866"/>
      <c r="B28" s="531"/>
      <c r="C28" s="531"/>
      <c r="D28" s="531"/>
      <c r="E28" s="544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866"/>
      <c r="B29" s="531"/>
      <c r="C29" s="531"/>
      <c r="D29" s="531"/>
      <c r="E29" s="544">
        <f t="shared" si="0"/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866"/>
      <c r="B30" s="531"/>
      <c r="C30" s="531"/>
      <c r="D30" s="531"/>
      <c r="E30" s="544">
        <f t="shared" si="0"/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866"/>
      <c r="B31" s="531"/>
      <c r="C31" s="531"/>
      <c r="D31" s="531"/>
      <c r="E31" s="544">
        <f t="shared" si="0"/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866"/>
      <c r="B32" s="531"/>
      <c r="C32" s="531"/>
      <c r="D32" s="531"/>
      <c r="E32" s="544">
        <f t="shared" si="0"/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866"/>
      <c r="B33" s="531"/>
      <c r="C33" s="531"/>
      <c r="D33" s="531"/>
      <c r="E33" s="544">
        <f t="shared" si="0"/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x14ac:dyDescent="0.2">
      <c r="A34" s="866"/>
      <c r="B34" s="531"/>
      <c r="C34" s="531"/>
      <c r="D34" s="531"/>
      <c r="E34" s="544">
        <f t="shared" si="0"/>
        <v>0</v>
      </c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x14ac:dyDescent="0.2">
      <c r="A35" s="866"/>
      <c r="B35" s="531"/>
      <c r="C35" s="531"/>
      <c r="D35" s="531"/>
      <c r="E35" s="544">
        <f t="shared" si="0"/>
        <v>0</v>
      </c>
      <c r="F35" s="253">
        <v>0</v>
      </c>
      <c r="G35" s="253">
        <v>0</v>
      </c>
      <c r="H35" s="253">
        <v>0</v>
      </c>
      <c r="I35" s="253">
        <v>0</v>
      </c>
      <c r="J35" s="253">
        <v>0</v>
      </c>
      <c r="K35" s="253">
        <v>0</v>
      </c>
      <c r="L35" s="253">
        <v>0</v>
      </c>
      <c r="M35" s="253">
        <v>0</v>
      </c>
      <c r="N35" s="253">
        <v>0</v>
      </c>
      <c r="O35" s="253">
        <v>0</v>
      </c>
      <c r="P35" s="253">
        <v>0</v>
      </c>
      <c r="Q35" s="253">
        <v>0</v>
      </c>
    </row>
    <row r="36" spans="1:17" ht="13.5" thickBot="1" x14ac:dyDescent="0.25">
      <c r="A36" s="867"/>
      <c r="B36" s="531"/>
      <c r="C36" s="531"/>
      <c r="D36" s="531"/>
      <c r="E36" s="544">
        <f t="shared" si="0"/>
        <v>0</v>
      </c>
      <c r="F36" s="253">
        <v>0</v>
      </c>
      <c r="G36" s="253">
        <v>0</v>
      </c>
      <c r="H36" s="253">
        <v>0</v>
      </c>
      <c r="I36" s="253">
        <v>0</v>
      </c>
      <c r="J36" s="253">
        <v>0</v>
      </c>
      <c r="K36" s="253">
        <v>0</v>
      </c>
      <c r="L36" s="253">
        <v>0</v>
      </c>
      <c r="M36" s="253">
        <v>0</v>
      </c>
      <c r="N36" s="253">
        <v>0</v>
      </c>
      <c r="O36" s="253">
        <v>0</v>
      </c>
      <c r="P36" s="253">
        <v>0</v>
      </c>
      <c r="Q36" s="253">
        <v>0</v>
      </c>
    </row>
    <row r="37" spans="1:17" ht="13.5" thickBot="1" x14ac:dyDescent="0.25">
      <c r="A37" s="870">
        <v>1532050000</v>
      </c>
      <c r="B37" s="173"/>
      <c r="C37" s="255"/>
      <c r="D37" s="174"/>
      <c r="E37" s="195">
        <f>SUM(E7:E36)</f>
        <v>5000000</v>
      </c>
      <c r="F37" s="278">
        <f>SUM(F7:F36)</f>
        <v>0</v>
      </c>
      <c r="G37" s="278">
        <f>SUM(G7:G36)</f>
        <v>5000000</v>
      </c>
      <c r="H37" s="278">
        <f t="shared" ref="H37:Q37" si="1">SUM(H7:H36)</f>
        <v>0</v>
      </c>
      <c r="I37" s="278">
        <f t="shared" si="1"/>
        <v>0</v>
      </c>
      <c r="J37" s="278">
        <f t="shared" si="1"/>
        <v>0</v>
      </c>
      <c r="K37" s="278">
        <f t="shared" si="1"/>
        <v>0</v>
      </c>
      <c r="L37" s="278">
        <f t="shared" si="1"/>
        <v>0</v>
      </c>
      <c r="M37" s="278">
        <f t="shared" si="1"/>
        <v>0</v>
      </c>
      <c r="N37" s="278">
        <f t="shared" si="1"/>
        <v>0</v>
      </c>
      <c r="O37" s="278">
        <f t="shared" si="1"/>
        <v>0</v>
      </c>
      <c r="P37" s="278">
        <f t="shared" si="1"/>
        <v>0</v>
      </c>
      <c r="Q37" s="278">
        <f t="shared" si="1"/>
        <v>0</v>
      </c>
    </row>
    <row r="39" spans="1:17" x14ac:dyDescent="0.2">
      <c r="A39" s="251" t="s">
        <v>476</v>
      </c>
      <c r="B39" s="252"/>
      <c r="C39" s="252"/>
      <c r="D39" s="252"/>
    </row>
    <row r="65534" spans="6:6" x14ac:dyDescent="0.2">
      <c r="F65534" s="6">
        <v>0</v>
      </c>
    </row>
  </sheetData>
  <mergeCells count="21">
    <mergeCell ref="A2:E2"/>
    <mergeCell ref="A4:E4"/>
    <mergeCell ref="D5:D6"/>
    <mergeCell ref="A5:A6"/>
    <mergeCell ref="C5:C6"/>
    <mergeCell ref="A3:E3"/>
    <mergeCell ref="B5:B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6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31"/>
  <sheetViews>
    <sheetView workbookViewId="0">
      <selection activeCell="B29" sqref="B29"/>
    </sheetView>
  </sheetViews>
  <sheetFormatPr baseColWidth="10" defaultRowHeight="12.75" x14ac:dyDescent="0.2"/>
  <cols>
    <col min="1" max="1" width="12.140625" style="5" customWidth="1"/>
    <col min="2" max="2" width="32.42578125" style="5" customWidth="1"/>
    <col min="3" max="3" width="19.7109375" style="5" customWidth="1"/>
    <col min="4" max="4" width="26.28515625" style="5" customWidth="1"/>
    <col min="5" max="5" width="13.140625" style="194" customWidth="1"/>
    <col min="6" max="17" width="10.7109375" style="5" customWidth="1"/>
    <col min="18" max="16384" width="11.42578125" style="5"/>
  </cols>
  <sheetData>
    <row r="2" spans="1:17" ht="18" x14ac:dyDescent="0.25">
      <c r="A2" s="1196" t="s">
        <v>480</v>
      </c>
      <c r="B2" s="1196"/>
      <c r="C2" s="1196"/>
      <c r="D2" s="1196"/>
      <c r="E2" s="1196"/>
    </row>
    <row r="3" spans="1:17" ht="18" x14ac:dyDescent="0.25">
      <c r="A3" s="1195" t="str">
        <f>+PRESUPUESTO!B2</f>
        <v>ADMINISTRACION DE EMPRESAS</v>
      </c>
      <c r="B3" s="1195"/>
      <c r="C3" s="1195"/>
      <c r="D3" s="1195"/>
      <c r="E3" s="1195"/>
    </row>
    <row r="4" spans="1:17" ht="18.75" thickBot="1" x14ac:dyDescent="0.3">
      <c r="A4" s="1197">
        <v>2018</v>
      </c>
      <c r="B4" s="1197"/>
      <c r="C4" s="1197"/>
      <c r="D4" s="1197"/>
      <c r="E4" s="1197"/>
      <c r="F4" s="1231" t="s">
        <v>492</v>
      </c>
      <c r="G4" s="1231"/>
      <c r="H4" s="1231"/>
      <c r="I4" s="1231"/>
      <c r="J4" s="1231"/>
      <c r="K4" s="1231"/>
      <c r="L4" s="1231"/>
      <c r="M4" s="1231"/>
      <c r="N4" s="1231"/>
      <c r="O4" s="1231"/>
      <c r="P4" s="1231"/>
      <c r="Q4" s="1231"/>
    </row>
    <row r="5" spans="1:17" ht="12.75" customHeight="1" x14ac:dyDescent="0.2">
      <c r="A5" s="1214" t="s">
        <v>418</v>
      </c>
      <c r="B5" s="1247" t="s">
        <v>479</v>
      </c>
      <c r="C5" s="1247" t="s">
        <v>478</v>
      </c>
      <c r="D5" s="1249" t="s">
        <v>255</v>
      </c>
      <c r="E5" s="1219" t="s">
        <v>475</v>
      </c>
      <c r="F5" s="1229" t="s">
        <v>484</v>
      </c>
      <c r="G5" s="1229" t="s">
        <v>485</v>
      </c>
      <c r="H5" s="1229" t="s">
        <v>486</v>
      </c>
      <c r="I5" s="1229" t="s">
        <v>487</v>
      </c>
      <c r="J5" s="1229" t="s">
        <v>488</v>
      </c>
      <c r="K5" s="1229" t="s">
        <v>489</v>
      </c>
      <c r="L5" s="1229" t="s">
        <v>490</v>
      </c>
      <c r="M5" s="1229" t="s">
        <v>491</v>
      </c>
      <c r="N5" s="1229" t="s">
        <v>251</v>
      </c>
      <c r="O5" s="1229" t="s">
        <v>252</v>
      </c>
      <c r="P5" s="1229" t="s">
        <v>253</v>
      </c>
      <c r="Q5" s="1229" t="s">
        <v>254</v>
      </c>
    </row>
    <row r="6" spans="1:17" ht="13.5" thickBot="1" x14ac:dyDescent="0.25">
      <c r="A6" s="1246"/>
      <c r="B6" s="1248"/>
      <c r="C6" s="1248"/>
      <c r="D6" s="1248"/>
      <c r="E6" s="122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</row>
    <row r="7" spans="1:17" s="299" customFormat="1" ht="12.75" customHeight="1" x14ac:dyDescent="0.2">
      <c r="A7" s="871"/>
      <c r="B7" s="543" t="s">
        <v>169</v>
      </c>
      <c r="C7" s="543" t="s">
        <v>169</v>
      </c>
      <c r="D7" s="532" t="s">
        <v>169</v>
      </c>
      <c r="E7" s="739">
        <f>SUM(F7:Q7)</f>
        <v>0</v>
      </c>
      <c r="F7" s="298">
        <v>0</v>
      </c>
      <c r="G7" s="298">
        <v>0</v>
      </c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  <c r="N7" s="298">
        <v>0</v>
      </c>
      <c r="O7" s="298">
        <v>0</v>
      </c>
      <c r="P7" s="298">
        <v>0</v>
      </c>
      <c r="Q7" s="298">
        <v>0</v>
      </c>
    </row>
    <row r="8" spans="1:17" x14ac:dyDescent="0.2">
      <c r="A8" s="866"/>
      <c r="B8" s="531"/>
      <c r="C8" s="531"/>
      <c r="D8" s="531"/>
      <c r="E8" s="544">
        <f t="shared" ref="E8:E34" si="0">SUM(F8:Q8)</f>
        <v>0</v>
      </c>
      <c r="F8" s="253">
        <v>0</v>
      </c>
      <c r="G8" s="253">
        <v>0</v>
      </c>
      <c r="H8" s="253">
        <v>0</v>
      </c>
      <c r="I8" s="253">
        <v>0</v>
      </c>
      <c r="J8" s="253">
        <v>0</v>
      </c>
      <c r="K8" s="253">
        <v>0</v>
      </c>
      <c r="L8" s="253">
        <v>0</v>
      </c>
      <c r="M8" s="253">
        <v>0</v>
      </c>
      <c r="N8" s="253">
        <v>0</v>
      </c>
      <c r="O8" s="253">
        <v>0</v>
      </c>
      <c r="P8" s="253">
        <v>0</v>
      </c>
      <c r="Q8" s="253">
        <v>0</v>
      </c>
    </row>
    <row r="9" spans="1:17" x14ac:dyDescent="0.2">
      <c r="A9" s="866"/>
      <c r="B9" s="531"/>
      <c r="C9" s="531"/>
      <c r="D9" s="531"/>
      <c r="E9" s="544">
        <f t="shared" si="0"/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66"/>
      <c r="B10" s="531"/>
      <c r="C10" s="531"/>
      <c r="D10" s="531"/>
      <c r="E10" s="544">
        <f t="shared" si="0"/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66"/>
      <c r="B11" s="531"/>
      <c r="C11" s="531"/>
      <c r="D11" s="531"/>
      <c r="E11" s="544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66"/>
      <c r="B12" s="531"/>
      <c r="C12" s="531"/>
      <c r="D12" s="531"/>
      <c r="E12" s="544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66"/>
      <c r="B13" s="531"/>
      <c r="C13" s="531"/>
      <c r="D13" s="531"/>
      <c r="E13" s="544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66"/>
      <c r="B14" s="531"/>
      <c r="C14" s="531"/>
      <c r="D14" s="531"/>
      <c r="E14" s="544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66"/>
      <c r="B15" s="531"/>
      <c r="C15" s="531"/>
      <c r="D15" s="531"/>
      <c r="E15" s="544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66"/>
      <c r="B16" s="531"/>
      <c r="C16" s="531"/>
      <c r="D16" s="531"/>
      <c r="E16" s="544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66"/>
      <c r="B17" s="531"/>
      <c r="C17" s="531"/>
      <c r="D17" s="531"/>
      <c r="E17" s="544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66"/>
      <c r="B18" s="531"/>
      <c r="C18" s="531"/>
      <c r="D18" s="531"/>
      <c r="E18" s="544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66"/>
      <c r="B19" s="531"/>
      <c r="C19" s="531"/>
      <c r="D19" s="531"/>
      <c r="E19" s="544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66"/>
      <c r="B20" s="531"/>
      <c r="C20" s="531"/>
      <c r="D20" s="531"/>
      <c r="E20" s="544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66"/>
      <c r="B21" s="531"/>
      <c r="C21" s="531"/>
      <c r="D21" s="531"/>
      <c r="E21" s="544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66"/>
      <c r="B22" s="531"/>
      <c r="C22" s="531"/>
      <c r="D22" s="531"/>
      <c r="E22" s="544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66"/>
      <c r="B23" s="531"/>
      <c r="C23" s="531"/>
      <c r="D23" s="531"/>
      <c r="E23" s="544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66"/>
      <c r="B24" s="531"/>
      <c r="C24" s="531"/>
      <c r="D24" s="531"/>
      <c r="E24" s="544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66"/>
      <c r="B25" s="531"/>
      <c r="C25" s="531"/>
      <c r="D25" s="531"/>
      <c r="E25" s="544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66"/>
      <c r="B26" s="531"/>
      <c r="C26" s="531"/>
      <c r="D26" s="531"/>
      <c r="E26" s="544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66"/>
      <c r="B27" s="531"/>
      <c r="C27" s="531"/>
      <c r="D27" s="531"/>
      <c r="E27" s="544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x14ac:dyDescent="0.2">
      <c r="A28" s="866"/>
      <c r="B28" s="531"/>
      <c r="C28" s="531"/>
      <c r="D28" s="531"/>
      <c r="E28" s="544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x14ac:dyDescent="0.2">
      <c r="A29" s="866"/>
      <c r="B29" s="531"/>
      <c r="C29" s="531"/>
      <c r="D29" s="531"/>
      <c r="E29" s="544">
        <f t="shared" si="0"/>
        <v>0</v>
      </c>
      <c r="F29" s="253">
        <v>0</v>
      </c>
      <c r="G29" s="253">
        <v>0</v>
      </c>
      <c r="H29" s="253">
        <v>0</v>
      </c>
      <c r="I29" s="253">
        <v>0</v>
      </c>
      <c r="J29" s="253">
        <v>0</v>
      </c>
      <c r="K29" s="253">
        <v>0</v>
      </c>
      <c r="L29" s="253">
        <v>0</v>
      </c>
      <c r="M29" s="253">
        <v>0</v>
      </c>
      <c r="N29" s="253">
        <v>0</v>
      </c>
      <c r="O29" s="253">
        <v>0</v>
      </c>
      <c r="P29" s="253">
        <v>0</v>
      </c>
      <c r="Q29" s="253">
        <v>0</v>
      </c>
    </row>
    <row r="30" spans="1:17" x14ac:dyDescent="0.2">
      <c r="A30" s="866"/>
      <c r="B30" s="531"/>
      <c r="C30" s="531"/>
      <c r="D30" s="531"/>
      <c r="E30" s="544">
        <f t="shared" si="0"/>
        <v>0</v>
      </c>
      <c r="F30" s="253">
        <v>0</v>
      </c>
      <c r="G30" s="253">
        <v>0</v>
      </c>
      <c r="H30" s="253">
        <v>0</v>
      </c>
      <c r="I30" s="253">
        <v>0</v>
      </c>
      <c r="J30" s="253">
        <v>0</v>
      </c>
      <c r="K30" s="253">
        <v>0</v>
      </c>
      <c r="L30" s="253">
        <v>0</v>
      </c>
      <c r="M30" s="253">
        <v>0</v>
      </c>
      <c r="N30" s="253">
        <v>0</v>
      </c>
      <c r="O30" s="253">
        <v>0</v>
      </c>
      <c r="P30" s="253">
        <v>0</v>
      </c>
      <c r="Q30" s="253">
        <v>0</v>
      </c>
    </row>
    <row r="31" spans="1:17" x14ac:dyDescent="0.2">
      <c r="A31" s="866"/>
      <c r="B31" s="531"/>
      <c r="C31" s="531"/>
      <c r="D31" s="531"/>
      <c r="E31" s="544">
        <f t="shared" si="0"/>
        <v>0</v>
      </c>
      <c r="F31" s="253">
        <v>0</v>
      </c>
      <c r="G31" s="253">
        <v>0</v>
      </c>
      <c r="H31" s="253">
        <v>0</v>
      </c>
      <c r="I31" s="253">
        <v>0</v>
      </c>
      <c r="J31" s="253">
        <v>0</v>
      </c>
      <c r="K31" s="253">
        <v>0</v>
      </c>
      <c r="L31" s="253">
        <v>0</v>
      </c>
      <c r="M31" s="253">
        <v>0</v>
      </c>
      <c r="N31" s="253">
        <v>0</v>
      </c>
      <c r="O31" s="253">
        <v>0</v>
      </c>
      <c r="P31" s="253">
        <v>0</v>
      </c>
      <c r="Q31" s="253">
        <v>0</v>
      </c>
    </row>
    <row r="32" spans="1:17" x14ac:dyDescent="0.2">
      <c r="A32" s="866"/>
      <c r="B32" s="531"/>
      <c r="C32" s="531"/>
      <c r="D32" s="531"/>
      <c r="E32" s="544">
        <f t="shared" si="0"/>
        <v>0</v>
      </c>
      <c r="F32" s="253">
        <v>0</v>
      </c>
      <c r="G32" s="253">
        <v>0</v>
      </c>
      <c r="H32" s="253">
        <v>0</v>
      </c>
      <c r="I32" s="253">
        <v>0</v>
      </c>
      <c r="J32" s="253">
        <v>0</v>
      </c>
      <c r="K32" s="253">
        <v>0</v>
      </c>
      <c r="L32" s="253">
        <v>0</v>
      </c>
      <c r="M32" s="253">
        <v>0</v>
      </c>
      <c r="N32" s="253">
        <v>0</v>
      </c>
      <c r="O32" s="253">
        <v>0</v>
      </c>
      <c r="P32" s="253">
        <v>0</v>
      </c>
      <c r="Q32" s="253">
        <v>0</v>
      </c>
    </row>
    <row r="33" spans="1:17" x14ac:dyDescent="0.2">
      <c r="A33" s="866"/>
      <c r="B33" s="531"/>
      <c r="C33" s="531"/>
      <c r="D33" s="531"/>
      <c r="E33" s="544">
        <f t="shared" si="0"/>
        <v>0</v>
      </c>
      <c r="F33" s="253">
        <v>0</v>
      </c>
      <c r="G33" s="253">
        <v>0</v>
      </c>
      <c r="H33" s="253">
        <v>0</v>
      </c>
      <c r="I33" s="253">
        <v>0</v>
      </c>
      <c r="J33" s="253">
        <v>0</v>
      </c>
      <c r="K33" s="253">
        <v>0</v>
      </c>
      <c r="L33" s="253">
        <v>0</v>
      </c>
      <c r="M33" s="253">
        <v>0</v>
      </c>
      <c r="N33" s="253">
        <v>0</v>
      </c>
      <c r="O33" s="253">
        <v>0</v>
      </c>
      <c r="P33" s="253">
        <v>0</v>
      </c>
      <c r="Q33" s="253">
        <v>0</v>
      </c>
    </row>
    <row r="34" spans="1:17" ht="13.5" thickBot="1" x14ac:dyDescent="0.25">
      <c r="A34" s="867"/>
      <c r="B34" s="531"/>
      <c r="C34" s="531"/>
      <c r="D34" s="531"/>
      <c r="E34" s="544">
        <f t="shared" si="0"/>
        <v>0</v>
      </c>
      <c r="F34" s="253">
        <v>0</v>
      </c>
      <c r="G34" s="253">
        <v>0</v>
      </c>
      <c r="H34" s="253">
        <v>0</v>
      </c>
      <c r="I34" s="253">
        <v>0</v>
      </c>
      <c r="J34" s="253">
        <v>0</v>
      </c>
      <c r="K34" s="253">
        <v>0</v>
      </c>
      <c r="L34" s="253">
        <v>0</v>
      </c>
      <c r="M34" s="253">
        <v>0</v>
      </c>
      <c r="N34" s="253">
        <v>0</v>
      </c>
      <c r="O34" s="253">
        <v>0</v>
      </c>
      <c r="P34" s="253">
        <v>0</v>
      </c>
      <c r="Q34" s="253">
        <v>0</v>
      </c>
    </row>
    <row r="35" spans="1:17" ht="13.5" thickBot="1" x14ac:dyDescent="0.25">
      <c r="A35" s="870">
        <v>1524050000</v>
      </c>
      <c r="B35" s="173"/>
      <c r="C35" s="255"/>
      <c r="D35" s="174"/>
      <c r="E35" s="195">
        <f>SUM(E7:E34)</f>
        <v>0</v>
      </c>
      <c r="F35" s="278">
        <f t="shared" ref="F35:Q35" si="1">SUM(F7:F34)</f>
        <v>0</v>
      </c>
      <c r="G35" s="278">
        <f t="shared" si="1"/>
        <v>0</v>
      </c>
      <c r="H35" s="278">
        <f t="shared" si="1"/>
        <v>0</v>
      </c>
      <c r="I35" s="278">
        <f t="shared" si="1"/>
        <v>0</v>
      </c>
      <c r="J35" s="278">
        <f t="shared" si="1"/>
        <v>0</v>
      </c>
      <c r="K35" s="278">
        <f t="shared" si="1"/>
        <v>0</v>
      </c>
      <c r="L35" s="278">
        <f t="shared" si="1"/>
        <v>0</v>
      </c>
      <c r="M35" s="278">
        <f t="shared" si="1"/>
        <v>0</v>
      </c>
      <c r="N35" s="278">
        <f t="shared" si="1"/>
        <v>0</v>
      </c>
      <c r="O35" s="278">
        <f t="shared" si="1"/>
        <v>0</v>
      </c>
      <c r="P35" s="278">
        <f t="shared" si="1"/>
        <v>0</v>
      </c>
      <c r="Q35" s="278">
        <f t="shared" si="1"/>
        <v>0</v>
      </c>
    </row>
    <row r="37" spans="1:17" x14ac:dyDescent="0.2">
      <c r="A37" s="251" t="s">
        <v>476</v>
      </c>
      <c r="B37" s="252"/>
      <c r="C37" s="252"/>
      <c r="D37" s="252"/>
    </row>
    <row r="65531" spans="6:6" x14ac:dyDescent="0.2">
      <c r="F65531" s="6">
        <v>0</v>
      </c>
    </row>
  </sheetData>
  <mergeCells count="21">
    <mergeCell ref="A2:E2"/>
    <mergeCell ref="A4:E4"/>
    <mergeCell ref="D5:D6"/>
    <mergeCell ref="A5:A6"/>
    <mergeCell ref="B5:B6"/>
    <mergeCell ref="A3:E3"/>
    <mergeCell ref="C5:C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7" top="1" bottom="1" header="0" footer="0"/>
  <pageSetup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A7:A34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Q65523"/>
  <sheetViews>
    <sheetView zoomScaleNormal="100" workbookViewId="0">
      <selection activeCell="A13" sqref="A13"/>
    </sheetView>
  </sheetViews>
  <sheetFormatPr baseColWidth="10" defaultRowHeight="12.75" x14ac:dyDescent="0.2"/>
  <cols>
    <col min="1" max="1" width="11.42578125" style="5" customWidth="1"/>
    <col min="2" max="2" width="29.7109375" style="5" customWidth="1"/>
    <col min="3" max="3" width="18.7109375" style="5" customWidth="1"/>
    <col min="4" max="4" width="23.28515625" style="5" customWidth="1"/>
    <col min="5" max="5" width="13.85546875" style="194" customWidth="1"/>
    <col min="6" max="17" width="11.85546875" style="5" customWidth="1"/>
    <col min="18" max="16384" width="11.42578125" style="5"/>
  </cols>
  <sheetData>
    <row r="2" spans="1:17" ht="18" x14ac:dyDescent="0.25">
      <c r="A2" s="1196" t="s">
        <v>237</v>
      </c>
      <c r="B2" s="1196"/>
      <c r="C2" s="1196"/>
      <c r="D2" s="1196"/>
      <c r="E2" s="1196"/>
    </row>
    <row r="3" spans="1:17" ht="18" x14ac:dyDescent="0.25">
      <c r="A3" s="1195" t="str">
        <f>+PRESUPUESTO!B2</f>
        <v>ADMINISTRACION DE EMPRESAS</v>
      </c>
      <c r="B3" s="1195"/>
      <c r="C3" s="1195"/>
      <c r="D3" s="1195"/>
      <c r="E3" s="1195"/>
    </row>
    <row r="4" spans="1:17" ht="18.75" thickBot="1" x14ac:dyDescent="0.3">
      <c r="A4" s="1197">
        <v>2018</v>
      </c>
      <c r="B4" s="1197"/>
      <c r="C4" s="1197"/>
      <c r="D4" s="1197"/>
      <c r="E4" s="1197"/>
      <c r="F4" s="1231" t="s">
        <v>492</v>
      </c>
      <c r="G4" s="1231"/>
      <c r="H4" s="1231"/>
      <c r="I4" s="1231"/>
      <c r="J4" s="1231"/>
      <c r="K4" s="1231"/>
      <c r="L4" s="1231"/>
      <c r="M4" s="1231"/>
      <c r="N4" s="1231"/>
      <c r="O4" s="1231"/>
      <c r="P4" s="1231"/>
      <c r="Q4" s="1231"/>
    </row>
    <row r="5" spans="1:17" ht="12.75" customHeight="1" x14ac:dyDescent="0.2">
      <c r="A5" s="1214" t="s">
        <v>418</v>
      </c>
      <c r="B5" s="1219" t="s">
        <v>259</v>
      </c>
      <c r="C5" s="1198" t="s">
        <v>478</v>
      </c>
      <c r="D5" s="1198" t="s">
        <v>255</v>
      </c>
      <c r="E5" s="1219" t="s">
        <v>475</v>
      </c>
      <c r="F5" s="1229" t="s">
        <v>484</v>
      </c>
      <c r="G5" s="1229" t="s">
        <v>485</v>
      </c>
      <c r="H5" s="1229" t="s">
        <v>486</v>
      </c>
      <c r="I5" s="1229" t="s">
        <v>487</v>
      </c>
      <c r="J5" s="1229" t="s">
        <v>488</v>
      </c>
      <c r="K5" s="1229" t="s">
        <v>489</v>
      </c>
      <c r="L5" s="1229" t="s">
        <v>490</v>
      </c>
      <c r="M5" s="1229" t="s">
        <v>491</v>
      </c>
      <c r="N5" s="1229" t="s">
        <v>251</v>
      </c>
      <c r="O5" s="1229" t="s">
        <v>252</v>
      </c>
      <c r="P5" s="1229" t="s">
        <v>253</v>
      </c>
      <c r="Q5" s="1229" t="s">
        <v>254</v>
      </c>
    </row>
    <row r="6" spans="1:17" ht="13.5" thickBot="1" x14ac:dyDescent="0.25">
      <c r="A6" s="1246"/>
      <c r="B6" s="1220"/>
      <c r="C6" s="1199"/>
      <c r="D6" s="1199"/>
      <c r="E6" s="1220"/>
      <c r="F6" s="1230"/>
      <c r="G6" s="1230"/>
      <c r="H6" s="1230"/>
      <c r="I6" s="1230"/>
      <c r="J6" s="1230"/>
      <c r="K6" s="1230"/>
      <c r="L6" s="1230"/>
      <c r="M6" s="1230"/>
      <c r="N6" s="1230"/>
      <c r="O6" s="1230"/>
      <c r="P6" s="1230"/>
      <c r="Q6" s="1230"/>
    </row>
    <row r="7" spans="1:17" s="299" customFormat="1" ht="12.75" customHeight="1" x14ac:dyDescent="0.2">
      <c r="A7" s="871"/>
      <c r="B7" s="545" t="s">
        <v>169</v>
      </c>
      <c r="C7" s="545" t="s">
        <v>169</v>
      </c>
      <c r="D7" s="545" t="s">
        <v>169</v>
      </c>
      <c r="E7" s="739">
        <f>SUM(F7:Q7)</f>
        <v>0</v>
      </c>
      <c r="F7" s="298">
        <v>0</v>
      </c>
      <c r="G7" s="298"/>
      <c r="H7" s="298">
        <v>0</v>
      </c>
      <c r="I7" s="298">
        <v>0</v>
      </c>
      <c r="J7" s="298">
        <v>0</v>
      </c>
      <c r="K7" s="298">
        <v>0</v>
      </c>
      <c r="L7" s="298">
        <v>0</v>
      </c>
      <c r="M7" s="298">
        <v>0</v>
      </c>
      <c r="N7" s="298">
        <v>0</v>
      </c>
      <c r="O7" s="298">
        <v>0</v>
      </c>
      <c r="P7" s="298">
        <v>0</v>
      </c>
      <c r="Q7" s="298">
        <v>0</v>
      </c>
    </row>
    <row r="8" spans="1:17" s="299" customFormat="1" ht="12.75" customHeight="1" x14ac:dyDescent="0.15">
      <c r="A8" s="875"/>
      <c r="B8" s="545" t="s">
        <v>169</v>
      </c>
      <c r="C8" s="545" t="s">
        <v>169</v>
      </c>
      <c r="D8" s="545" t="s">
        <v>169</v>
      </c>
      <c r="E8" s="544">
        <f t="shared" ref="E8:E28" si="0">SUM(F8:Q8)</f>
        <v>0</v>
      </c>
      <c r="F8" s="300">
        <v>0</v>
      </c>
      <c r="G8" s="300">
        <v>0</v>
      </c>
      <c r="H8" s="300">
        <v>0</v>
      </c>
      <c r="I8" s="300">
        <v>0</v>
      </c>
      <c r="J8" s="300">
        <v>0</v>
      </c>
      <c r="K8" s="300">
        <v>0</v>
      </c>
      <c r="L8" s="300">
        <v>0</v>
      </c>
      <c r="M8" s="300">
        <v>0</v>
      </c>
      <c r="N8" s="300">
        <v>0</v>
      </c>
      <c r="O8" s="300">
        <v>0</v>
      </c>
      <c r="P8" s="300">
        <v>0</v>
      </c>
      <c r="Q8" s="300">
        <v>0</v>
      </c>
    </row>
    <row r="9" spans="1:17" x14ac:dyDescent="0.2">
      <c r="A9" s="866"/>
      <c r="B9" s="531"/>
      <c r="C9" s="531"/>
      <c r="D9" s="531" t="s">
        <v>169</v>
      </c>
      <c r="E9" s="544">
        <f t="shared" si="0"/>
        <v>0</v>
      </c>
      <c r="F9" s="253">
        <v>0</v>
      </c>
      <c r="G9" s="253">
        <v>0</v>
      </c>
      <c r="H9" s="253">
        <v>0</v>
      </c>
      <c r="I9" s="253">
        <v>0</v>
      </c>
      <c r="J9" s="253">
        <v>0</v>
      </c>
      <c r="K9" s="253">
        <v>0</v>
      </c>
      <c r="L9" s="253">
        <v>0</v>
      </c>
      <c r="M9" s="253">
        <v>0</v>
      </c>
      <c r="N9" s="253">
        <v>0</v>
      </c>
      <c r="O9" s="253">
        <v>0</v>
      </c>
      <c r="P9" s="253">
        <v>0</v>
      </c>
      <c r="Q9" s="253">
        <v>0</v>
      </c>
    </row>
    <row r="10" spans="1:17" x14ac:dyDescent="0.2">
      <c r="A10" s="866"/>
      <c r="B10" s="531"/>
      <c r="C10" s="531"/>
      <c r="D10" s="531"/>
      <c r="E10" s="544">
        <f t="shared" si="0"/>
        <v>0</v>
      </c>
      <c r="F10" s="253">
        <v>0</v>
      </c>
      <c r="G10" s="253">
        <v>0</v>
      </c>
      <c r="H10" s="253">
        <v>0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</row>
    <row r="11" spans="1:17" x14ac:dyDescent="0.2">
      <c r="A11" s="866"/>
      <c r="B11" s="531"/>
      <c r="C11" s="531"/>
      <c r="D11" s="531"/>
      <c r="E11" s="544">
        <f t="shared" si="0"/>
        <v>0</v>
      </c>
      <c r="F11" s="253">
        <v>0</v>
      </c>
      <c r="G11" s="253">
        <v>0</v>
      </c>
      <c r="H11" s="253">
        <v>0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</row>
    <row r="12" spans="1:17" x14ac:dyDescent="0.2">
      <c r="A12" s="866"/>
      <c r="B12" s="531"/>
      <c r="C12" s="531"/>
      <c r="D12" s="531"/>
      <c r="E12" s="544">
        <f t="shared" si="0"/>
        <v>0</v>
      </c>
      <c r="F12" s="253">
        <v>0</v>
      </c>
      <c r="G12" s="253">
        <v>0</v>
      </c>
      <c r="H12" s="253">
        <v>0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</row>
    <row r="13" spans="1:17" x14ac:dyDescent="0.2">
      <c r="A13" s="866"/>
      <c r="B13" s="531"/>
      <c r="C13" s="531"/>
      <c r="D13" s="531"/>
      <c r="E13" s="544">
        <f t="shared" si="0"/>
        <v>0</v>
      </c>
      <c r="F13" s="253">
        <v>0</v>
      </c>
      <c r="G13" s="253">
        <v>0</v>
      </c>
      <c r="H13" s="253">
        <v>0</v>
      </c>
      <c r="I13" s="253">
        <v>0</v>
      </c>
      <c r="J13" s="253">
        <v>0</v>
      </c>
      <c r="K13" s="253">
        <v>0</v>
      </c>
      <c r="L13" s="253">
        <v>0</v>
      </c>
      <c r="M13" s="253">
        <v>0</v>
      </c>
      <c r="N13" s="253">
        <v>0</v>
      </c>
      <c r="O13" s="253">
        <v>0</v>
      </c>
      <c r="P13" s="253">
        <v>0</v>
      </c>
      <c r="Q13" s="253">
        <v>0</v>
      </c>
    </row>
    <row r="14" spans="1:17" x14ac:dyDescent="0.2">
      <c r="A14" s="866"/>
      <c r="B14" s="531"/>
      <c r="C14" s="531"/>
      <c r="D14" s="531"/>
      <c r="E14" s="544">
        <f t="shared" si="0"/>
        <v>0</v>
      </c>
      <c r="F14" s="253">
        <v>0</v>
      </c>
      <c r="G14" s="253">
        <v>0</v>
      </c>
      <c r="H14" s="253">
        <v>0</v>
      </c>
      <c r="I14" s="253">
        <v>0</v>
      </c>
      <c r="J14" s="253">
        <v>0</v>
      </c>
      <c r="K14" s="253">
        <v>0</v>
      </c>
      <c r="L14" s="253">
        <v>0</v>
      </c>
      <c r="M14" s="253">
        <v>0</v>
      </c>
      <c r="N14" s="253">
        <v>0</v>
      </c>
      <c r="O14" s="253">
        <v>0</v>
      </c>
      <c r="P14" s="253">
        <v>0</v>
      </c>
      <c r="Q14" s="253">
        <v>0</v>
      </c>
    </row>
    <row r="15" spans="1:17" x14ac:dyDescent="0.2">
      <c r="A15" s="866"/>
      <c r="B15" s="531"/>
      <c r="C15" s="531"/>
      <c r="D15" s="531"/>
      <c r="E15" s="544">
        <f t="shared" si="0"/>
        <v>0</v>
      </c>
      <c r="F15" s="253">
        <v>0</v>
      </c>
      <c r="G15" s="253">
        <v>0</v>
      </c>
      <c r="H15" s="253">
        <v>0</v>
      </c>
      <c r="I15" s="253">
        <v>0</v>
      </c>
      <c r="J15" s="253">
        <v>0</v>
      </c>
      <c r="K15" s="253">
        <v>0</v>
      </c>
      <c r="L15" s="253">
        <v>0</v>
      </c>
      <c r="M15" s="253">
        <v>0</v>
      </c>
      <c r="N15" s="253">
        <v>0</v>
      </c>
      <c r="O15" s="253">
        <v>0</v>
      </c>
      <c r="P15" s="253">
        <v>0</v>
      </c>
      <c r="Q15" s="253">
        <v>0</v>
      </c>
    </row>
    <row r="16" spans="1:17" x14ac:dyDescent="0.2">
      <c r="A16" s="866"/>
      <c r="B16" s="531"/>
      <c r="C16" s="531"/>
      <c r="D16" s="531"/>
      <c r="E16" s="544">
        <f t="shared" si="0"/>
        <v>0</v>
      </c>
      <c r="F16" s="253">
        <v>0</v>
      </c>
      <c r="G16" s="253">
        <v>0</v>
      </c>
      <c r="H16" s="253">
        <v>0</v>
      </c>
      <c r="I16" s="253">
        <v>0</v>
      </c>
      <c r="J16" s="253">
        <v>0</v>
      </c>
      <c r="K16" s="253">
        <v>0</v>
      </c>
      <c r="L16" s="253">
        <v>0</v>
      </c>
      <c r="M16" s="253">
        <v>0</v>
      </c>
      <c r="N16" s="253">
        <v>0</v>
      </c>
      <c r="O16" s="253">
        <v>0</v>
      </c>
      <c r="P16" s="253">
        <v>0</v>
      </c>
      <c r="Q16" s="253">
        <v>0</v>
      </c>
    </row>
    <row r="17" spans="1:17" x14ac:dyDescent="0.2">
      <c r="A17" s="866"/>
      <c r="B17" s="531"/>
      <c r="C17" s="531"/>
      <c r="D17" s="531"/>
      <c r="E17" s="544">
        <f t="shared" si="0"/>
        <v>0</v>
      </c>
      <c r="F17" s="253">
        <v>0</v>
      </c>
      <c r="G17" s="253">
        <v>0</v>
      </c>
      <c r="H17" s="253">
        <v>0</v>
      </c>
      <c r="I17" s="253">
        <v>0</v>
      </c>
      <c r="J17" s="253">
        <v>0</v>
      </c>
      <c r="K17" s="253">
        <v>0</v>
      </c>
      <c r="L17" s="253">
        <v>0</v>
      </c>
      <c r="M17" s="253">
        <v>0</v>
      </c>
      <c r="N17" s="253">
        <v>0</v>
      </c>
      <c r="O17" s="253">
        <v>0</v>
      </c>
      <c r="P17" s="253">
        <v>0</v>
      </c>
      <c r="Q17" s="253">
        <v>0</v>
      </c>
    </row>
    <row r="18" spans="1:17" x14ac:dyDescent="0.2">
      <c r="A18" s="866"/>
      <c r="B18" s="531"/>
      <c r="C18" s="531"/>
      <c r="D18" s="531"/>
      <c r="E18" s="544">
        <f t="shared" si="0"/>
        <v>0</v>
      </c>
      <c r="F18" s="253">
        <v>0</v>
      </c>
      <c r="G18" s="253">
        <v>0</v>
      </c>
      <c r="H18" s="253">
        <v>0</v>
      </c>
      <c r="I18" s="253">
        <v>0</v>
      </c>
      <c r="J18" s="253">
        <v>0</v>
      </c>
      <c r="K18" s="253">
        <v>0</v>
      </c>
      <c r="L18" s="253">
        <v>0</v>
      </c>
      <c r="M18" s="253">
        <v>0</v>
      </c>
      <c r="N18" s="253">
        <v>0</v>
      </c>
      <c r="O18" s="253">
        <v>0</v>
      </c>
      <c r="P18" s="253">
        <v>0</v>
      </c>
      <c r="Q18" s="253">
        <v>0</v>
      </c>
    </row>
    <row r="19" spans="1:17" x14ac:dyDescent="0.2">
      <c r="A19" s="866"/>
      <c r="B19" s="531"/>
      <c r="C19" s="531"/>
      <c r="D19" s="531"/>
      <c r="E19" s="544">
        <f t="shared" si="0"/>
        <v>0</v>
      </c>
      <c r="F19" s="253">
        <v>0</v>
      </c>
      <c r="G19" s="253">
        <v>0</v>
      </c>
      <c r="H19" s="253">
        <v>0</v>
      </c>
      <c r="I19" s="253">
        <v>0</v>
      </c>
      <c r="J19" s="253">
        <v>0</v>
      </c>
      <c r="K19" s="253">
        <v>0</v>
      </c>
      <c r="L19" s="253">
        <v>0</v>
      </c>
      <c r="M19" s="253">
        <v>0</v>
      </c>
      <c r="N19" s="253">
        <v>0</v>
      </c>
      <c r="O19" s="253">
        <v>0</v>
      </c>
      <c r="P19" s="253">
        <v>0</v>
      </c>
      <c r="Q19" s="253">
        <v>0</v>
      </c>
    </row>
    <row r="20" spans="1:17" x14ac:dyDescent="0.2">
      <c r="A20" s="866"/>
      <c r="B20" s="531"/>
      <c r="C20" s="531"/>
      <c r="D20" s="531"/>
      <c r="E20" s="544">
        <f t="shared" si="0"/>
        <v>0</v>
      </c>
      <c r="F20" s="253">
        <v>0</v>
      </c>
      <c r="G20" s="253">
        <v>0</v>
      </c>
      <c r="H20" s="253">
        <v>0</v>
      </c>
      <c r="I20" s="253">
        <v>0</v>
      </c>
      <c r="J20" s="253">
        <v>0</v>
      </c>
      <c r="K20" s="253">
        <v>0</v>
      </c>
      <c r="L20" s="253">
        <v>0</v>
      </c>
      <c r="M20" s="253">
        <v>0</v>
      </c>
      <c r="N20" s="253">
        <v>0</v>
      </c>
      <c r="O20" s="253">
        <v>0</v>
      </c>
      <c r="P20" s="253">
        <v>0</v>
      </c>
      <c r="Q20" s="253">
        <v>0</v>
      </c>
    </row>
    <row r="21" spans="1:17" x14ac:dyDescent="0.2">
      <c r="A21" s="866"/>
      <c r="B21" s="531"/>
      <c r="C21" s="531"/>
      <c r="D21" s="531"/>
      <c r="E21" s="544">
        <f t="shared" si="0"/>
        <v>0</v>
      </c>
      <c r="F21" s="253">
        <v>0</v>
      </c>
      <c r="G21" s="253">
        <v>0</v>
      </c>
      <c r="H21" s="253">
        <v>0</v>
      </c>
      <c r="I21" s="253">
        <v>0</v>
      </c>
      <c r="J21" s="253">
        <v>0</v>
      </c>
      <c r="K21" s="253">
        <v>0</v>
      </c>
      <c r="L21" s="253">
        <v>0</v>
      </c>
      <c r="M21" s="253">
        <v>0</v>
      </c>
      <c r="N21" s="253">
        <v>0</v>
      </c>
      <c r="O21" s="253">
        <v>0</v>
      </c>
      <c r="P21" s="253">
        <v>0</v>
      </c>
      <c r="Q21" s="253">
        <v>0</v>
      </c>
    </row>
    <row r="22" spans="1:17" x14ac:dyDescent="0.2">
      <c r="A22" s="866"/>
      <c r="B22" s="531"/>
      <c r="C22" s="531"/>
      <c r="D22" s="531"/>
      <c r="E22" s="544">
        <f t="shared" si="0"/>
        <v>0</v>
      </c>
      <c r="F22" s="253">
        <v>0</v>
      </c>
      <c r="G22" s="253">
        <v>0</v>
      </c>
      <c r="H22" s="253">
        <v>0</v>
      </c>
      <c r="I22" s="253">
        <v>0</v>
      </c>
      <c r="J22" s="253">
        <v>0</v>
      </c>
      <c r="K22" s="253">
        <v>0</v>
      </c>
      <c r="L22" s="253">
        <v>0</v>
      </c>
      <c r="M22" s="253">
        <v>0</v>
      </c>
      <c r="N22" s="253">
        <v>0</v>
      </c>
      <c r="O22" s="253">
        <v>0</v>
      </c>
      <c r="P22" s="253">
        <v>0</v>
      </c>
      <c r="Q22" s="253">
        <v>0</v>
      </c>
    </row>
    <row r="23" spans="1:17" x14ac:dyDescent="0.2">
      <c r="A23" s="866"/>
      <c r="B23" s="531"/>
      <c r="C23" s="531"/>
      <c r="D23" s="531"/>
      <c r="E23" s="544">
        <f t="shared" si="0"/>
        <v>0</v>
      </c>
      <c r="F23" s="253">
        <v>0</v>
      </c>
      <c r="G23" s="253">
        <v>0</v>
      </c>
      <c r="H23" s="253">
        <v>0</v>
      </c>
      <c r="I23" s="253">
        <v>0</v>
      </c>
      <c r="J23" s="253">
        <v>0</v>
      </c>
      <c r="K23" s="253">
        <v>0</v>
      </c>
      <c r="L23" s="253">
        <v>0</v>
      </c>
      <c r="M23" s="253">
        <v>0</v>
      </c>
      <c r="N23" s="253">
        <v>0</v>
      </c>
      <c r="O23" s="253">
        <v>0</v>
      </c>
      <c r="P23" s="253">
        <v>0</v>
      </c>
      <c r="Q23" s="253">
        <v>0</v>
      </c>
    </row>
    <row r="24" spans="1:17" x14ac:dyDescent="0.2">
      <c r="A24" s="866"/>
      <c r="B24" s="531"/>
      <c r="C24" s="531"/>
      <c r="D24" s="531"/>
      <c r="E24" s="544">
        <f t="shared" si="0"/>
        <v>0</v>
      </c>
      <c r="F24" s="253">
        <v>0</v>
      </c>
      <c r="G24" s="253">
        <v>0</v>
      </c>
      <c r="H24" s="253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</row>
    <row r="25" spans="1:17" x14ac:dyDescent="0.2">
      <c r="A25" s="866"/>
      <c r="B25" s="531"/>
      <c r="C25" s="531"/>
      <c r="D25" s="531"/>
      <c r="E25" s="544">
        <f t="shared" si="0"/>
        <v>0</v>
      </c>
      <c r="F25" s="253">
        <v>0</v>
      </c>
      <c r="G25" s="253">
        <v>0</v>
      </c>
      <c r="H25" s="253">
        <v>0</v>
      </c>
      <c r="I25" s="253">
        <v>0</v>
      </c>
      <c r="J25" s="253">
        <v>0</v>
      </c>
      <c r="K25" s="253">
        <v>0</v>
      </c>
      <c r="L25" s="253">
        <v>0</v>
      </c>
      <c r="M25" s="253">
        <v>0</v>
      </c>
      <c r="N25" s="253">
        <v>0</v>
      </c>
      <c r="O25" s="253">
        <v>0</v>
      </c>
      <c r="P25" s="253">
        <v>0</v>
      </c>
      <c r="Q25" s="253">
        <v>0</v>
      </c>
    </row>
    <row r="26" spans="1:17" x14ac:dyDescent="0.2">
      <c r="A26" s="866"/>
      <c r="B26" s="531"/>
      <c r="C26" s="531"/>
      <c r="D26" s="531"/>
      <c r="E26" s="544">
        <f t="shared" si="0"/>
        <v>0</v>
      </c>
      <c r="F26" s="253">
        <v>0</v>
      </c>
      <c r="G26" s="253">
        <v>0</v>
      </c>
      <c r="H26" s="253">
        <v>0</v>
      </c>
      <c r="I26" s="253">
        <v>0</v>
      </c>
      <c r="J26" s="253">
        <v>0</v>
      </c>
      <c r="K26" s="253">
        <v>0</v>
      </c>
      <c r="L26" s="253">
        <v>0</v>
      </c>
      <c r="M26" s="253">
        <v>0</v>
      </c>
      <c r="N26" s="253">
        <v>0</v>
      </c>
      <c r="O26" s="253">
        <v>0</v>
      </c>
      <c r="P26" s="253">
        <v>0</v>
      </c>
      <c r="Q26" s="253">
        <v>0</v>
      </c>
    </row>
    <row r="27" spans="1:17" x14ac:dyDescent="0.2">
      <c r="A27" s="866"/>
      <c r="B27" s="531"/>
      <c r="C27" s="531"/>
      <c r="D27" s="531"/>
      <c r="E27" s="538">
        <f t="shared" si="0"/>
        <v>0</v>
      </c>
      <c r="F27" s="253">
        <v>0</v>
      </c>
      <c r="G27" s="253">
        <v>0</v>
      </c>
      <c r="H27" s="253">
        <v>0</v>
      </c>
      <c r="I27" s="253">
        <v>0</v>
      </c>
      <c r="J27" s="253">
        <v>0</v>
      </c>
      <c r="K27" s="253">
        <v>0</v>
      </c>
      <c r="L27" s="253">
        <v>0</v>
      </c>
      <c r="M27" s="253">
        <v>0</v>
      </c>
      <c r="N27" s="253">
        <v>0</v>
      </c>
      <c r="O27" s="253">
        <v>0</v>
      </c>
      <c r="P27" s="253">
        <v>0</v>
      </c>
      <c r="Q27" s="253">
        <v>0</v>
      </c>
    </row>
    <row r="28" spans="1:17" ht="13.5" thickBot="1" x14ac:dyDescent="0.25">
      <c r="A28" s="867"/>
      <c r="B28" s="531"/>
      <c r="C28" s="531"/>
      <c r="D28" s="531"/>
      <c r="E28" s="538">
        <f t="shared" si="0"/>
        <v>0</v>
      </c>
      <c r="F28" s="253">
        <v>0</v>
      </c>
      <c r="G28" s="253">
        <v>0</v>
      </c>
      <c r="H28" s="253">
        <v>0</v>
      </c>
      <c r="I28" s="253">
        <v>0</v>
      </c>
      <c r="J28" s="253">
        <v>0</v>
      </c>
      <c r="K28" s="253">
        <v>0</v>
      </c>
      <c r="L28" s="253">
        <v>0</v>
      </c>
      <c r="M28" s="253">
        <v>0</v>
      </c>
      <c r="N28" s="253">
        <v>0</v>
      </c>
      <c r="O28" s="253">
        <v>0</v>
      </c>
      <c r="P28" s="253">
        <v>0</v>
      </c>
      <c r="Q28" s="253">
        <v>0</v>
      </c>
    </row>
    <row r="29" spans="1:17" ht="13.5" thickBot="1" x14ac:dyDescent="0.25">
      <c r="A29" s="870"/>
      <c r="B29" s="173"/>
      <c r="C29" s="255"/>
      <c r="D29" s="174"/>
      <c r="E29" s="195">
        <f>SUM(E7:E28)</f>
        <v>0</v>
      </c>
      <c r="F29" s="278">
        <f t="shared" ref="F29:Q29" si="1">SUM(F7:F28)</f>
        <v>0</v>
      </c>
      <c r="G29" s="278">
        <f t="shared" si="1"/>
        <v>0</v>
      </c>
      <c r="H29" s="278">
        <f t="shared" si="1"/>
        <v>0</v>
      </c>
      <c r="I29" s="278">
        <f t="shared" si="1"/>
        <v>0</v>
      </c>
      <c r="J29" s="278">
        <f t="shared" si="1"/>
        <v>0</v>
      </c>
      <c r="K29" s="278">
        <f t="shared" si="1"/>
        <v>0</v>
      </c>
      <c r="L29" s="278">
        <f t="shared" si="1"/>
        <v>0</v>
      </c>
      <c r="M29" s="278">
        <f t="shared" si="1"/>
        <v>0</v>
      </c>
      <c r="N29" s="278">
        <f t="shared" si="1"/>
        <v>0</v>
      </c>
      <c r="O29" s="278">
        <f t="shared" si="1"/>
        <v>0</v>
      </c>
      <c r="P29" s="278">
        <f t="shared" si="1"/>
        <v>0</v>
      </c>
      <c r="Q29" s="278">
        <f t="shared" si="1"/>
        <v>0</v>
      </c>
    </row>
    <row r="31" spans="1:17" x14ac:dyDescent="0.2">
      <c r="A31" s="251" t="s">
        <v>476</v>
      </c>
      <c r="B31" s="252"/>
      <c r="C31" s="252"/>
      <c r="D31" s="252"/>
    </row>
    <row r="65523" spans="6:6" x14ac:dyDescent="0.2">
      <c r="F65523" s="6">
        <v>0</v>
      </c>
    </row>
  </sheetData>
  <mergeCells count="21">
    <mergeCell ref="A2:E2"/>
    <mergeCell ref="A4:E4"/>
    <mergeCell ref="D5:D6"/>
    <mergeCell ref="B5:B6"/>
    <mergeCell ref="A5:A6"/>
    <mergeCell ref="A3:E3"/>
    <mergeCell ref="C5:C6"/>
    <mergeCell ref="E5:E6"/>
    <mergeCell ref="Q5:Q6"/>
    <mergeCell ref="F4:Q4"/>
    <mergeCell ref="F5:F6"/>
    <mergeCell ref="G5:G6"/>
    <mergeCell ref="H5:H6"/>
    <mergeCell ref="L5:L6"/>
    <mergeCell ref="O5:O6"/>
    <mergeCell ref="P5:P6"/>
    <mergeCell ref="K5:K6"/>
    <mergeCell ref="I5:I6"/>
    <mergeCell ref="N5:N6"/>
    <mergeCell ref="J5:J6"/>
    <mergeCell ref="M5:M6"/>
  </mergeCells>
  <phoneticPr fontId="27" type="noConversion"/>
  <pageMargins left="0.16" right="0.17" top="1" bottom="1" header="0" footer="0"/>
  <pageSetup scale="70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A7:A28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K28"/>
  <sheetViews>
    <sheetView showGridLines="0" topLeftCell="A6" workbookViewId="0">
      <selection activeCell="G19" sqref="G19"/>
    </sheetView>
  </sheetViews>
  <sheetFormatPr baseColWidth="10" defaultRowHeight="12.75" x14ac:dyDescent="0.2"/>
  <cols>
    <col min="2" max="2" width="17" bestFit="1" customWidth="1"/>
    <col min="3" max="3" width="15" bestFit="1" customWidth="1"/>
    <col min="5" max="5" width="11.42578125" style="432"/>
    <col min="6" max="6" width="17.85546875" customWidth="1"/>
    <col min="7" max="7" width="15.85546875" customWidth="1"/>
    <col min="8" max="8" width="23" bestFit="1" customWidth="1"/>
    <col min="9" max="9" width="12" customWidth="1"/>
    <col min="10" max="10" width="3" customWidth="1"/>
    <col min="11" max="11" width="13.140625" bestFit="1" customWidth="1"/>
  </cols>
  <sheetData>
    <row r="1" spans="2:11" hidden="1" x14ac:dyDescent="0.2"/>
    <row r="2" spans="2:11" hidden="1" x14ac:dyDescent="0.2">
      <c r="C2" s="436" t="s">
        <v>418</v>
      </c>
      <c r="D2" s="437" t="s">
        <v>167</v>
      </c>
      <c r="E2" s="437" t="s">
        <v>572</v>
      </c>
    </row>
    <row r="3" spans="2:11" hidden="1" x14ac:dyDescent="0.2">
      <c r="C3" s="438" t="s">
        <v>580</v>
      </c>
      <c r="D3" s="439" t="e">
        <f>COUNTIFS(NOMINA!$B$22:$B$88,"*",NOMINA!#REF!,Hoja2!$C3)</f>
        <v>#REF!</v>
      </c>
      <c r="E3" s="439">
        <f>IFERROR(+D3/$D$5,0)</f>
        <v>0</v>
      </c>
      <c r="F3" s="430"/>
    </row>
    <row r="4" spans="2:11" hidden="1" x14ac:dyDescent="0.2">
      <c r="C4" s="438" t="s">
        <v>581</v>
      </c>
      <c r="D4" s="439" t="e">
        <f>COUNTIFS(NOMINA!$B$22:$B$88,"*",NOMINA!#REF!,Hoja2!$C4)</f>
        <v>#REF!</v>
      </c>
      <c r="E4" s="439">
        <f>IFERROR(+D4/$D$5,0)</f>
        <v>0</v>
      </c>
      <c r="F4" s="430"/>
      <c r="G4" s="430"/>
      <c r="H4" s="431"/>
      <c r="I4" s="431"/>
      <c r="J4" s="431"/>
      <c r="K4" s="431"/>
    </row>
    <row r="5" spans="2:11" hidden="1" x14ac:dyDescent="0.2">
      <c r="C5" s="440" t="s">
        <v>416</v>
      </c>
      <c r="D5" s="441" t="e">
        <f>+D3+D4</f>
        <v>#REF!</v>
      </c>
      <c r="E5" s="441"/>
      <c r="F5" s="430"/>
      <c r="G5" s="430"/>
      <c r="H5" s="431"/>
      <c r="I5" s="431"/>
      <c r="J5" s="431"/>
      <c r="K5" s="431"/>
    </row>
    <row r="6" spans="2:11" x14ac:dyDescent="0.2">
      <c r="C6" s="429"/>
      <c r="F6" s="430"/>
      <c r="G6" s="430"/>
      <c r="H6" s="431"/>
      <c r="I6" s="431"/>
      <c r="J6" s="431"/>
      <c r="K6" s="431"/>
    </row>
    <row r="7" spans="2:11" x14ac:dyDescent="0.2">
      <c r="B7" s="861" t="s">
        <v>154</v>
      </c>
      <c r="C7" s="862" t="s">
        <v>582</v>
      </c>
      <c r="D7" s="862" t="s">
        <v>167</v>
      </c>
      <c r="E7" s="445"/>
      <c r="F7" s="430"/>
      <c r="G7" s="430"/>
      <c r="H7" s="431"/>
      <c r="I7" s="431"/>
      <c r="J7" s="431"/>
      <c r="K7" s="431"/>
    </row>
    <row r="8" spans="2:11" x14ac:dyDescent="0.2">
      <c r="B8" s="433" t="s">
        <v>538</v>
      </c>
      <c r="C8" s="395">
        <f>IF(B8="","",VLOOKUP(B8,BASE!$F$20:$H$25,2,FALSE))</f>
        <v>6</v>
      </c>
      <c r="D8" s="354">
        <f>COUNTIFS(NOMINA!$B$22:$B$88,"*",NOMINA!$E$22:$E$88,Hoja2!$B8)</f>
        <v>0</v>
      </c>
      <c r="E8" s="454">
        <f t="shared" ref="E8:E13" si="0">IFERROR(+D8/$D$28,0)</f>
        <v>0</v>
      </c>
      <c r="I8" s="431"/>
      <c r="J8" s="431"/>
      <c r="K8" s="431"/>
    </row>
    <row r="9" spans="2:11" x14ac:dyDescent="0.2">
      <c r="B9" s="433" t="s">
        <v>539</v>
      </c>
      <c r="C9" s="395">
        <f>IF(B9="","",VLOOKUP(B9,BASE!$F$20:$H$25,2,FALSE))</f>
        <v>5</v>
      </c>
      <c r="D9" s="354">
        <f>COUNTIFS(NOMINA!$B$22:$B$88,"*",NOMINA!$E$22:$E$88,Hoja2!$B9)</f>
        <v>6</v>
      </c>
      <c r="E9" s="454">
        <f t="shared" si="0"/>
        <v>0.15</v>
      </c>
      <c r="F9" s="430"/>
      <c r="G9" s="431"/>
    </row>
    <row r="10" spans="2:11" x14ac:dyDescent="0.2">
      <c r="B10" s="433" t="s">
        <v>540</v>
      </c>
      <c r="C10" s="395">
        <f>IF(B10="","",VLOOKUP(B10,BASE!$F$20:$H$25,2,FALSE))</f>
        <v>4</v>
      </c>
      <c r="D10" s="354">
        <f>COUNTIFS(NOMINA!$B$22:$B$88,"*",NOMINA!$E$22:$E$88,Hoja2!$B10)</f>
        <v>21</v>
      </c>
      <c r="E10" s="454">
        <f t="shared" si="0"/>
        <v>0.52500000000000002</v>
      </c>
      <c r="F10" s="430"/>
      <c r="G10" s="569"/>
    </row>
    <row r="11" spans="2:11" x14ac:dyDescent="0.2">
      <c r="B11" s="433" t="s">
        <v>541</v>
      </c>
      <c r="C11" s="395">
        <f>IF(B11="","",VLOOKUP(B11,BASE!$F$20:$H$25,2,FALSE))</f>
        <v>3</v>
      </c>
      <c r="D11" s="354">
        <f>COUNTIFS(NOMINA!$B$22:$B$88,"*",NOMINA!$E$22:$E$88,Hoja2!$B11)</f>
        <v>11</v>
      </c>
      <c r="E11" s="454">
        <f t="shared" si="0"/>
        <v>0.27500000000000002</v>
      </c>
      <c r="G11" s="569"/>
    </row>
    <row r="12" spans="2:11" x14ac:dyDescent="0.2">
      <c r="B12" s="433" t="s">
        <v>542</v>
      </c>
      <c r="C12" s="395">
        <f>IF(B12="","",VLOOKUP(B12,BASE!$F$20:$H$25,2,FALSE))</f>
        <v>2</v>
      </c>
      <c r="D12" s="354">
        <f>COUNTIFS(NOMINA!$B$22:$B$88,"*",NOMINA!$E$22:$E$88,Hoja2!$B12)</f>
        <v>1</v>
      </c>
      <c r="E12" s="454">
        <f t="shared" si="0"/>
        <v>2.5000000000000001E-2</v>
      </c>
      <c r="F12" s="430"/>
      <c r="G12" s="431"/>
    </row>
    <row r="13" spans="2:11" x14ac:dyDescent="0.2">
      <c r="B13" s="434" t="s">
        <v>168</v>
      </c>
      <c r="C13" s="435">
        <f>IF(B13="","",VLOOKUP(B13,BASE!$F$20:$H$25,2,FALSE))</f>
        <v>1</v>
      </c>
      <c r="D13" s="456">
        <f>COUNTIFS(NOMINA!$B$22:$B$88,"*",NOMINA!$E$22:$E$88,Hoja2!$B13)</f>
        <v>1</v>
      </c>
      <c r="E13" s="458">
        <f t="shared" si="0"/>
        <v>2.5000000000000001E-2</v>
      </c>
      <c r="F13" s="430"/>
      <c r="G13" s="431"/>
    </row>
    <row r="14" spans="2:11" x14ac:dyDescent="0.2">
      <c r="B14" s="570"/>
      <c r="C14" s="395"/>
      <c r="D14" s="354"/>
      <c r="E14" s="571"/>
      <c r="F14" s="430"/>
      <c r="G14" s="431"/>
    </row>
    <row r="15" spans="2:11" x14ac:dyDescent="0.2">
      <c r="C15" s="572" t="s">
        <v>532</v>
      </c>
      <c r="D15" s="408">
        <f>COUNTIFS(NOMINA!$B$22:$B$88,"*",NOMINA!$C$22:$C$88,Hoja2!$C15)</f>
        <v>0</v>
      </c>
      <c r="E15" s="452">
        <f t="shared" ref="E15:E21" si="1">IFERROR(+D15/$D$22,0)</f>
        <v>0</v>
      </c>
      <c r="F15" s="430"/>
      <c r="G15" s="431"/>
    </row>
    <row r="16" spans="2:11" x14ac:dyDescent="0.2">
      <c r="C16" s="453" t="s">
        <v>533</v>
      </c>
      <c r="D16" s="354">
        <f>COUNTIFS(NOMINA!$B$22:$B$88,"*",NOMINA!$C$22:$C$88,Hoja2!$C16)</f>
        <v>0</v>
      </c>
      <c r="E16" s="454">
        <f t="shared" si="1"/>
        <v>0</v>
      </c>
      <c r="F16" s="430"/>
      <c r="G16" s="431"/>
    </row>
    <row r="17" spans="2:7" x14ac:dyDescent="0.2">
      <c r="C17" s="453" t="s">
        <v>534</v>
      </c>
      <c r="D17" s="354">
        <f>COUNTIFS(NOMINA!$B$22:$B$88,"*",NOMINA!$C$22:$C$88,Hoja2!$C17)</f>
        <v>0</v>
      </c>
      <c r="E17" s="454">
        <f t="shared" si="1"/>
        <v>0</v>
      </c>
      <c r="F17" s="430"/>
      <c r="G17" s="431"/>
    </row>
    <row r="18" spans="2:7" x14ac:dyDescent="0.2">
      <c r="C18" s="453" t="s">
        <v>535</v>
      </c>
      <c r="D18" s="354">
        <f>COUNTIFS(NOMINA!$B$22:$B$88,"*",NOMINA!$C$22:$C$88,Hoja2!$C18)</f>
        <v>0</v>
      </c>
      <c r="E18" s="454">
        <f t="shared" si="1"/>
        <v>0</v>
      </c>
      <c r="F18" s="430"/>
      <c r="G18" s="431"/>
    </row>
    <row r="19" spans="2:7" x14ac:dyDescent="0.2">
      <c r="C19" s="453" t="s">
        <v>536</v>
      </c>
      <c r="D19" s="354">
        <f>COUNTIFS(NOMINA!$B$22:$B$88,"*",NOMINA!$C$22:$C$88,Hoja2!$C19)</f>
        <v>0</v>
      </c>
      <c r="E19" s="454">
        <f t="shared" si="1"/>
        <v>0</v>
      </c>
      <c r="F19" s="430"/>
      <c r="G19" s="431"/>
    </row>
    <row r="20" spans="2:7" x14ac:dyDescent="0.2">
      <c r="C20" s="459" t="s">
        <v>537</v>
      </c>
      <c r="D20" s="354">
        <f>COUNTIFS(NOMINA!$B$22:$B$88,"*",NOMINA!$C$22:$C$88,Hoja2!$C20)</f>
        <v>0</v>
      </c>
      <c r="E20" s="454">
        <f t="shared" si="1"/>
        <v>0</v>
      </c>
    </row>
    <row r="21" spans="2:7" x14ac:dyDescent="0.2">
      <c r="C21" s="459" t="s">
        <v>543</v>
      </c>
      <c r="D21" s="354">
        <f>COUNTIFS(NOMINA!$B$22:$B$88,"*",NOMINA!$C$22:$C$88,Hoja2!$C21)</f>
        <v>0</v>
      </c>
      <c r="E21" s="454">
        <f t="shared" si="1"/>
        <v>0</v>
      </c>
    </row>
    <row r="22" spans="2:7" x14ac:dyDescent="0.2">
      <c r="C22" s="455" t="s">
        <v>167</v>
      </c>
      <c r="D22" s="456">
        <f>SUM(D15:D21)</f>
        <v>0</v>
      </c>
      <c r="E22" s="457"/>
    </row>
    <row r="23" spans="2:7" x14ac:dyDescent="0.2">
      <c r="B23" s="429"/>
    </row>
    <row r="24" spans="2:7" x14ac:dyDescent="0.2">
      <c r="B24" s="442" t="s">
        <v>261</v>
      </c>
      <c r="C24" s="443">
        <f>IF(B24="","",VLOOKUP(B24,BASE!$B$15:$C$18,2,FALSE))</f>
        <v>1</v>
      </c>
      <c r="D24" s="444">
        <f>COUNTIFS(NOMINA!$B$22:$B$88,"*",NOMINA!$F$22:$F$88,Hoja2!$B24)</f>
        <v>1</v>
      </c>
      <c r="E24" s="449">
        <f>IFERROR(+D24/$D$28,0)</f>
        <v>2.5000000000000001E-2</v>
      </c>
    </row>
    <row r="25" spans="2:7" x14ac:dyDescent="0.2">
      <c r="B25" s="433" t="s">
        <v>258</v>
      </c>
      <c r="C25" s="396">
        <f>IF(B25="","",VLOOKUP(B25,BASE!$B$15:$C$18,2,FALSE))</f>
        <v>2</v>
      </c>
      <c r="D25" s="393">
        <f>COUNTIFS(NOMINA!$B$22:$B$88,"*",NOMINA!$F$22:$F$88,Hoja2!$B25)</f>
        <v>1</v>
      </c>
      <c r="E25" s="451">
        <f>IFERROR(+D25/$D$28,0)</f>
        <v>2.5000000000000001E-2</v>
      </c>
    </row>
    <row r="26" spans="2:7" x14ac:dyDescent="0.2">
      <c r="B26" s="433" t="s">
        <v>547</v>
      </c>
      <c r="C26" s="396">
        <f>IF(B26="","",VLOOKUP(B26,BASE!$B$15:$C$18,2,FALSE))</f>
        <v>3</v>
      </c>
      <c r="D26" s="393">
        <f>COUNTIFS(NOMINA!$B$22:$B$88,"*",NOMINA!$F$22:$F$88,Hoja2!$B26)</f>
        <v>24</v>
      </c>
      <c r="E26" s="451">
        <f>IFERROR(+D26/$D$28,0)</f>
        <v>0.6</v>
      </c>
    </row>
    <row r="27" spans="2:7" x14ac:dyDescent="0.2">
      <c r="B27" s="860" t="s">
        <v>805</v>
      </c>
      <c r="C27" s="396">
        <f>IF(B27="","",VLOOKUP(B27,BASE!$B$15:$C$18,2,FALSE))</f>
        <v>4</v>
      </c>
      <c r="D27" s="393">
        <f>COUNTIFS(NOMINA!$B$22:$B$88,"*",NOMINA!$F$22:$F$88,Hoja2!$B27)</f>
        <v>14</v>
      </c>
      <c r="E27" s="451">
        <f>IFERROR(+D27/$D$28,0)</f>
        <v>0.35</v>
      </c>
    </row>
    <row r="28" spans="2:7" x14ac:dyDescent="0.2">
      <c r="B28" s="446" t="s">
        <v>578</v>
      </c>
      <c r="C28" s="447" t="s">
        <v>167</v>
      </c>
      <c r="D28" s="448">
        <f>SUM(D24:D27)</f>
        <v>40</v>
      </c>
      <c r="E28" s="450" t="s">
        <v>572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C255"/>
  <sheetViews>
    <sheetView showGridLines="0" workbookViewId="0">
      <selection activeCell="A16" sqref="A16"/>
    </sheetView>
  </sheetViews>
  <sheetFormatPr baseColWidth="10" defaultRowHeight="12.75" x14ac:dyDescent="0.2"/>
  <cols>
    <col min="1" max="1" width="11.28515625" style="429" customWidth="1"/>
    <col min="2" max="2" width="28.42578125" customWidth="1"/>
    <col min="3" max="10" width="12.7109375" customWidth="1"/>
    <col min="11" max="11" width="12.5703125" customWidth="1"/>
    <col min="12" max="13" width="12.7109375" customWidth="1"/>
    <col min="14" max="14" width="12.85546875" customWidth="1"/>
    <col min="15" max="81" width="11.42578125" style="237"/>
  </cols>
  <sheetData>
    <row r="1" spans="1:15" x14ac:dyDescent="0.2">
      <c r="A1" s="602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</row>
    <row r="2" spans="1:15" ht="20.25" customHeight="1" x14ac:dyDescent="0.25">
      <c r="A2" s="1196" t="s">
        <v>442</v>
      </c>
      <c r="B2" s="1196"/>
      <c r="C2" s="1196"/>
      <c r="D2" s="1196"/>
      <c r="E2" s="1196"/>
      <c r="F2" s="1196"/>
      <c r="G2" s="1196"/>
      <c r="H2" s="1196"/>
      <c r="I2" s="1196"/>
      <c r="J2" s="1196"/>
      <c r="K2" s="1196"/>
      <c r="L2" s="1196"/>
      <c r="M2" s="1196"/>
      <c r="N2" s="1196"/>
    </row>
    <row r="3" spans="1:15" ht="20.25" customHeight="1" x14ac:dyDescent="0.25">
      <c r="A3" s="1195" t="str">
        <f>+PRESUPUESTO!B2</f>
        <v>ADMINISTRACION DE EMPRESAS</v>
      </c>
      <c r="B3" s="1195"/>
      <c r="C3" s="1195"/>
      <c r="D3" s="1195"/>
      <c r="E3" s="1195"/>
      <c r="F3" s="1195"/>
      <c r="G3" s="1195"/>
      <c r="H3" s="1195"/>
      <c r="I3" s="1195"/>
      <c r="J3" s="1195"/>
      <c r="K3" s="1195"/>
      <c r="L3" s="1195"/>
      <c r="M3" s="1195"/>
      <c r="N3" s="1195"/>
    </row>
    <row r="4" spans="1:15" ht="20.25" customHeight="1" thickBot="1" x14ac:dyDescent="0.3">
      <c r="A4" s="1197" t="s">
        <v>817</v>
      </c>
      <c r="B4" s="1197"/>
      <c r="C4" s="1197"/>
      <c r="D4" s="1197"/>
      <c r="E4" s="1197"/>
      <c r="F4" s="1197"/>
      <c r="G4" s="1197"/>
      <c r="H4" s="1197"/>
      <c r="I4" s="1197"/>
      <c r="J4" s="1197"/>
      <c r="K4" s="1197"/>
      <c r="L4" s="1197"/>
      <c r="M4" s="1197"/>
      <c r="N4" s="1197"/>
    </row>
    <row r="5" spans="1:15" ht="12.75" customHeight="1" x14ac:dyDescent="0.2">
      <c r="A5" s="1252" t="s">
        <v>418</v>
      </c>
      <c r="B5" s="1200" t="s">
        <v>441</v>
      </c>
      <c r="C5" s="1250" t="s">
        <v>503</v>
      </c>
      <c r="D5" s="1250" t="s">
        <v>503</v>
      </c>
      <c r="E5" s="1250" t="s">
        <v>503</v>
      </c>
      <c r="F5" s="1250" t="s">
        <v>503</v>
      </c>
      <c r="G5" s="1250" t="s">
        <v>503</v>
      </c>
      <c r="H5" s="1250" t="s">
        <v>503</v>
      </c>
      <c r="I5" s="1250" t="s">
        <v>503</v>
      </c>
      <c r="J5" s="1250" t="s">
        <v>503</v>
      </c>
      <c r="K5" s="1250" t="s">
        <v>503</v>
      </c>
      <c r="L5" s="1250" t="s">
        <v>503</v>
      </c>
      <c r="M5" s="1250" t="s">
        <v>503</v>
      </c>
      <c r="N5" s="1202" t="s">
        <v>811</v>
      </c>
    </row>
    <row r="6" spans="1:15" ht="13.5" thickBot="1" x14ac:dyDescent="0.25">
      <c r="A6" s="1253"/>
      <c r="B6" s="1201"/>
      <c r="C6" s="1251"/>
      <c r="D6" s="1251"/>
      <c r="E6" s="1251"/>
      <c r="F6" s="1251"/>
      <c r="G6" s="1251"/>
      <c r="H6" s="1251"/>
      <c r="I6" s="1251"/>
      <c r="J6" s="1251"/>
      <c r="K6" s="1251"/>
      <c r="L6" s="1251"/>
      <c r="M6" s="1251"/>
      <c r="N6" s="1203"/>
    </row>
    <row r="7" spans="1:15" ht="13.5" thickBot="1" x14ac:dyDescent="0.25">
      <c r="A7" s="1192" t="s">
        <v>0</v>
      </c>
      <c r="B7" s="1193"/>
      <c r="C7" s="240"/>
      <c r="D7" s="240"/>
      <c r="E7" s="240"/>
      <c r="F7" s="240"/>
      <c r="G7" s="240"/>
      <c r="H7" s="240"/>
      <c r="I7" s="240"/>
      <c r="J7" s="240"/>
      <c r="K7" s="240"/>
      <c r="L7" s="240"/>
      <c r="M7" s="240"/>
      <c r="N7" s="238"/>
    </row>
    <row r="8" spans="1:15" ht="13.5" thickBot="1" x14ac:dyDescent="0.25">
      <c r="A8" s="888"/>
      <c r="B8" s="245" t="s">
        <v>774</v>
      </c>
      <c r="C8" s="269"/>
      <c r="D8" s="269"/>
      <c r="E8" s="269"/>
      <c r="F8" s="269"/>
      <c r="G8" s="269"/>
      <c r="H8" s="269"/>
      <c r="I8" s="269"/>
      <c r="J8" s="269"/>
      <c r="K8" s="269"/>
      <c r="L8" s="269"/>
      <c r="M8" s="269"/>
      <c r="N8" s="529">
        <f>SUM(C8:M8)</f>
        <v>0</v>
      </c>
    </row>
    <row r="9" spans="1:15" x14ac:dyDescent="0.2">
      <c r="A9" s="888"/>
      <c r="B9" s="245" t="s">
        <v>775</v>
      </c>
      <c r="C9" s="269"/>
      <c r="D9" s="269"/>
      <c r="E9" s="269"/>
      <c r="F9" s="269"/>
      <c r="G9" s="269"/>
      <c r="H9" s="269"/>
      <c r="I9" s="269"/>
      <c r="J9" s="269"/>
      <c r="K9" s="269"/>
      <c r="L9" s="269"/>
      <c r="M9" s="269"/>
      <c r="N9" s="529">
        <f>SUM(C9:M9)</f>
        <v>0</v>
      </c>
    </row>
    <row r="10" spans="1:15" ht="13.5" thickBot="1" x14ac:dyDescent="0.25">
      <c r="A10" s="1194" t="s">
        <v>444</v>
      </c>
      <c r="B10" s="1193"/>
      <c r="C10" s="271">
        <f>SUM(C8:C9)</f>
        <v>0</v>
      </c>
      <c r="D10" s="271">
        <f t="shared" ref="D10:M10" si="0">SUM(D8:D9)</f>
        <v>0</v>
      </c>
      <c r="E10" s="271">
        <f t="shared" si="0"/>
        <v>0</v>
      </c>
      <c r="F10" s="271">
        <f t="shared" si="0"/>
        <v>0</v>
      </c>
      <c r="G10" s="271">
        <f t="shared" si="0"/>
        <v>0</v>
      </c>
      <c r="H10" s="271">
        <f t="shared" si="0"/>
        <v>0</v>
      </c>
      <c r="I10" s="271">
        <f t="shared" si="0"/>
        <v>0</v>
      </c>
      <c r="J10" s="271">
        <f t="shared" si="0"/>
        <v>0</v>
      </c>
      <c r="K10" s="271">
        <f t="shared" si="0"/>
        <v>0</v>
      </c>
      <c r="L10" s="271">
        <f t="shared" si="0"/>
        <v>0</v>
      </c>
      <c r="M10" s="271">
        <f t="shared" si="0"/>
        <v>0</v>
      </c>
      <c r="N10" s="271">
        <f>SUM(C10:M10)</f>
        <v>0</v>
      </c>
    </row>
    <row r="11" spans="1:15" ht="13.5" thickBot="1" x14ac:dyDescent="0.25">
      <c r="A11" s="889"/>
      <c r="B11" s="244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529"/>
    </row>
    <row r="12" spans="1:15" ht="13.5" thickBot="1" x14ac:dyDescent="0.25">
      <c r="A12" s="1194" t="s">
        <v>445</v>
      </c>
      <c r="B12" s="1210"/>
      <c r="C12" s="876"/>
      <c r="D12" s="876"/>
      <c r="E12" s="876"/>
      <c r="F12" s="876"/>
      <c r="G12" s="876"/>
      <c r="H12" s="876"/>
      <c r="I12" s="876"/>
      <c r="J12" s="876"/>
      <c r="K12" s="876"/>
      <c r="L12" s="876"/>
      <c r="M12" s="876"/>
      <c r="N12" s="877"/>
    </row>
    <row r="13" spans="1:15" x14ac:dyDescent="0.2">
      <c r="A13" s="890">
        <v>5110350300</v>
      </c>
      <c r="B13" s="880" t="s">
        <v>223</v>
      </c>
      <c r="C13" s="881"/>
      <c r="D13" s="881"/>
      <c r="E13" s="881"/>
      <c r="F13" s="881"/>
      <c r="G13" s="881"/>
      <c r="H13" s="881"/>
      <c r="I13" s="881"/>
      <c r="J13" s="882"/>
      <c r="K13" s="882"/>
      <c r="L13" s="882"/>
      <c r="M13" s="882"/>
      <c r="N13" s="883">
        <f t="shared" ref="N13:N27" si="1">SUM(C13:M13)</f>
        <v>0</v>
      </c>
      <c r="O13" s="602"/>
    </row>
    <row r="14" spans="1:15" x14ac:dyDescent="0.2">
      <c r="A14" s="891">
        <v>5120950000</v>
      </c>
      <c r="B14" s="245" t="s">
        <v>446</v>
      </c>
      <c r="C14" s="305"/>
      <c r="D14" s="305"/>
      <c r="E14" s="305"/>
      <c r="F14" s="305"/>
      <c r="G14" s="305"/>
      <c r="H14" s="305"/>
      <c r="I14" s="305"/>
      <c r="J14" s="269"/>
      <c r="K14" s="269"/>
      <c r="L14" s="269"/>
      <c r="M14" s="269"/>
      <c r="N14" s="529">
        <f t="shared" si="1"/>
        <v>0</v>
      </c>
      <c r="O14" s="602"/>
    </row>
    <row r="15" spans="1:15" x14ac:dyDescent="0.2">
      <c r="A15" s="891">
        <v>5130100000</v>
      </c>
      <c r="B15" s="245" t="s">
        <v>447</v>
      </c>
      <c r="C15" s="305"/>
      <c r="D15" s="305"/>
      <c r="E15" s="305"/>
      <c r="F15" s="305"/>
      <c r="G15" s="305"/>
      <c r="H15" s="305"/>
      <c r="I15" s="305"/>
      <c r="J15" s="269"/>
      <c r="K15" s="269"/>
      <c r="L15" s="269"/>
      <c r="M15" s="269"/>
      <c r="N15" s="529">
        <f t="shared" si="1"/>
        <v>0</v>
      </c>
      <c r="O15" s="602"/>
    </row>
    <row r="16" spans="1:15" x14ac:dyDescent="0.2">
      <c r="A16" s="891">
        <v>5135400000</v>
      </c>
      <c r="B16" s="245" t="s">
        <v>448</v>
      </c>
      <c r="C16" s="305"/>
      <c r="D16" s="305"/>
      <c r="E16" s="305"/>
      <c r="F16" s="305"/>
      <c r="G16" s="305"/>
      <c r="H16" s="305"/>
      <c r="I16" s="305"/>
      <c r="J16" s="269"/>
      <c r="K16" s="269"/>
      <c r="L16" s="269"/>
      <c r="M16" s="269"/>
      <c r="N16" s="529">
        <f t="shared" si="1"/>
        <v>0</v>
      </c>
      <c r="O16" s="602"/>
    </row>
    <row r="17" spans="1:15" x14ac:dyDescent="0.2">
      <c r="A17" s="891">
        <v>5135950500</v>
      </c>
      <c r="B17" s="245" t="s">
        <v>449</v>
      </c>
      <c r="C17" s="305"/>
      <c r="D17" s="305"/>
      <c r="E17" s="305"/>
      <c r="F17" s="305"/>
      <c r="G17" s="305"/>
      <c r="H17" s="305"/>
      <c r="I17" s="305"/>
      <c r="J17" s="269"/>
      <c r="K17" s="269"/>
      <c r="L17" s="269"/>
      <c r="M17" s="269"/>
      <c r="N17" s="529">
        <f t="shared" si="1"/>
        <v>0</v>
      </c>
      <c r="O17" s="602"/>
    </row>
    <row r="18" spans="1:15" x14ac:dyDescent="0.2">
      <c r="A18" s="891">
        <v>5135950600</v>
      </c>
      <c r="B18" s="245" t="s">
        <v>450</v>
      </c>
      <c r="C18" s="305"/>
      <c r="D18" s="305"/>
      <c r="E18" s="305"/>
      <c r="F18" s="305"/>
      <c r="G18" s="305"/>
      <c r="H18" s="305"/>
      <c r="I18" s="305"/>
      <c r="J18" s="269"/>
      <c r="K18" s="269"/>
      <c r="L18" s="269"/>
      <c r="M18" s="269"/>
      <c r="N18" s="529">
        <f t="shared" si="1"/>
        <v>0</v>
      </c>
      <c r="O18" s="602"/>
    </row>
    <row r="19" spans="1:15" x14ac:dyDescent="0.2">
      <c r="A19" s="891">
        <v>5155050000</v>
      </c>
      <c r="B19" s="245" t="s">
        <v>420</v>
      </c>
      <c r="C19" s="305"/>
      <c r="D19" s="305"/>
      <c r="E19" s="305"/>
      <c r="F19" s="305"/>
      <c r="G19" s="305"/>
      <c r="H19" s="305"/>
      <c r="I19" s="305"/>
      <c r="J19" s="269"/>
      <c r="K19" s="269"/>
      <c r="L19" s="269"/>
      <c r="M19" s="269"/>
      <c r="N19" s="529">
        <f t="shared" si="1"/>
        <v>0</v>
      </c>
      <c r="O19" s="602"/>
    </row>
    <row r="20" spans="1:15" x14ac:dyDescent="0.2">
      <c r="A20" s="891">
        <v>5155150000</v>
      </c>
      <c r="B20" s="245" t="s">
        <v>233</v>
      </c>
      <c r="C20" s="305"/>
      <c r="D20" s="305"/>
      <c r="E20" s="305"/>
      <c r="F20" s="305"/>
      <c r="G20" s="305"/>
      <c r="H20" s="305"/>
      <c r="I20" s="305"/>
      <c r="J20" s="269"/>
      <c r="K20" s="269"/>
      <c r="L20" s="269"/>
      <c r="M20" s="269"/>
      <c r="N20" s="529">
        <f t="shared" si="1"/>
        <v>0</v>
      </c>
      <c r="O20" s="602"/>
    </row>
    <row r="21" spans="1:15" x14ac:dyDescent="0.2">
      <c r="A21" s="891">
        <v>5195200000</v>
      </c>
      <c r="B21" s="245" t="s">
        <v>452</v>
      </c>
      <c r="C21" s="305"/>
      <c r="D21" s="305"/>
      <c r="E21" s="305"/>
      <c r="F21" s="305"/>
      <c r="G21" s="305"/>
      <c r="H21" s="305"/>
      <c r="I21" s="305"/>
      <c r="J21" s="269"/>
      <c r="K21" s="269"/>
      <c r="L21" s="269"/>
      <c r="M21" s="269"/>
      <c r="N21" s="529">
        <f t="shared" si="1"/>
        <v>0</v>
      </c>
      <c r="O21" s="602"/>
    </row>
    <row r="22" spans="1:15" x14ac:dyDescent="0.2">
      <c r="A22" s="891">
        <v>5195300000</v>
      </c>
      <c r="B22" s="245" t="s">
        <v>453</v>
      </c>
      <c r="C22" s="305"/>
      <c r="D22" s="305"/>
      <c r="E22" s="305"/>
      <c r="F22" s="305"/>
      <c r="G22" s="305"/>
      <c r="H22" s="305"/>
      <c r="I22" s="305"/>
      <c r="J22" s="269"/>
      <c r="K22" s="269"/>
      <c r="L22" s="269"/>
      <c r="M22" s="269"/>
      <c r="N22" s="529">
        <f t="shared" si="1"/>
        <v>0</v>
      </c>
      <c r="O22" s="602"/>
    </row>
    <row r="23" spans="1:15" x14ac:dyDescent="0.2">
      <c r="A23" s="891">
        <v>5195450000</v>
      </c>
      <c r="B23" s="245" t="s">
        <v>454</v>
      </c>
      <c r="C23" s="305"/>
      <c r="D23" s="305"/>
      <c r="E23" s="305"/>
      <c r="F23" s="305"/>
      <c r="G23" s="305"/>
      <c r="H23" s="305"/>
      <c r="I23" s="305"/>
      <c r="J23" s="269"/>
      <c r="K23" s="269"/>
      <c r="L23" s="269"/>
      <c r="M23" s="269"/>
      <c r="N23" s="529">
        <f t="shared" si="1"/>
        <v>0</v>
      </c>
      <c r="O23" s="602"/>
    </row>
    <row r="24" spans="1:15" x14ac:dyDescent="0.2">
      <c r="A24" s="891">
        <v>5195950200</v>
      </c>
      <c r="B24" s="245" t="s">
        <v>455</v>
      </c>
      <c r="C24" s="305"/>
      <c r="D24" s="305"/>
      <c r="E24" s="305"/>
      <c r="F24" s="305"/>
      <c r="G24" s="305"/>
      <c r="H24" s="305"/>
      <c r="I24" s="305"/>
      <c r="J24" s="269"/>
      <c r="K24" s="269"/>
      <c r="L24" s="269"/>
      <c r="M24" s="269"/>
      <c r="N24" s="529">
        <f t="shared" si="1"/>
        <v>0</v>
      </c>
      <c r="O24" s="602"/>
    </row>
    <row r="25" spans="1:15" x14ac:dyDescent="0.2">
      <c r="A25" s="891">
        <v>5195951600</v>
      </c>
      <c r="B25" s="246" t="s">
        <v>456</v>
      </c>
      <c r="C25" s="305"/>
      <c r="D25" s="305"/>
      <c r="E25" s="305"/>
      <c r="F25" s="305"/>
      <c r="G25" s="305"/>
      <c r="H25" s="305"/>
      <c r="I25" s="305"/>
      <c r="J25" s="269"/>
      <c r="K25" s="269"/>
      <c r="L25" s="269"/>
      <c r="M25" s="269"/>
      <c r="N25" s="529">
        <f t="shared" si="1"/>
        <v>0</v>
      </c>
      <c r="O25" s="602"/>
    </row>
    <row r="26" spans="1:15" x14ac:dyDescent="0.2">
      <c r="A26" s="891">
        <v>5395950000</v>
      </c>
      <c r="B26" s="246" t="s">
        <v>457</v>
      </c>
      <c r="C26" s="305"/>
      <c r="D26" s="305"/>
      <c r="E26" s="305"/>
      <c r="F26" s="305"/>
      <c r="G26" s="305"/>
      <c r="H26" s="305"/>
      <c r="I26" s="305"/>
      <c r="J26" s="269"/>
      <c r="K26" s="269"/>
      <c r="L26" s="269"/>
      <c r="M26" s="269"/>
      <c r="N26" s="529">
        <f t="shared" si="1"/>
        <v>0</v>
      </c>
      <c r="O26" s="602"/>
    </row>
    <row r="27" spans="1:15" ht="13.5" thickBot="1" x14ac:dyDescent="0.25">
      <c r="A27" s="892"/>
      <c r="B27" s="886" t="s">
        <v>459</v>
      </c>
      <c r="C27" s="887">
        <f>+C10*0.22</f>
        <v>0</v>
      </c>
      <c r="D27" s="887">
        <f t="shared" ref="D27:M27" si="2">+D10*0.22</f>
        <v>0</v>
      </c>
      <c r="E27" s="887">
        <f t="shared" si="2"/>
        <v>0</v>
      </c>
      <c r="F27" s="887">
        <f>+F10*0.22</f>
        <v>0</v>
      </c>
      <c r="G27" s="887">
        <f>+G10*0.22</f>
        <v>0</v>
      </c>
      <c r="H27" s="887">
        <f>+H10*0.22</f>
        <v>0</v>
      </c>
      <c r="I27" s="887">
        <f>+I10*0.22</f>
        <v>0</v>
      </c>
      <c r="J27" s="887">
        <f t="shared" si="2"/>
        <v>0</v>
      </c>
      <c r="K27" s="887">
        <f t="shared" si="2"/>
        <v>0</v>
      </c>
      <c r="L27" s="887">
        <f t="shared" si="2"/>
        <v>0</v>
      </c>
      <c r="M27" s="887">
        <f t="shared" si="2"/>
        <v>0</v>
      </c>
      <c r="N27" s="887">
        <f t="shared" si="1"/>
        <v>0</v>
      </c>
      <c r="O27" s="266"/>
    </row>
    <row r="28" spans="1:15" ht="13.5" thickBot="1" x14ac:dyDescent="0.25">
      <c r="A28" s="1194" t="s">
        <v>458</v>
      </c>
      <c r="B28" s="1254"/>
      <c r="C28" s="878">
        <f>SUM(C13:C27)</f>
        <v>0</v>
      </c>
      <c r="D28" s="878">
        <f>SUM(D13:D27)</f>
        <v>0</v>
      </c>
      <c r="E28" s="878">
        <f t="shared" ref="E28:M28" si="3">SUM(E13:E27)</f>
        <v>0</v>
      </c>
      <c r="F28" s="878">
        <f>SUM(F13:F27)</f>
        <v>0</v>
      </c>
      <c r="G28" s="878">
        <f>SUM(G13:G27)</f>
        <v>0</v>
      </c>
      <c r="H28" s="878">
        <f>SUM(H13:H27)</f>
        <v>0</v>
      </c>
      <c r="I28" s="878">
        <f>SUM(I13:I27)</f>
        <v>0</v>
      </c>
      <c r="J28" s="878">
        <f t="shared" si="3"/>
        <v>0</v>
      </c>
      <c r="K28" s="878">
        <f t="shared" si="3"/>
        <v>0</v>
      </c>
      <c r="L28" s="878">
        <f t="shared" si="3"/>
        <v>0</v>
      </c>
      <c r="M28" s="878">
        <f t="shared" si="3"/>
        <v>0</v>
      </c>
      <c r="N28" s="267">
        <f>SUM(C28:M28)</f>
        <v>0</v>
      </c>
    </row>
    <row r="29" spans="1:15" ht="13.5" thickBot="1" x14ac:dyDescent="0.25">
      <c r="A29" s="889"/>
      <c r="B29" s="248"/>
      <c r="C29" s="273"/>
      <c r="D29" s="273"/>
      <c r="E29" s="273"/>
      <c r="F29" s="273"/>
      <c r="G29" s="273"/>
      <c r="H29" s="273"/>
      <c r="I29" s="273"/>
      <c r="J29" s="273"/>
      <c r="K29" s="273"/>
      <c r="L29" s="273"/>
      <c r="M29" s="273"/>
      <c r="N29" s="529"/>
    </row>
    <row r="30" spans="1:15" ht="13.5" thickBot="1" x14ac:dyDescent="0.25">
      <c r="A30" s="1188" t="s">
        <v>460</v>
      </c>
      <c r="B30" s="1189"/>
      <c r="C30" s="274">
        <f>+C10-C28</f>
        <v>0</v>
      </c>
      <c r="D30" s="274">
        <f t="shared" ref="D30:M30" si="4">+D10-D28</f>
        <v>0</v>
      </c>
      <c r="E30" s="274">
        <f t="shared" si="4"/>
        <v>0</v>
      </c>
      <c r="F30" s="274">
        <f>+F10-F28</f>
        <v>0</v>
      </c>
      <c r="G30" s="274">
        <f>+G10-G28</f>
        <v>0</v>
      </c>
      <c r="H30" s="274">
        <f>+H10-H28</f>
        <v>0</v>
      </c>
      <c r="I30" s="274">
        <f>+I10-I28</f>
        <v>0</v>
      </c>
      <c r="J30" s="274">
        <f t="shared" si="4"/>
        <v>0</v>
      </c>
      <c r="K30" s="274">
        <f t="shared" si="4"/>
        <v>0</v>
      </c>
      <c r="L30" s="274">
        <f t="shared" si="4"/>
        <v>0</v>
      </c>
      <c r="M30" s="274">
        <f t="shared" si="4"/>
        <v>0</v>
      </c>
      <c r="N30" s="271">
        <f>SUM(C30:M30)</f>
        <v>0</v>
      </c>
    </row>
    <row r="31" spans="1:15" x14ac:dyDescent="0.2">
      <c r="A31" s="602"/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</row>
    <row r="32" spans="1:15" x14ac:dyDescent="0.2">
      <c r="A32" s="530" t="s">
        <v>461</v>
      </c>
      <c r="B32" s="252"/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237"/>
    </row>
    <row r="33" spans="1:1" s="237" customFormat="1" x14ac:dyDescent="0.2">
      <c r="A33" s="602"/>
    </row>
    <row r="34" spans="1:1" s="237" customFormat="1" x14ac:dyDescent="0.2">
      <c r="A34" s="602"/>
    </row>
    <row r="35" spans="1:1" s="237" customFormat="1" x14ac:dyDescent="0.2">
      <c r="A35" s="602"/>
    </row>
    <row r="36" spans="1:1" s="237" customFormat="1" x14ac:dyDescent="0.2">
      <c r="A36" s="602"/>
    </row>
    <row r="37" spans="1:1" s="237" customFormat="1" x14ac:dyDescent="0.2">
      <c r="A37" s="602"/>
    </row>
    <row r="38" spans="1:1" s="237" customFormat="1" x14ac:dyDescent="0.2">
      <c r="A38" s="602"/>
    </row>
    <row r="39" spans="1:1" s="237" customFormat="1" x14ac:dyDescent="0.2">
      <c r="A39" s="602"/>
    </row>
    <row r="40" spans="1:1" s="237" customFormat="1" x14ac:dyDescent="0.2">
      <c r="A40" s="602"/>
    </row>
    <row r="41" spans="1:1" s="237" customFormat="1" x14ac:dyDescent="0.2">
      <c r="A41" s="602"/>
    </row>
    <row r="42" spans="1:1" s="237" customFormat="1" x14ac:dyDescent="0.2">
      <c r="A42" s="602"/>
    </row>
    <row r="43" spans="1:1" s="237" customFormat="1" x14ac:dyDescent="0.2">
      <c r="A43" s="602"/>
    </row>
    <row r="44" spans="1:1" s="237" customFormat="1" x14ac:dyDescent="0.2">
      <c r="A44" s="602"/>
    </row>
    <row r="45" spans="1:1" s="237" customFormat="1" x14ac:dyDescent="0.2">
      <c r="A45" s="602"/>
    </row>
    <row r="46" spans="1:1" s="237" customFormat="1" x14ac:dyDescent="0.2">
      <c r="A46" s="602"/>
    </row>
    <row r="47" spans="1:1" s="237" customFormat="1" x14ac:dyDescent="0.2">
      <c r="A47" s="602"/>
    </row>
    <row r="48" spans="1:1" s="237" customFormat="1" x14ac:dyDescent="0.2">
      <c r="A48" s="602"/>
    </row>
    <row r="49" spans="1:1" s="237" customFormat="1" x14ac:dyDescent="0.2">
      <c r="A49" s="602"/>
    </row>
    <row r="50" spans="1:1" s="237" customFormat="1" x14ac:dyDescent="0.2">
      <c r="A50" s="602"/>
    </row>
    <row r="51" spans="1:1" s="237" customFormat="1" x14ac:dyDescent="0.2">
      <c r="A51" s="602"/>
    </row>
    <row r="52" spans="1:1" s="237" customFormat="1" x14ac:dyDescent="0.2">
      <c r="A52" s="602"/>
    </row>
    <row r="53" spans="1:1" s="237" customFormat="1" x14ac:dyDescent="0.2">
      <c r="A53" s="602"/>
    </row>
    <row r="54" spans="1:1" s="237" customFormat="1" x14ac:dyDescent="0.2">
      <c r="A54" s="602"/>
    </row>
    <row r="55" spans="1:1" s="237" customFormat="1" x14ac:dyDescent="0.2">
      <c r="A55" s="602"/>
    </row>
    <row r="56" spans="1:1" s="237" customFormat="1" x14ac:dyDescent="0.2">
      <c r="A56" s="602"/>
    </row>
    <row r="57" spans="1:1" s="237" customFormat="1" x14ac:dyDescent="0.2">
      <c r="A57" s="602"/>
    </row>
    <row r="58" spans="1:1" s="237" customFormat="1" x14ac:dyDescent="0.2">
      <c r="A58" s="602"/>
    </row>
    <row r="59" spans="1:1" s="237" customFormat="1" x14ac:dyDescent="0.2">
      <c r="A59" s="602"/>
    </row>
    <row r="60" spans="1:1" s="237" customFormat="1" x14ac:dyDescent="0.2">
      <c r="A60" s="602"/>
    </row>
    <row r="61" spans="1:1" s="237" customFormat="1" x14ac:dyDescent="0.2">
      <c r="A61" s="602"/>
    </row>
    <row r="62" spans="1:1" s="237" customFormat="1" x14ac:dyDescent="0.2">
      <c r="A62" s="602"/>
    </row>
    <row r="63" spans="1:1" s="237" customFormat="1" x14ac:dyDescent="0.2">
      <c r="A63" s="602"/>
    </row>
    <row r="64" spans="1:1" s="237" customFormat="1" x14ac:dyDescent="0.2">
      <c r="A64" s="602"/>
    </row>
    <row r="65" spans="1:1" s="237" customFormat="1" x14ac:dyDescent="0.2">
      <c r="A65" s="602"/>
    </row>
    <row r="66" spans="1:1" s="237" customFormat="1" x14ac:dyDescent="0.2">
      <c r="A66" s="602"/>
    </row>
    <row r="67" spans="1:1" s="237" customFormat="1" x14ac:dyDescent="0.2">
      <c r="A67" s="602"/>
    </row>
    <row r="68" spans="1:1" s="237" customFormat="1" x14ac:dyDescent="0.2">
      <c r="A68" s="602"/>
    </row>
    <row r="69" spans="1:1" s="237" customFormat="1" x14ac:dyDescent="0.2">
      <c r="A69" s="602"/>
    </row>
    <row r="70" spans="1:1" s="237" customFormat="1" x14ac:dyDescent="0.2">
      <c r="A70" s="602"/>
    </row>
    <row r="71" spans="1:1" s="237" customFormat="1" x14ac:dyDescent="0.2">
      <c r="A71" s="602"/>
    </row>
    <row r="72" spans="1:1" s="237" customFormat="1" x14ac:dyDescent="0.2">
      <c r="A72" s="602"/>
    </row>
    <row r="73" spans="1:1" s="237" customFormat="1" x14ac:dyDescent="0.2">
      <c r="A73" s="602"/>
    </row>
    <row r="74" spans="1:1" s="237" customFormat="1" x14ac:dyDescent="0.2">
      <c r="A74" s="602"/>
    </row>
    <row r="75" spans="1:1" s="237" customFormat="1" x14ac:dyDescent="0.2">
      <c r="A75" s="602"/>
    </row>
    <row r="76" spans="1:1" s="237" customFormat="1" x14ac:dyDescent="0.2">
      <c r="A76" s="602"/>
    </row>
    <row r="77" spans="1:1" s="237" customFormat="1" x14ac:dyDescent="0.2">
      <c r="A77" s="602"/>
    </row>
    <row r="78" spans="1:1" s="237" customFormat="1" x14ac:dyDescent="0.2">
      <c r="A78" s="602"/>
    </row>
    <row r="79" spans="1:1" s="237" customFormat="1" x14ac:dyDescent="0.2">
      <c r="A79" s="602"/>
    </row>
    <row r="80" spans="1:1" s="237" customFormat="1" x14ac:dyDescent="0.2">
      <c r="A80" s="602"/>
    </row>
    <row r="81" spans="1:1" s="237" customFormat="1" x14ac:dyDescent="0.2">
      <c r="A81" s="602"/>
    </row>
    <row r="82" spans="1:1" s="237" customFormat="1" x14ac:dyDescent="0.2">
      <c r="A82" s="602"/>
    </row>
    <row r="83" spans="1:1" s="237" customFormat="1" x14ac:dyDescent="0.2">
      <c r="A83" s="602"/>
    </row>
    <row r="84" spans="1:1" s="237" customFormat="1" x14ac:dyDescent="0.2">
      <c r="A84" s="602"/>
    </row>
    <row r="85" spans="1:1" s="237" customFormat="1" x14ac:dyDescent="0.2">
      <c r="A85" s="602"/>
    </row>
    <row r="86" spans="1:1" s="237" customFormat="1" x14ac:dyDescent="0.2">
      <c r="A86" s="602"/>
    </row>
    <row r="87" spans="1:1" s="237" customFormat="1" x14ac:dyDescent="0.2">
      <c r="A87" s="602"/>
    </row>
    <row r="88" spans="1:1" s="237" customFormat="1" x14ac:dyDescent="0.2">
      <c r="A88" s="602"/>
    </row>
    <row r="89" spans="1:1" s="237" customFormat="1" x14ac:dyDescent="0.2">
      <c r="A89" s="602"/>
    </row>
    <row r="90" spans="1:1" s="237" customFormat="1" x14ac:dyDescent="0.2">
      <c r="A90" s="602"/>
    </row>
    <row r="91" spans="1:1" s="237" customFormat="1" x14ac:dyDescent="0.2">
      <c r="A91" s="602"/>
    </row>
    <row r="92" spans="1:1" s="237" customFormat="1" x14ac:dyDescent="0.2">
      <c r="A92" s="602"/>
    </row>
    <row r="93" spans="1:1" s="237" customFormat="1" x14ac:dyDescent="0.2">
      <c r="A93" s="602"/>
    </row>
    <row r="94" spans="1:1" s="237" customFormat="1" x14ac:dyDescent="0.2">
      <c r="A94" s="602"/>
    </row>
    <row r="95" spans="1:1" s="237" customFormat="1" x14ac:dyDescent="0.2">
      <c r="A95" s="602"/>
    </row>
    <row r="96" spans="1:1" s="237" customFormat="1" x14ac:dyDescent="0.2">
      <c r="A96" s="602"/>
    </row>
    <row r="97" spans="1:1" s="237" customFormat="1" x14ac:dyDescent="0.2">
      <c r="A97" s="602"/>
    </row>
    <row r="98" spans="1:1" s="237" customFormat="1" x14ac:dyDescent="0.2">
      <c r="A98" s="602"/>
    </row>
    <row r="99" spans="1:1" s="237" customFormat="1" x14ac:dyDescent="0.2">
      <c r="A99" s="602"/>
    </row>
    <row r="100" spans="1:1" s="237" customFormat="1" x14ac:dyDescent="0.2">
      <c r="A100" s="602"/>
    </row>
    <row r="101" spans="1:1" s="237" customFormat="1" x14ac:dyDescent="0.2">
      <c r="A101" s="602"/>
    </row>
    <row r="102" spans="1:1" s="237" customFormat="1" x14ac:dyDescent="0.2">
      <c r="A102" s="602"/>
    </row>
    <row r="103" spans="1:1" s="237" customFormat="1" x14ac:dyDescent="0.2">
      <c r="A103" s="602"/>
    </row>
    <row r="104" spans="1:1" s="237" customFormat="1" x14ac:dyDescent="0.2">
      <c r="A104" s="602"/>
    </row>
    <row r="105" spans="1:1" s="237" customFormat="1" x14ac:dyDescent="0.2">
      <c r="A105" s="602"/>
    </row>
    <row r="106" spans="1:1" s="237" customFormat="1" x14ac:dyDescent="0.2">
      <c r="A106" s="602"/>
    </row>
    <row r="107" spans="1:1" s="237" customFormat="1" x14ac:dyDescent="0.2">
      <c r="A107" s="602"/>
    </row>
    <row r="108" spans="1:1" s="237" customFormat="1" x14ac:dyDescent="0.2">
      <c r="A108" s="602"/>
    </row>
    <row r="109" spans="1:1" s="237" customFormat="1" x14ac:dyDescent="0.2">
      <c r="A109" s="602"/>
    </row>
    <row r="110" spans="1:1" s="237" customFormat="1" x14ac:dyDescent="0.2">
      <c r="A110" s="602"/>
    </row>
    <row r="111" spans="1:1" s="237" customFormat="1" x14ac:dyDescent="0.2">
      <c r="A111" s="602"/>
    </row>
    <row r="112" spans="1:1" s="237" customFormat="1" x14ac:dyDescent="0.2">
      <c r="A112" s="602"/>
    </row>
    <row r="113" spans="1:1" s="237" customFormat="1" x14ac:dyDescent="0.2">
      <c r="A113" s="602"/>
    </row>
    <row r="114" spans="1:1" s="237" customFormat="1" x14ac:dyDescent="0.2">
      <c r="A114" s="602"/>
    </row>
    <row r="115" spans="1:1" s="237" customFormat="1" x14ac:dyDescent="0.2">
      <c r="A115" s="602"/>
    </row>
    <row r="116" spans="1:1" s="237" customFormat="1" x14ac:dyDescent="0.2">
      <c r="A116" s="602"/>
    </row>
    <row r="117" spans="1:1" s="237" customFormat="1" x14ac:dyDescent="0.2">
      <c r="A117" s="602"/>
    </row>
    <row r="118" spans="1:1" s="237" customFormat="1" x14ac:dyDescent="0.2">
      <c r="A118" s="602"/>
    </row>
    <row r="119" spans="1:1" s="237" customFormat="1" x14ac:dyDescent="0.2">
      <c r="A119" s="602"/>
    </row>
    <row r="120" spans="1:1" s="237" customFormat="1" x14ac:dyDescent="0.2">
      <c r="A120" s="602"/>
    </row>
    <row r="121" spans="1:1" s="237" customFormat="1" x14ac:dyDescent="0.2">
      <c r="A121" s="602"/>
    </row>
    <row r="122" spans="1:1" s="237" customFormat="1" x14ac:dyDescent="0.2">
      <c r="A122" s="602"/>
    </row>
    <row r="123" spans="1:1" s="237" customFormat="1" x14ac:dyDescent="0.2">
      <c r="A123" s="602"/>
    </row>
    <row r="124" spans="1:1" s="237" customFormat="1" x14ac:dyDescent="0.2">
      <c r="A124" s="602"/>
    </row>
    <row r="125" spans="1:1" s="237" customFormat="1" x14ac:dyDescent="0.2">
      <c r="A125" s="602"/>
    </row>
    <row r="126" spans="1:1" s="237" customFormat="1" x14ac:dyDescent="0.2">
      <c r="A126" s="602"/>
    </row>
    <row r="127" spans="1:1" s="237" customFormat="1" x14ac:dyDescent="0.2">
      <c r="A127" s="602"/>
    </row>
    <row r="128" spans="1:1" s="237" customFormat="1" x14ac:dyDescent="0.2">
      <c r="A128" s="602"/>
    </row>
    <row r="129" spans="1:1" s="237" customFormat="1" x14ac:dyDescent="0.2">
      <c r="A129" s="602"/>
    </row>
    <row r="130" spans="1:1" s="237" customFormat="1" x14ac:dyDescent="0.2">
      <c r="A130" s="602"/>
    </row>
    <row r="131" spans="1:1" s="237" customFormat="1" x14ac:dyDescent="0.2">
      <c r="A131" s="602"/>
    </row>
    <row r="132" spans="1:1" s="237" customFormat="1" x14ac:dyDescent="0.2">
      <c r="A132" s="602"/>
    </row>
    <row r="133" spans="1:1" s="237" customFormat="1" x14ac:dyDescent="0.2">
      <c r="A133" s="602"/>
    </row>
    <row r="134" spans="1:1" s="237" customFormat="1" x14ac:dyDescent="0.2">
      <c r="A134" s="602"/>
    </row>
    <row r="135" spans="1:1" s="237" customFormat="1" x14ac:dyDescent="0.2">
      <c r="A135" s="602"/>
    </row>
    <row r="136" spans="1:1" s="237" customFormat="1" x14ac:dyDescent="0.2">
      <c r="A136" s="602"/>
    </row>
    <row r="137" spans="1:1" s="237" customFormat="1" x14ac:dyDescent="0.2">
      <c r="A137" s="602"/>
    </row>
    <row r="138" spans="1:1" s="237" customFormat="1" x14ac:dyDescent="0.2">
      <c r="A138" s="602"/>
    </row>
    <row r="139" spans="1:1" s="237" customFormat="1" x14ac:dyDescent="0.2">
      <c r="A139" s="602"/>
    </row>
    <row r="140" spans="1:1" s="237" customFormat="1" x14ac:dyDescent="0.2">
      <c r="A140" s="602"/>
    </row>
    <row r="141" spans="1:1" s="237" customFormat="1" x14ac:dyDescent="0.2">
      <c r="A141" s="602"/>
    </row>
    <row r="142" spans="1:1" s="237" customFormat="1" x14ac:dyDescent="0.2">
      <c r="A142" s="602"/>
    </row>
    <row r="143" spans="1:1" s="237" customFormat="1" x14ac:dyDescent="0.2">
      <c r="A143" s="602"/>
    </row>
    <row r="144" spans="1:1" s="237" customFormat="1" x14ac:dyDescent="0.2">
      <c r="A144" s="602"/>
    </row>
    <row r="145" spans="1:1" s="237" customFormat="1" x14ac:dyDescent="0.2">
      <c r="A145" s="602"/>
    </row>
    <row r="146" spans="1:1" s="237" customFormat="1" x14ac:dyDescent="0.2">
      <c r="A146" s="602"/>
    </row>
    <row r="147" spans="1:1" s="237" customFormat="1" x14ac:dyDescent="0.2">
      <c r="A147" s="602"/>
    </row>
    <row r="148" spans="1:1" s="237" customFormat="1" x14ac:dyDescent="0.2">
      <c r="A148" s="602"/>
    </row>
    <row r="149" spans="1:1" s="237" customFormat="1" x14ac:dyDescent="0.2">
      <c r="A149" s="602"/>
    </row>
    <row r="150" spans="1:1" s="237" customFormat="1" x14ac:dyDescent="0.2">
      <c r="A150" s="602"/>
    </row>
    <row r="151" spans="1:1" s="237" customFormat="1" x14ac:dyDescent="0.2">
      <c r="A151" s="602"/>
    </row>
    <row r="152" spans="1:1" s="237" customFormat="1" x14ac:dyDescent="0.2">
      <c r="A152" s="602"/>
    </row>
    <row r="153" spans="1:1" s="237" customFormat="1" x14ac:dyDescent="0.2">
      <c r="A153" s="602"/>
    </row>
    <row r="154" spans="1:1" s="237" customFormat="1" x14ac:dyDescent="0.2">
      <c r="A154" s="602"/>
    </row>
    <row r="155" spans="1:1" s="237" customFormat="1" x14ac:dyDescent="0.2">
      <c r="A155" s="602"/>
    </row>
    <row r="156" spans="1:1" s="237" customFormat="1" x14ac:dyDescent="0.2">
      <c r="A156" s="602"/>
    </row>
    <row r="157" spans="1:1" s="237" customFormat="1" x14ac:dyDescent="0.2">
      <c r="A157" s="602"/>
    </row>
    <row r="158" spans="1:1" s="237" customFormat="1" x14ac:dyDescent="0.2">
      <c r="A158" s="602"/>
    </row>
    <row r="159" spans="1:1" s="237" customFormat="1" x14ac:dyDescent="0.2">
      <c r="A159" s="602"/>
    </row>
    <row r="160" spans="1:1" s="237" customFormat="1" x14ac:dyDescent="0.2">
      <c r="A160" s="602"/>
    </row>
    <row r="161" spans="1:1" s="237" customFormat="1" x14ac:dyDescent="0.2">
      <c r="A161" s="602"/>
    </row>
    <row r="162" spans="1:1" s="237" customFormat="1" x14ac:dyDescent="0.2">
      <c r="A162" s="602"/>
    </row>
    <row r="163" spans="1:1" s="237" customFormat="1" x14ac:dyDescent="0.2">
      <c r="A163" s="602"/>
    </row>
    <row r="164" spans="1:1" s="237" customFormat="1" x14ac:dyDescent="0.2">
      <c r="A164" s="602"/>
    </row>
    <row r="165" spans="1:1" s="237" customFormat="1" x14ac:dyDescent="0.2">
      <c r="A165" s="602"/>
    </row>
    <row r="166" spans="1:1" s="237" customFormat="1" x14ac:dyDescent="0.2">
      <c r="A166" s="602"/>
    </row>
    <row r="167" spans="1:1" s="237" customFormat="1" x14ac:dyDescent="0.2">
      <c r="A167" s="602"/>
    </row>
    <row r="168" spans="1:1" s="237" customFormat="1" x14ac:dyDescent="0.2">
      <c r="A168" s="602"/>
    </row>
    <row r="169" spans="1:1" s="237" customFormat="1" x14ac:dyDescent="0.2">
      <c r="A169" s="602"/>
    </row>
    <row r="170" spans="1:1" s="237" customFormat="1" x14ac:dyDescent="0.2">
      <c r="A170" s="602"/>
    </row>
    <row r="171" spans="1:1" s="237" customFormat="1" x14ac:dyDescent="0.2">
      <c r="A171" s="602"/>
    </row>
    <row r="172" spans="1:1" s="237" customFormat="1" x14ac:dyDescent="0.2">
      <c r="A172" s="602"/>
    </row>
    <row r="173" spans="1:1" s="237" customFormat="1" x14ac:dyDescent="0.2">
      <c r="A173" s="602"/>
    </row>
    <row r="174" spans="1:1" s="237" customFormat="1" x14ac:dyDescent="0.2">
      <c r="A174" s="602"/>
    </row>
    <row r="175" spans="1:1" s="237" customFormat="1" x14ac:dyDescent="0.2">
      <c r="A175" s="602"/>
    </row>
    <row r="176" spans="1:1" s="237" customFormat="1" x14ac:dyDescent="0.2">
      <c r="A176" s="602"/>
    </row>
    <row r="177" spans="1:1" s="237" customFormat="1" x14ac:dyDescent="0.2">
      <c r="A177" s="602"/>
    </row>
    <row r="178" spans="1:1" s="237" customFormat="1" x14ac:dyDescent="0.2">
      <c r="A178" s="602"/>
    </row>
    <row r="179" spans="1:1" s="237" customFormat="1" x14ac:dyDescent="0.2">
      <c r="A179" s="602"/>
    </row>
    <row r="180" spans="1:1" s="237" customFormat="1" x14ac:dyDescent="0.2">
      <c r="A180" s="602"/>
    </row>
    <row r="181" spans="1:1" s="237" customFormat="1" x14ac:dyDescent="0.2">
      <c r="A181" s="602"/>
    </row>
    <row r="182" spans="1:1" s="237" customFormat="1" x14ac:dyDescent="0.2">
      <c r="A182" s="602"/>
    </row>
    <row r="183" spans="1:1" s="237" customFormat="1" x14ac:dyDescent="0.2">
      <c r="A183" s="602"/>
    </row>
    <row r="184" spans="1:1" s="237" customFormat="1" x14ac:dyDescent="0.2">
      <c r="A184" s="602"/>
    </row>
    <row r="185" spans="1:1" s="237" customFormat="1" x14ac:dyDescent="0.2">
      <c r="A185" s="602"/>
    </row>
    <row r="186" spans="1:1" s="237" customFormat="1" x14ac:dyDescent="0.2">
      <c r="A186" s="602"/>
    </row>
    <row r="187" spans="1:1" s="237" customFormat="1" x14ac:dyDescent="0.2">
      <c r="A187" s="602"/>
    </row>
    <row r="188" spans="1:1" s="237" customFormat="1" x14ac:dyDescent="0.2">
      <c r="A188" s="602"/>
    </row>
    <row r="189" spans="1:1" s="237" customFormat="1" x14ac:dyDescent="0.2">
      <c r="A189" s="602"/>
    </row>
    <row r="190" spans="1:1" s="237" customFormat="1" x14ac:dyDescent="0.2">
      <c r="A190" s="602"/>
    </row>
    <row r="191" spans="1:1" s="237" customFormat="1" x14ac:dyDescent="0.2">
      <c r="A191" s="602"/>
    </row>
    <row r="192" spans="1:1" s="237" customFormat="1" x14ac:dyDescent="0.2">
      <c r="A192" s="602"/>
    </row>
    <row r="193" spans="1:1" s="237" customFormat="1" x14ac:dyDescent="0.2">
      <c r="A193" s="602"/>
    </row>
    <row r="194" spans="1:1" s="237" customFormat="1" x14ac:dyDescent="0.2">
      <c r="A194" s="602"/>
    </row>
    <row r="195" spans="1:1" s="237" customFormat="1" x14ac:dyDescent="0.2">
      <c r="A195" s="602"/>
    </row>
    <row r="196" spans="1:1" s="237" customFormat="1" x14ac:dyDescent="0.2">
      <c r="A196" s="602"/>
    </row>
    <row r="197" spans="1:1" s="237" customFormat="1" x14ac:dyDescent="0.2">
      <c r="A197" s="602"/>
    </row>
    <row r="198" spans="1:1" s="237" customFormat="1" x14ac:dyDescent="0.2">
      <c r="A198" s="602"/>
    </row>
    <row r="199" spans="1:1" s="237" customFormat="1" x14ac:dyDescent="0.2">
      <c r="A199" s="602"/>
    </row>
    <row r="200" spans="1:1" s="237" customFormat="1" x14ac:dyDescent="0.2">
      <c r="A200" s="602"/>
    </row>
    <row r="201" spans="1:1" s="237" customFormat="1" x14ac:dyDescent="0.2">
      <c r="A201" s="602"/>
    </row>
    <row r="202" spans="1:1" s="237" customFormat="1" x14ac:dyDescent="0.2">
      <c r="A202" s="602"/>
    </row>
    <row r="203" spans="1:1" s="237" customFormat="1" x14ac:dyDescent="0.2">
      <c r="A203" s="602"/>
    </row>
    <row r="204" spans="1:1" s="237" customFormat="1" x14ac:dyDescent="0.2">
      <c r="A204" s="602"/>
    </row>
    <row r="205" spans="1:1" s="237" customFormat="1" x14ac:dyDescent="0.2">
      <c r="A205" s="602"/>
    </row>
    <row r="206" spans="1:1" s="237" customFormat="1" x14ac:dyDescent="0.2">
      <c r="A206" s="602"/>
    </row>
    <row r="207" spans="1:1" s="237" customFormat="1" x14ac:dyDescent="0.2">
      <c r="A207" s="602"/>
    </row>
    <row r="208" spans="1:1" s="237" customFormat="1" x14ac:dyDescent="0.2">
      <c r="A208" s="602"/>
    </row>
    <row r="209" spans="1:1" s="237" customFormat="1" x14ac:dyDescent="0.2">
      <c r="A209" s="602"/>
    </row>
    <row r="210" spans="1:1" s="237" customFormat="1" x14ac:dyDescent="0.2">
      <c r="A210" s="602"/>
    </row>
    <row r="211" spans="1:1" s="237" customFormat="1" x14ac:dyDescent="0.2">
      <c r="A211" s="602"/>
    </row>
    <row r="212" spans="1:1" s="237" customFormat="1" x14ac:dyDescent="0.2">
      <c r="A212" s="602"/>
    </row>
    <row r="213" spans="1:1" s="237" customFormat="1" x14ac:dyDescent="0.2">
      <c r="A213" s="602"/>
    </row>
    <row r="214" spans="1:1" s="237" customFormat="1" x14ac:dyDescent="0.2">
      <c r="A214" s="602"/>
    </row>
    <row r="215" spans="1:1" s="237" customFormat="1" x14ac:dyDescent="0.2">
      <c r="A215" s="602"/>
    </row>
    <row r="216" spans="1:1" s="237" customFormat="1" x14ac:dyDescent="0.2">
      <c r="A216" s="602"/>
    </row>
    <row r="217" spans="1:1" s="237" customFormat="1" x14ac:dyDescent="0.2">
      <c r="A217" s="602"/>
    </row>
    <row r="218" spans="1:1" s="237" customFormat="1" x14ac:dyDescent="0.2">
      <c r="A218" s="602"/>
    </row>
    <row r="219" spans="1:1" s="237" customFormat="1" x14ac:dyDescent="0.2">
      <c r="A219" s="602"/>
    </row>
    <row r="220" spans="1:1" s="237" customFormat="1" x14ac:dyDescent="0.2">
      <c r="A220" s="602"/>
    </row>
    <row r="221" spans="1:1" s="237" customFormat="1" x14ac:dyDescent="0.2">
      <c r="A221" s="602"/>
    </row>
    <row r="222" spans="1:1" s="237" customFormat="1" x14ac:dyDescent="0.2">
      <c r="A222" s="602"/>
    </row>
    <row r="223" spans="1:1" s="237" customFormat="1" x14ac:dyDescent="0.2">
      <c r="A223" s="602"/>
    </row>
    <row r="224" spans="1:1" s="237" customFormat="1" x14ac:dyDescent="0.2">
      <c r="A224" s="602"/>
    </row>
    <row r="225" spans="1:1" s="237" customFormat="1" x14ac:dyDescent="0.2">
      <c r="A225" s="602"/>
    </row>
    <row r="226" spans="1:1" s="237" customFormat="1" x14ac:dyDescent="0.2">
      <c r="A226" s="602"/>
    </row>
    <row r="227" spans="1:1" s="237" customFormat="1" x14ac:dyDescent="0.2">
      <c r="A227" s="602"/>
    </row>
    <row r="228" spans="1:1" s="237" customFormat="1" x14ac:dyDescent="0.2">
      <c r="A228" s="602"/>
    </row>
    <row r="229" spans="1:1" s="237" customFormat="1" x14ac:dyDescent="0.2">
      <c r="A229" s="602"/>
    </row>
    <row r="230" spans="1:1" s="237" customFormat="1" x14ac:dyDescent="0.2">
      <c r="A230" s="602"/>
    </row>
    <row r="231" spans="1:1" s="237" customFormat="1" x14ac:dyDescent="0.2">
      <c r="A231" s="602"/>
    </row>
    <row r="232" spans="1:1" s="237" customFormat="1" x14ac:dyDescent="0.2">
      <c r="A232" s="602"/>
    </row>
    <row r="233" spans="1:1" s="237" customFormat="1" x14ac:dyDescent="0.2">
      <c r="A233" s="602"/>
    </row>
    <row r="234" spans="1:1" s="237" customFormat="1" x14ac:dyDescent="0.2">
      <c r="A234" s="602"/>
    </row>
    <row r="235" spans="1:1" s="237" customFormat="1" x14ac:dyDescent="0.2">
      <c r="A235" s="602"/>
    </row>
    <row r="236" spans="1:1" s="237" customFormat="1" x14ac:dyDescent="0.2">
      <c r="A236" s="602"/>
    </row>
    <row r="237" spans="1:1" s="237" customFormat="1" x14ac:dyDescent="0.2">
      <c r="A237" s="602"/>
    </row>
    <row r="238" spans="1:1" s="237" customFormat="1" x14ac:dyDescent="0.2">
      <c r="A238" s="602"/>
    </row>
    <row r="239" spans="1:1" s="237" customFormat="1" x14ac:dyDescent="0.2">
      <c r="A239" s="602"/>
    </row>
    <row r="240" spans="1:1" s="237" customFormat="1" x14ac:dyDescent="0.2">
      <c r="A240" s="602"/>
    </row>
    <row r="241" spans="1:1" s="237" customFormat="1" x14ac:dyDescent="0.2">
      <c r="A241" s="602"/>
    </row>
    <row r="242" spans="1:1" s="237" customFormat="1" x14ac:dyDescent="0.2">
      <c r="A242" s="602"/>
    </row>
    <row r="243" spans="1:1" s="237" customFormat="1" x14ac:dyDescent="0.2">
      <c r="A243" s="602"/>
    </row>
    <row r="244" spans="1:1" s="237" customFormat="1" x14ac:dyDescent="0.2">
      <c r="A244" s="602"/>
    </row>
    <row r="245" spans="1:1" s="237" customFormat="1" x14ac:dyDescent="0.2">
      <c r="A245" s="602"/>
    </row>
    <row r="246" spans="1:1" s="237" customFormat="1" x14ac:dyDescent="0.2">
      <c r="A246" s="602"/>
    </row>
    <row r="247" spans="1:1" s="237" customFormat="1" x14ac:dyDescent="0.2">
      <c r="A247" s="602"/>
    </row>
    <row r="248" spans="1:1" s="237" customFormat="1" x14ac:dyDescent="0.2">
      <c r="A248" s="602"/>
    </row>
    <row r="249" spans="1:1" s="237" customFormat="1" x14ac:dyDescent="0.2">
      <c r="A249" s="602"/>
    </row>
    <row r="250" spans="1:1" s="237" customFormat="1" x14ac:dyDescent="0.2">
      <c r="A250" s="602"/>
    </row>
    <row r="251" spans="1:1" s="237" customFormat="1" x14ac:dyDescent="0.2">
      <c r="A251" s="602"/>
    </row>
    <row r="252" spans="1:1" s="237" customFormat="1" x14ac:dyDescent="0.2">
      <c r="A252" s="602"/>
    </row>
    <row r="253" spans="1:1" s="237" customFormat="1" x14ac:dyDescent="0.2">
      <c r="A253" s="602"/>
    </row>
    <row r="254" spans="1:1" s="237" customFormat="1" x14ac:dyDescent="0.2">
      <c r="A254" s="602"/>
    </row>
    <row r="255" spans="1:1" s="237" customFormat="1" x14ac:dyDescent="0.2">
      <c r="A255" s="602"/>
    </row>
  </sheetData>
  <mergeCells count="22">
    <mergeCell ref="A30:B30"/>
    <mergeCell ref="A5:A6"/>
    <mergeCell ref="B5:B6"/>
    <mergeCell ref="A7:B7"/>
    <mergeCell ref="A10:B10"/>
    <mergeCell ref="A12:B12"/>
    <mergeCell ref="A28:B28"/>
    <mergeCell ref="A2:N2"/>
    <mergeCell ref="A4:N4"/>
    <mergeCell ref="C5:C6"/>
    <mergeCell ref="D5:D6"/>
    <mergeCell ref="E5:E6"/>
    <mergeCell ref="J5:J6"/>
    <mergeCell ref="K5:K6"/>
    <mergeCell ref="L5:L6"/>
    <mergeCell ref="M5:M6"/>
    <mergeCell ref="N5:N6"/>
    <mergeCell ref="A3:N3"/>
    <mergeCell ref="F5:F6"/>
    <mergeCell ref="G5:G6"/>
    <mergeCell ref="H5:H6"/>
    <mergeCell ref="I5:I6"/>
  </mergeCells>
  <phoneticPr fontId="0" type="noConversion"/>
  <pageMargins left="0.17" right="0.16" top="0.75" bottom="0.75" header="0.3" footer="0.3"/>
  <pageSetup scale="9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BASE!$F$3:$F$4</xm:f>
          </x14:formula1>
          <xm:sqref>A13:A27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workbookViewId="0">
      <selection activeCell="B335" sqref="B335"/>
    </sheetView>
  </sheetViews>
  <sheetFormatPr baseColWidth="10" defaultRowHeight="16.5" customHeight="1" outlineLevelRow="1" x14ac:dyDescent="0.2"/>
  <cols>
    <col min="1" max="1" width="1" style="196" customWidth="1"/>
    <col min="2" max="2" width="52.85546875" style="223" customWidth="1"/>
    <col min="3" max="3" width="16.140625" style="224" customWidth="1"/>
    <col min="4" max="4" width="57.140625" style="523" customWidth="1"/>
    <col min="5" max="7" width="0" style="196" hidden="1" customWidth="1"/>
    <col min="8" max="9" width="14" style="196" bestFit="1" customWidth="1"/>
    <col min="10" max="16384" width="11.42578125" style="196"/>
  </cols>
  <sheetData>
    <row r="1" spans="1:9" ht="60" customHeight="1" thickBot="1" x14ac:dyDescent="0.25">
      <c r="B1" s="1255" t="s">
        <v>821</v>
      </c>
      <c r="C1" s="1255"/>
    </row>
    <row r="2" spans="1:9" ht="18" customHeight="1" thickBot="1" x14ac:dyDescent="0.3">
      <c r="B2" s="1038" t="s">
        <v>968</v>
      </c>
      <c r="C2" s="1038"/>
      <c r="H2" s="592">
        <v>1.07</v>
      </c>
      <c r="I2" s="593">
        <v>1.07</v>
      </c>
    </row>
    <row r="3" spans="1:9" ht="12.75" customHeight="1" thickBot="1" x14ac:dyDescent="0.25">
      <c r="A3" s="197"/>
      <c r="B3" s="198" t="s">
        <v>432</v>
      </c>
      <c r="C3" s="199" t="s">
        <v>169</v>
      </c>
    </row>
    <row r="4" spans="1:9" s="201" customFormat="1" ht="13.5" customHeight="1" x14ac:dyDescent="0.2">
      <c r="B4" s="1256" t="s">
        <v>230</v>
      </c>
      <c r="C4" s="1036" t="s">
        <v>821</v>
      </c>
      <c r="D4" s="1034" t="s">
        <v>600</v>
      </c>
      <c r="E4" s="1035"/>
      <c r="F4" s="1035"/>
      <c r="G4" s="1035"/>
    </row>
    <row r="5" spans="1:9" ht="13.5" customHeight="1" thickBot="1" x14ac:dyDescent="0.25">
      <c r="B5" s="1257"/>
      <c r="C5" s="1090"/>
      <c r="D5" s="1034"/>
      <c r="E5" s="1035"/>
      <c r="F5" s="1035"/>
      <c r="G5" s="1035"/>
    </row>
    <row r="6" spans="1:9" customFormat="1" ht="12.75" x14ac:dyDescent="0.2">
      <c r="A6" s="2"/>
      <c r="B6" s="202" t="s">
        <v>0</v>
      </c>
      <c r="C6" s="203"/>
      <c r="D6" s="524"/>
      <c r="E6" s="504"/>
      <c r="F6" s="504"/>
      <c r="G6" s="504"/>
    </row>
    <row r="7" spans="1:9" customFormat="1" ht="12.75" hidden="1" outlineLevel="1" x14ac:dyDescent="0.2">
      <c r="A7" s="2"/>
      <c r="B7" s="206" t="s">
        <v>291</v>
      </c>
      <c r="C7" s="203"/>
      <c r="D7" s="524"/>
      <c r="E7" s="504"/>
      <c r="F7" s="504"/>
      <c r="G7" s="504"/>
    </row>
    <row r="8" spans="1:9" customFormat="1" ht="13.5" hidden="1" customHeight="1" outlineLevel="1" x14ac:dyDescent="0.2">
      <c r="A8" s="176">
        <v>4160050100</v>
      </c>
      <c r="B8" s="207" t="s">
        <v>1</v>
      </c>
      <c r="C8" s="226">
        <v>5303300.9109683726</v>
      </c>
      <c r="D8" s="524"/>
      <c r="E8" s="504"/>
      <c r="F8" s="504"/>
      <c r="G8" s="504"/>
    </row>
    <row r="9" spans="1:9" customFormat="1" ht="13.5" hidden="1" customHeight="1" outlineLevel="1" x14ac:dyDescent="0.2">
      <c r="A9" s="589">
        <v>4160050200</v>
      </c>
      <c r="B9" s="207" t="s">
        <v>711</v>
      </c>
      <c r="C9" s="586">
        <v>0</v>
      </c>
      <c r="D9" s="524"/>
      <c r="E9" s="504"/>
      <c r="F9" s="504"/>
      <c r="G9" s="504"/>
    </row>
    <row r="10" spans="1:9" customFormat="1" ht="12.75" hidden="1" outlineLevel="1" x14ac:dyDescent="0.2">
      <c r="A10" s="3">
        <v>4160050300</v>
      </c>
      <c r="B10" s="207" t="s">
        <v>3</v>
      </c>
      <c r="C10" s="225">
        <v>0</v>
      </c>
      <c r="D10" s="524"/>
      <c r="E10" s="504"/>
      <c r="F10" s="504"/>
      <c r="G10" s="504"/>
    </row>
    <row r="11" spans="1:9" customFormat="1" ht="12.75" hidden="1" outlineLevel="1" x14ac:dyDescent="0.2">
      <c r="A11" s="587">
        <v>4160050500</v>
      </c>
      <c r="B11" s="207" t="s">
        <v>683</v>
      </c>
      <c r="C11" s="225">
        <v>0</v>
      </c>
      <c r="D11" s="524"/>
      <c r="E11" s="504"/>
      <c r="F11" s="504"/>
      <c r="G11" s="504"/>
    </row>
    <row r="12" spans="1:9" customFormat="1" ht="12.75" hidden="1" outlineLevel="1" x14ac:dyDescent="0.2">
      <c r="A12" s="3">
        <v>4160050600</v>
      </c>
      <c r="B12" s="207" t="s">
        <v>4</v>
      </c>
      <c r="C12" s="225">
        <v>9667.4500000000007</v>
      </c>
      <c r="D12" s="524"/>
      <c r="E12" s="504"/>
      <c r="F12" s="504"/>
      <c r="G12" s="504"/>
    </row>
    <row r="13" spans="1:9" customFormat="1" ht="12.75" hidden="1" outlineLevel="1" x14ac:dyDescent="0.2">
      <c r="A13" s="3">
        <v>4160050700</v>
      </c>
      <c r="B13" s="207" t="s">
        <v>5</v>
      </c>
      <c r="C13" s="225">
        <v>9159.2000000000007</v>
      </c>
      <c r="D13" s="524"/>
      <c r="E13" s="504"/>
      <c r="F13" s="504"/>
      <c r="G13" s="504"/>
    </row>
    <row r="14" spans="1:9" customFormat="1" ht="12.75" hidden="1" outlineLevel="1" x14ac:dyDescent="0.2">
      <c r="A14" s="3">
        <v>4160050800</v>
      </c>
      <c r="B14" s="207" t="s">
        <v>686</v>
      </c>
      <c r="C14" s="225">
        <v>0</v>
      </c>
      <c r="D14" s="524"/>
      <c r="E14" s="504"/>
      <c r="F14" s="504"/>
      <c r="G14" s="504"/>
    </row>
    <row r="15" spans="1:9" customFormat="1" ht="12.75" hidden="1" outlineLevel="1" x14ac:dyDescent="0.2">
      <c r="A15" s="3">
        <v>4160050900</v>
      </c>
      <c r="B15" s="207" t="s">
        <v>6</v>
      </c>
      <c r="C15" s="225">
        <v>631.30000000000007</v>
      </c>
      <c r="D15" s="524"/>
      <c r="E15" s="504"/>
      <c r="F15" s="504"/>
      <c r="G15" s="504"/>
    </row>
    <row r="16" spans="1:9" customFormat="1" ht="12.75" hidden="1" outlineLevel="1" x14ac:dyDescent="0.2">
      <c r="A16" s="3">
        <v>4160051100</v>
      </c>
      <c r="B16" s="207" t="s">
        <v>7</v>
      </c>
      <c r="C16" s="225">
        <v>14402.2</v>
      </c>
      <c r="D16" s="524"/>
      <c r="E16" s="504"/>
      <c r="F16" s="504"/>
      <c r="G16" s="504"/>
    </row>
    <row r="17" spans="1:7" customFormat="1" ht="12.75" hidden="1" outlineLevel="1" x14ac:dyDescent="0.2">
      <c r="A17" s="3">
        <v>4160051200</v>
      </c>
      <c r="B17" s="207" t="s">
        <v>8</v>
      </c>
      <c r="C17" s="225">
        <v>11453.28</v>
      </c>
      <c r="D17" s="524"/>
      <c r="E17" s="504"/>
      <c r="F17" s="504"/>
      <c r="G17" s="504"/>
    </row>
    <row r="18" spans="1:7" customFormat="1" ht="12.75" hidden="1" outlineLevel="1" x14ac:dyDescent="0.2">
      <c r="A18" s="3">
        <v>4160051300</v>
      </c>
      <c r="B18" s="207" t="s">
        <v>284</v>
      </c>
      <c r="C18" s="225">
        <v>38736.14</v>
      </c>
      <c r="D18" s="524"/>
      <c r="E18" s="504"/>
      <c r="F18" s="504"/>
      <c r="G18" s="504"/>
    </row>
    <row r="19" spans="1:7" customFormat="1" ht="12.75" hidden="1" outlineLevel="1" x14ac:dyDescent="0.2">
      <c r="A19" s="3">
        <v>4160053000</v>
      </c>
      <c r="B19" s="207" t="s">
        <v>9</v>
      </c>
      <c r="C19" s="225">
        <v>0</v>
      </c>
      <c r="D19" s="524"/>
      <c r="E19" s="504"/>
      <c r="F19" s="504"/>
      <c r="G19" s="504"/>
    </row>
    <row r="20" spans="1:7" customFormat="1" ht="12.75" hidden="1" outlineLevel="1" x14ac:dyDescent="0.2">
      <c r="A20" s="3">
        <v>4160950100</v>
      </c>
      <c r="B20" s="207" t="s">
        <v>10</v>
      </c>
      <c r="C20" s="225">
        <v>0</v>
      </c>
      <c r="D20" s="524"/>
      <c r="E20" s="504"/>
      <c r="F20" s="504"/>
      <c r="G20" s="504"/>
    </row>
    <row r="21" spans="1:7" customFormat="1" ht="12.75" hidden="1" outlineLevel="1" x14ac:dyDescent="0.2">
      <c r="A21" s="3">
        <v>4160950200</v>
      </c>
      <c r="B21" s="207" t="s">
        <v>292</v>
      </c>
      <c r="C21" s="225">
        <v>0</v>
      </c>
      <c r="D21" s="524"/>
      <c r="E21" s="504"/>
      <c r="F21" s="504"/>
      <c r="G21" s="504"/>
    </row>
    <row r="22" spans="1:7" customFormat="1" ht="12.75" hidden="1" outlineLevel="1" x14ac:dyDescent="0.2">
      <c r="A22" s="3">
        <v>4160950300</v>
      </c>
      <c r="B22" s="207" t="s">
        <v>293</v>
      </c>
      <c r="C22" s="225">
        <v>0</v>
      </c>
      <c r="D22" s="524"/>
      <c r="E22" s="504"/>
      <c r="F22" s="504"/>
      <c r="G22" s="504"/>
    </row>
    <row r="23" spans="1:7" customFormat="1" ht="12.75" hidden="1" outlineLevel="1" x14ac:dyDescent="0.2">
      <c r="A23" s="3">
        <v>4160950400</v>
      </c>
      <c r="B23" s="207" t="s">
        <v>294</v>
      </c>
      <c r="C23" s="225">
        <v>0</v>
      </c>
      <c r="D23" s="524"/>
      <c r="E23" s="504"/>
      <c r="F23" s="504"/>
      <c r="G23" s="504"/>
    </row>
    <row r="24" spans="1:7" customFormat="1" ht="12.75" hidden="1" outlineLevel="1" x14ac:dyDescent="0.2">
      <c r="A24" s="3">
        <v>4160950500</v>
      </c>
      <c r="B24" s="207" t="s">
        <v>11</v>
      </c>
      <c r="C24" s="225">
        <v>0</v>
      </c>
      <c r="D24" s="524"/>
      <c r="E24" s="504"/>
      <c r="F24" s="504"/>
      <c r="G24" s="504"/>
    </row>
    <row r="25" spans="1:7" customFormat="1" ht="12.75" hidden="1" outlineLevel="1" x14ac:dyDescent="0.2">
      <c r="A25" s="3">
        <v>4160950600</v>
      </c>
      <c r="B25" s="207" t="s">
        <v>12</v>
      </c>
      <c r="C25" s="225">
        <v>0</v>
      </c>
      <c r="D25" s="524"/>
      <c r="E25" s="504"/>
      <c r="F25" s="504"/>
      <c r="G25" s="504"/>
    </row>
    <row r="26" spans="1:7" customFormat="1" ht="12.75" hidden="1" outlineLevel="1" x14ac:dyDescent="0.2">
      <c r="A26" s="3">
        <v>4160950700</v>
      </c>
      <c r="B26" s="207" t="s">
        <v>295</v>
      </c>
      <c r="C26" s="225">
        <v>0</v>
      </c>
      <c r="D26" s="524"/>
      <c r="E26" s="504"/>
      <c r="F26" s="504"/>
      <c r="G26" s="504"/>
    </row>
    <row r="27" spans="1:7" customFormat="1" ht="12.75" hidden="1" outlineLevel="1" x14ac:dyDescent="0.2">
      <c r="A27" s="587">
        <v>4160950800</v>
      </c>
      <c r="B27" s="207" t="s">
        <v>684</v>
      </c>
      <c r="C27" s="588">
        <v>0</v>
      </c>
      <c r="D27" s="524"/>
      <c r="E27" s="504"/>
      <c r="F27" s="504"/>
      <c r="G27" s="504"/>
    </row>
    <row r="28" spans="1:7" customFormat="1" ht="12.75" hidden="1" outlineLevel="1" x14ac:dyDescent="0.2">
      <c r="A28" s="587">
        <v>4160951000</v>
      </c>
      <c r="B28" s="207" t="s">
        <v>685</v>
      </c>
      <c r="C28" s="588">
        <v>0</v>
      </c>
      <c r="D28" s="524"/>
      <c r="E28" s="504"/>
      <c r="F28" s="504"/>
      <c r="G28" s="504"/>
    </row>
    <row r="29" spans="1:7" customFormat="1" ht="12.75" collapsed="1" x14ac:dyDescent="0.2">
      <c r="A29" s="176"/>
      <c r="B29" s="209" t="s">
        <v>13</v>
      </c>
      <c r="C29" s="520">
        <f>SUM(C8:C28)</f>
        <v>5387350.4809683729</v>
      </c>
      <c r="D29" s="524"/>
      <c r="E29" s="504"/>
      <c r="F29" s="504"/>
      <c r="G29" s="504"/>
    </row>
    <row r="30" spans="1:7" customFormat="1" ht="12.75" x14ac:dyDescent="0.2">
      <c r="A30" s="176"/>
      <c r="B30" s="206" t="s">
        <v>296</v>
      </c>
      <c r="C30" s="208" t="s">
        <v>169</v>
      </c>
      <c r="D30" s="524"/>
      <c r="E30" s="504"/>
      <c r="F30" s="504"/>
      <c r="G30" s="504"/>
    </row>
    <row r="31" spans="1:7" customFormat="1" ht="12.75" x14ac:dyDescent="0.2">
      <c r="A31" s="176"/>
      <c r="B31" s="212" t="s">
        <v>297</v>
      </c>
      <c r="C31" s="208" t="s">
        <v>169</v>
      </c>
      <c r="D31" s="524"/>
      <c r="E31" s="504"/>
      <c r="F31" s="504"/>
      <c r="G31" s="504"/>
    </row>
    <row r="32" spans="1:7" customFormat="1" ht="12.75" hidden="1" outlineLevel="1" x14ac:dyDescent="0.2">
      <c r="A32" s="176"/>
      <c r="B32" s="212" t="s">
        <v>298</v>
      </c>
      <c r="C32" s="208"/>
      <c r="D32" s="524"/>
      <c r="E32" s="504"/>
      <c r="F32" s="504"/>
      <c r="G32" s="504"/>
    </row>
    <row r="33" spans="1:7" customFormat="1" ht="12.75" hidden="1" outlineLevel="1" x14ac:dyDescent="0.2">
      <c r="A33" s="589">
        <v>5105030000</v>
      </c>
      <c r="B33" s="207" t="s">
        <v>712</v>
      </c>
      <c r="C33" s="621">
        <v>0</v>
      </c>
      <c r="D33" s="524"/>
      <c r="E33" s="504"/>
      <c r="F33" s="504"/>
      <c r="G33" s="504"/>
    </row>
    <row r="34" spans="1:7" customFormat="1" ht="12.75" hidden="1" outlineLevel="1" x14ac:dyDescent="0.2">
      <c r="A34" s="176">
        <v>5105060000</v>
      </c>
      <c r="B34" s="207" t="s">
        <v>20</v>
      </c>
      <c r="C34" s="226">
        <v>1402673.6000000003</v>
      </c>
      <c r="D34" s="524"/>
      <c r="E34" s="504"/>
      <c r="F34" s="504"/>
      <c r="G34" s="504"/>
    </row>
    <row r="35" spans="1:7" customFormat="1" ht="12.75" hidden="1" outlineLevel="1" x14ac:dyDescent="0.2">
      <c r="A35" s="176">
        <v>5105150000</v>
      </c>
      <c r="B35" s="207" t="s">
        <v>21</v>
      </c>
      <c r="C35" s="225">
        <v>0</v>
      </c>
      <c r="D35" s="524"/>
      <c r="E35" s="504"/>
      <c r="F35" s="504"/>
      <c r="G35" s="504"/>
    </row>
    <row r="36" spans="1:7" customFormat="1" ht="12.75" hidden="1" outlineLevel="1" x14ac:dyDescent="0.2">
      <c r="A36" s="176">
        <v>5105240000</v>
      </c>
      <c r="B36" s="207" t="s">
        <v>22</v>
      </c>
      <c r="C36" s="225">
        <v>4044.2276400000001</v>
      </c>
      <c r="D36" s="524"/>
      <c r="E36" s="504"/>
      <c r="F36" s="504"/>
      <c r="G36" s="504"/>
    </row>
    <row r="37" spans="1:7" customFormat="1" ht="12.75" hidden="1" outlineLevel="1" x14ac:dyDescent="0.2">
      <c r="A37" s="176">
        <v>5105250000</v>
      </c>
      <c r="B37" s="207" t="s">
        <v>681</v>
      </c>
      <c r="C37" s="225">
        <v>0</v>
      </c>
      <c r="D37" s="524"/>
      <c r="E37" s="504"/>
      <c r="F37" s="504"/>
      <c r="G37" s="504"/>
    </row>
    <row r="38" spans="1:7" customFormat="1" ht="12.75" hidden="1" outlineLevel="1" x14ac:dyDescent="0.2">
      <c r="A38" s="176">
        <v>5105270000</v>
      </c>
      <c r="B38" s="207" t="s">
        <v>23</v>
      </c>
      <c r="C38" s="226">
        <v>2724.1878999999999</v>
      </c>
      <c r="D38" s="524"/>
      <c r="E38" s="504"/>
      <c r="F38" s="504"/>
      <c r="G38" s="504"/>
    </row>
    <row r="39" spans="1:7" customFormat="1" ht="12.75" hidden="1" outlineLevel="1" x14ac:dyDescent="0.2">
      <c r="A39" s="176">
        <v>5105300000</v>
      </c>
      <c r="B39" s="207" t="s">
        <v>24</v>
      </c>
      <c r="C39" s="226">
        <v>123570.92661512346</v>
      </c>
      <c r="D39" s="524"/>
      <c r="E39" s="504"/>
      <c r="F39" s="504"/>
      <c r="G39" s="504"/>
    </row>
    <row r="40" spans="1:7" customFormat="1" ht="12.75" hidden="1" outlineLevel="1" x14ac:dyDescent="0.2">
      <c r="A40" s="176">
        <v>5105330000</v>
      </c>
      <c r="B40" s="207" t="s">
        <v>25</v>
      </c>
      <c r="C40" s="226">
        <v>14249.21661621605</v>
      </c>
      <c r="D40" s="524"/>
      <c r="E40" s="504"/>
      <c r="F40" s="504"/>
      <c r="G40" s="504"/>
    </row>
    <row r="41" spans="1:7" customFormat="1" ht="12.75" hidden="1" outlineLevel="1" x14ac:dyDescent="0.2">
      <c r="A41" s="176">
        <v>5105360000</v>
      </c>
      <c r="B41" s="207" t="s">
        <v>26</v>
      </c>
      <c r="C41" s="226">
        <v>123570.928</v>
      </c>
      <c r="D41" s="524"/>
      <c r="E41" s="504"/>
      <c r="F41" s="504"/>
      <c r="G41" s="504"/>
    </row>
    <row r="42" spans="1:7" customFormat="1" ht="12.75" hidden="1" outlineLevel="1" x14ac:dyDescent="0.2">
      <c r="A42" s="176">
        <v>5105390000</v>
      </c>
      <c r="B42" s="207" t="s">
        <v>27</v>
      </c>
      <c r="C42" s="226">
        <v>100689.33092592594</v>
      </c>
      <c r="D42" s="524"/>
      <c r="E42" s="504"/>
      <c r="F42" s="504"/>
      <c r="G42" s="504"/>
    </row>
    <row r="43" spans="1:7" customFormat="1" ht="12.75" hidden="1" outlineLevel="1" x14ac:dyDescent="0.2">
      <c r="A43" s="176">
        <v>5105420000</v>
      </c>
      <c r="B43" s="207" t="s">
        <v>506</v>
      </c>
      <c r="C43" s="225">
        <v>0</v>
      </c>
      <c r="D43" s="524"/>
      <c r="E43" s="504"/>
      <c r="F43" s="504"/>
      <c r="G43" s="504"/>
    </row>
    <row r="44" spans="1:7" customFormat="1" ht="12.75" hidden="1" outlineLevel="1" x14ac:dyDescent="0.2">
      <c r="A44" s="176">
        <v>5105450000</v>
      </c>
      <c r="B44" s="207" t="s">
        <v>28</v>
      </c>
      <c r="C44" s="225">
        <v>1431.5886666666668</v>
      </c>
      <c r="D44" s="524"/>
      <c r="E44" s="504"/>
      <c r="F44" s="504"/>
      <c r="G44" s="504"/>
    </row>
    <row r="45" spans="1:7" customFormat="1" ht="12.75" hidden="1" outlineLevel="1" x14ac:dyDescent="0.2">
      <c r="A45" s="176">
        <v>5105480000</v>
      </c>
      <c r="B45" s="207" t="s">
        <v>425</v>
      </c>
      <c r="C45" s="225">
        <v>0</v>
      </c>
      <c r="D45" s="524"/>
      <c r="E45" s="504"/>
      <c r="F45" s="504"/>
      <c r="G45" s="504"/>
    </row>
    <row r="46" spans="1:7" customFormat="1" ht="12.75" hidden="1" outlineLevel="1" x14ac:dyDescent="0.2">
      <c r="A46" s="176">
        <v>5105510000</v>
      </c>
      <c r="B46" s="207" t="s">
        <v>29</v>
      </c>
      <c r="C46" s="225">
        <v>1256.3098266666666</v>
      </c>
      <c r="D46" s="524"/>
      <c r="E46" s="504"/>
      <c r="F46" s="504"/>
      <c r="G46" s="504"/>
    </row>
    <row r="47" spans="1:7" customFormat="1" ht="12.75" hidden="1" outlineLevel="1" x14ac:dyDescent="0.2">
      <c r="A47" s="176">
        <v>5105600000</v>
      </c>
      <c r="B47" s="207" t="s">
        <v>299</v>
      </c>
      <c r="C47" s="225">
        <v>0</v>
      </c>
      <c r="D47" s="524"/>
      <c r="E47" s="504"/>
      <c r="F47" s="504"/>
      <c r="G47" s="504"/>
    </row>
    <row r="48" spans="1:7" customFormat="1" ht="12.75" hidden="1" outlineLevel="1" x14ac:dyDescent="0.2">
      <c r="A48" s="176">
        <v>5105630000</v>
      </c>
      <c r="B48" s="207" t="s">
        <v>300</v>
      </c>
      <c r="C48" s="947">
        <v>941.42466666666655</v>
      </c>
      <c r="D48" s="524"/>
      <c r="E48" s="504"/>
      <c r="F48" s="504"/>
      <c r="G48" s="504"/>
    </row>
    <row r="49" spans="1:7" customFormat="1" ht="12.75" hidden="1" outlineLevel="1" x14ac:dyDescent="0.2">
      <c r="A49" s="176">
        <v>5105640000</v>
      </c>
      <c r="B49" s="207" t="s">
        <v>682</v>
      </c>
      <c r="C49" s="586">
        <v>3326.9866666666667</v>
      </c>
      <c r="D49" s="524"/>
      <c r="E49" s="504"/>
      <c r="F49" s="504"/>
      <c r="G49" s="504"/>
    </row>
    <row r="50" spans="1:7" customFormat="1" ht="12.75" hidden="1" outlineLevel="1" x14ac:dyDescent="0.2">
      <c r="A50" s="176">
        <v>5105660000</v>
      </c>
      <c r="B50" s="207" t="s">
        <v>301</v>
      </c>
      <c r="C50" s="225">
        <v>0</v>
      </c>
      <c r="D50" s="524"/>
      <c r="E50" s="504"/>
      <c r="F50" s="504"/>
      <c r="G50" s="504"/>
    </row>
    <row r="51" spans="1:7" customFormat="1" ht="12.75" hidden="1" outlineLevel="1" x14ac:dyDescent="0.2">
      <c r="A51" s="176">
        <v>5105680000</v>
      </c>
      <c r="B51" s="207" t="s">
        <v>30</v>
      </c>
      <c r="C51" s="226">
        <v>7853.9585819999993</v>
      </c>
      <c r="D51" s="524"/>
      <c r="E51" s="504"/>
      <c r="F51" s="504"/>
      <c r="G51" s="504"/>
    </row>
    <row r="52" spans="1:7" customFormat="1" ht="12.75" hidden="1" outlineLevel="1" x14ac:dyDescent="0.2">
      <c r="A52" s="176">
        <v>5105690000</v>
      </c>
      <c r="B52" s="207" t="s">
        <v>31</v>
      </c>
      <c r="C52" s="226">
        <v>128726.04739814815</v>
      </c>
      <c r="D52" s="524"/>
      <c r="E52" s="504"/>
      <c r="F52" s="504"/>
      <c r="G52" s="504"/>
    </row>
    <row r="53" spans="1:7" customFormat="1" ht="12.75" hidden="1" outlineLevel="1" x14ac:dyDescent="0.2">
      <c r="A53" s="176">
        <v>5105700000</v>
      </c>
      <c r="B53" s="207" t="s">
        <v>32</v>
      </c>
      <c r="C53" s="226">
        <v>165241.45044444446</v>
      </c>
      <c r="D53" s="524"/>
      <c r="E53" s="504"/>
      <c r="F53" s="504"/>
      <c r="G53" s="504"/>
    </row>
    <row r="54" spans="1:7" customFormat="1" ht="12.75" hidden="1" outlineLevel="1" x14ac:dyDescent="0.2">
      <c r="A54" s="176">
        <v>5105720000</v>
      </c>
      <c r="B54" s="207" t="s">
        <v>33</v>
      </c>
      <c r="C54" s="226">
        <v>58864.473061394005</v>
      </c>
      <c r="D54" s="524"/>
      <c r="E54" s="504"/>
      <c r="F54" s="504"/>
      <c r="G54" s="504"/>
    </row>
    <row r="55" spans="1:7" customFormat="1" ht="12.75" hidden="1" outlineLevel="1" x14ac:dyDescent="0.2">
      <c r="A55" s="176">
        <v>5105750000</v>
      </c>
      <c r="B55" s="207" t="s">
        <v>34</v>
      </c>
      <c r="C55" s="226">
        <v>44148.354796045503</v>
      </c>
      <c r="D55" s="524"/>
      <c r="E55" s="504"/>
      <c r="F55" s="504"/>
      <c r="G55" s="504"/>
    </row>
    <row r="56" spans="1:7" customFormat="1" ht="12.75" hidden="1" outlineLevel="1" x14ac:dyDescent="0.2">
      <c r="A56" s="176">
        <v>5105780000</v>
      </c>
      <c r="B56" s="207" t="s">
        <v>35</v>
      </c>
      <c r="C56" s="226">
        <v>29432.236530697002</v>
      </c>
      <c r="D56" s="524"/>
      <c r="E56" s="504"/>
      <c r="F56" s="504"/>
      <c r="G56" s="504"/>
    </row>
    <row r="57" spans="1:7" customFormat="1" ht="12.75" hidden="1" outlineLevel="1" x14ac:dyDescent="0.2">
      <c r="A57" s="176">
        <v>5105840000</v>
      </c>
      <c r="B57" s="207" t="s">
        <v>302</v>
      </c>
      <c r="C57" s="225">
        <v>0</v>
      </c>
      <c r="D57" s="524"/>
      <c r="E57" s="504"/>
      <c r="F57" s="504"/>
      <c r="G57" s="504"/>
    </row>
    <row r="58" spans="1:7" customFormat="1" ht="12.75" hidden="1" outlineLevel="1" x14ac:dyDescent="0.2">
      <c r="A58" s="176">
        <v>5105950100</v>
      </c>
      <c r="B58" s="207" t="s">
        <v>36</v>
      </c>
      <c r="C58" s="225">
        <v>0</v>
      </c>
      <c r="D58" s="524"/>
      <c r="E58" s="504"/>
      <c r="F58" s="504"/>
      <c r="G58" s="504"/>
    </row>
    <row r="59" spans="1:7" customFormat="1" ht="12.75" hidden="1" outlineLevel="1" x14ac:dyDescent="0.2">
      <c r="A59" s="176">
        <v>5105950200</v>
      </c>
      <c r="B59" s="207" t="s">
        <v>37</v>
      </c>
      <c r="C59" s="225">
        <v>0</v>
      </c>
      <c r="D59" s="524"/>
      <c r="E59" s="504"/>
      <c r="F59" s="504"/>
      <c r="G59" s="504"/>
    </row>
    <row r="60" spans="1:7" customFormat="1" ht="12.75" hidden="1" outlineLevel="1" x14ac:dyDescent="0.2">
      <c r="A60" s="176">
        <v>5105950300</v>
      </c>
      <c r="B60" s="207" t="s">
        <v>38</v>
      </c>
      <c r="C60" s="225">
        <v>0</v>
      </c>
      <c r="D60" s="524"/>
      <c r="E60" s="504"/>
      <c r="F60" s="504"/>
      <c r="G60" s="504"/>
    </row>
    <row r="61" spans="1:7" customFormat="1" ht="12.75" collapsed="1" x14ac:dyDescent="0.2">
      <c r="A61" s="176"/>
      <c r="B61" s="213" t="s">
        <v>303</v>
      </c>
      <c r="C61" s="948">
        <f>SUM(C33:C60)</f>
        <v>2212745.2483366616</v>
      </c>
      <c r="D61" s="524"/>
      <c r="E61" s="504"/>
      <c r="F61" s="504"/>
      <c r="G61" s="504"/>
    </row>
    <row r="62" spans="1:7" customFormat="1" ht="12.75" hidden="1" outlineLevel="1" x14ac:dyDescent="0.2">
      <c r="A62" s="176"/>
      <c r="B62" s="212" t="s">
        <v>304</v>
      </c>
      <c r="C62" s="208" t="s">
        <v>169</v>
      </c>
      <c r="D62" s="524"/>
      <c r="E62" s="504"/>
      <c r="F62" s="504"/>
      <c r="G62" s="504"/>
    </row>
    <row r="63" spans="1:7" customFormat="1" ht="12.75" hidden="1" outlineLevel="1" x14ac:dyDescent="0.2">
      <c r="A63" s="3">
        <v>5110100000</v>
      </c>
      <c r="B63" s="207" t="s">
        <v>307</v>
      </c>
      <c r="C63" s="225">
        <v>0</v>
      </c>
      <c r="D63" s="524"/>
      <c r="E63" s="504"/>
      <c r="F63" s="504"/>
      <c r="G63" s="504"/>
    </row>
    <row r="64" spans="1:7" customFormat="1" ht="12.75" hidden="1" outlineLevel="1" x14ac:dyDescent="0.2">
      <c r="A64" s="3">
        <v>5110200000</v>
      </c>
      <c r="B64" s="207" t="s">
        <v>583</v>
      </c>
      <c r="C64" s="225">
        <v>0</v>
      </c>
      <c r="D64" s="524"/>
      <c r="E64" s="504"/>
      <c r="F64" s="504"/>
      <c r="G64" s="504"/>
    </row>
    <row r="65" spans="1:7" customFormat="1" ht="12.75" hidden="1" outlineLevel="1" x14ac:dyDescent="0.2">
      <c r="A65" s="3">
        <v>5110250000</v>
      </c>
      <c r="B65" s="207" t="s">
        <v>308</v>
      </c>
      <c r="C65" s="225">
        <v>0</v>
      </c>
      <c r="D65" s="524"/>
      <c r="E65" s="504"/>
      <c r="F65" s="504"/>
      <c r="G65" s="504"/>
    </row>
    <row r="66" spans="1:7" customFormat="1" ht="12.75" hidden="1" outlineLevel="1" x14ac:dyDescent="0.2">
      <c r="A66" s="587">
        <v>5110350000</v>
      </c>
      <c r="B66" s="207" t="s">
        <v>687</v>
      </c>
      <c r="C66" s="225">
        <v>0</v>
      </c>
      <c r="D66" s="524"/>
      <c r="E66" s="504"/>
      <c r="F66" s="504"/>
      <c r="G66" s="504"/>
    </row>
    <row r="67" spans="1:7" customFormat="1" ht="12.75" hidden="1" outlineLevel="1" x14ac:dyDescent="0.2">
      <c r="A67" s="176">
        <v>5110350100</v>
      </c>
      <c r="B67" s="558" t="s">
        <v>629</v>
      </c>
      <c r="C67" s="226">
        <v>0</v>
      </c>
      <c r="D67" s="524"/>
      <c r="E67" s="504"/>
      <c r="F67" s="504"/>
      <c r="G67" s="504"/>
    </row>
    <row r="68" spans="1:7" customFormat="1" ht="12.75" hidden="1" outlineLevel="1" x14ac:dyDescent="0.2">
      <c r="A68" s="176">
        <v>5110350300</v>
      </c>
      <c r="B68" s="207" t="s">
        <v>40</v>
      </c>
      <c r="C68" s="225">
        <v>3639.07</v>
      </c>
      <c r="D68" s="524"/>
      <c r="E68" s="504"/>
      <c r="F68" s="504"/>
      <c r="G68" s="504"/>
    </row>
    <row r="69" spans="1:7" customFormat="1" ht="12.75" hidden="1" outlineLevel="1" x14ac:dyDescent="0.2">
      <c r="A69" s="176">
        <v>5110350400</v>
      </c>
      <c r="B69" s="207" t="s">
        <v>41</v>
      </c>
      <c r="C69" s="225">
        <v>0</v>
      </c>
      <c r="D69" s="524"/>
      <c r="E69" s="504"/>
      <c r="F69" s="504"/>
      <c r="G69" s="504"/>
    </row>
    <row r="70" spans="1:7" customFormat="1" ht="12.75" hidden="1" outlineLevel="1" x14ac:dyDescent="0.2">
      <c r="A70" s="176">
        <v>5110350600</v>
      </c>
      <c r="B70" s="207" t="s">
        <v>305</v>
      </c>
      <c r="C70" s="225">
        <v>0</v>
      </c>
      <c r="D70" s="524"/>
      <c r="E70" s="504"/>
      <c r="F70" s="504"/>
      <c r="G70" s="504"/>
    </row>
    <row r="71" spans="1:7" customFormat="1" ht="12.75" hidden="1" outlineLevel="1" x14ac:dyDescent="0.2">
      <c r="A71" s="176">
        <v>5110950000</v>
      </c>
      <c r="B71" s="207" t="s">
        <v>42</v>
      </c>
      <c r="C71" s="226">
        <v>800</v>
      </c>
      <c r="D71" s="524"/>
      <c r="E71" s="504"/>
      <c r="F71" s="504"/>
      <c r="G71" s="504"/>
    </row>
    <row r="72" spans="1:7" customFormat="1" ht="12.75" collapsed="1" x14ac:dyDescent="0.2">
      <c r="A72" s="176"/>
      <c r="B72" s="213" t="s">
        <v>306</v>
      </c>
      <c r="C72" s="214">
        <f>SUM(C63:C71)</f>
        <v>4439.07</v>
      </c>
      <c r="D72" s="524"/>
      <c r="E72" s="504"/>
      <c r="F72" s="504"/>
      <c r="G72" s="504"/>
    </row>
    <row r="73" spans="1:7" customFormat="1" ht="12.75" hidden="1" customHeight="1" outlineLevel="1" x14ac:dyDescent="0.2">
      <c r="A73" s="176"/>
      <c r="B73" s="212" t="s">
        <v>507</v>
      </c>
      <c r="C73" s="208"/>
      <c r="D73" s="524"/>
      <c r="E73" s="504"/>
      <c r="F73" s="504"/>
      <c r="G73" s="504"/>
    </row>
    <row r="74" spans="1:7" customFormat="1" ht="12.75" hidden="1" outlineLevel="1" x14ac:dyDescent="0.2">
      <c r="A74" s="176">
        <v>5110350200</v>
      </c>
      <c r="B74" s="207" t="s">
        <v>508</v>
      </c>
      <c r="C74" s="226">
        <v>0</v>
      </c>
      <c r="D74" s="524"/>
      <c r="E74" s="504"/>
      <c r="F74" s="504"/>
      <c r="G74" s="504"/>
    </row>
    <row r="75" spans="1:7" customFormat="1" ht="12.75" customHeight="1" collapsed="1" x14ac:dyDescent="0.2">
      <c r="A75" s="176"/>
      <c r="B75" s="213" t="s">
        <v>524</v>
      </c>
      <c r="C75" s="214">
        <f>+C74</f>
        <v>0</v>
      </c>
      <c r="D75" s="524"/>
      <c r="E75" s="504"/>
      <c r="F75" s="504"/>
      <c r="G75" s="504"/>
    </row>
    <row r="76" spans="1:7" customFormat="1" ht="12.75" hidden="1" outlineLevel="1" x14ac:dyDescent="0.2">
      <c r="A76" s="176"/>
      <c r="B76" s="212" t="s">
        <v>44</v>
      </c>
      <c r="C76" s="208" t="s">
        <v>169</v>
      </c>
      <c r="D76" s="524"/>
      <c r="E76" s="504"/>
      <c r="F76" s="504"/>
      <c r="G76" s="504"/>
    </row>
    <row r="77" spans="1:7" customFormat="1" ht="12.75" hidden="1" outlineLevel="1" x14ac:dyDescent="0.2">
      <c r="A77" s="176"/>
      <c r="B77" s="212" t="s">
        <v>509</v>
      </c>
      <c r="C77" s="208"/>
      <c r="D77" s="524"/>
      <c r="E77" s="504"/>
      <c r="F77" s="504"/>
      <c r="G77" s="504"/>
    </row>
    <row r="78" spans="1:7" customFormat="1" ht="12.75" hidden="1" outlineLevel="1" x14ac:dyDescent="0.2">
      <c r="A78" s="3">
        <v>5115050000</v>
      </c>
      <c r="B78" s="207" t="s">
        <v>309</v>
      </c>
      <c r="C78" s="225">
        <v>0</v>
      </c>
      <c r="D78" s="524"/>
      <c r="E78" s="504"/>
      <c r="F78" s="504"/>
      <c r="G78" s="504"/>
    </row>
    <row r="79" spans="1:7" customFormat="1" ht="12.75" hidden="1" outlineLevel="1" x14ac:dyDescent="0.2">
      <c r="A79" s="3">
        <v>5115150000</v>
      </c>
      <c r="B79" s="207" t="s">
        <v>310</v>
      </c>
      <c r="C79" s="225">
        <v>0</v>
      </c>
      <c r="D79" s="524"/>
      <c r="E79" s="504"/>
      <c r="F79" s="504"/>
      <c r="G79" s="504"/>
    </row>
    <row r="80" spans="1:7" customFormat="1" ht="12.75" hidden="1" outlineLevel="1" x14ac:dyDescent="0.2">
      <c r="A80" s="587">
        <v>5115250000</v>
      </c>
      <c r="B80" s="207" t="s">
        <v>688</v>
      </c>
      <c r="C80" s="225">
        <v>0</v>
      </c>
      <c r="D80" s="524"/>
      <c r="E80" s="504"/>
      <c r="F80" s="504"/>
      <c r="G80" s="504"/>
    </row>
    <row r="81" spans="1:8" customFormat="1" ht="12.75" hidden="1" outlineLevel="1" x14ac:dyDescent="0.2">
      <c r="A81" s="3">
        <v>5115950200</v>
      </c>
      <c r="B81" s="207" t="s">
        <v>311</v>
      </c>
      <c r="C81" s="225">
        <v>0</v>
      </c>
      <c r="D81" s="524"/>
      <c r="E81" s="504"/>
      <c r="F81" s="504"/>
      <c r="G81" s="504"/>
    </row>
    <row r="82" spans="1:8" customFormat="1" ht="12.75" hidden="1" outlineLevel="1" x14ac:dyDescent="0.2">
      <c r="A82" s="587">
        <v>5115950500</v>
      </c>
      <c r="B82" s="207" t="s">
        <v>689</v>
      </c>
      <c r="C82" s="225">
        <v>0</v>
      </c>
      <c r="D82" s="524"/>
      <c r="E82" s="504"/>
      <c r="F82" s="504"/>
      <c r="G82" s="504"/>
    </row>
    <row r="83" spans="1:8" customFormat="1" ht="12.75" hidden="1" outlineLevel="1" x14ac:dyDescent="0.2">
      <c r="A83" s="3"/>
      <c r="B83" s="212" t="s">
        <v>446</v>
      </c>
      <c r="C83" s="225"/>
      <c r="D83" s="524"/>
      <c r="E83" s="504"/>
      <c r="F83" s="504"/>
      <c r="G83" s="504"/>
    </row>
    <row r="84" spans="1:8" customFormat="1" ht="12.75" hidden="1" outlineLevel="1" x14ac:dyDescent="0.2">
      <c r="A84" s="3">
        <v>5120100000</v>
      </c>
      <c r="B84" s="207" t="s">
        <v>714</v>
      </c>
      <c r="C84" s="226">
        <v>0</v>
      </c>
      <c r="D84" s="524"/>
      <c r="E84" s="504"/>
      <c r="F84" s="504"/>
      <c r="G84" s="504"/>
    </row>
    <row r="85" spans="1:8" customFormat="1" ht="12.75" hidden="1" outlineLevel="1" x14ac:dyDescent="0.2">
      <c r="A85" s="3">
        <v>5120250000</v>
      </c>
      <c r="B85" s="207" t="s">
        <v>312</v>
      </c>
      <c r="C85" s="225">
        <v>0</v>
      </c>
      <c r="D85" s="524"/>
      <c r="E85" s="504"/>
      <c r="F85" s="504"/>
      <c r="G85" s="504"/>
    </row>
    <row r="86" spans="1:8" customFormat="1" ht="12.75" hidden="1" outlineLevel="1" x14ac:dyDescent="0.2">
      <c r="A86" s="3">
        <v>5120300000</v>
      </c>
      <c r="B86" s="207" t="s">
        <v>313</v>
      </c>
      <c r="C86" s="225">
        <v>0</v>
      </c>
      <c r="D86" s="524"/>
      <c r="E86" s="504"/>
      <c r="F86" s="504"/>
      <c r="G86" s="504"/>
    </row>
    <row r="87" spans="1:8" customFormat="1" ht="12.75" hidden="1" outlineLevel="1" x14ac:dyDescent="0.2">
      <c r="A87" s="3">
        <v>5120950000</v>
      </c>
      <c r="B87" s="207" t="s">
        <v>45</v>
      </c>
      <c r="C87" s="225">
        <v>2291.94</v>
      </c>
      <c r="D87" s="524"/>
      <c r="E87" s="504"/>
      <c r="F87" s="504"/>
      <c r="G87" s="504"/>
    </row>
    <row r="88" spans="1:8" customFormat="1" ht="12.75" hidden="1" outlineLevel="1" x14ac:dyDescent="0.2">
      <c r="A88" s="3"/>
      <c r="B88" s="212" t="s">
        <v>510</v>
      </c>
      <c r="C88" s="225" t="s">
        <v>169</v>
      </c>
      <c r="D88" s="524"/>
      <c r="E88" s="504"/>
      <c r="F88" s="504"/>
      <c r="G88" s="504"/>
    </row>
    <row r="89" spans="1:8" customFormat="1" ht="12.75" hidden="1" outlineLevel="1" x14ac:dyDescent="0.2">
      <c r="A89" s="3">
        <v>5125100000</v>
      </c>
      <c r="B89" s="207" t="s">
        <v>46</v>
      </c>
      <c r="C89" s="226">
        <v>10400</v>
      </c>
      <c r="D89" s="524"/>
      <c r="E89" s="504"/>
      <c r="F89" s="504"/>
      <c r="G89" s="504"/>
    </row>
    <row r="90" spans="1:8" customFormat="1" ht="12.75" hidden="1" outlineLevel="1" x14ac:dyDescent="0.2">
      <c r="A90" s="3"/>
      <c r="B90" s="212" t="s">
        <v>511</v>
      </c>
      <c r="C90" s="225" t="s">
        <v>169</v>
      </c>
      <c r="D90" s="524"/>
      <c r="E90" s="504"/>
      <c r="F90" s="504"/>
      <c r="G90" s="504"/>
      <c r="H90" t="e">
        <f>+SUMIF('[1]ADICIONALES PD'!A$23:$A45,[1]PRESUPUESTO!A89,'[1]ADICIONALES PD'!$O$6:$O$23)</f>
        <v>#VALUE!</v>
      </c>
    </row>
    <row r="91" spans="1:8" customFormat="1" ht="12.75" hidden="1" outlineLevel="1" x14ac:dyDescent="0.2">
      <c r="A91" s="3">
        <v>5130100000</v>
      </c>
      <c r="B91" s="207" t="s">
        <v>47</v>
      </c>
      <c r="C91" s="226">
        <v>0</v>
      </c>
      <c r="D91" s="524"/>
      <c r="E91" s="504"/>
      <c r="F91" s="504"/>
      <c r="G91" s="504"/>
    </row>
    <row r="92" spans="1:8" customFormat="1" ht="12.75" hidden="1" outlineLevel="1" x14ac:dyDescent="0.2">
      <c r="A92" s="3">
        <v>5130600000</v>
      </c>
      <c r="B92" s="207" t="s">
        <v>48</v>
      </c>
      <c r="C92" s="225">
        <v>0</v>
      </c>
      <c r="D92" s="524"/>
      <c r="E92" s="504"/>
      <c r="F92" s="504"/>
      <c r="G92" s="504"/>
    </row>
    <row r="93" spans="1:8" customFormat="1" ht="12.75" hidden="1" outlineLevel="1" x14ac:dyDescent="0.2">
      <c r="A93" s="3">
        <v>5130950200</v>
      </c>
      <c r="B93" s="207" t="s">
        <v>314</v>
      </c>
      <c r="C93" s="225">
        <v>0</v>
      </c>
      <c r="D93" s="524"/>
      <c r="E93" s="504"/>
      <c r="F93" s="504"/>
      <c r="G93" s="504"/>
    </row>
    <row r="94" spans="1:8" customFormat="1" ht="12.75" hidden="1" outlineLevel="1" x14ac:dyDescent="0.2">
      <c r="A94" s="3">
        <v>5130950300</v>
      </c>
      <c r="B94" s="207" t="s">
        <v>49</v>
      </c>
      <c r="C94" s="315">
        <v>3856.7172159462539</v>
      </c>
      <c r="D94" s="524"/>
      <c r="E94" s="504"/>
      <c r="F94" s="504"/>
      <c r="G94" s="504"/>
    </row>
    <row r="95" spans="1:8" customFormat="1" ht="12.75" hidden="1" outlineLevel="1" x14ac:dyDescent="0.2">
      <c r="A95" s="587">
        <v>5130950400</v>
      </c>
      <c r="B95" s="207" t="s">
        <v>690</v>
      </c>
      <c r="C95" s="586">
        <v>0</v>
      </c>
      <c r="D95" s="524"/>
      <c r="E95" s="504"/>
      <c r="F95" s="504"/>
      <c r="G95" s="504"/>
    </row>
    <row r="96" spans="1:8" customFormat="1" ht="12.75" hidden="1" outlineLevel="1" x14ac:dyDescent="0.2">
      <c r="A96" s="3"/>
      <c r="B96" s="212" t="s">
        <v>512</v>
      </c>
      <c r="C96" s="225" t="s">
        <v>169</v>
      </c>
      <c r="D96" s="524"/>
      <c r="E96" s="504"/>
      <c r="F96" s="504"/>
      <c r="G96" s="504"/>
    </row>
    <row r="97" spans="1:7" customFormat="1" ht="12.75" hidden="1" outlineLevel="1" x14ac:dyDescent="0.2">
      <c r="A97" s="3">
        <v>5135050100</v>
      </c>
      <c r="B97" s="207" t="s">
        <v>315</v>
      </c>
      <c r="C97" s="225">
        <v>0</v>
      </c>
      <c r="D97" s="524"/>
      <c r="E97" s="504"/>
      <c r="F97" s="504"/>
      <c r="G97" s="504"/>
    </row>
    <row r="98" spans="1:7" customFormat="1" ht="12.75" hidden="1" outlineLevel="1" x14ac:dyDescent="0.2">
      <c r="A98" s="3">
        <v>5135050200</v>
      </c>
      <c r="B98" s="207" t="s">
        <v>316</v>
      </c>
      <c r="C98" s="225">
        <v>0</v>
      </c>
      <c r="D98" s="524"/>
      <c r="E98" s="504"/>
      <c r="F98" s="504"/>
      <c r="G98" s="504"/>
    </row>
    <row r="99" spans="1:7" customFormat="1" ht="12.75" hidden="1" outlineLevel="1" x14ac:dyDescent="0.2">
      <c r="A99" s="3">
        <v>5135150000</v>
      </c>
      <c r="B99" s="207" t="s">
        <v>317</v>
      </c>
      <c r="C99" s="225">
        <v>0</v>
      </c>
      <c r="D99" s="524"/>
      <c r="E99" s="504"/>
      <c r="F99" s="504"/>
      <c r="G99" s="504"/>
    </row>
    <row r="100" spans="1:7" customFormat="1" ht="12.75" hidden="1" outlineLevel="1" x14ac:dyDescent="0.2">
      <c r="A100" s="3">
        <v>5135250000</v>
      </c>
      <c r="B100" s="207" t="s">
        <v>318</v>
      </c>
      <c r="C100" s="225">
        <v>0</v>
      </c>
      <c r="D100" s="524"/>
      <c r="E100" s="504"/>
      <c r="F100" s="504"/>
      <c r="G100" s="504"/>
    </row>
    <row r="101" spans="1:7" customFormat="1" ht="12.75" hidden="1" outlineLevel="1" x14ac:dyDescent="0.2">
      <c r="A101" s="3">
        <v>5135300000</v>
      </c>
      <c r="B101" s="207" t="s">
        <v>319</v>
      </c>
      <c r="C101" s="225">
        <v>0</v>
      </c>
      <c r="D101" s="524"/>
      <c r="E101" s="504"/>
      <c r="F101" s="504"/>
      <c r="G101" s="504"/>
    </row>
    <row r="102" spans="1:7" customFormat="1" ht="12.75" hidden="1" outlineLevel="1" x14ac:dyDescent="0.2">
      <c r="A102" s="3">
        <v>5135350000</v>
      </c>
      <c r="B102" s="207" t="s">
        <v>50</v>
      </c>
      <c r="C102" s="225">
        <v>0</v>
      </c>
      <c r="D102" s="524"/>
      <c r="E102" s="504"/>
      <c r="F102" s="504"/>
      <c r="G102" s="504"/>
    </row>
    <row r="103" spans="1:7" customFormat="1" ht="12.75" hidden="1" outlineLevel="1" x14ac:dyDescent="0.2">
      <c r="A103" s="3">
        <v>5135400000</v>
      </c>
      <c r="B103" s="207" t="s">
        <v>51</v>
      </c>
      <c r="C103" s="226">
        <v>1057.1600000000001</v>
      </c>
      <c r="D103" s="524"/>
      <c r="E103" s="504"/>
      <c r="F103" s="504"/>
      <c r="G103" s="504"/>
    </row>
    <row r="104" spans="1:7" customFormat="1" ht="12.75" hidden="1" outlineLevel="1" x14ac:dyDescent="0.2">
      <c r="A104" s="3">
        <v>5135500000</v>
      </c>
      <c r="B104" s="207" t="s">
        <v>52</v>
      </c>
      <c r="C104" s="225">
        <v>0</v>
      </c>
      <c r="D104" s="524"/>
      <c r="E104" s="504"/>
      <c r="F104" s="504"/>
      <c r="G104" s="504"/>
    </row>
    <row r="105" spans="1:7" customFormat="1" ht="12.75" hidden="1" outlineLevel="1" x14ac:dyDescent="0.2">
      <c r="A105" s="3">
        <v>5135550000</v>
      </c>
      <c r="B105" s="207" t="s">
        <v>584</v>
      </c>
      <c r="C105" s="225">
        <v>0</v>
      </c>
      <c r="D105" s="524"/>
      <c r="E105" s="504"/>
      <c r="F105" s="504"/>
      <c r="G105" s="504"/>
    </row>
    <row r="106" spans="1:7" customFormat="1" ht="12.75" hidden="1" outlineLevel="1" x14ac:dyDescent="0.2">
      <c r="A106" s="3">
        <v>5135950100</v>
      </c>
      <c r="B106" s="207" t="s">
        <v>53</v>
      </c>
      <c r="C106" s="225">
        <v>0</v>
      </c>
      <c r="D106" s="524"/>
      <c r="E106" s="504"/>
      <c r="F106" s="504"/>
      <c r="G106" s="504"/>
    </row>
    <row r="107" spans="1:7" customFormat="1" ht="12.75" hidden="1" outlineLevel="1" x14ac:dyDescent="0.2">
      <c r="A107" s="3">
        <v>5135950200</v>
      </c>
      <c r="B107" s="207" t="s">
        <v>320</v>
      </c>
      <c r="C107" s="225">
        <v>0</v>
      </c>
      <c r="D107" s="524"/>
      <c r="E107" s="504"/>
      <c r="F107" s="504"/>
      <c r="G107" s="504"/>
    </row>
    <row r="108" spans="1:7" customFormat="1" ht="12.75" hidden="1" outlineLevel="1" x14ac:dyDescent="0.2">
      <c r="A108" s="3">
        <v>5135950300</v>
      </c>
      <c r="B108" s="207" t="s">
        <v>321</v>
      </c>
      <c r="C108" s="225">
        <v>0</v>
      </c>
      <c r="D108" s="524"/>
      <c r="E108" s="504"/>
      <c r="F108" s="504"/>
      <c r="G108" s="504"/>
    </row>
    <row r="109" spans="1:7" customFormat="1" ht="12.75" hidden="1" outlineLevel="1" x14ac:dyDescent="0.2">
      <c r="A109" s="3">
        <v>5135950400</v>
      </c>
      <c r="B109" s="207" t="s">
        <v>54</v>
      </c>
      <c r="C109" s="225">
        <v>0</v>
      </c>
      <c r="D109" s="524"/>
      <c r="E109" s="504"/>
      <c r="F109" s="504"/>
      <c r="G109" s="504"/>
    </row>
    <row r="110" spans="1:7" customFormat="1" ht="12.75" hidden="1" outlineLevel="1" x14ac:dyDescent="0.2">
      <c r="A110" s="3">
        <v>5135950500</v>
      </c>
      <c r="B110" s="207" t="s">
        <v>322</v>
      </c>
      <c r="C110" s="315">
        <v>48.150000000000006</v>
      </c>
      <c r="D110" s="524"/>
      <c r="E110" s="504"/>
      <c r="F110" s="504"/>
      <c r="G110" s="504"/>
    </row>
    <row r="111" spans="1:7" customFormat="1" ht="12.75" hidden="1" outlineLevel="1" x14ac:dyDescent="0.2">
      <c r="A111" s="3">
        <v>5135950600</v>
      </c>
      <c r="B111" s="207" t="s">
        <v>55</v>
      </c>
      <c r="C111" s="225">
        <v>0</v>
      </c>
      <c r="D111" s="524"/>
      <c r="E111" s="504"/>
      <c r="F111" s="504"/>
      <c r="G111" s="504"/>
    </row>
    <row r="112" spans="1:7" customFormat="1" ht="12.75" hidden="1" outlineLevel="1" x14ac:dyDescent="0.2">
      <c r="A112" s="3">
        <v>5135950700</v>
      </c>
      <c r="B112" s="207" t="s">
        <v>56</v>
      </c>
      <c r="C112" s="226">
        <v>37231.72</v>
      </c>
      <c r="D112" s="524"/>
      <c r="E112" s="504"/>
      <c r="F112" s="504"/>
      <c r="G112" s="504"/>
    </row>
    <row r="113" spans="1:7" customFormat="1" ht="12.75" hidden="1" outlineLevel="1" x14ac:dyDescent="0.2">
      <c r="A113" s="3">
        <v>5135950900</v>
      </c>
      <c r="B113" s="207" t="s">
        <v>323</v>
      </c>
      <c r="C113" s="225">
        <v>0</v>
      </c>
      <c r="D113" s="524"/>
      <c r="E113" s="504"/>
      <c r="F113" s="504"/>
      <c r="G113" s="504"/>
    </row>
    <row r="114" spans="1:7" customFormat="1" ht="12.75" hidden="1" outlineLevel="1" x14ac:dyDescent="0.2">
      <c r="A114" s="3">
        <v>5135951000</v>
      </c>
      <c r="B114" s="207" t="s">
        <v>57</v>
      </c>
      <c r="C114" s="225">
        <v>0</v>
      </c>
      <c r="D114" s="524"/>
      <c r="E114" s="504"/>
      <c r="F114" s="504"/>
      <c r="G114" s="504"/>
    </row>
    <row r="115" spans="1:7" customFormat="1" ht="12.75" hidden="1" outlineLevel="1" x14ac:dyDescent="0.2">
      <c r="A115" s="3">
        <v>5135951100</v>
      </c>
      <c r="B115" s="207" t="s">
        <v>58</v>
      </c>
      <c r="C115" s="225">
        <v>0</v>
      </c>
      <c r="D115" s="524"/>
      <c r="E115" s="504"/>
      <c r="F115" s="504"/>
      <c r="G115" s="504"/>
    </row>
    <row r="116" spans="1:7" customFormat="1" ht="12.75" hidden="1" outlineLevel="1" x14ac:dyDescent="0.2">
      <c r="A116" s="3">
        <v>5135951300</v>
      </c>
      <c r="B116" s="207" t="s">
        <v>59</v>
      </c>
      <c r="C116" s="225">
        <v>0</v>
      </c>
      <c r="D116" s="524"/>
      <c r="E116" s="504"/>
      <c r="F116" s="504"/>
      <c r="G116" s="504"/>
    </row>
    <row r="117" spans="1:7" customFormat="1" ht="12.75" hidden="1" outlineLevel="1" x14ac:dyDescent="0.2">
      <c r="A117" s="3">
        <v>5135951600</v>
      </c>
      <c r="B117" s="207" t="s">
        <v>324</v>
      </c>
      <c r="C117" s="225">
        <v>0</v>
      </c>
      <c r="D117" s="524"/>
      <c r="E117" s="504"/>
      <c r="F117" s="504"/>
      <c r="G117" s="504"/>
    </row>
    <row r="118" spans="1:7" customFormat="1" ht="12.75" hidden="1" outlineLevel="1" x14ac:dyDescent="0.2">
      <c r="A118" s="3">
        <v>5135951700</v>
      </c>
      <c r="B118" s="207" t="s">
        <v>325</v>
      </c>
      <c r="C118" s="225">
        <v>0</v>
      </c>
      <c r="D118" s="524"/>
      <c r="E118" s="504"/>
      <c r="F118" s="504"/>
      <c r="G118" s="504"/>
    </row>
    <row r="119" spans="1:7" customFormat="1" ht="12.75" hidden="1" outlineLevel="1" x14ac:dyDescent="0.2">
      <c r="A119" s="3">
        <v>5135951900</v>
      </c>
      <c r="B119" s="207" t="s">
        <v>585</v>
      </c>
      <c r="C119" s="225">
        <v>0</v>
      </c>
      <c r="D119" s="524"/>
      <c r="E119" s="504"/>
      <c r="F119" s="504"/>
      <c r="G119" s="504"/>
    </row>
    <row r="120" spans="1:7" customFormat="1" ht="12.75" hidden="1" outlineLevel="1" x14ac:dyDescent="0.2">
      <c r="A120" s="587">
        <v>5135953000</v>
      </c>
      <c r="B120" s="207" t="s">
        <v>691</v>
      </c>
      <c r="C120" s="225">
        <v>0</v>
      </c>
      <c r="D120" s="524"/>
      <c r="E120" s="504"/>
      <c r="F120" s="504"/>
      <c r="G120" s="504"/>
    </row>
    <row r="121" spans="1:7" customFormat="1" ht="12.75" hidden="1" outlineLevel="1" x14ac:dyDescent="0.2">
      <c r="A121" s="3">
        <v>5135955000</v>
      </c>
      <c r="B121" s="207" t="s">
        <v>60</v>
      </c>
      <c r="C121" s="225">
        <v>0</v>
      </c>
      <c r="D121" s="524"/>
      <c r="E121" s="504"/>
      <c r="F121" s="504"/>
      <c r="G121" s="504"/>
    </row>
    <row r="122" spans="1:7" customFormat="1" ht="12.75" hidden="1" outlineLevel="1" x14ac:dyDescent="0.2">
      <c r="A122" s="3">
        <v>5135956900</v>
      </c>
      <c r="B122" s="207" t="s">
        <v>326</v>
      </c>
      <c r="C122" s="225">
        <v>0</v>
      </c>
      <c r="D122" s="524"/>
      <c r="E122" s="504"/>
      <c r="F122" s="504"/>
      <c r="G122" s="504"/>
    </row>
    <row r="123" spans="1:7" customFormat="1" ht="12.75" hidden="1" outlineLevel="1" x14ac:dyDescent="0.2">
      <c r="A123" s="587">
        <v>5135957000</v>
      </c>
      <c r="B123" s="207" t="s">
        <v>692</v>
      </c>
      <c r="C123" s="225">
        <v>0</v>
      </c>
      <c r="D123" s="524"/>
      <c r="E123" s="504"/>
      <c r="F123" s="504"/>
      <c r="G123" s="504"/>
    </row>
    <row r="124" spans="1:7" customFormat="1" ht="12.75" hidden="1" outlineLevel="1" x14ac:dyDescent="0.2">
      <c r="A124" s="3"/>
      <c r="B124" s="212" t="s">
        <v>513</v>
      </c>
      <c r="C124" s="225" t="s">
        <v>169</v>
      </c>
      <c r="D124" s="524"/>
      <c r="E124" s="504"/>
      <c r="F124" s="504"/>
      <c r="G124" s="504"/>
    </row>
    <row r="125" spans="1:7" customFormat="1" ht="12.75" hidden="1" outlineLevel="1" x14ac:dyDescent="0.2">
      <c r="A125" s="3">
        <v>5140050000</v>
      </c>
      <c r="B125" s="207" t="s">
        <v>327</v>
      </c>
      <c r="C125" s="225">
        <v>0</v>
      </c>
      <c r="D125" s="524"/>
      <c r="E125" s="504"/>
      <c r="F125" s="504"/>
      <c r="G125" s="504"/>
    </row>
    <row r="126" spans="1:7" customFormat="1" ht="12.75" hidden="1" outlineLevel="1" x14ac:dyDescent="0.2">
      <c r="A126" s="3">
        <v>5140150000</v>
      </c>
      <c r="B126" s="207" t="s">
        <v>328</v>
      </c>
      <c r="C126" s="225">
        <v>0</v>
      </c>
      <c r="D126" s="524"/>
      <c r="E126" s="504"/>
      <c r="F126" s="504"/>
      <c r="G126" s="504"/>
    </row>
    <row r="127" spans="1:7" customFormat="1" ht="12.75" hidden="1" outlineLevel="1" x14ac:dyDescent="0.2">
      <c r="A127" s="587">
        <v>5140200000</v>
      </c>
      <c r="B127" s="207" t="s">
        <v>693</v>
      </c>
      <c r="C127" s="225">
        <v>0</v>
      </c>
      <c r="D127" s="524"/>
      <c r="E127" s="504"/>
      <c r="F127" s="504"/>
      <c r="G127" s="504"/>
    </row>
    <row r="128" spans="1:7" customFormat="1" ht="12.75" hidden="1" outlineLevel="1" x14ac:dyDescent="0.2">
      <c r="A128" s="587">
        <v>5140210000</v>
      </c>
      <c r="B128" s="207" t="s">
        <v>694</v>
      </c>
      <c r="C128" s="225">
        <v>0</v>
      </c>
      <c r="D128" s="524"/>
      <c r="E128" s="504"/>
      <c r="F128" s="504"/>
      <c r="G128" s="504"/>
    </row>
    <row r="129" spans="1:7" customFormat="1" ht="12.75" hidden="1" outlineLevel="1" x14ac:dyDescent="0.2">
      <c r="A129" s="3">
        <v>5140950200</v>
      </c>
      <c r="B129" s="207" t="s">
        <v>329</v>
      </c>
      <c r="C129" s="225">
        <v>0</v>
      </c>
      <c r="D129" s="524"/>
      <c r="E129" s="504"/>
      <c r="F129" s="504"/>
      <c r="G129" s="504"/>
    </row>
    <row r="130" spans="1:7" customFormat="1" ht="12.75" hidden="1" outlineLevel="1" x14ac:dyDescent="0.2">
      <c r="A130" s="3"/>
      <c r="B130" s="212" t="s">
        <v>514</v>
      </c>
      <c r="C130" s="225" t="s">
        <v>169</v>
      </c>
      <c r="D130" s="524"/>
      <c r="E130" s="504"/>
      <c r="F130" s="504"/>
      <c r="G130" s="504"/>
    </row>
    <row r="131" spans="1:7" customFormat="1" ht="12.75" hidden="1" outlineLevel="1" x14ac:dyDescent="0.2">
      <c r="A131" s="3">
        <v>5145100000</v>
      </c>
      <c r="B131" s="207" t="s">
        <v>330</v>
      </c>
      <c r="C131" s="225">
        <v>0</v>
      </c>
      <c r="D131" s="524"/>
      <c r="E131" s="504"/>
      <c r="F131" s="504"/>
      <c r="G131" s="504"/>
    </row>
    <row r="132" spans="1:7" customFormat="1" ht="12.75" hidden="1" outlineLevel="1" x14ac:dyDescent="0.2">
      <c r="A132" s="3">
        <v>5145150200</v>
      </c>
      <c r="B132" s="207" t="s">
        <v>494</v>
      </c>
      <c r="C132" s="225">
        <v>0</v>
      </c>
      <c r="D132" s="524"/>
      <c r="E132" s="504"/>
      <c r="F132" s="504"/>
      <c r="G132" s="504"/>
    </row>
    <row r="133" spans="1:7" customFormat="1" ht="12.75" hidden="1" outlineLevel="1" x14ac:dyDescent="0.2">
      <c r="A133" s="3">
        <v>5145150300</v>
      </c>
      <c r="B133" s="207" t="s">
        <v>495</v>
      </c>
      <c r="C133" s="225">
        <v>0</v>
      </c>
      <c r="D133" s="524"/>
      <c r="E133" s="504"/>
      <c r="F133" s="504"/>
      <c r="G133" s="504"/>
    </row>
    <row r="134" spans="1:7" customFormat="1" ht="12.75" hidden="1" outlineLevel="1" x14ac:dyDescent="0.2">
      <c r="A134" s="3">
        <v>5145150400</v>
      </c>
      <c r="B134" s="207" t="s">
        <v>496</v>
      </c>
      <c r="C134" s="225">
        <v>0</v>
      </c>
      <c r="D134" s="524"/>
      <c r="E134" s="504"/>
      <c r="F134" s="504"/>
      <c r="G134" s="504"/>
    </row>
    <row r="135" spans="1:7" customFormat="1" ht="12.75" hidden="1" outlineLevel="1" x14ac:dyDescent="0.2">
      <c r="A135" s="3">
        <v>5145250000</v>
      </c>
      <c r="B135" s="207" t="s">
        <v>497</v>
      </c>
      <c r="C135" s="225">
        <v>0</v>
      </c>
      <c r="D135" s="524"/>
      <c r="E135" s="504"/>
      <c r="F135" s="504"/>
      <c r="G135" s="504"/>
    </row>
    <row r="136" spans="1:7" customFormat="1" ht="12.75" hidden="1" outlineLevel="1" x14ac:dyDescent="0.2">
      <c r="A136" s="3">
        <v>5145300000</v>
      </c>
      <c r="B136" s="207" t="s">
        <v>498</v>
      </c>
      <c r="C136" s="315">
        <v>0</v>
      </c>
      <c r="D136" s="524"/>
      <c r="E136" s="504"/>
      <c r="F136" s="504"/>
      <c r="G136" s="504"/>
    </row>
    <row r="137" spans="1:7" customFormat="1" ht="12.75" hidden="1" outlineLevel="1" x14ac:dyDescent="0.2">
      <c r="A137" s="3">
        <v>5150950000</v>
      </c>
      <c r="B137" s="207" t="s">
        <v>331</v>
      </c>
      <c r="C137" s="225">
        <v>0</v>
      </c>
      <c r="D137" s="524"/>
      <c r="E137" s="504"/>
      <c r="F137" s="504"/>
      <c r="G137" s="504"/>
    </row>
    <row r="138" spans="1:7" customFormat="1" ht="12.75" hidden="1" outlineLevel="1" x14ac:dyDescent="0.2">
      <c r="A138" s="3"/>
      <c r="B138" s="212" t="s">
        <v>515</v>
      </c>
      <c r="C138" s="225"/>
      <c r="D138" s="524"/>
      <c r="E138" s="504"/>
      <c r="F138" s="504"/>
      <c r="G138" s="504"/>
    </row>
    <row r="139" spans="1:7" customFormat="1" ht="12.75" hidden="1" outlineLevel="1" x14ac:dyDescent="0.2">
      <c r="A139" s="3">
        <v>5155050000</v>
      </c>
      <c r="B139" s="207" t="s">
        <v>61</v>
      </c>
      <c r="C139" s="226">
        <v>6000</v>
      </c>
      <c r="D139" s="524"/>
      <c r="E139" s="504"/>
      <c r="F139" s="504"/>
      <c r="G139" s="504"/>
    </row>
    <row r="140" spans="1:7" customFormat="1" ht="12.75" hidden="1" outlineLevel="1" x14ac:dyDescent="0.2">
      <c r="A140" s="3">
        <v>5155150000</v>
      </c>
      <c r="B140" s="207" t="s">
        <v>62</v>
      </c>
      <c r="C140" s="226">
        <v>5500</v>
      </c>
      <c r="D140" s="524"/>
      <c r="E140" s="504"/>
      <c r="F140" s="504"/>
      <c r="G140" s="504"/>
    </row>
    <row r="141" spans="1:7" customFormat="1" ht="12.75" hidden="1" outlineLevel="1" x14ac:dyDescent="0.2">
      <c r="A141" s="3">
        <v>5155200000</v>
      </c>
      <c r="B141" s="207" t="s">
        <v>63</v>
      </c>
      <c r="C141" s="225">
        <v>1583.6000000000001</v>
      </c>
      <c r="D141" s="524"/>
      <c r="E141" s="504"/>
      <c r="F141" s="504"/>
      <c r="G141" s="504"/>
    </row>
    <row r="142" spans="1:7" customFormat="1" ht="12.75" hidden="1" outlineLevel="1" x14ac:dyDescent="0.2">
      <c r="A142" s="3">
        <v>5155950100</v>
      </c>
      <c r="B142" s="207" t="s">
        <v>285</v>
      </c>
      <c r="C142" s="315">
        <v>450</v>
      </c>
      <c r="D142" s="524"/>
      <c r="E142" s="504"/>
      <c r="F142" s="504"/>
      <c r="G142" s="504"/>
    </row>
    <row r="143" spans="1:7" customFormat="1" ht="12.75" hidden="1" outlineLevel="1" x14ac:dyDescent="0.2">
      <c r="A143" s="3">
        <v>5155950200</v>
      </c>
      <c r="B143" s="207" t="s">
        <v>286</v>
      </c>
      <c r="C143" s="225">
        <v>0</v>
      </c>
      <c r="D143" s="524"/>
      <c r="E143" s="504"/>
      <c r="F143" s="504"/>
      <c r="G143" s="504"/>
    </row>
    <row r="144" spans="1:7" customFormat="1" ht="12.75" hidden="1" outlineLevel="1" x14ac:dyDescent="0.2">
      <c r="A144" s="3"/>
      <c r="B144" s="317" t="s">
        <v>516</v>
      </c>
      <c r="C144" s="225"/>
      <c r="D144" s="524"/>
      <c r="E144" s="504"/>
      <c r="F144" s="504"/>
      <c r="G144" s="504"/>
    </row>
    <row r="145" spans="1:7" customFormat="1" ht="12.75" hidden="1" outlineLevel="1" x14ac:dyDescent="0.2">
      <c r="A145" s="3">
        <v>5165951000</v>
      </c>
      <c r="B145" s="316" t="s">
        <v>93</v>
      </c>
      <c r="C145" s="226">
        <v>3000</v>
      </c>
      <c r="D145" s="524"/>
      <c r="E145" s="504"/>
      <c r="F145" s="504"/>
      <c r="G145" s="504"/>
    </row>
    <row r="146" spans="1:7" customFormat="1" ht="12.75" hidden="1" outlineLevel="1" x14ac:dyDescent="0.2">
      <c r="A146" s="3"/>
      <c r="B146" s="317" t="s">
        <v>517</v>
      </c>
      <c r="C146" s="225"/>
      <c r="D146" s="524"/>
      <c r="E146" s="504"/>
      <c r="F146" s="504"/>
      <c r="G146" s="504"/>
    </row>
    <row r="147" spans="1:7" customFormat="1" ht="12.75" hidden="1" outlineLevel="1" x14ac:dyDescent="0.2">
      <c r="A147" s="3">
        <v>5195100000</v>
      </c>
      <c r="B147" s="207" t="s">
        <v>65</v>
      </c>
      <c r="C147" s="225">
        <v>0</v>
      </c>
      <c r="D147" s="524"/>
      <c r="E147" s="504"/>
      <c r="F147" s="504"/>
      <c r="G147" s="504"/>
    </row>
    <row r="148" spans="1:7" customFormat="1" ht="12.75" hidden="1" outlineLevel="1" x14ac:dyDescent="0.2">
      <c r="A148" s="3">
        <v>5195200000</v>
      </c>
      <c r="B148" s="207" t="s">
        <v>66</v>
      </c>
      <c r="C148" s="226">
        <v>10600</v>
      </c>
      <c r="D148" s="524"/>
      <c r="E148" s="504"/>
      <c r="F148" s="504"/>
      <c r="G148" s="504"/>
    </row>
    <row r="149" spans="1:7" customFormat="1" ht="12.75" hidden="1" outlineLevel="1" x14ac:dyDescent="0.2">
      <c r="A149" s="3">
        <v>5195250000</v>
      </c>
      <c r="B149" s="207" t="s">
        <v>67</v>
      </c>
      <c r="C149" s="225">
        <v>1979.5000000000002</v>
      </c>
      <c r="D149" s="524"/>
      <c r="E149" s="504"/>
      <c r="F149" s="504"/>
      <c r="G149" s="504"/>
    </row>
    <row r="150" spans="1:7" customFormat="1" ht="12.75" hidden="1" outlineLevel="1" x14ac:dyDescent="0.2">
      <c r="A150" s="3">
        <v>5195300000</v>
      </c>
      <c r="B150" s="207" t="s">
        <v>68</v>
      </c>
      <c r="C150" s="226">
        <v>4879.2000000000007</v>
      </c>
      <c r="D150" s="524"/>
      <c r="E150" s="504"/>
      <c r="F150" s="504"/>
      <c r="G150" s="504"/>
    </row>
    <row r="151" spans="1:7" customFormat="1" ht="12.75" hidden="1" outlineLevel="1" x14ac:dyDescent="0.2">
      <c r="A151" s="3">
        <v>5195350000</v>
      </c>
      <c r="B151" s="207" t="s">
        <v>287</v>
      </c>
      <c r="C151" s="225">
        <v>0</v>
      </c>
      <c r="D151" s="524"/>
      <c r="E151" s="504"/>
      <c r="F151" s="504"/>
      <c r="G151" s="504"/>
    </row>
    <row r="152" spans="1:7" customFormat="1" ht="12.75" hidden="1" outlineLevel="1" x14ac:dyDescent="0.2">
      <c r="A152" s="3">
        <v>5195450000</v>
      </c>
      <c r="B152" s="207" t="s">
        <v>69</v>
      </c>
      <c r="C152" s="226">
        <v>7839.5</v>
      </c>
      <c r="D152" s="524"/>
      <c r="E152" s="504"/>
      <c r="F152" s="504"/>
      <c r="G152" s="504"/>
    </row>
    <row r="153" spans="1:7" customFormat="1" ht="12.75" hidden="1" outlineLevel="1" x14ac:dyDescent="0.2">
      <c r="A153" s="3">
        <v>5195500000</v>
      </c>
      <c r="B153" s="207" t="s">
        <v>332</v>
      </c>
      <c r="C153" s="225">
        <v>0</v>
      </c>
      <c r="D153" s="524"/>
      <c r="E153" s="504"/>
      <c r="F153" s="504"/>
      <c r="G153" s="504"/>
    </row>
    <row r="154" spans="1:7" customFormat="1" ht="12.75" hidden="1" outlineLevel="1" x14ac:dyDescent="0.2">
      <c r="A154" s="3">
        <v>5195650000</v>
      </c>
      <c r="B154" s="207" t="s">
        <v>333</v>
      </c>
      <c r="C154" s="225">
        <v>0</v>
      </c>
      <c r="D154" s="524"/>
      <c r="E154" s="504"/>
      <c r="F154" s="504"/>
      <c r="G154" s="504"/>
    </row>
    <row r="155" spans="1:7" customFormat="1" ht="12.75" hidden="1" outlineLevel="1" x14ac:dyDescent="0.2">
      <c r="A155" s="3">
        <v>5195950100</v>
      </c>
      <c r="B155" s="207" t="s">
        <v>54</v>
      </c>
      <c r="C155" s="226">
        <v>16500</v>
      </c>
      <c r="D155" s="524"/>
      <c r="E155" s="504"/>
      <c r="F155" s="504"/>
      <c r="G155" s="504"/>
    </row>
    <row r="156" spans="1:7" customFormat="1" ht="12.75" hidden="1" outlineLevel="1" x14ac:dyDescent="0.2">
      <c r="A156" s="3">
        <v>5195950200</v>
      </c>
      <c r="B156" s="207" t="s">
        <v>70</v>
      </c>
      <c r="C156" s="226">
        <v>0</v>
      </c>
      <c r="D156" s="524"/>
      <c r="E156" s="504"/>
      <c r="F156" s="504"/>
      <c r="G156" s="504"/>
    </row>
    <row r="157" spans="1:7" customFormat="1" ht="12.75" hidden="1" outlineLevel="1" x14ac:dyDescent="0.2">
      <c r="A157" s="3">
        <v>5195950300</v>
      </c>
      <c r="B157" s="207" t="s">
        <v>71</v>
      </c>
      <c r="C157" s="225">
        <v>0</v>
      </c>
      <c r="D157" s="524"/>
      <c r="E157" s="504"/>
      <c r="F157" s="504"/>
      <c r="G157" s="504"/>
    </row>
    <row r="158" spans="1:7" customFormat="1" ht="12.75" hidden="1" outlineLevel="1" x14ac:dyDescent="0.2">
      <c r="A158" s="3">
        <v>5195950400</v>
      </c>
      <c r="B158" s="207" t="s">
        <v>72</v>
      </c>
      <c r="C158" s="225">
        <v>0</v>
      </c>
      <c r="D158" s="524"/>
      <c r="E158" s="504"/>
      <c r="F158" s="504"/>
      <c r="G158" s="504"/>
    </row>
    <row r="159" spans="1:7" customFormat="1" ht="12.75" hidden="1" outlineLevel="1" x14ac:dyDescent="0.2">
      <c r="A159" s="3">
        <v>5195950500</v>
      </c>
      <c r="B159" s="207" t="s">
        <v>334</v>
      </c>
      <c r="C159" s="225">
        <v>0</v>
      </c>
      <c r="D159" s="524"/>
      <c r="E159" s="504"/>
      <c r="F159" s="504"/>
      <c r="G159" s="504"/>
    </row>
    <row r="160" spans="1:7" customFormat="1" ht="12.75" hidden="1" outlineLevel="1" x14ac:dyDescent="0.2">
      <c r="A160" s="3">
        <v>5195950600</v>
      </c>
      <c r="B160" s="207" t="s">
        <v>73</v>
      </c>
      <c r="C160" s="225">
        <v>0</v>
      </c>
      <c r="D160" s="524"/>
      <c r="E160" s="504"/>
      <c r="F160" s="504"/>
      <c r="G160" s="504"/>
    </row>
    <row r="161" spans="1:7" customFormat="1" ht="12.75" hidden="1" outlineLevel="1" x14ac:dyDescent="0.2">
      <c r="A161" s="3">
        <v>5195950800</v>
      </c>
      <c r="B161" s="207" t="s">
        <v>74</v>
      </c>
      <c r="C161" s="225">
        <v>0</v>
      </c>
      <c r="D161" s="524"/>
      <c r="E161" s="504"/>
      <c r="F161" s="504"/>
      <c r="G161" s="504"/>
    </row>
    <row r="162" spans="1:7" customFormat="1" ht="12.75" hidden="1" outlineLevel="1" x14ac:dyDescent="0.2">
      <c r="A162" s="3">
        <v>5195950900</v>
      </c>
      <c r="B162" s="207" t="s">
        <v>335</v>
      </c>
      <c r="C162" s="225">
        <v>0</v>
      </c>
      <c r="D162" s="524"/>
      <c r="E162" s="504"/>
      <c r="F162" s="504"/>
      <c r="G162" s="504"/>
    </row>
    <row r="163" spans="1:7" customFormat="1" ht="12.75" hidden="1" outlineLevel="1" x14ac:dyDescent="0.2">
      <c r="A163" s="3">
        <v>5195951000</v>
      </c>
      <c r="B163" s="207" t="s">
        <v>75</v>
      </c>
      <c r="C163" s="225">
        <v>0</v>
      </c>
      <c r="D163" s="524"/>
      <c r="E163" s="504"/>
      <c r="F163" s="504"/>
      <c r="G163" s="504"/>
    </row>
    <row r="164" spans="1:7" customFormat="1" ht="12.75" hidden="1" outlineLevel="1" x14ac:dyDescent="0.2">
      <c r="A164" s="3">
        <v>5195951100</v>
      </c>
      <c r="B164" s="207" t="s">
        <v>288</v>
      </c>
      <c r="C164" s="225">
        <v>0</v>
      </c>
      <c r="D164" s="524"/>
      <c r="E164" s="504"/>
      <c r="F164" s="504"/>
      <c r="G164" s="504"/>
    </row>
    <row r="165" spans="1:7" customFormat="1" ht="12.75" hidden="1" outlineLevel="1" x14ac:dyDescent="0.2">
      <c r="A165" s="3">
        <v>5195951200</v>
      </c>
      <c r="B165" s="207" t="s">
        <v>336</v>
      </c>
      <c r="C165" s="225">
        <v>0</v>
      </c>
      <c r="D165" s="524"/>
      <c r="E165" s="504"/>
      <c r="F165" s="504"/>
      <c r="G165" s="504"/>
    </row>
    <row r="166" spans="1:7" customFormat="1" ht="12.75" hidden="1" outlineLevel="1" x14ac:dyDescent="0.2">
      <c r="A166" s="3">
        <v>5195951300</v>
      </c>
      <c r="B166" s="207" t="s">
        <v>76</v>
      </c>
      <c r="C166" s="225">
        <v>0</v>
      </c>
      <c r="D166" s="524"/>
      <c r="E166" s="504"/>
      <c r="F166" s="504"/>
      <c r="G166" s="504"/>
    </row>
    <row r="167" spans="1:7" customFormat="1" ht="12.75" hidden="1" outlineLevel="1" x14ac:dyDescent="0.2">
      <c r="A167" s="3">
        <v>5195951400</v>
      </c>
      <c r="B167" s="207" t="s">
        <v>337</v>
      </c>
      <c r="C167" s="225">
        <v>0</v>
      </c>
      <c r="D167" s="524"/>
      <c r="E167" s="504"/>
      <c r="F167" s="504"/>
      <c r="G167" s="504"/>
    </row>
    <row r="168" spans="1:7" customFormat="1" ht="12.75" hidden="1" outlineLevel="1" x14ac:dyDescent="0.2">
      <c r="A168" s="3">
        <v>5195951500</v>
      </c>
      <c r="B168" s="207" t="s">
        <v>77</v>
      </c>
      <c r="C168" s="225">
        <v>0</v>
      </c>
      <c r="D168" s="524"/>
      <c r="E168" s="504"/>
      <c r="F168" s="504"/>
      <c r="G168" s="504"/>
    </row>
    <row r="169" spans="1:7" customFormat="1" ht="12.75" hidden="1" outlineLevel="1" x14ac:dyDescent="0.2">
      <c r="A169" s="3">
        <v>5195951600</v>
      </c>
      <c r="B169" s="207" t="s">
        <v>64</v>
      </c>
      <c r="C169" s="315">
        <v>0</v>
      </c>
      <c r="D169" s="524"/>
      <c r="E169" s="504"/>
      <c r="F169" s="504"/>
      <c r="G169" s="504"/>
    </row>
    <row r="170" spans="1:7" customFormat="1" ht="12.75" hidden="1" outlineLevel="1" x14ac:dyDescent="0.2">
      <c r="A170" s="3">
        <v>5195951900</v>
      </c>
      <c r="B170" s="207" t="s">
        <v>78</v>
      </c>
      <c r="C170" s="225">
        <v>0</v>
      </c>
      <c r="D170" s="524"/>
      <c r="E170" s="504"/>
      <c r="F170" s="504"/>
      <c r="G170" s="504"/>
    </row>
    <row r="171" spans="1:7" customFormat="1" ht="12.75" hidden="1" outlineLevel="1" x14ac:dyDescent="0.2">
      <c r="A171" s="3">
        <v>5195952000</v>
      </c>
      <c r="B171" s="207" t="s">
        <v>338</v>
      </c>
      <c r="C171" s="225">
        <v>0</v>
      </c>
      <c r="D171" s="524"/>
      <c r="E171" s="504"/>
      <c r="F171" s="504"/>
      <c r="G171" s="504"/>
    </row>
    <row r="172" spans="1:7" customFormat="1" ht="12.75" hidden="1" outlineLevel="1" x14ac:dyDescent="0.2">
      <c r="A172" s="3">
        <v>5195952800</v>
      </c>
      <c r="B172" s="316" t="s">
        <v>518</v>
      </c>
      <c r="C172" s="225">
        <v>0</v>
      </c>
      <c r="D172" s="524"/>
      <c r="E172" s="504"/>
      <c r="F172" s="504"/>
      <c r="G172" s="504"/>
    </row>
    <row r="173" spans="1:7" customFormat="1" ht="12.75" hidden="1" outlineLevel="1" x14ac:dyDescent="0.2">
      <c r="A173" s="3">
        <v>5195953000</v>
      </c>
      <c r="B173" s="207" t="s">
        <v>339</v>
      </c>
      <c r="C173" s="225">
        <v>0</v>
      </c>
      <c r="D173" s="524"/>
      <c r="E173" s="504"/>
      <c r="F173" s="504"/>
      <c r="G173" s="504"/>
    </row>
    <row r="174" spans="1:7" customFormat="1" ht="12.75" hidden="1" outlineLevel="1" x14ac:dyDescent="0.2">
      <c r="A174" s="3">
        <v>5199051000</v>
      </c>
      <c r="B174" s="207" t="s">
        <v>776</v>
      </c>
      <c r="C174" s="225">
        <v>0</v>
      </c>
      <c r="D174" s="524"/>
      <c r="E174" s="504"/>
      <c r="F174" s="504"/>
      <c r="G174" s="504"/>
    </row>
    <row r="175" spans="1:7" customFormat="1" ht="12.75" collapsed="1" x14ac:dyDescent="0.2">
      <c r="A175" s="176"/>
      <c r="B175" s="213" t="s">
        <v>79</v>
      </c>
      <c r="C175" s="214">
        <f>SUM(C78:C174)</f>
        <v>113217.48721594627</v>
      </c>
      <c r="D175" s="524"/>
      <c r="E175" s="504"/>
      <c r="F175" s="504"/>
      <c r="G175" s="504"/>
    </row>
    <row r="176" spans="1:7" customFormat="1" ht="12.75" x14ac:dyDescent="0.2">
      <c r="A176" s="176"/>
      <c r="B176" s="209" t="s">
        <v>340</v>
      </c>
      <c r="C176" s="210">
        <f>+C61+C72+C175+C75</f>
        <v>2330401.8055526079</v>
      </c>
      <c r="D176" s="524"/>
      <c r="E176" s="504"/>
      <c r="F176" s="504"/>
      <c r="G176" s="504"/>
    </row>
    <row r="177" spans="1:7" customFormat="1" ht="12.75" x14ac:dyDescent="0.2">
      <c r="A177" s="176"/>
      <c r="B177" s="212" t="s">
        <v>341</v>
      </c>
      <c r="C177" s="225" t="s">
        <v>169</v>
      </c>
      <c r="D177" s="524"/>
      <c r="E177" s="504"/>
      <c r="F177" s="504"/>
      <c r="G177" s="504"/>
    </row>
    <row r="178" spans="1:7" customFormat="1" ht="12.75" hidden="1" outlineLevel="1" x14ac:dyDescent="0.2">
      <c r="A178" s="176"/>
      <c r="B178" s="212" t="s">
        <v>85</v>
      </c>
      <c r="C178" s="225" t="s">
        <v>169</v>
      </c>
      <c r="D178" s="524"/>
      <c r="E178" s="504"/>
      <c r="F178" s="504"/>
      <c r="G178" s="504"/>
    </row>
    <row r="179" spans="1:7" customFormat="1" ht="12.75" hidden="1" outlineLevel="1" x14ac:dyDescent="0.2">
      <c r="A179" s="176" t="s">
        <v>342</v>
      </c>
      <c r="B179" s="207" t="s">
        <v>343</v>
      </c>
      <c r="C179" s="225">
        <v>0</v>
      </c>
      <c r="D179" s="524"/>
      <c r="E179" s="504"/>
      <c r="F179" s="504"/>
      <c r="G179" s="504"/>
    </row>
    <row r="180" spans="1:7" customFormat="1" ht="12.75" hidden="1" outlineLevel="1" x14ac:dyDescent="0.2">
      <c r="A180" s="176" t="s">
        <v>594</v>
      </c>
      <c r="B180" s="207" t="s">
        <v>595</v>
      </c>
      <c r="C180" s="225">
        <v>0</v>
      </c>
      <c r="D180" s="524"/>
      <c r="E180" s="504"/>
      <c r="F180" s="504"/>
      <c r="G180" s="504"/>
    </row>
    <row r="181" spans="1:7" customFormat="1" ht="12.75" hidden="1" outlineLevel="1" x14ac:dyDescent="0.2">
      <c r="A181" s="176" t="s">
        <v>836</v>
      </c>
      <c r="B181" s="207" t="s">
        <v>837</v>
      </c>
      <c r="C181" s="225">
        <v>0</v>
      </c>
      <c r="D181" s="524"/>
      <c r="E181" s="504"/>
      <c r="F181" s="504"/>
      <c r="G181" s="504"/>
    </row>
    <row r="182" spans="1:7" customFormat="1" ht="12.75" hidden="1" outlineLevel="1" x14ac:dyDescent="0.2">
      <c r="A182" s="177" t="s">
        <v>86</v>
      </c>
      <c r="B182" s="207" t="s">
        <v>87</v>
      </c>
      <c r="C182" s="225">
        <v>2954.7751999999996</v>
      </c>
      <c r="D182" s="524"/>
      <c r="E182" s="504"/>
      <c r="F182" s="504"/>
      <c r="G182" s="504"/>
    </row>
    <row r="183" spans="1:7" customFormat="1" ht="12.75" hidden="1" outlineLevel="1" x14ac:dyDescent="0.2">
      <c r="A183" s="177" t="s">
        <v>88</v>
      </c>
      <c r="B183" s="207" t="s">
        <v>89</v>
      </c>
      <c r="C183" s="225">
        <v>7787.0057599999991</v>
      </c>
      <c r="D183" s="524"/>
      <c r="E183" s="504"/>
      <c r="F183" s="504"/>
      <c r="G183" s="504"/>
    </row>
    <row r="184" spans="1:7" customFormat="1" ht="12.75" hidden="1" outlineLevel="1" x14ac:dyDescent="0.2">
      <c r="A184" s="177" t="s">
        <v>90</v>
      </c>
      <c r="B184" s="207" t="s">
        <v>91</v>
      </c>
      <c r="C184" s="225">
        <v>6372.8938399999997</v>
      </c>
      <c r="D184" s="524"/>
      <c r="E184" s="504"/>
      <c r="F184" s="504"/>
      <c r="G184" s="504"/>
    </row>
    <row r="185" spans="1:7" customFormat="1" ht="12.75" hidden="1" outlineLevel="1" x14ac:dyDescent="0.2">
      <c r="A185" s="177" t="s">
        <v>92</v>
      </c>
      <c r="B185" s="207" t="s">
        <v>93</v>
      </c>
      <c r="C185" s="225">
        <v>18101.173599999998</v>
      </c>
      <c r="D185" s="524"/>
      <c r="E185" s="504"/>
      <c r="F185" s="504"/>
      <c r="G185" s="504"/>
    </row>
    <row r="186" spans="1:7" customFormat="1" ht="12.75" hidden="1" outlineLevel="1" x14ac:dyDescent="0.2">
      <c r="A186" s="177" t="s">
        <v>94</v>
      </c>
      <c r="B186" s="207" t="s">
        <v>95</v>
      </c>
      <c r="C186" s="225">
        <v>54339.814879999991</v>
      </c>
      <c r="D186" s="524"/>
      <c r="E186" s="504"/>
      <c r="F186" s="504"/>
      <c r="G186" s="504"/>
    </row>
    <row r="187" spans="1:7" customFormat="1" ht="12.75" hidden="1" outlineLevel="1" x14ac:dyDescent="0.2">
      <c r="A187" s="177" t="s">
        <v>344</v>
      </c>
      <c r="B187" s="207" t="s">
        <v>345</v>
      </c>
      <c r="C187" s="225">
        <v>0</v>
      </c>
      <c r="D187" s="524"/>
      <c r="E187" s="504"/>
      <c r="F187" s="504"/>
      <c r="G187" s="504"/>
    </row>
    <row r="188" spans="1:7" customFormat="1" ht="12.75" hidden="1" outlineLevel="1" x14ac:dyDescent="0.2">
      <c r="A188" s="177" t="s">
        <v>96</v>
      </c>
      <c r="B188" s="207" t="s">
        <v>97</v>
      </c>
      <c r="C188" s="225">
        <v>31866.248639999998</v>
      </c>
      <c r="D188" s="524"/>
      <c r="E188" s="504"/>
      <c r="F188" s="504"/>
      <c r="G188" s="504"/>
    </row>
    <row r="189" spans="1:7" customFormat="1" ht="12.75" hidden="1" outlineLevel="1" x14ac:dyDescent="0.2">
      <c r="A189" s="177" t="s">
        <v>346</v>
      </c>
      <c r="B189" s="207" t="s">
        <v>347</v>
      </c>
      <c r="C189" s="225">
        <v>0</v>
      </c>
      <c r="D189" s="524"/>
      <c r="E189" s="504"/>
      <c r="F189" s="504"/>
      <c r="G189" s="504"/>
    </row>
    <row r="190" spans="1:7" customFormat="1" ht="12.75" hidden="1" outlineLevel="1" x14ac:dyDescent="0.2">
      <c r="A190" s="177" t="s">
        <v>348</v>
      </c>
      <c r="B190" s="207" t="s">
        <v>349</v>
      </c>
      <c r="C190" s="225">
        <v>0</v>
      </c>
      <c r="D190" s="524"/>
      <c r="E190" s="504"/>
      <c r="F190" s="504"/>
      <c r="G190" s="504"/>
    </row>
    <row r="191" spans="1:7" customFormat="1" ht="12.75" hidden="1" outlineLevel="1" x14ac:dyDescent="0.2">
      <c r="A191" s="177" t="s">
        <v>98</v>
      </c>
      <c r="B191" s="207" t="s">
        <v>99</v>
      </c>
      <c r="C191" s="225">
        <v>0</v>
      </c>
      <c r="D191" s="524"/>
      <c r="E191" s="504"/>
      <c r="F191" s="504"/>
      <c r="G191" s="504"/>
    </row>
    <row r="192" spans="1:7" customFormat="1" ht="12.75" hidden="1" outlineLevel="1" x14ac:dyDescent="0.2">
      <c r="A192" s="177" t="s">
        <v>100</v>
      </c>
      <c r="B192" s="207" t="s">
        <v>101</v>
      </c>
      <c r="C192" s="225">
        <v>23137.387839999999</v>
      </c>
      <c r="D192" s="524"/>
      <c r="E192" s="504"/>
      <c r="F192" s="504"/>
      <c r="G192" s="504"/>
    </row>
    <row r="193" spans="1:7" customFormat="1" ht="12.75" hidden="1" outlineLevel="1" x14ac:dyDescent="0.2">
      <c r="A193" s="177" t="s">
        <v>102</v>
      </c>
      <c r="B193" s="207" t="s">
        <v>103</v>
      </c>
      <c r="C193" s="225">
        <v>13162.039759999998</v>
      </c>
      <c r="D193" s="524"/>
      <c r="E193" s="504"/>
      <c r="F193" s="504"/>
      <c r="G193" s="504"/>
    </row>
    <row r="194" spans="1:7" customFormat="1" ht="12.75" hidden="1" outlineLevel="1" x14ac:dyDescent="0.2">
      <c r="A194" s="177" t="s">
        <v>104</v>
      </c>
      <c r="B194" s="207" t="s">
        <v>105</v>
      </c>
      <c r="C194" s="225">
        <v>25526.17584</v>
      </c>
      <c r="D194" s="524"/>
      <c r="E194" s="504"/>
      <c r="F194" s="504"/>
      <c r="G194" s="504"/>
    </row>
    <row r="195" spans="1:7" customFormat="1" ht="12.75" hidden="1" outlineLevel="1" x14ac:dyDescent="0.2">
      <c r="A195" s="177" t="s">
        <v>106</v>
      </c>
      <c r="B195" s="207" t="s">
        <v>107</v>
      </c>
      <c r="C195" s="225">
        <v>0</v>
      </c>
      <c r="D195" s="524"/>
      <c r="E195" s="504"/>
      <c r="F195" s="504"/>
      <c r="G195" s="504"/>
    </row>
    <row r="196" spans="1:7" customFormat="1" ht="12.75" hidden="1" outlineLevel="1" x14ac:dyDescent="0.2">
      <c r="A196" s="177" t="s">
        <v>350</v>
      </c>
      <c r="B196" s="207" t="s">
        <v>351</v>
      </c>
      <c r="C196" s="225">
        <v>0</v>
      </c>
      <c r="D196" s="524"/>
      <c r="E196" s="504"/>
      <c r="F196" s="504"/>
      <c r="G196" s="504"/>
    </row>
    <row r="197" spans="1:7" customFormat="1" ht="12.75" hidden="1" outlineLevel="1" x14ac:dyDescent="0.2">
      <c r="A197" s="177" t="s">
        <v>352</v>
      </c>
      <c r="B197" s="207" t="s">
        <v>353</v>
      </c>
      <c r="C197" s="225">
        <v>0</v>
      </c>
      <c r="D197" s="524"/>
      <c r="E197" s="504"/>
      <c r="F197" s="504"/>
      <c r="G197" s="504"/>
    </row>
    <row r="198" spans="1:7" customFormat="1" ht="12.75" hidden="1" outlineLevel="1" x14ac:dyDescent="0.2">
      <c r="A198" s="177" t="s">
        <v>354</v>
      </c>
      <c r="B198" s="207" t="s">
        <v>355</v>
      </c>
      <c r="C198" s="225">
        <v>0</v>
      </c>
      <c r="D198" s="524"/>
      <c r="E198" s="504"/>
      <c r="F198" s="504"/>
      <c r="G198" s="504"/>
    </row>
    <row r="199" spans="1:7" customFormat="1" ht="12.75" hidden="1" outlineLevel="1" x14ac:dyDescent="0.2">
      <c r="A199" s="177" t="s">
        <v>108</v>
      </c>
      <c r="B199" s="207" t="s">
        <v>109</v>
      </c>
      <c r="C199" s="225">
        <v>0</v>
      </c>
      <c r="D199" s="524"/>
      <c r="E199" s="504"/>
      <c r="F199" s="504"/>
      <c r="G199" s="504"/>
    </row>
    <row r="200" spans="1:7" customFormat="1" ht="12.75" hidden="1" outlineLevel="1" x14ac:dyDescent="0.2">
      <c r="A200" s="177" t="s">
        <v>110</v>
      </c>
      <c r="B200" s="207" t="s">
        <v>111</v>
      </c>
      <c r="C200" s="225">
        <v>0</v>
      </c>
      <c r="D200" s="524"/>
      <c r="E200" s="504"/>
      <c r="F200" s="504"/>
      <c r="G200" s="504"/>
    </row>
    <row r="201" spans="1:7" customFormat="1" ht="12.75" hidden="1" outlineLevel="1" x14ac:dyDescent="0.2">
      <c r="A201" s="177" t="s">
        <v>112</v>
      </c>
      <c r="B201" s="207" t="s">
        <v>356</v>
      </c>
      <c r="C201" s="225">
        <v>0</v>
      </c>
      <c r="D201" s="524"/>
      <c r="E201" s="504"/>
      <c r="F201" s="504"/>
      <c r="G201" s="504"/>
    </row>
    <row r="202" spans="1:7" customFormat="1" ht="12.75" hidden="1" outlineLevel="1" x14ac:dyDescent="0.2">
      <c r="A202" s="177" t="s">
        <v>289</v>
      </c>
      <c r="B202" s="207" t="s">
        <v>357</v>
      </c>
      <c r="C202" s="225">
        <v>0</v>
      </c>
      <c r="D202" s="524"/>
      <c r="E202" s="504"/>
      <c r="F202" s="504"/>
      <c r="G202" s="504"/>
    </row>
    <row r="203" spans="1:7" customFormat="1" ht="12.75" hidden="1" outlineLevel="1" x14ac:dyDescent="0.2">
      <c r="A203" s="177" t="s">
        <v>358</v>
      </c>
      <c r="B203" s="207" t="s">
        <v>359</v>
      </c>
      <c r="C203" s="225">
        <v>0</v>
      </c>
      <c r="D203" s="524"/>
      <c r="E203" s="504"/>
      <c r="F203" s="504"/>
      <c r="G203" s="504"/>
    </row>
    <row r="204" spans="1:7" customFormat="1" ht="12.75" hidden="1" outlineLevel="1" x14ac:dyDescent="0.2">
      <c r="A204" s="177" t="s">
        <v>360</v>
      </c>
      <c r="B204" s="207" t="s">
        <v>361</v>
      </c>
      <c r="C204" s="225">
        <v>0</v>
      </c>
      <c r="D204" s="524"/>
      <c r="E204" s="504"/>
      <c r="F204" s="504"/>
      <c r="G204" s="504"/>
    </row>
    <row r="205" spans="1:7" customFormat="1" ht="12.75" hidden="1" outlineLevel="1" x14ac:dyDescent="0.2">
      <c r="A205" s="177" t="s">
        <v>919</v>
      </c>
      <c r="B205" s="949" t="s">
        <v>969</v>
      </c>
      <c r="C205" s="225">
        <v>38870</v>
      </c>
      <c r="D205" s="524"/>
      <c r="E205" s="504"/>
      <c r="F205" s="504"/>
      <c r="G205" s="504"/>
    </row>
    <row r="206" spans="1:7" customFormat="1" ht="12.75" hidden="1" outlineLevel="1" x14ac:dyDescent="0.2">
      <c r="A206" s="177" t="s">
        <v>918</v>
      </c>
      <c r="B206" s="949" t="s">
        <v>970</v>
      </c>
      <c r="C206" s="225">
        <v>-4884</v>
      </c>
      <c r="D206" s="524"/>
      <c r="E206" s="504"/>
      <c r="F206" s="504"/>
      <c r="G206" s="504"/>
    </row>
    <row r="207" spans="1:7" customFormat="1" ht="12.75" hidden="1" outlineLevel="1" x14ac:dyDescent="0.2">
      <c r="A207" s="177" t="s">
        <v>426</v>
      </c>
      <c r="B207" s="207" t="s">
        <v>427</v>
      </c>
      <c r="C207" s="225">
        <v>0</v>
      </c>
      <c r="D207" s="524"/>
      <c r="E207" s="504"/>
      <c r="F207" s="504"/>
      <c r="G207" s="504"/>
    </row>
    <row r="208" spans="1:7" customFormat="1" ht="12.75" hidden="1" outlineLevel="1" x14ac:dyDescent="0.2">
      <c r="A208" s="177" t="s">
        <v>971</v>
      </c>
      <c r="B208" s="207" t="s">
        <v>972</v>
      </c>
      <c r="C208" s="225">
        <v>0</v>
      </c>
      <c r="D208" s="524"/>
      <c r="E208" s="504"/>
      <c r="F208" s="504"/>
      <c r="G208" s="504"/>
    </row>
    <row r="209" spans="1:7" customFormat="1" ht="12.75" hidden="1" outlineLevel="1" x14ac:dyDescent="0.2">
      <c r="A209" s="177" t="s">
        <v>777</v>
      </c>
      <c r="B209" s="207" t="s">
        <v>778</v>
      </c>
      <c r="C209" s="225">
        <v>10866.415999999999</v>
      </c>
      <c r="D209" s="524"/>
      <c r="E209" s="504"/>
      <c r="F209" s="504"/>
      <c r="G209" s="504"/>
    </row>
    <row r="210" spans="1:7" customFormat="1" ht="12.75" hidden="1" outlineLevel="1" x14ac:dyDescent="0.2">
      <c r="A210" s="177" t="s">
        <v>779</v>
      </c>
      <c r="B210" s="207" t="s">
        <v>780</v>
      </c>
      <c r="C210" s="225">
        <v>1020.8</v>
      </c>
      <c r="D210" s="524"/>
      <c r="E210" s="504"/>
      <c r="F210" s="504"/>
      <c r="G210" s="504"/>
    </row>
    <row r="211" spans="1:7" customFormat="1" ht="12.75" hidden="1" outlineLevel="1" x14ac:dyDescent="0.2">
      <c r="A211" s="177" t="s">
        <v>973</v>
      </c>
      <c r="B211" s="207" t="s">
        <v>974</v>
      </c>
      <c r="C211" s="225">
        <v>0</v>
      </c>
      <c r="D211" s="524"/>
      <c r="E211" s="504"/>
      <c r="F211" s="504"/>
      <c r="G211" s="504"/>
    </row>
    <row r="212" spans="1:7" customFormat="1" ht="12.75" hidden="1" outlineLevel="1" x14ac:dyDescent="0.2">
      <c r="A212" s="177" t="s">
        <v>260</v>
      </c>
      <c r="B212" s="207" t="s">
        <v>362</v>
      </c>
      <c r="C212" s="225">
        <v>127611.59999999999</v>
      </c>
      <c r="D212" s="524"/>
      <c r="E212" s="504"/>
      <c r="F212" s="504"/>
      <c r="G212" s="504"/>
    </row>
    <row r="213" spans="1:7" customFormat="1" ht="12.75" hidden="1" outlineLevel="1" x14ac:dyDescent="0.2">
      <c r="A213" s="177" t="s">
        <v>421</v>
      </c>
      <c r="B213" s="207" t="s">
        <v>422</v>
      </c>
      <c r="C213" s="225">
        <v>29646.716239999998</v>
      </c>
      <c r="D213" s="524"/>
      <c r="E213" s="504"/>
      <c r="F213" s="504"/>
      <c r="G213" s="504"/>
    </row>
    <row r="214" spans="1:7" customFormat="1" ht="12.75" hidden="1" outlineLevel="1" x14ac:dyDescent="0.2">
      <c r="A214" s="320" t="s">
        <v>522</v>
      </c>
      <c r="B214" s="207" t="s">
        <v>523</v>
      </c>
      <c r="C214" s="225">
        <v>0</v>
      </c>
      <c r="D214" s="524"/>
      <c r="E214" s="504"/>
      <c r="F214" s="504"/>
      <c r="G214" s="504"/>
    </row>
    <row r="215" spans="1:7" customFormat="1" ht="12.75" hidden="1" outlineLevel="1" x14ac:dyDescent="0.2">
      <c r="A215" s="320" t="s">
        <v>586</v>
      </c>
      <c r="B215" s="207" t="s">
        <v>587</v>
      </c>
      <c r="C215" s="225">
        <v>242430.77164357677</v>
      </c>
      <c r="D215" s="524"/>
      <c r="E215" s="504"/>
      <c r="F215" s="504"/>
      <c r="G215" s="504"/>
    </row>
    <row r="216" spans="1:7" customFormat="1" ht="12.75" hidden="1" outlineLevel="1" x14ac:dyDescent="0.2">
      <c r="A216" s="320" t="s">
        <v>588</v>
      </c>
      <c r="B216" s="207" t="s">
        <v>590</v>
      </c>
      <c r="C216" s="225">
        <v>292212.12</v>
      </c>
      <c r="D216" s="524"/>
      <c r="E216" s="504"/>
      <c r="F216" s="504"/>
      <c r="G216" s="504"/>
    </row>
    <row r="217" spans="1:7" customFormat="1" ht="12.75" hidden="1" outlineLevel="1" x14ac:dyDescent="0.2">
      <c r="A217" s="320" t="s">
        <v>591</v>
      </c>
      <c r="B217" s="207" t="s">
        <v>589</v>
      </c>
      <c r="C217" s="225">
        <v>107747.00961936745</v>
      </c>
      <c r="D217" s="524"/>
      <c r="E217" s="504"/>
      <c r="F217" s="504"/>
      <c r="G217" s="504"/>
    </row>
    <row r="218" spans="1:7" customFormat="1" ht="12.75" hidden="1" outlineLevel="1" x14ac:dyDescent="0.2">
      <c r="A218" s="177" t="s">
        <v>593</v>
      </c>
      <c r="B218" s="207" t="s">
        <v>592</v>
      </c>
      <c r="C218" s="225">
        <v>0</v>
      </c>
      <c r="D218" s="524"/>
      <c r="E218" s="504"/>
      <c r="F218" s="504"/>
      <c r="G218" s="504"/>
    </row>
    <row r="219" spans="1:7" customFormat="1" ht="12.75" hidden="1" outlineLevel="1" x14ac:dyDescent="0.2">
      <c r="A219" s="177" t="s">
        <v>834</v>
      </c>
      <c r="B219" s="207" t="s">
        <v>835</v>
      </c>
      <c r="C219" s="225">
        <v>0</v>
      </c>
      <c r="D219" s="524"/>
      <c r="E219" s="504"/>
      <c r="F219" s="504"/>
      <c r="G219" s="504"/>
    </row>
    <row r="220" spans="1:7" customFormat="1" ht="12.75" hidden="1" outlineLevel="1" x14ac:dyDescent="0.2">
      <c r="A220" s="177" t="s">
        <v>423</v>
      </c>
      <c r="B220" s="207" t="s">
        <v>424</v>
      </c>
      <c r="C220" s="225">
        <v>24539.871999999999</v>
      </c>
      <c r="D220" s="524"/>
      <c r="E220" s="504"/>
      <c r="F220" s="504"/>
      <c r="G220" s="504"/>
    </row>
    <row r="221" spans="1:7" customFormat="1" ht="12.75" collapsed="1" x14ac:dyDescent="0.2">
      <c r="A221" s="177"/>
      <c r="B221" s="213" t="s">
        <v>113</v>
      </c>
      <c r="C221" s="214">
        <f>SUM(C179:C220)</f>
        <v>1053308.8208629442</v>
      </c>
      <c r="D221" s="524"/>
      <c r="E221" s="504"/>
      <c r="F221" s="504"/>
      <c r="G221" s="504"/>
    </row>
    <row r="222" spans="1:7" customFormat="1" ht="12.75" hidden="1" outlineLevel="1" x14ac:dyDescent="0.2">
      <c r="A222" s="177"/>
      <c r="B222" s="212" t="s">
        <v>114</v>
      </c>
      <c r="C222" s="208" t="s">
        <v>169</v>
      </c>
      <c r="D222" s="524"/>
      <c r="E222" s="504"/>
      <c r="F222" s="504"/>
      <c r="G222" s="504"/>
    </row>
    <row r="223" spans="1:7" customFormat="1" ht="12.75" hidden="1" outlineLevel="1" x14ac:dyDescent="0.2">
      <c r="A223" s="177" t="s">
        <v>115</v>
      </c>
      <c r="B223" s="207" t="s">
        <v>116</v>
      </c>
      <c r="C223" s="225">
        <v>4914.6183999999994</v>
      </c>
      <c r="D223" s="524"/>
      <c r="E223" s="504"/>
      <c r="F223" s="504"/>
      <c r="G223" s="504"/>
    </row>
    <row r="224" spans="1:7" customFormat="1" ht="12.75" hidden="1" outlineLevel="1" x14ac:dyDescent="0.2">
      <c r="A224" s="177" t="s">
        <v>117</v>
      </c>
      <c r="B224" s="207" t="s">
        <v>118</v>
      </c>
      <c r="C224" s="225">
        <v>1271.60592</v>
      </c>
      <c r="D224" s="524"/>
      <c r="E224" s="504"/>
      <c r="F224" s="504"/>
      <c r="G224" s="504"/>
    </row>
    <row r="225" spans="1:7" customFormat="1" ht="12.75" hidden="1" outlineLevel="1" x14ac:dyDescent="0.2">
      <c r="A225" s="177" t="s">
        <v>119</v>
      </c>
      <c r="B225" s="207" t="s">
        <v>120</v>
      </c>
      <c r="C225" s="225">
        <v>6755.2646399999994</v>
      </c>
      <c r="D225" s="524"/>
      <c r="E225" s="504"/>
      <c r="F225" s="504"/>
      <c r="G225" s="504"/>
    </row>
    <row r="226" spans="1:7" customFormat="1" ht="12.75" hidden="1" outlineLevel="1" x14ac:dyDescent="0.2">
      <c r="A226" s="177" t="s">
        <v>121</v>
      </c>
      <c r="B226" s="207" t="s">
        <v>122</v>
      </c>
      <c r="C226" s="225">
        <v>3769.8399199999999</v>
      </c>
      <c r="D226" s="524"/>
      <c r="E226" s="504"/>
      <c r="F226" s="504"/>
      <c r="G226" s="504"/>
    </row>
    <row r="227" spans="1:7" customFormat="1" ht="12.75" hidden="1" outlineLevel="1" x14ac:dyDescent="0.2">
      <c r="A227" s="177" t="s">
        <v>123</v>
      </c>
      <c r="B227" s="207" t="s">
        <v>124</v>
      </c>
      <c r="C227" s="225">
        <v>7557.4092799999989</v>
      </c>
      <c r="D227" s="524"/>
      <c r="E227" s="504"/>
      <c r="F227" s="504"/>
      <c r="G227" s="504"/>
    </row>
    <row r="228" spans="1:7" customFormat="1" ht="12.75" hidden="1" outlineLevel="1" x14ac:dyDescent="0.2">
      <c r="A228" s="177" t="s">
        <v>125</v>
      </c>
      <c r="B228" s="207" t="s">
        <v>126</v>
      </c>
      <c r="C228" s="225">
        <v>1193.9694400000001</v>
      </c>
      <c r="D228" s="524"/>
      <c r="E228" s="504"/>
      <c r="F228" s="504"/>
      <c r="G228" s="504"/>
    </row>
    <row r="229" spans="1:7" customFormat="1" ht="12.75" hidden="1" outlineLevel="1" x14ac:dyDescent="0.2">
      <c r="A229" s="177" t="s">
        <v>127</v>
      </c>
      <c r="B229" s="207" t="s">
        <v>128</v>
      </c>
      <c r="C229" s="225">
        <v>12713.21024</v>
      </c>
      <c r="D229" s="524"/>
      <c r="E229" s="504"/>
      <c r="F229" s="504"/>
      <c r="G229" s="504"/>
    </row>
    <row r="230" spans="1:7" customFormat="1" ht="12.75" hidden="1" outlineLevel="1" x14ac:dyDescent="0.2">
      <c r="A230" s="177" t="s">
        <v>129</v>
      </c>
      <c r="B230" s="207" t="s">
        <v>130</v>
      </c>
      <c r="C230" s="225">
        <v>11777.271199999999</v>
      </c>
      <c r="D230" s="524"/>
      <c r="E230" s="504"/>
      <c r="F230" s="504"/>
      <c r="G230" s="504"/>
    </row>
    <row r="231" spans="1:7" customFormat="1" ht="12.75" hidden="1" outlineLevel="1" x14ac:dyDescent="0.2">
      <c r="A231" s="177" t="s">
        <v>131</v>
      </c>
      <c r="B231" s="207" t="s">
        <v>132</v>
      </c>
      <c r="C231" s="225">
        <v>13839.26864</v>
      </c>
      <c r="D231" s="524"/>
      <c r="E231" s="504"/>
      <c r="F231" s="504"/>
      <c r="G231" s="504"/>
    </row>
    <row r="232" spans="1:7" customFormat="1" ht="12.75" hidden="1" outlineLevel="1" x14ac:dyDescent="0.2">
      <c r="A232" s="177" t="s">
        <v>363</v>
      </c>
      <c r="B232" s="207" t="s">
        <v>364</v>
      </c>
      <c r="C232" s="225">
        <v>73753.280239999993</v>
      </c>
      <c r="D232" s="524"/>
      <c r="E232" s="504"/>
      <c r="F232" s="504"/>
      <c r="G232" s="504"/>
    </row>
    <row r="233" spans="1:7" customFormat="1" ht="12.75" hidden="1" outlineLevel="1" x14ac:dyDescent="0.2">
      <c r="A233" s="177" t="s">
        <v>365</v>
      </c>
      <c r="B233" s="207" t="s">
        <v>366</v>
      </c>
      <c r="C233" s="225">
        <v>139863.26479999998</v>
      </c>
      <c r="D233" s="524"/>
      <c r="E233" s="504"/>
      <c r="F233" s="504"/>
      <c r="G233" s="504"/>
    </row>
    <row r="234" spans="1:7" customFormat="1" ht="12.75" hidden="1" outlineLevel="1" x14ac:dyDescent="0.2">
      <c r="A234" s="177" t="s">
        <v>367</v>
      </c>
      <c r="B234" s="207" t="s">
        <v>368</v>
      </c>
      <c r="C234" s="225">
        <v>17408.509759999997</v>
      </c>
      <c r="D234" s="524"/>
      <c r="E234" s="504"/>
      <c r="F234" s="504"/>
      <c r="G234" s="504"/>
    </row>
    <row r="235" spans="1:7" customFormat="1" ht="12.75" hidden="1" outlineLevel="1" x14ac:dyDescent="0.2">
      <c r="A235" s="177" t="s">
        <v>133</v>
      </c>
      <c r="B235" s="207" t="s">
        <v>134</v>
      </c>
      <c r="C235" s="225">
        <v>0</v>
      </c>
      <c r="D235" s="524"/>
      <c r="E235" s="504"/>
      <c r="F235" s="504"/>
      <c r="G235" s="504"/>
    </row>
    <row r="236" spans="1:7" customFormat="1" ht="12.75" hidden="1" outlineLevel="1" x14ac:dyDescent="0.2">
      <c r="A236" s="177" t="s">
        <v>135</v>
      </c>
      <c r="B236" s="207" t="s">
        <v>136</v>
      </c>
      <c r="C236" s="225">
        <v>428941.98815999995</v>
      </c>
      <c r="D236" s="524"/>
      <c r="E236" s="504"/>
      <c r="F236" s="504"/>
      <c r="G236" s="504"/>
    </row>
    <row r="237" spans="1:7" customFormat="1" ht="12.75" hidden="1" outlineLevel="1" x14ac:dyDescent="0.2">
      <c r="A237" s="177" t="s">
        <v>137</v>
      </c>
      <c r="B237" s="207" t="s">
        <v>138</v>
      </c>
      <c r="C237" s="225">
        <v>7498.24</v>
      </c>
      <c r="D237" s="524"/>
      <c r="E237" s="504"/>
      <c r="F237" s="504"/>
      <c r="G237" s="504"/>
    </row>
    <row r="238" spans="1:7" customFormat="1" ht="12.75" hidden="1" outlineLevel="1" x14ac:dyDescent="0.2">
      <c r="A238" s="177" t="s">
        <v>139</v>
      </c>
      <c r="B238" s="207" t="s">
        <v>140</v>
      </c>
      <c r="C238" s="225">
        <v>17552.655999999999</v>
      </c>
      <c r="D238" s="524"/>
      <c r="E238" s="504"/>
      <c r="F238" s="504"/>
      <c r="G238" s="504"/>
    </row>
    <row r="239" spans="1:7" customFormat="1" ht="12.75" hidden="1" outlineLevel="1" x14ac:dyDescent="0.2">
      <c r="A239" s="177" t="s">
        <v>141</v>
      </c>
      <c r="B239" s="207" t="s">
        <v>142</v>
      </c>
      <c r="C239" s="225">
        <v>10542.02896</v>
      </c>
      <c r="D239" s="524"/>
      <c r="E239" s="504"/>
      <c r="F239" s="504"/>
      <c r="G239" s="504"/>
    </row>
    <row r="240" spans="1:7" customFormat="1" ht="12.75" hidden="1" outlineLevel="1" x14ac:dyDescent="0.2">
      <c r="A240" s="177" t="s">
        <v>143</v>
      </c>
      <c r="B240" s="207" t="s">
        <v>144</v>
      </c>
      <c r="C240" s="225">
        <v>15.873439999999999</v>
      </c>
      <c r="D240" s="524"/>
      <c r="E240" s="504"/>
      <c r="F240" s="504"/>
      <c r="G240" s="504"/>
    </row>
    <row r="241" spans="1:10" customFormat="1" ht="12.75" hidden="1" outlineLevel="1" x14ac:dyDescent="0.2">
      <c r="A241" s="177" t="s">
        <v>145</v>
      </c>
      <c r="B241" s="207" t="s">
        <v>146</v>
      </c>
      <c r="C241" s="225">
        <v>8425.5718399999987</v>
      </c>
      <c r="D241" s="524"/>
      <c r="E241" s="504"/>
      <c r="F241" s="504"/>
      <c r="G241" s="504"/>
    </row>
    <row r="242" spans="1:10" customFormat="1" ht="12.75" hidden="1" outlineLevel="1" x14ac:dyDescent="0.2">
      <c r="A242" s="177" t="s">
        <v>369</v>
      </c>
      <c r="B242" s="207" t="s">
        <v>370</v>
      </c>
      <c r="C242" s="225">
        <v>674.59103999999991</v>
      </c>
      <c r="D242" s="524"/>
      <c r="E242" s="504"/>
      <c r="F242" s="504"/>
      <c r="G242" s="504"/>
    </row>
    <row r="243" spans="1:10" customFormat="1" ht="12.75" hidden="1" outlineLevel="1" x14ac:dyDescent="0.2">
      <c r="A243" s="177" t="s">
        <v>147</v>
      </c>
      <c r="B243" s="207" t="s">
        <v>148</v>
      </c>
      <c r="C243" s="225">
        <v>9615.7596799999992</v>
      </c>
      <c r="D243" s="524"/>
      <c r="E243" s="504"/>
      <c r="F243" s="504"/>
      <c r="G243" s="504"/>
    </row>
    <row r="244" spans="1:10" customFormat="1" ht="12.75" hidden="1" outlineLevel="1" x14ac:dyDescent="0.2">
      <c r="A244" s="177" t="s">
        <v>149</v>
      </c>
      <c r="B244" s="207" t="s">
        <v>150</v>
      </c>
      <c r="C244" s="225">
        <v>5425.5148799999988</v>
      </c>
      <c r="D244" s="524"/>
      <c r="E244" s="504"/>
      <c r="F244" s="504"/>
      <c r="G244" s="504"/>
    </row>
    <row r="245" spans="1:10" customFormat="1" ht="12.75" collapsed="1" x14ac:dyDescent="0.2">
      <c r="A245" s="3"/>
      <c r="B245" s="215" t="s">
        <v>151</v>
      </c>
      <c r="C245" s="214">
        <f>SUM(C223:C244)</f>
        <v>783509.73647999996</v>
      </c>
      <c r="D245" s="524"/>
      <c r="E245" s="504"/>
      <c r="F245" s="504"/>
      <c r="G245" s="504"/>
    </row>
    <row r="246" spans="1:10" customFormat="1" ht="12.75" x14ac:dyDescent="0.2">
      <c r="A246" s="1"/>
      <c r="B246" s="216" t="s">
        <v>371</v>
      </c>
      <c r="C246" s="210">
        <f>+C221+C245</f>
        <v>1836818.5573429442</v>
      </c>
      <c r="D246" s="524"/>
      <c r="E246" s="504"/>
      <c r="F246" s="504"/>
      <c r="G246" s="504"/>
      <c r="I246" s="210">
        <v>1802832.5573429442</v>
      </c>
      <c r="J246" s="952">
        <f>+C246-I246</f>
        <v>33986</v>
      </c>
    </row>
    <row r="247" spans="1:10" customFormat="1" ht="12.75" x14ac:dyDescent="0.2">
      <c r="A247" s="178"/>
      <c r="B247" s="209" t="s">
        <v>372</v>
      </c>
      <c r="C247" s="210">
        <f>+C176+C246</f>
        <v>4167220.3628955521</v>
      </c>
      <c r="D247" s="524"/>
      <c r="E247" s="504"/>
      <c r="F247" s="504"/>
      <c r="G247" s="504"/>
    </row>
    <row r="248" spans="1:10" customFormat="1" ht="12.75" x14ac:dyDescent="0.2">
      <c r="A248" s="176"/>
      <c r="B248" s="209" t="s">
        <v>373</v>
      </c>
      <c r="C248" s="210">
        <f>+C29-C247</f>
        <v>1220130.1180728208</v>
      </c>
      <c r="D248" s="524"/>
      <c r="E248" s="504"/>
      <c r="F248" s="504"/>
      <c r="G248" s="504"/>
    </row>
    <row r="249" spans="1:10" customFormat="1" ht="12.75" hidden="1" outlineLevel="1" x14ac:dyDescent="0.2">
      <c r="A249" s="176"/>
      <c r="B249" s="212" t="s">
        <v>374</v>
      </c>
      <c r="C249" s="208" t="s">
        <v>169</v>
      </c>
      <c r="D249" s="524"/>
      <c r="E249" s="504"/>
      <c r="F249" s="504"/>
      <c r="G249" s="504"/>
    </row>
    <row r="250" spans="1:10" customFormat="1" ht="12.75" hidden="1" outlineLevel="1" x14ac:dyDescent="0.2">
      <c r="A250" s="176"/>
      <c r="B250" s="212" t="s">
        <v>519</v>
      </c>
      <c r="C250" s="208"/>
      <c r="D250" s="524"/>
      <c r="E250" s="504"/>
      <c r="F250" s="504"/>
      <c r="G250" s="504"/>
    </row>
    <row r="251" spans="1:10" customFormat="1" ht="12.75" hidden="1" outlineLevel="1" x14ac:dyDescent="0.2">
      <c r="A251" s="176">
        <v>4210050500</v>
      </c>
      <c r="B251" s="207" t="s">
        <v>14</v>
      </c>
      <c r="C251" s="225">
        <v>0</v>
      </c>
      <c r="D251" s="524"/>
      <c r="E251" s="504"/>
      <c r="F251" s="504"/>
      <c r="G251" s="504"/>
    </row>
    <row r="252" spans="1:10" customFormat="1" ht="12.75" hidden="1" outlineLevel="1" x14ac:dyDescent="0.2">
      <c r="A252" s="176">
        <v>4210050601</v>
      </c>
      <c r="B252" s="207" t="s">
        <v>375</v>
      </c>
      <c r="C252" s="225">
        <v>0</v>
      </c>
      <c r="D252" s="524"/>
      <c r="E252" s="504"/>
      <c r="F252" s="504"/>
      <c r="G252" s="504"/>
    </row>
    <row r="253" spans="1:10" customFormat="1" ht="12.75" hidden="1" outlineLevel="1" x14ac:dyDescent="0.2">
      <c r="A253" s="176">
        <v>4210050602</v>
      </c>
      <c r="B253" s="207" t="s">
        <v>376</v>
      </c>
      <c r="C253" s="225">
        <v>0</v>
      </c>
      <c r="D253" s="524"/>
      <c r="E253" s="504"/>
      <c r="F253" s="504"/>
      <c r="G253" s="504"/>
    </row>
    <row r="254" spans="1:10" customFormat="1" ht="12.75" hidden="1" outlineLevel="1" x14ac:dyDescent="0.2">
      <c r="A254" s="589">
        <v>4210050608</v>
      </c>
      <c r="B254" s="207" t="s">
        <v>695</v>
      </c>
      <c r="C254" s="225">
        <v>0</v>
      </c>
      <c r="D254" s="524"/>
      <c r="E254" s="504"/>
      <c r="F254" s="504"/>
      <c r="G254" s="504"/>
    </row>
    <row r="255" spans="1:10" customFormat="1" ht="12.75" hidden="1" outlineLevel="1" x14ac:dyDescent="0.2">
      <c r="A255" s="176">
        <v>4210050603</v>
      </c>
      <c r="B255" s="207" t="s">
        <v>377</v>
      </c>
      <c r="C255" s="225">
        <v>0</v>
      </c>
      <c r="D255" s="524"/>
      <c r="E255" s="504"/>
      <c r="F255" s="504"/>
      <c r="G255" s="504"/>
    </row>
    <row r="256" spans="1:10" customFormat="1" ht="12.75" hidden="1" outlineLevel="1" x14ac:dyDescent="0.2">
      <c r="A256" s="589">
        <v>4210050606</v>
      </c>
      <c r="B256" s="316" t="s">
        <v>696</v>
      </c>
      <c r="C256" s="225">
        <v>0</v>
      </c>
      <c r="D256" s="524"/>
      <c r="E256" s="504"/>
      <c r="F256" s="504"/>
      <c r="G256" s="504"/>
    </row>
    <row r="257" spans="1:7" customFormat="1" ht="12.75" hidden="1" outlineLevel="1" x14ac:dyDescent="0.2">
      <c r="A257" s="176">
        <v>4210200000</v>
      </c>
      <c r="B257" s="207" t="s">
        <v>15</v>
      </c>
      <c r="C257" s="225">
        <v>0</v>
      </c>
      <c r="D257" s="524"/>
      <c r="E257" s="504"/>
      <c r="F257" s="504"/>
      <c r="G257" s="504"/>
    </row>
    <row r="258" spans="1:7" customFormat="1" ht="12.75" hidden="1" outlineLevel="1" x14ac:dyDescent="0.2">
      <c r="A258" s="176">
        <v>4210400000</v>
      </c>
      <c r="B258" s="207" t="s">
        <v>428</v>
      </c>
      <c r="C258" s="225">
        <v>0</v>
      </c>
      <c r="D258" s="524"/>
      <c r="E258" s="504"/>
      <c r="F258" s="504"/>
      <c r="G258" s="504"/>
    </row>
    <row r="259" spans="1:7" customFormat="1" ht="12.75" hidden="1" outlineLevel="1" x14ac:dyDescent="0.2">
      <c r="A259" s="176">
        <v>4210600000</v>
      </c>
      <c r="B259" s="207" t="s">
        <v>16</v>
      </c>
      <c r="C259" s="225">
        <v>0</v>
      </c>
      <c r="D259" s="524"/>
      <c r="E259" s="504"/>
      <c r="F259" s="504"/>
      <c r="G259" s="504"/>
    </row>
    <row r="260" spans="1:7" customFormat="1" ht="12.75" hidden="1" outlineLevel="1" x14ac:dyDescent="0.2">
      <c r="A260" s="176">
        <v>4210950200</v>
      </c>
      <c r="B260" s="207" t="s">
        <v>17</v>
      </c>
      <c r="C260" s="225">
        <v>0</v>
      </c>
      <c r="D260" s="524"/>
      <c r="E260" s="504"/>
      <c r="F260" s="504"/>
      <c r="G260" s="504"/>
    </row>
    <row r="261" spans="1:7" customFormat="1" ht="12.75" hidden="1" outlineLevel="1" x14ac:dyDescent="0.2">
      <c r="A261" s="176">
        <v>4210950300</v>
      </c>
      <c r="B261" s="207" t="s">
        <v>378</v>
      </c>
      <c r="C261" s="225">
        <v>0</v>
      </c>
      <c r="D261" s="524"/>
      <c r="E261" s="504"/>
      <c r="F261" s="504"/>
      <c r="G261" s="504"/>
    </row>
    <row r="262" spans="1:7" customFormat="1" ht="12.75" hidden="1" outlineLevel="1" x14ac:dyDescent="0.2">
      <c r="A262" s="589">
        <v>4210953501</v>
      </c>
      <c r="B262" s="207" t="s">
        <v>713</v>
      </c>
      <c r="C262" s="225">
        <v>0</v>
      </c>
      <c r="D262" s="524"/>
      <c r="E262" s="504"/>
      <c r="F262" s="504"/>
      <c r="G262" s="504"/>
    </row>
    <row r="263" spans="1:7" customFormat="1" ht="12.75" hidden="1" outlineLevel="1" x14ac:dyDescent="0.2">
      <c r="A263" s="589">
        <v>4210953502</v>
      </c>
      <c r="B263" s="207" t="s">
        <v>697</v>
      </c>
      <c r="C263" s="225">
        <v>0</v>
      </c>
      <c r="D263" s="524"/>
      <c r="E263" s="504"/>
      <c r="F263" s="504"/>
      <c r="G263" s="504"/>
    </row>
    <row r="264" spans="1:7" customFormat="1" ht="12.75" hidden="1" outlineLevel="1" x14ac:dyDescent="0.2">
      <c r="A264" s="176"/>
      <c r="B264" s="212" t="s">
        <v>446</v>
      </c>
      <c r="C264" s="225"/>
      <c r="D264" s="524"/>
      <c r="E264" s="504"/>
      <c r="F264" s="504"/>
      <c r="G264" s="504"/>
    </row>
    <row r="265" spans="1:7" customFormat="1" ht="12.75" hidden="1" outlineLevel="1" x14ac:dyDescent="0.2">
      <c r="A265" s="176">
        <v>4220100100</v>
      </c>
      <c r="B265" s="207" t="s">
        <v>379</v>
      </c>
      <c r="C265" s="225">
        <v>0</v>
      </c>
      <c r="D265" s="524"/>
      <c r="E265" s="504"/>
      <c r="F265" s="504"/>
      <c r="G265" s="504"/>
    </row>
    <row r="266" spans="1:7" customFormat="1" ht="12.75" hidden="1" outlineLevel="1" x14ac:dyDescent="0.2">
      <c r="A266" s="176">
        <v>4220100200</v>
      </c>
      <c r="B266" s="207" t="s">
        <v>380</v>
      </c>
      <c r="C266" s="225">
        <v>0</v>
      </c>
      <c r="D266" s="524"/>
      <c r="E266" s="504"/>
      <c r="F266" s="504"/>
      <c r="G266" s="504"/>
    </row>
    <row r="267" spans="1:7" customFormat="1" ht="12.75" hidden="1" outlineLevel="1" x14ac:dyDescent="0.2">
      <c r="A267" s="176">
        <v>4220100300</v>
      </c>
      <c r="B267" s="207" t="s">
        <v>381</v>
      </c>
      <c r="C267" s="225">
        <v>0</v>
      </c>
      <c r="D267" s="524"/>
      <c r="E267" s="504"/>
      <c r="F267" s="504"/>
      <c r="G267" s="504"/>
    </row>
    <row r="268" spans="1:7" customFormat="1" ht="12.75" hidden="1" outlineLevel="1" x14ac:dyDescent="0.2">
      <c r="A268" s="176">
        <v>4220100400</v>
      </c>
      <c r="B268" s="207" t="s">
        <v>382</v>
      </c>
      <c r="C268" s="225">
        <v>0</v>
      </c>
      <c r="D268" s="524"/>
      <c r="E268" s="504"/>
      <c r="F268" s="504"/>
      <c r="G268" s="504"/>
    </row>
    <row r="269" spans="1:7" customFormat="1" ht="12.75" hidden="1" outlineLevel="1" x14ac:dyDescent="0.2">
      <c r="A269" s="176">
        <v>4220100500</v>
      </c>
      <c r="B269" s="207" t="s">
        <v>333</v>
      </c>
      <c r="C269" s="225">
        <v>0</v>
      </c>
      <c r="D269" s="524"/>
      <c r="E269" s="504"/>
      <c r="F269" s="504"/>
      <c r="G269" s="504"/>
    </row>
    <row r="270" spans="1:7" customFormat="1" ht="12.75" hidden="1" outlineLevel="1" x14ac:dyDescent="0.2">
      <c r="A270" s="176">
        <v>4220100600</v>
      </c>
      <c r="B270" s="207" t="s">
        <v>383</v>
      </c>
      <c r="C270" s="225">
        <v>0</v>
      </c>
      <c r="D270" s="524"/>
      <c r="E270" s="504"/>
      <c r="F270" s="504"/>
      <c r="G270" s="504"/>
    </row>
    <row r="271" spans="1:7" customFormat="1" ht="12.75" hidden="1" outlineLevel="1" x14ac:dyDescent="0.2">
      <c r="A271" s="176">
        <v>4220100700</v>
      </c>
      <c r="B271" s="207" t="s">
        <v>384</v>
      </c>
      <c r="C271" s="225">
        <v>0</v>
      </c>
      <c r="D271" s="524"/>
      <c r="E271" s="504"/>
      <c r="F271" s="504"/>
      <c r="G271" s="504"/>
    </row>
    <row r="272" spans="1:7" customFormat="1" ht="12.75" hidden="1" outlineLevel="1" x14ac:dyDescent="0.2">
      <c r="A272" s="176">
        <v>4220100800</v>
      </c>
      <c r="B272" s="207" t="s">
        <v>385</v>
      </c>
      <c r="C272" s="225">
        <v>0</v>
      </c>
      <c r="D272" s="524"/>
      <c r="E272" s="504"/>
      <c r="F272" s="504"/>
      <c r="G272" s="504"/>
    </row>
    <row r="273" spans="1:7" customFormat="1" ht="12.75" hidden="1" outlineLevel="1" x14ac:dyDescent="0.2">
      <c r="A273" s="176"/>
      <c r="B273" s="212" t="s">
        <v>223</v>
      </c>
      <c r="C273" s="225"/>
      <c r="D273" s="524"/>
      <c r="E273" s="504"/>
      <c r="F273" s="504"/>
      <c r="G273" s="504"/>
    </row>
    <row r="274" spans="1:7" customFormat="1" ht="12.75" hidden="1" outlineLevel="1" x14ac:dyDescent="0.2">
      <c r="A274" s="176">
        <v>4230050000</v>
      </c>
      <c r="B274" s="207" t="s">
        <v>386</v>
      </c>
      <c r="C274" s="315">
        <v>0</v>
      </c>
      <c r="D274" s="524"/>
      <c r="E274" s="504"/>
      <c r="F274" s="504"/>
      <c r="G274" s="504"/>
    </row>
    <row r="275" spans="1:7" customFormat="1" ht="12.75" hidden="1" outlineLevel="1" x14ac:dyDescent="0.2">
      <c r="A275" s="176">
        <v>4230100000</v>
      </c>
      <c r="B275" s="207" t="s">
        <v>317</v>
      </c>
      <c r="C275" s="586">
        <v>0</v>
      </c>
      <c r="D275" s="524"/>
      <c r="E275" s="504"/>
      <c r="F275" s="504"/>
      <c r="G275" s="504"/>
    </row>
    <row r="276" spans="1:7" customFormat="1" ht="12.75" hidden="1" outlineLevel="1" x14ac:dyDescent="0.2">
      <c r="A276" s="176"/>
      <c r="B276" s="212" t="s">
        <v>512</v>
      </c>
      <c r="C276" s="225"/>
      <c r="D276" s="524"/>
      <c r="E276" s="504"/>
      <c r="F276" s="504"/>
      <c r="G276" s="504"/>
    </row>
    <row r="277" spans="1:7" customFormat="1" ht="12.75" hidden="1" outlineLevel="1" x14ac:dyDescent="0.2">
      <c r="A277" s="589">
        <v>4235100000</v>
      </c>
      <c r="B277" s="207" t="s">
        <v>698</v>
      </c>
      <c r="C277" s="225">
        <v>0</v>
      </c>
      <c r="D277" s="524"/>
      <c r="E277" s="504"/>
      <c r="F277" s="504"/>
      <c r="G277" s="504"/>
    </row>
    <row r="278" spans="1:7" customFormat="1" ht="12.75" hidden="1" outlineLevel="1" x14ac:dyDescent="0.2">
      <c r="A278" s="176">
        <v>4235200000</v>
      </c>
      <c r="B278" s="207" t="s">
        <v>387</v>
      </c>
      <c r="C278" s="225">
        <v>0</v>
      </c>
      <c r="D278" s="524"/>
      <c r="E278" s="504"/>
      <c r="F278" s="504"/>
      <c r="G278" s="504"/>
    </row>
    <row r="279" spans="1:7" customFormat="1" ht="12.75" hidden="1" outlineLevel="1" x14ac:dyDescent="0.2">
      <c r="A279" s="176">
        <v>4235550000</v>
      </c>
      <c r="B279" s="207" t="s">
        <v>388</v>
      </c>
      <c r="C279" s="226">
        <v>0</v>
      </c>
      <c r="D279" s="524"/>
      <c r="E279" s="504"/>
      <c r="F279" s="504"/>
      <c r="G279" s="504"/>
    </row>
    <row r="280" spans="1:7" customFormat="1" ht="12.75" hidden="1" outlineLevel="1" x14ac:dyDescent="0.2">
      <c r="A280" s="176">
        <v>4235653500</v>
      </c>
      <c r="B280" s="207" t="s">
        <v>389</v>
      </c>
      <c r="C280" s="225">
        <v>0</v>
      </c>
      <c r="D280" s="524"/>
      <c r="E280" s="504"/>
      <c r="F280" s="504"/>
      <c r="G280" s="504"/>
    </row>
    <row r="281" spans="1:7" customFormat="1" ht="12.75" hidden="1" outlineLevel="1" x14ac:dyDescent="0.2">
      <c r="A281" s="589">
        <v>4235950900</v>
      </c>
      <c r="B281" s="207" t="s">
        <v>699</v>
      </c>
      <c r="C281" s="225">
        <v>0</v>
      </c>
      <c r="D281" s="524"/>
      <c r="E281" s="504"/>
      <c r="F281" s="504"/>
      <c r="G281" s="504"/>
    </row>
    <row r="282" spans="1:7" customFormat="1" ht="12.75" hidden="1" outlineLevel="1" x14ac:dyDescent="0.2">
      <c r="A282" s="176">
        <v>4235950100</v>
      </c>
      <c r="B282" s="207" t="s">
        <v>390</v>
      </c>
      <c r="C282" s="225">
        <v>0</v>
      </c>
      <c r="D282" s="524"/>
      <c r="E282" s="504"/>
      <c r="F282" s="504"/>
      <c r="G282" s="504"/>
    </row>
    <row r="283" spans="1:7" customFormat="1" ht="12.75" hidden="1" outlineLevel="1" x14ac:dyDescent="0.2">
      <c r="A283" s="176">
        <v>4235950200</v>
      </c>
      <c r="B283" s="207" t="s">
        <v>391</v>
      </c>
      <c r="C283" s="225">
        <v>0</v>
      </c>
      <c r="D283" s="524"/>
      <c r="E283" s="504"/>
      <c r="F283" s="504"/>
      <c r="G283" s="504"/>
    </row>
    <row r="284" spans="1:7" customFormat="1" ht="12.75" hidden="1" outlineLevel="1" x14ac:dyDescent="0.2">
      <c r="A284" s="176">
        <v>4235950500</v>
      </c>
      <c r="B284" s="207" t="s">
        <v>392</v>
      </c>
      <c r="C284" s="225">
        <v>0</v>
      </c>
      <c r="D284" s="524"/>
      <c r="E284" s="504"/>
      <c r="F284" s="504"/>
      <c r="G284" s="504"/>
    </row>
    <row r="285" spans="1:7" customFormat="1" ht="12.75" hidden="1" outlineLevel="1" x14ac:dyDescent="0.2">
      <c r="A285" s="3">
        <v>4235950600</v>
      </c>
      <c r="B285" s="207" t="s">
        <v>393</v>
      </c>
      <c r="C285" s="225">
        <v>0</v>
      </c>
      <c r="D285" s="524"/>
      <c r="E285" s="504"/>
      <c r="F285" s="504"/>
      <c r="G285" s="504"/>
    </row>
    <row r="286" spans="1:7" customFormat="1" ht="12.75" hidden="1" outlineLevel="1" x14ac:dyDescent="0.2">
      <c r="A286" s="587">
        <v>4235950800</v>
      </c>
      <c r="B286" s="207" t="s">
        <v>700</v>
      </c>
      <c r="C286" s="225">
        <v>0</v>
      </c>
      <c r="D286" s="524"/>
      <c r="E286" s="504"/>
      <c r="F286" s="504"/>
      <c r="G286" s="504"/>
    </row>
    <row r="287" spans="1:7" customFormat="1" ht="12.75" hidden="1" outlineLevel="1" x14ac:dyDescent="0.2">
      <c r="A287" s="3"/>
      <c r="B287" s="212" t="s">
        <v>520</v>
      </c>
      <c r="C287" s="225"/>
      <c r="D287" s="524"/>
      <c r="E287" s="504"/>
      <c r="F287" s="504"/>
      <c r="G287" s="504"/>
    </row>
    <row r="288" spans="1:7" customFormat="1" ht="12.75" hidden="1" outlineLevel="1" x14ac:dyDescent="0.2">
      <c r="A288" s="587">
        <v>4250150000</v>
      </c>
      <c r="B288" s="316" t="s">
        <v>701</v>
      </c>
      <c r="C288" s="225">
        <v>0</v>
      </c>
      <c r="D288" s="524"/>
      <c r="E288" s="504"/>
      <c r="F288" s="504"/>
      <c r="G288" s="504"/>
    </row>
    <row r="289" spans="1:7" customFormat="1" ht="12.75" hidden="1" outlineLevel="1" x14ac:dyDescent="0.2">
      <c r="A289" s="587">
        <v>4250350200</v>
      </c>
      <c r="B289" s="316" t="s">
        <v>702</v>
      </c>
      <c r="C289" s="225">
        <v>0</v>
      </c>
      <c r="D289" s="524"/>
      <c r="E289" s="504"/>
      <c r="F289" s="504"/>
      <c r="G289" s="504"/>
    </row>
    <row r="290" spans="1:7" customFormat="1" ht="12.75" hidden="1" outlineLevel="1" x14ac:dyDescent="0.2">
      <c r="A290" s="176">
        <v>4250500000</v>
      </c>
      <c r="B290" s="207" t="s">
        <v>18</v>
      </c>
      <c r="C290" s="225">
        <v>0</v>
      </c>
      <c r="D290" s="524"/>
      <c r="E290" s="504"/>
      <c r="F290" s="504"/>
      <c r="G290" s="504"/>
    </row>
    <row r="291" spans="1:7" customFormat="1" ht="12.75" hidden="1" outlineLevel="1" x14ac:dyDescent="0.2">
      <c r="A291" s="176">
        <v>4255050000</v>
      </c>
      <c r="B291" s="207" t="s">
        <v>394</v>
      </c>
      <c r="C291" s="225">
        <v>0</v>
      </c>
      <c r="D291" s="524"/>
      <c r="E291" s="504"/>
      <c r="F291" s="504"/>
      <c r="G291" s="504"/>
    </row>
    <row r="292" spans="1:7" customFormat="1" ht="12.75" hidden="1" outlineLevel="1" x14ac:dyDescent="0.2">
      <c r="A292" s="176"/>
      <c r="B292" s="212" t="s">
        <v>521</v>
      </c>
      <c r="C292" s="225"/>
      <c r="D292" s="524"/>
      <c r="E292" s="504"/>
      <c r="F292" s="504"/>
      <c r="G292" s="504"/>
    </row>
    <row r="293" spans="1:7" customFormat="1" ht="12.75" hidden="1" outlineLevel="1" x14ac:dyDescent="0.2">
      <c r="A293" s="176">
        <v>4265010000</v>
      </c>
      <c r="B293" s="207" t="s">
        <v>19</v>
      </c>
      <c r="C293" s="225">
        <v>0</v>
      </c>
      <c r="D293" s="524"/>
      <c r="E293" s="504"/>
      <c r="F293" s="504"/>
      <c r="G293" s="504"/>
    </row>
    <row r="294" spans="1:7" customFormat="1" ht="12.75" hidden="1" outlineLevel="1" x14ac:dyDescent="0.2">
      <c r="A294" s="176"/>
      <c r="B294" s="212" t="s">
        <v>443</v>
      </c>
      <c r="C294" s="225"/>
      <c r="D294" s="524"/>
      <c r="E294" s="504"/>
      <c r="F294" s="504"/>
      <c r="G294" s="504"/>
    </row>
    <row r="295" spans="1:7" customFormat="1" ht="12.75" hidden="1" outlineLevel="1" x14ac:dyDescent="0.2">
      <c r="A295" s="176">
        <v>4295050000</v>
      </c>
      <c r="B295" s="316" t="s">
        <v>395</v>
      </c>
      <c r="C295" s="225">
        <v>0</v>
      </c>
      <c r="D295" s="524"/>
      <c r="E295" s="504"/>
      <c r="F295" s="504"/>
      <c r="G295" s="504"/>
    </row>
    <row r="296" spans="1:7" customFormat="1" ht="12.75" hidden="1" outlineLevel="1" x14ac:dyDescent="0.2">
      <c r="A296" s="176">
        <v>4295070000</v>
      </c>
      <c r="B296" s="316" t="s">
        <v>28</v>
      </c>
      <c r="C296" s="225">
        <v>0</v>
      </c>
      <c r="D296" s="524"/>
      <c r="E296" s="504"/>
      <c r="F296" s="504"/>
      <c r="G296" s="504"/>
    </row>
    <row r="297" spans="1:7" customFormat="1" ht="12.75" hidden="1" outlineLevel="1" x14ac:dyDescent="0.2">
      <c r="A297" s="176">
        <v>4295090600</v>
      </c>
      <c r="B297" s="316" t="s">
        <v>396</v>
      </c>
      <c r="C297" s="225">
        <v>0</v>
      </c>
      <c r="D297" s="524"/>
      <c r="E297" s="504"/>
      <c r="F297" s="504"/>
      <c r="G297" s="504"/>
    </row>
    <row r="298" spans="1:7" customFormat="1" ht="12.75" hidden="1" outlineLevel="1" x14ac:dyDescent="0.2">
      <c r="A298" s="176">
        <v>4295110000</v>
      </c>
      <c r="B298" s="316" t="s">
        <v>596</v>
      </c>
      <c r="C298" s="225">
        <v>0</v>
      </c>
      <c r="D298" s="524"/>
      <c r="E298" s="504"/>
      <c r="F298" s="504"/>
      <c r="G298" s="504"/>
    </row>
    <row r="299" spans="1:7" customFormat="1" ht="12.75" hidden="1" outlineLevel="1" x14ac:dyDescent="0.2">
      <c r="A299" s="176">
        <v>4295510000</v>
      </c>
      <c r="B299" s="316" t="s">
        <v>397</v>
      </c>
      <c r="C299" s="225">
        <v>0</v>
      </c>
      <c r="D299" s="524"/>
      <c r="E299" s="504"/>
      <c r="F299" s="504"/>
      <c r="G299" s="504"/>
    </row>
    <row r="300" spans="1:7" customFormat="1" ht="12.75" hidden="1" outlineLevel="1" x14ac:dyDescent="0.2">
      <c r="A300" s="176">
        <v>4295530000</v>
      </c>
      <c r="B300" s="316" t="s">
        <v>398</v>
      </c>
      <c r="C300" s="225">
        <v>0</v>
      </c>
      <c r="D300" s="524"/>
      <c r="E300" s="504"/>
      <c r="F300" s="504"/>
      <c r="G300" s="504"/>
    </row>
    <row r="301" spans="1:7" customFormat="1" ht="12.75" collapsed="1" x14ac:dyDescent="0.2">
      <c r="A301" s="3"/>
      <c r="B301" s="213" t="s">
        <v>399</v>
      </c>
      <c r="C301" s="214">
        <f>SUM(C251:C300)</f>
        <v>0</v>
      </c>
      <c r="D301" s="524"/>
      <c r="E301" s="504"/>
      <c r="F301" s="504"/>
      <c r="G301" s="504"/>
    </row>
    <row r="302" spans="1:7" customFormat="1" ht="12.75" x14ac:dyDescent="0.2">
      <c r="A302" s="176"/>
      <c r="B302" s="212" t="s">
        <v>400</v>
      </c>
      <c r="C302" s="208" t="s">
        <v>169</v>
      </c>
      <c r="D302" s="524"/>
      <c r="E302" s="504"/>
      <c r="F302" s="504"/>
      <c r="G302" s="504"/>
    </row>
    <row r="303" spans="1:7" customFormat="1" ht="12.75" hidden="1" outlineLevel="1" x14ac:dyDescent="0.2">
      <c r="A303" s="176"/>
      <c r="B303" s="212" t="s">
        <v>80</v>
      </c>
      <c r="C303" s="208" t="s">
        <v>169</v>
      </c>
      <c r="D303" s="524"/>
      <c r="E303" s="504"/>
      <c r="F303" s="504"/>
      <c r="G303" s="504"/>
    </row>
    <row r="304" spans="1:7" customFormat="1" ht="12.75" hidden="1" outlineLevel="1" x14ac:dyDescent="0.2">
      <c r="A304" s="176">
        <v>5305050100</v>
      </c>
      <c r="B304" s="318" t="s">
        <v>401</v>
      </c>
      <c r="C304" s="225">
        <v>0</v>
      </c>
      <c r="D304" s="524"/>
      <c r="E304" s="504"/>
      <c r="F304" s="504"/>
      <c r="G304" s="504"/>
    </row>
    <row r="305" spans="1:7" customFormat="1" ht="12.75" hidden="1" outlineLevel="1" x14ac:dyDescent="0.2">
      <c r="A305" s="589">
        <v>5305050000</v>
      </c>
      <c r="B305" s="318" t="s">
        <v>703</v>
      </c>
      <c r="C305" s="225">
        <v>0</v>
      </c>
      <c r="D305" s="524"/>
      <c r="E305" s="504"/>
      <c r="F305" s="504"/>
      <c r="G305" s="504"/>
    </row>
    <row r="306" spans="1:7" customFormat="1" ht="12.75" hidden="1" outlineLevel="1" x14ac:dyDescent="0.2">
      <c r="A306" s="176">
        <v>5305050200</v>
      </c>
      <c r="B306" s="318" t="s">
        <v>402</v>
      </c>
      <c r="C306" s="225">
        <v>0</v>
      </c>
      <c r="D306" s="524"/>
      <c r="E306" s="504"/>
      <c r="F306" s="504"/>
      <c r="G306" s="504"/>
    </row>
    <row r="307" spans="1:7" customFormat="1" ht="12.75" hidden="1" outlineLevel="1" x14ac:dyDescent="0.2">
      <c r="A307" s="589">
        <v>5305050400</v>
      </c>
      <c r="B307" s="318" t="s">
        <v>704</v>
      </c>
      <c r="C307" s="225">
        <v>0</v>
      </c>
      <c r="D307" s="524"/>
      <c r="E307" s="504"/>
      <c r="F307" s="504"/>
      <c r="G307" s="504"/>
    </row>
    <row r="308" spans="1:7" customFormat="1" ht="12.75" hidden="1" outlineLevel="1" x14ac:dyDescent="0.2">
      <c r="A308" s="176">
        <v>5305150000</v>
      </c>
      <c r="B308" s="316" t="s">
        <v>81</v>
      </c>
      <c r="C308" s="225">
        <v>0</v>
      </c>
      <c r="D308" s="524"/>
      <c r="E308" s="504"/>
      <c r="F308" s="504"/>
      <c r="G308" s="504"/>
    </row>
    <row r="309" spans="1:7" customFormat="1" ht="12.75" hidden="1" outlineLevel="1" x14ac:dyDescent="0.2">
      <c r="A309" s="176">
        <v>5305200200</v>
      </c>
      <c r="B309" s="318" t="s">
        <v>403</v>
      </c>
      <c r="C309" s="225">
        <v>0</v>
      </c>
      <c r="D309" s="524"/>
      <c r="E309" s="504"/>
      <c r="F309" s="504"/>
      <c r="G309" s="504"/>
    </row>
    <row r="310" spans="1:7" customFormat="1" ht="12.75" hidden="1" outlineLevel="1" x14ac:dyDescent="0.2">
      <c r="A310" s="176">
        <v>5305200300</v>
      </c>
      <c r="B310" s="316" t="s">
        <v>82</v>
      </c>
      <c r="C310" s="225">
        <v>0</v>
      </c>
      <c r="D310" s="524"/>
      <c r="E310" s="504"/>
      <c r="F310" s="504"/>
      <c r="G310" s="504"/>
    </row>
    <row r="311" spans="1:7" customFormat="1" ht="12.75" hidden="1" outlineLevel="1" x14ac:dyDescent="0.2">
      <c r="A311" s="176">
        <v>5305250000</v>
      </c>
      <c r="B311" s="316" t="s">
        <v>15</v>
      </c>
      <c r="C311" s="225">
        <v>0</v>
      </c>
      <c r="D311" s="524"/>
      <c r="E311" s="504"/>
      <c r="F311" s="504"/>
      <c r="G311" s="504"/>
    </row>
    <row r="312" spans="1:7" customFormat="1" ht="12.75" hidden="1" outlineLevel="1" x14ac:dyDescent="0.2">
      <c r="A312" s="589">
        <v>5305450100</v>
      </c>
      <c r="B312" s="316" t="s">
        <v>705</v>
      </c>
      <c r="C312" s="225">
        <v>0</v>
      </c>
      <c r="D312" s="524"/>
      <c r="E312" s="504"/>
      <c r="F312" s="504"/>
      <c r="G312" s="504"/>
    </row>
    <row r="313" spans="1:7" customFormat="1" ht="12.75" hidden="1" outlineLevel="1" x14ac:dyDescent="0.2">
      <c r="A313" s="589">
        <v>5305953501</v>
      </c>
      <c r="B313" s="316" t="s">
        <v>706</v>
      </c>
      <c r="C313" s="225">
        <v>0</v>
      </c>
      <c r="D313" s="524"/>
      <c r="E313" s="504"/>
      <c r="F313" s="504"/>
      <c r="G313" s="504"/>
    </row>
    <row r="314" spans="1:7" customFormat="1" ht="12.75" hidden="1" outlineLevel="1" x14ac:dyDescent="0.2">
      <c r="A314" s="176">
        <v>5315100000</v>
      </c>
      <c r="B314" s="318" t="s">
        <v>404</v>
      </c>
      <c r="C314" s="225">
        <v>0</v>
      </c>
      <c r="D314" s="524"/>
      <c r="E314" s="504"/>
      <c r="F314" s="504"/>
      <c r="G314" s="504"/>
    </row>
    <row r="315" spans="1:7" customFormat="1" ht="12.75" hidden="1" outlineLevel="1" x14ac:dyDescent="0.2">
      <c r="A315" s="176">
        <v>5315150500</v>
      </c>
      <c r="B315" s="316" t="s">
        <v>406</v>
      </c>
      <c r="C315" s="225">
        <v>0</v>
      </c>
      <c r="D315" s="524"/>
      <c r="E315" s="504"/>
      <c r="F315" s="504"/>
      <c r="G315" s="504"/>
    </row>
    <row r="316" spans="1:7" customFormat="1" ht="12.75" hidden="1" outlineLevel="1" x14ac:dyDescent="0.2">
      <c r="A316" s="176">
        <v>5315200000</v>
      </c>
      <c r="B316" s="316" t="s">
        <v>407</v>
      </c>
      <c r="C316" s="225">
        <v>0</v>
      </c>
      <c r="D316" s="524"/>
      <c r="E316" s="504"/>
      <c r="F316" s="504"/>
      <c r="G316" s="504"/>
    </row>
    <row r="317" spans="1:7" customFormat="1" ht="12.75" hidden="1" outlineLevel="1" x14ac:dyDescent="0.2">
      <c r="A317" s="176">
        <v>5315950100</v>
      </c>
      <c r="B317" s="316" t="s">
        <v>280</v>
      </c>
      <c r="C317" s="225">
        <v>0</v>
      </c>
      <c r="D317" s="524"/>
      <c r="E317" s="504"/>
      <c r="F317" s="504"/>
      <c r="G317" s="504"/>
    </row>
    <row r="318" spans="1:7" customFormat="1" ht="12.75" hidden="1" outlineLevel="1" x14ac:dyDescent="0.2">
      <c r="A318" s="589">
        <v>5395080000</v>
      </c>
      <c r="B318" s="316" t="s">
        <v>707</v>
      </c>
      <c r="C318" s="225">
        <v>0</v>
      </c>
      <c r="D318" s="524"/>
      <c r="E318" s="504"/>
      <c r="F318" s="504"/>
      <c r="G318" s="504"/>
    </row>
    <row r="319" spans="1:7" customFormat="1" ht="12.75" hidden="1" outlineLevel="1" x14ac:dyDescent="0.2">
      <c r="A319" s="176">
        <v>5395070000</v>
      </c>
      <c r="B319" s="316" t="s">
        <v>597</v>
      </c>
      <c r="C319" s="225">
        <v>2805.54</v>
      </c>
      <c r="D319" s="524"/>
      <c r="E319" s="504"/>
      <c r="F319" s="504"/>
      <c r="G319" s="504"/>
    </row>
    <row r="320" spans="1:7" customFormat="1" ht="12.75" hidden="1" outlineLevel="1" x14ac:dyDescent="0.2">
      <c r="A320" s="176">
        <v>5395200000</v>
      </c>
      <c r="B320" s="318" t="s">
        <v>405</v>
      </c>
      <c r="C320" s="225">
        <v>0</v>
      </c>
      <c r="D320" s="524"/>
      <c r="E320" s="504"/>
      <c r="F320" s="504"/>
      <c r="G320" s="504"/>
    </row>
    <row r="321" spans="1:7" customFormat="1" ht="12.75" hidden="1" outlineLevel="1" x14ac:dyDescent="0.2">
      <c r="A321" s="589">
        <v>5395250000</v>
      </c>
      <c r="B321" s="318" t="s">
        <v>708</v>
      </c>
      <c r="C321" s="225">
        <v>0</v>
      </c>
      <c r="D321" s="524"/>
      <c r="E321" s="504"/>
      <c r="F321" s="504"/>
      <c r="G321" s="504"/>
    </row>
    <row r="322" spans="1:7" customFormat="1" ht="12.75" hidden="1" outlineLevel="1" x14ac:dyDescent="0.2">
      <c r="A322" s="589">
        <v>5395950200</v>
      </c>
      <c r="B322" s="318" t="s">
        <v>709</v>
      </c>
      <c r="C322" s="225">
        <v>0</v>
      </c>
      <c r="D322" s="524"/>
      <c r="E322" s="504"/>
      <c r="F322" s="504"/>
      <c r="G322" s="504"/>
    </row>
    <row r="323" spans="1:7" customFormat="1" ht="12.75" hidden="1" outlineLevel="1" x14ac:dyDescent="0.2">
      <c r="A323" s="176">
        <v>5395950000</v>
      </c>
      <c r="B323" s="316" t="s">
        <v>84</v>
      </c>
      <c r="C323" s="315">
        <v>400</v>
      </c>
      <c r="D323" s="524"/>
      <c r="E323" s="504"/>
      <c r="F323" s="504"/>
      <c r="G323" s="504"/>
    </row>
    <row r="324" spans="1:7" customFormat="1" ht="12.75" hidden="1" outlineLevel="1" x14ac:dyDescent="0.2">
      <c r="A324" s="589">
        <v>6160050200</v>
      </c>
      <c r="B324" s="316" t="s">
        <v>710</v>
      </c>
      <c r="C324" s="586">
        <v>0</v>
      </c>
      <c r="D324" s="524"/>
      <c r="E324" s="504"/>
      <c r="F324" s="504"/>
      <c r="G324" s="504"/>
    </row>
    <row r="325" spans="1:7" customFormat="1" ht="12.75" collapsed="1" x14ac:dyDescent="0.2">
      <c r="A325" s="176"/>
      <c r="B325" s="213" t="s">
        <v>408</v>
      </c>
      <c r="C325" s="214">
        <f>SUM(C304:C324)</f>
        <v>3205.54</v>
      </c>
      <c r="D325" s="524"/>
      <c r="E325" s="504"/>
      <c r="F325" s="504"/>
      <c r="G325" s="504"/>
    </row>
    <row r="326" spans="1:7" customFormat="1" ht="12.75" x14ac:dyDescent="0.2">
      <c r="A326" s="1"/>
      <c r="B326" s="209" t="s">
        <v>409</v>
      </c>
      <c r="C326" s="210">
        <f>+C301-C325</f>
        <v>-3205.54</v>
      </c>
      <c r="D326" s="524"/>
      <c r="E326" s="504"/>
      <c r="F326" s="504"/>
      <c r="G326" s="504"/>
    </row>
    <row r="327" spans="1:7" customFormat="1" ht="12.75" x14ac:dyDescent="0.2">
      <c r="A327" s="3"/>
      <c r="B327" s="216" t="s">
        <v>152</v>
      </c>
      <c r="C327" s="210">
        <f>+C248+C326</f>
        <v>1216924.5780728208</v>
      </c>
      <c r="D327" s="524"/>
      <c r="E327" s="504"/>
      <c r="F327" s="504"/>
      <c r="G327" s="504"/>
    </row>
    <row r="328" spans="1:7" customFormat="1" ht="12.75" x14ac:dyDescent="0.2">
      <c r="A328" s="1"/>
      <c r="B328" s="206" t="s">
        <v>238</v>
      </c>
      <c r="C328" s="208"/>
      <c r="D328" s="524"/>
      <c r="E328" s="504"/>
      <c r="F328" s="504"/>
      <c r="G328" s="504"/>
    </row>
    <row r="329" spans="1:7" customFormat="1" ht="12.75" hidden="1" outlineLevel="1" x14ac:dyDescent="0.2">
      <c r="A329" s="1"/>
      <c r="B329" s="206" t="s">
        <v>410</v>
      </c>
      <c r="C329" s="208"/>
      <c r="D329" s="524"/>
      <c r="E329" s="504"/>
      <c r="F329" s="504"/>
      <c r="G329" s="504"/>
    </row>
    <row r="330" spans="1:7" customFormat="1" ht="12.75" hidden="1" outlineLevel="1" x14ac:dyDescent="0.2">
      <c r="A330" s="1">
        <v>1524050000</v>
      </c>
      <c r="B330" s="319" t="s">
        <v>411</v>
      </c>
      <c r="C330" s="226">
        <v>0</v>
      </c>
      <c r="D330" s="524"/>
      <c r="E330" s="504"/>
      <c r="F330" s="504"/>
      <c r="G330" s="504"/>
    </row>
    <row r="331" spans="1:7" customFormat="1" ht="12.75" hidden="1" outlineLevel="1" x14ac:dyDescent="0.2">
      <c r="A331" s="1">
        <v>1528050000</v>
      </c>
      <c r="B331" s="319" t="s">
        <v>598</v>
      </c>
      <c r="C331" s="226">
        <v>20500</v>
      </c>
      <c r="D331" s="524"/>
      <c r="E331" s="504"/>
      <c r="F331" s="504"/>
      <c r="G331" s="504"/>
    </row>
    <row r="332" spans="1:7" customFormat="1" ht="12.75" hidden="1" outlineLevel="1" x14ac:dyDescent="0.2">
      <c r="A332" s="1">
        <v>1532050000</v>
      </c>
      <c r="B332" s="319" t="s">
        <v>599</v>
      </c>
      <c r="C332" s="226">
        <v>0</v>
      </c>
      <c r="D332" s="524"/>
      <c r="E332" s="504"/>
      <c r="F332" s="504"/>
      <c r="G332" s="504"/>
    </row>
    <row r="333" spans="1:7" customFormat="1" ht="12.75" collapsed="1" x14ac:dyDescent="0.2">
      <c r="A333" s="1"/>
      <c r="B333" s="217" t="s">
        <v>239</v>
      </c>
      <c r="C333" s="214">
        <f>SUM(C330:C332)</f>
        <v>20500</v>
      </c>
      <c r="D333" s="524"/>
      <c r="E333" s="504"/>
      <c r="F333" s="504"/>
      <c r="G333" s="504"/>
    </row>
    <row r="334" spans="1:7" customFormat="1" ht="13.5" thickBot="1" x14ac:dyDescent="0.25">
      <c r="A334" s="1"/>
      <c r="B334" s="218" t="s">
        <v>240</v>
      </c>
      <c r="C334" s="219">
        <f>+C327-C333</f>
        <v>1196424.5780728208</v>
      </c>
      <c r="D334" s="524"/>
      <c r="E334" s="504"/>
      <c r="F334" s="504"/>
      <c r="G334" s="504"/>
    </row>
    <row r="335" spans="1:7" ht="16.5" customHeight="1" x14ac:dyDescent="0.2">
      <c r="B335" s="220" t="s">
        <v>784</v>
      </c>
      <c r="C335" s="659">
        <f>IFERROR(C334/(+C29+C301),"Sin datos")</f>
        <v>0.22208033100860447</v>
      </c>
      <c r="D335" s="525"/>
      <c r="E335" s="503"/>
      <c r="F335" s="503"/>
      <c r="G335" s="503"/>
    </row>
    <row r="336" spans="1:7" ht="16.5" customHeight="1" x14ac:dyDescent="0.2">
      <c r="B336" s="220" t="s">
        <v>785</v>
      </c>
      <c r="C336" s="659">
        <f t="shared" ref="C336" si="0">IFERROR((C29/C247)-1,"Sin datos")</f>
        <v>0.29279232001665134</v>
      </c>
      <c r="D336" s="525"/>
      <c r="E336" s="503"/>
      <c r="F336" s="503"/>
      <c r="G336" s="503"/>
    </row>
    <row r="337" spans="2:7" ht="27.75" customHeight="1" x14ac:dyDescent="0.2">
      <c r="B337" s="760" t="s">
        <v>783</v>
      </c>
      <c r="C337" s="761">
        <f t="shared" ref="C337" si="1">IFERROR((SUM(C9:C28)+C301)/(C301+C29),"Sin datos")</f>
        <v>1.560128124147812E-2</v>
      </c>
      <c r="D337" s="525"/>
      <c r="E337" s="503"/>
      <c r="F337" s="503"/>
      <c r="G337" s="503"/>
    </row>
    <row r="338" spans="2:7" ht="16.5" customHeight="1" thickBot="1" x14ac:dyDescent="0.25">
      <c r="C338" s="660"/>
    </row>
    <row r="339" spans="2:7" ht="16.5" customHeight="1" x14ac:dyDescent="0.2">
      <c r="B339" s="596" t="s">
        <v>717</v>
      </c>
      <c r="C339" s="662">
        <f t="shared" ref="C339" si="2">IFERROR((C61+C72)/(C29+C301), "Sin datos")</f>
        <v>0.41155375470172195</v>
      </c>
    </row>
    <row r="340" spans="2:7" ht="16.5" customHeight="1" x14ac:dyDescent="0.2">
      <c r="B340" s="595" t="s">
        <v>718</v>
      </c>
      <c r="C340" s="664">
        <f t="shared" ref="C340" si="3">IFERROR(C61/C29,"Sin datos")</f>
        <v>0.41072977452525455</v>
      </c>
    </row>
    <row r="341" spans="2:7" ht="16.5" customHeight="1" x14ac:dyDescent="0.2">
      <c r="B341" s="597" t="s">
        <v>719</v>
      </c>
      <c r="C341" s="666">
        <f t="shared" ref="C341" si="4">IFERROR((C61/(C29+C301)),"Sin datos")</f>
        <v>0.41072977452525455</v>
      </c>
    </row>
    <row r="342" spans="2:7" ht="16.5" customHeight="1" x14ac:dyDescent="0.2">
      <c r="B342" s="595" t="s">
        <v>720</v>
      </c>
      <c r="C342" s="664">
        <f t="shared" ref="C342" si="5">IFERROR(C72/C29,"Sin datos")</f>
        <v>8.2398017646739027E-4</v>
      </c>
      <c r="D342" s="196"/>
    </row>
    <row r="343" spans="2:7" ht="16.5" customHeight="1" x14ac:dyDescent="0.2">
      <c r="B343" s="597" t="s">
        <v>781</v>
      </c>
      <c r="C343" s="666">
        <f t="shared" ref="C343" si="6">IFERROR(C246/(C29+C301),"Sin datos")</f>
        <v>0.34095026188323602</v>
      </c>
      <c r="D343" s="196"/>
    </row>
    <row r="344" spans="2:7" ht="16.5" customHeight="1" x14ac:dyDescent="0.2">
      <c r="B344" s="595" t="s">
        <v>722</v>
      </c>
      <c r="C344" s="664">
        <f t="shared" ref="C344" si="7">IFERROR((C327/(C29+C301)),"Sin datos")</f>
        <v>0.22588554102276995</v>
      </c>
      <c r="D344" s="196"/>
    </row>
    <row r="345" spans="2:7" ht="16.5" customHeight="1" x14ac:dyDescent="0.2">
      <c r="B345" s="597" t="s">
        <v>723</v>
      </c>
      <c r="C345" s="666">
        <f t="shared" ref="C345" si="8">IFERROR((C333/C29),"Sin datos")</f>
        <v>3.8052100141654673E-3</v>
      </c>
    </row>
    <row r="346" spans="2:7" ht="16.5" customHeight="1" x14ac:dyDescent="0.2">
      <c r="B346" s="595" t="s">
        <v>724</v>
      </c>
      <c r="C346" s="664">
        <f t="shared" ref="C346" si="9">IFERROR((C333/(C29+C301)),"Sin datos")</f>
        <v>3.8052100141654673E-3</v>
      </c>
      <c r="D346" s="196"/>
    </row>
    <row r="347" spans="2:7" ht="16.5" customHeight="1" thickBot="1" x14ac:dyDescent="0.25">
      <c r="B347" s="598" t="s">
        <v>725</v>
      </c>
      <c r="C347" s="668">
        <f t="shared" ref="C347" si="10">IFERROR((C247+C325)/(C29+C301),"Sin datos")</f>
        <v>0.77411445897723008</v>
      </c>
      <c r="D347" s="196"/>
    </row>
    <row r="348" spans="2:7" ht="16.5" customHeight="1" thickBot="1" x14ac:dyDescent="0.25">
      <c r="B348" s="196"/>
      <c r="C348" s="660"/>
      <c r="D348" s="196"/>
    </row>
    <row r="349" spans="2:7" ht="16.5" customHeight="1" x14ac:dyDescent="0.2">
      <c r="B349" s="594" t="s">
        <v>975</v>
      </c>
      <c r="C349" s="670" t="str">
        <f>IFERROR((C8/#REF!)-1,"Sin datos")</f>
        <v>Sin datos</v>
      </c>
    </row>
    <row r="350" spans="2:7" ht="16.5" customHeight="1" x14ac:dyDescent="0.2">
      <c r="B350" s="597" t="s">
        <v>976</v>
      </c>
      <c r="C350" s="666" t="str">
        <f>IFERROR((C61/#REF!)-1,"Sin datos")</f>
        <v>Sin datos</v>
      </c>
    </row>
    <row r="351" spans="2:7" ht="16.5" customHeight="1" x14ac:dyDescent="0.2">
      <c r="B351" s="595" t="s">
        <v>977</v>
      </c>
      <c r="C351" s="950" t="str">
        <f>IFERROR((C72/#REF!)-1,"Sin datos")</f>
        <v>Sin datos</v>
      </c>
    </row>
    <row r="352" spans="2:7" ht="16.5" customHeight="1" thickBot="1" x14ac:dyDescent="0.25">
      <c r="B352" s="598" t="s">
        <v>978</v>
      </c>
      <c r="C352" s="951" t="str">
        <f>IFERROR((C175/#REF!)-1,"Sin datos")</f>
        <v>Sin datos</v>
      </c>
    </row>
  </sheetData>
  <protectedRanges>
    <protectedRange sqref="D4:G337" name="Rango1_1"/>
  </protectedRanges>
  <mergeCells count="5">
    <mergeCell ref="B1:C1"/>
    <mergeCell ref="B2:C2"/>
    <mergeCell ref="B4:B5"/>
    <mergeCell ref="C4:C5"/>
    <mergeCell ref="D4:G5"/>
  </mergeCells>
  <conditionalFormatting sqref="C350">
    <cfRule type="cellIs" dxfId="2" priority="3" operator="greaterThan">
      <formula>$C$349</formula>
    </cfRule>
  </conditionalFormatting>
  <conditionalFormatting sqref="C351">
    <cfRule type="cellIs" dxfId="1" priority="2" operator="greaterThan">
      <formula>$C$349</formula>
    </cfRule>
  </conditionalFormatting>
  <conditionalFormatting sqref="C352">
    <cfRule type="cellIs" dxfId="0" priority="1" operator="greaterThan">
      <formula>$C$349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I112"/>
  <sheetViews>
    <sheetView showGridLines="0" topLeftCell="A37" zoomScaleNormal="100" workbookViewId="0">
      <selection activeCell="F24" sqref="F24"/>
    </sheetView>
  </sheetViews>
  <sheetFormatPr baseColWidth="10" defaultRowHeight="14.25" x14ac:dyDescent="0.2"/>
  <cols>
    <col min="1" max="1" width="1.28515625" style="764" customWidth="1"/>
    <col min="2" max="2" width="6" style="764" customWidth="1"/>
    <col min="3" max="3" width="28.28515625" style="766" customWidth="1"/>
    <col min="4" max="4" width="42.42578125" style="766" customWidth="1"/>
    <col min="5" max="5" width="60.28515625" style="766" customWidth="1"/>
    <col min="6" max="6" width="15.7109375" style="787" customWidth="1"/>
    <col min="7" max="7" width="14.5703125" style="764" bestFit="1" customWidth="1"/>
    <col min="8" max="16384" width="11.42578125" style="764"/>
  </cols>
  <sheetData>
    <row r="1" spans="2:8" ht="19.5" customHeight="1" x14ac:dyDescent="0.2">
      <c r="B1" s="1047" t="s">
        <v>796</v>
      </c>
      <c r="C1" s="1047"/>
      <c r="D1" s="1047"/>
      <c r="E1" s="1047"/>
      <c r="F1" s="1047"/>
    </row>
    <row r="2" spans="2:8" ht="15" customHeight="1" x14ac:dyDescent="0.2">
      <c r="B2" s="1047"/>
      <c r="C2" s="1047"/>
      <c r="D2" s="1047"/>
      <c r="E2" s="1047"/>
      <c r="F2" s="1047"/>
    </row>
    <row r="3" spans="2:8" ht="18" x14ac:dyDescent="0.25">
      <c r="B3" s="1048" t="str">
        <f>+PRESUPUESTO!B2</f>
        <v>ADMINISTRACION DE EMPRESAS</v>
      </c>
      <c r="C3" s="1048"/>
      <c r="D3" s="1048"/>
      <c r="E3" s="1048"/>
      <c r="F3" s="1048"/>
    </row>
    <row r="4" spans="2:8" x14ac:dyDescent="0.2">
      <c r="C4" s="765" t="s">
        <v>432</v>
      </c>
      <c r="F4" s="786"/>
    </row>
    <row r="5" spans="2:8" ht="15" thickBot="1" x14ac:dyDescent="0.25">
      <c r="F5" s="786"/>
    </row>
    <row r="6" spans="2:8" s="767" customFormat="1" ht="40.5" x14ac:dyDescent="0.3">
      <c r="B6" s="792"/>
      <c r="C6" s="793" t="s">
        <v>641</v>
      </c>
      <c r="D6" s="793" t="s">
        <v>642</v>
      </c>
      <c r="E6" s="794" t="s">
        <v>463</v>
      </c>
      <c r="F6" s="1045" t="s">
        <v>475</v>
      </c>
    </row>
    <row r="7" spans="2:8" s="767" customFormat="1" ht="20.25" x14ac:dyDescent="0.3">
      <c r="B7" s="795"/>
      <c r="C7" s="1049" t="s">
        <v>0</v>
      </c>
      <c r="D7" s="1050"/>
      <c r="E7" s="1050"/>
      <c r="F7" s="1046"/>
    </row>
    <row r="8" spans="2:8" s="767" customFormat="1" ht="20.25" x14ac:dyDescent="0.3">
      <c r="B8" s="796"/>
      <c r="C8" s="1057" t="s">
        <v>727</v>
      </c>
      <c r="D8" s="1058"/>
      <c r="E8" s="1058"/>
      <c r="F8" s="797">
        <f>+PRESUPUESTO!G29</f>
        <v>5863501.0699999984</v>
      </c>
    </row>
    <row r="9" spans="2:8" s="767" customFormat="1" ht="20.25" x14ac:dyDescent="0.3">
      <c r="B9" s="796"/>
      <c r="C9" s="1057" t="s">
        <v>728</v>
      </c>
      <c r="D9" s="1058"/>
      <c r="E9" s="1058"/>
      <c r="F9" s="797">
        <f>+PRESUPUESTO!G283+PRESUPUESTO!G288+PRESUPUESTO!G301+PRESUPUESTO!G302+PRESUPUESTO!G299</f>
        <v>0</v>
      </c>
    </row>
    <row r="10" spans="2:8" s="767" customFormat="1" ht="21" thickBot="1" x14ac:dyDescent="0.35">
      <c r="B10" s="796"/>
      <c r="C10" s="1059" t="s">
        <v>729</v>
      </c>
      <c r="D10" s="1060"/>
      <c r="E10" s="1060"/>
      <c r="F10" s="798">
        <f>'PTO + EC'!D29+'PTO + EC'!D275+PRESUPUESTO!G287+PRESUPUESTO!G279+PRESUPUESTO!G278+PRESUPUESTO!G282+PRESUPUESTO!G293+PRESUPUESTO!G294</f>
        <v>0</v>
      </c>
    </row>
    <row r="11" spans="2:8" s="767" customFormat="1" ht="21.75" thickTop="1" thickBot="1" x14ac:dyDescent="0.35">
      <c r="B11" s="799"/>
      <c r="C11" s="1061" t="s">
        <v>730</v>
      </c>
      <c r="D11" s="1062"/>
      <c r="E11" s="1062"/>
      <c r="F11" s="800">
        <f>SUM(F8:F10)</f>
        <v>5863501.0699999984</v>
      </c>
      <c r="G11" s="768"/>
      <c r="H11" s="769"/>
    </row>
    <row r="12" spans="2:8" s="767" customFormat="1" ht="21" thickBot="1" x14ac:dyDescent="0.35">
      <c r="B12" s="801"/>
      <c r="C12" s="802"/>
      <c r="D12" s="802"/>
      <c r="E12" s="802"/>
      <c r="F12" s="803"/>
      <c r="G12" s="770"/>
    </row>
    <row r="13" spans="2:8" s="767" customFormat="1" ht="30.75" customHeight="1" x14ac:dyDescent="0.3">
      <c r="B13" s="792"/>
      <c r="C13" s="1063" t="s">
        <v>731</v>
      </c>
      <c r="D13" s="1064"/>
      <c r="E13" s="1064"/>
      <c r="F13" s="806"/>
    </row>
    <row r="14" spans="2:8" s="767" customFormat="1" x14ac:dyDescent="0.2">
      <c r="B14" s="1074" t="s">
        <v>643</v>
      </c>
      <c r="C14" s="1065" t="s">
        <v>644</v>
      </c>
      <c r="D14" s="1077" t="s">
        <v>645</v>
      </c>
      <c r="E14" s="617" t="s">
        <v>732</v>
      </c>
      <c r="F14" s="797"/>
    </row>
    <row r="15" spans="2:8" ht="30" customHeight="1" x14ac:dyDescent="0.2">
      <c r="B15" s="1075"/>
      <c r="C15" s="1066"/>
      <c r="D15" s="1078"/>
      <c r="E15" s="771" t="s">
        <v>646</v>
      </c>
      <c r="F15" s="807">
        <f>+F14</f>
        <v>0</v>
      </c>
    </row>
    <row r="16" spans="2:8" x14ac:dyDescent="0.2">
      <c r="B16" s="1075"/>
      <c r="C16" s="1066"/>
      <c r="D16" s="1078"/>
      <c r="E16" s="617" t="s">
        <v>732</v>
      </c>
      <c r="F16" s="797"/>
    </row>
    <row r="17" spans="2:6" x14ac:dyDescent="0.2">
      <c r="B17" s="1075"/>
      <c r="C17" s="1066"/>
      <c r="D17" s="1078"/>
      <c r="E17" s="617" t="s">
        <v>733</v>
      </c>
      <c r="F17" s="797"/>
    </row>
    <row r="18" spans="2:6" ht="57" x14ac:dyDescent="0.2">
      <c r="B18" s="1075"/>
      <c r="C18" s="1066"/>
      <c r="D18" s="1079"/>
      <c r="E18" s="771" t="s">
        <v>647</v>
      </c>
      <c r="F18" s="807">
        <f>+SUM(F16:F17)</f>
        <v>0</v>
      </c>
    </row>
    <row r="19" spans="2:6" ht="30" customHeight="1" x14ac:dyDescent="0.2">
      <c r="B19" s="1075"/>
      <c r="C19" s="1066"/>
      <c r="D19" s="1080"/>
      <c r="E19" s="772" t="s">
        <v>648</v>
      </c>
      <c r="F19" s="807"/>
    </row>
    <row r="20" spans="2:6" ht="30" customHeight="1" x14ac:dyDescent="0.2">
      <c r="B20" s="1075"/>
      <c r="C20" s="1066"/>
      <c r="D20" s="1080"/>
      <c r="E20" s="773" t="s">
        <v>649</v>
      </c>
      <c r="F20" s="807"/>
    </row>
    <row r="21" spans="2:6" ht="28.5" x14ac:dyDescent="0.2">
      <c r="B21" s="1075"/>
      <c r="C21" s="1066"/>
      <c r="D21" s="1080"/>
      <c r="E21" s="771" t="s">
        <v>650</v>
      </c>
      <c r="F21" s="807"/>
    </row>
    <row r="22" spans="2:6" ht="30.75" customHeight="1" x14ac:dyDescent="0.2">
      <c r="B22" s="1075"/>
      <c r="C22" s="1066"/>
      <c r="D22" s="1080"/>
      <c r="E22" s="774" t="s">
        <v>651</v>
      </c>
      <c r="F22" s="807"/>
    </row>
    <row r="23" spans="2:6" x14ac:dyDescent="0.2">
      <c r="B23" s="1075"/>
      <c r="C23" s="1065" t="s">
        <v>652</v>
      </c>
      <c r="D23" s="1065" t="s">
        <v>653</v>
      </c>
      <c r="E23" s="618" t="s">
        <v>734</v>
      </c>
      <c r="F23" s="797">
        <f>(NOMINA!AO62+NOMINA!AO79+NOMINA!AO89)/1000</f>
        <v>1906678.0841388085</v>
      </c>
    </row>
    <row r="24" spans="2:6" x14ac:dyDescent="0.2">
      <c r="B24" s="1075"/>
      <c r="C24" s="1066"/>
      <c r="D24" s="1066"/>
      <c r="E24" s="618" t="s">
        <v>735</v>
      </c>
      <c r="F24" s="797">
        <f>+NOMINA!AO98/1000</f>
        <v>196727.432269463</v>
      </c>
    </row>
    <row r="25" spans="2:6" x14ac:dyDescent="0.2">
      <c r="B25" s="1075"/>
      <c r="C25" s="1066"/>
      <c r="D25" s="1066"/>
      <c r="E25" s="618" t="s">
        <v>736</v>
      </c>
      <c r="F25" s="797">
        <f ca="1">+PRESUPUESTO!G48+PRESUPUESTO!G49+PRESUPUESTO!G44-((GEST.REC.HUM.!M32+'OTRAS ACTIV.'!N32)/1000)</f>
        <v>17074.5</v>
      </c>
    </row>
    <row r="26" spans="2:6" x14ac:dyDescent="0.2">
      <c r="B26" s="1075"/>
      <c r="C26" s="1066"/>
      <c r="D26" s="1066"/>
      <c r="E26" s="618" t="s">
        <v>83</v>
      </c>
      <c r="F26" s="797">
        <f ca="1">+PRESUPUESTO!G73-((GEST.REC.HUM.!M33+'OTRAS ACTIV.'!N33)/1000)+'PTO + EC'!D72</f>
        <v>3000</v>
      </c>
    </row>
    <row r="27" spans="2:6" x14ac:dyDescent="0.2">
      <c r="B27" s="1075"/>
      <c r="C27" s="1066"/>
      <c r="D27" s="1066"/>
      <c r="E27" s="618" t="s">
        <v>737</v>
      </c>
      <c r="F27" s="797">
        <f>+PRESUPUESTO!G76</f>
        <v>0</v>
      </c>
    </row>
    <row r="28" spans="2:6" x14ac:dyDescent="0.2">
      <c r="B28" s="1075"/>
      <c r="C28" s="1066"/>
      <c r="D28" s="1066"/>
      <c r="E28" s="618" t="s">
        <v>738</v>
      </c>
      <c r="F28" s="797">
        <f>+PRESUPUESTO!G45</f>
        <v>0</v>
      </c>
    </row>
    <row r="29" spans="2:6" x14ac:dyDescent="0.2">
      <c r="B29" s="1075"/>
      <c r="C29" s="1066"/>
      <c r="D29" s="1066"/>
      <c r="E29" s="618" t="s">
        <v>739</v>
      </c>
      <c r="F29" s="797">
        <f ca="1">SUM(PRESUPUESTO!G140:G144)-((GEST.REC.HUM.!M34+GEST.REC.HUM.!M35+'OTRAS ACTIV.'!N34+'OTRAS ACTIV.'!N35)/1000)</f>
        <v>6400</v>
      </c>
    </row>
    <row r="30" spans="2:6" x14ac:dyDescent="0.2">
      <c r="B30" s="1075"/>
      <c r="C30" s="1066"/>
      <c r="D30" s="1066"/>
      <c r="E30" s="618" t="s">
        <v>766</v>
      </c>
      <c r="F30" s="797">
        <f>+SUM(OTROS_GASTOS_NOMINA_PDI)</f>
        <v>530.71672500000011</v>
      </c>
    </row>
    <row r="31" spans="2:6" ht="48" customHeight="1" x14ac:dyDescent="0.2">
      <c r="B31" s="1076"/>
      <c r="C31" s="1067"/>
      <c r="D31" s="1067"/>
      <c r="E31" s="772" t="s">
        <v>654</v>
      </c>
      <c r="F31" s="807">
        <f ca="1">SUM(F23:F30)</f>
        <v>2130410.7331332718</v>
      </c>
    </row>
    <row r="32" spans="2:6" x14ac:dyDescent="0.2">
      <c r="B32" s="1068" t="s">
        <v>655</v>
      </c>
      <c r="C32" s="1071" t="s">
        <v>656</v>
      </c>
      <c r="D32" s="1071" t="s">
        <v>740</v>
      </c>
      <c r="E32" s="618" t="s">
        <v>741</v>
      </c>
      <c r="F32" s="797">
        <f ca="1">+PRESUPUESTO!G334+PRESUPUESTO!G335+SUM(PRESUPUESTO!G165:G168)+PRESUPUESTO!G173</f>
        <v>7000</v>
      </c>
    </row>
    <row r="33" spans="2:6" x14ac:dyDescent="0.2">
      <c r="B33" s="1069"/>
      <c r="C33" s="1072"/>
      <c r="D33" s="1072"/>
      <c r="E33" s="618" t="s">
        <v>742</v>
      </c>
      <c r="F33" s="797">
        <f ca="1">+PRESUPUESTO!G113+PRESUPUESTO!G146+PRESUPUESTO!G169</f>
        <v>39003.15</v>
      </c>
    </row>
    <row r="34" spans="2:6" x14ac:dyDescent="0.2">
      <c r="B34" s="1069"/>
      <c r="C34" s="1072"/>
      <c r="D34" s="1072"/>
      <c r="E34" s="618" t="s">
        <v>743</v>
      </c>
      <c r="F34" s="797">
        <f ca="1">+PRESUPUESTO!G157</f>
        <v>0</v>
      </c>
    </row>
    <row r="35" spans="2:6" x14ac:dyDescent="0.2">
      <c r="B35" s="1069"/>
      <c r="C35" s="1072"/>
      <c r="D35" s="1072"/>
      <c r="E35" s="618" t="s">
        <v>234</v>
      </c>
      <c r="F35" s="797">
        <f ca="1">+PRESUPUESTO!G110+PRESUPUESTO!G156</f>
        <v>10000</v>
      </c>
    </row>
    <row r="36" spans="2:6" x14ac:dyDescent="0.2">
      <c r="B36" s="1069"/>
      <c r="C36" s="1072"/>
      <c r="D36" s="1072"/>
      <c r="E36" s="618" t="s">
        <v>744</v>
      </c>
      <c r="F36" s="797">
        <f>+PRESUPUESTO!G108+PRESUPUESTO!G158</f>
        <v>0</v>
      </c>
    </row>
    <row r="37" spans="2:6" x14ac:dyDescent="0.2">
      <c r="B37" s="1069"/>
      <c r="C37" s="1072"/>
      <c r="D37" s="1072"/>
      <c r="E37" s="618" t="s">
        <v>745</v>
      </c>
      <c r="F37" s="797">
        <f ca="1">+PRESUPUESTO!G170</f>
        <v>0</v>
      </c>
    </row>
    <row r="38" spans="2:6" x14ac:dyDescent="0.2">
      <c r="B38" s="1069"/>
      <c r="C38" s="1072"/>
      <c r="D38" s="1072"/>
      <c r="E38" s="618" t="s">
        <v>746</v>
      </c>
      <c r="F38" s="797">
        <f ca="1">+SUM(OTROS_GASTOS_PDI)-((GEST.REC.HUM.!M36+GEST.REC.HUM.!M37+GEST.REC.HUM.!M38+'OTRAS ACTIV.'!N36+'OTRAS ACTIV.'!N37+'OTRAS ACTIV.'!N38)/1000)</f>
        <v>25429.983699999997</v>
      </c>
    </row>
    <row r="39" spans="2:6" ht="28.5" x14ac:dyDescent="0.2">
      <c r="B39" s="1069"/>
      <c r="C39" s="1073"/>
      <c r="D39" s="1073"/>
      <c r="E39" s="775" t="s">
        <v>747</v>
      </c>
      <c r="F39" s="808">
        <f ca="1">SUM(F32:F38)</f>
        <v>81433.133700000006</v>
      </c>
    </row>
    <row r="40" spans="2:6" ht="15" customHeight="1" x14ac:dyDescent="0.2">
      <c r="B40" s="1069"/>
      <c r="C40" s="1071" t="s">
        <v>657</v>
      </c>
      <c r="D40" s="1071" t="s">
        <v>658</v>
      </c>
      <c r="E40" s="619" t="s">
        <v>748</v>
      </c>
      <c r="F40" s="797">
        <f ca="1">SUM(PRESUPUESTO!G132:G138)</f>
        <v>0</v>
      </c>
    </row>
    <row r="41" spans="2:6" x14ac:dyDescent="0.2">
      <c r="B41" s="1069"/>
      <c r="C41" s="1072"/>
      <c r="D41" s="1072"/>
      <c r="E41" s="619" t="s">
        <v>749</v>
      </c>
      <c r="F41" s="797">
        <f ca="1">+PRESUPUESTO!G336</f>
        <v>5000</v>
      </c>
    </row>
    <row r="42" spans="2:6" ht="28.5" x14ac:dyDescent="0.2">
      <c r="B42" s="1069"/>
      <c r="C42" s="1073"/>
      <c r="D42" s="1073"/>
      <c r="E42" s="776" t="s">
        <v>659</v>
      </c>
      <c r="F42" s="808">
        <f ca="1">SUM(F40:F41)</f>
        <v>5000</v>
      </c>
    </row>
    <row r="43" spans="2:6" ht="18.75" customHeight="1" x14ac:dyDescent="0.2">
      <c r="B43" s="1069"/>
      <c r="C43" s="1071" t="s">
        <v>660</v>
      </c>
      <c r="D43" s="1071" t="s">
        <v>661</v>
      </c>
      <c r="E43" s="776" t="s">
        <v>662</v>
      </c>
      <c r="F43" s="808"/>
    </row>
    <row r="44" spans="2:6" ht="30.75" customHeight="1" x14ac:dyDescent="0.2">
      <c r="B44" s="1069"/>
      <c r="C44" s="1072"/>
      <c r="D44" s="1072"/>
      <c r="E44" s="775" t="s">
        <v>663</v>
      </c>
      <c r="F44" s="808"/>
    </row>
    <row r="45" spans="2:6" x14ac:dyDescent="0.2">
      <c r="B45" s="1069"/>
      <c r="C45" s="1072"/>
      <c r="D45" s="1072"/>
      <c r="E45" s="619" t="s">
        <v>750</v>
      </c>
      <c r="F45" s="797"/>
    </row>
    <row r="46" spans="2:6" x14ac:dyDescent="0.2">
      <c r="B46" s="1069"/>
      <c r="C46" s="1072"/>
      <c r="D46" s="1072"/>
      <c r="E46" s="619" t="s">
        <v>751</v>
      </c>
      <c r="F46" s="797">
        <f>+AFILIACIONES!E16/1000</f>
        <v>2500</v>
      </c>
    </row>
    <row r="47" spans="2:6" ht="18" customHeight="1" x14ac:dyDescent="0.2">
      <c r="B47" s="1070"/>
      <c r="C47" s="1073"/>
      <c r="D47" s="1073"/>
      <c r="E47" s="775" t="s">
        <v>664</v>
      </c>
      <c r="F47" s="808">
        <f>SUM(F45:F46)</f>
        <v>2500</v>
      </c>
    </row>
    <row r="48" spans="2:6" ht="18" customHeight="1" x14ac:dyDescent="0.2">
      <c r="B48" s="1051" t="s">
        <v>665</v>
      </c>
      <c r="C48" s="1054" t="s">
        <v>666</v>
      </c>
      <c r="D48" s="1054" t="s">
        <v>667</v>
      </c>
      <c r="E48" s="620" t="s">
        <v>752</v>
      </c>
      <c r="F48" s="797"/>
    </row>
    <row r="49" spans="2:8" ht="15" customHeight="1" x14ac:dyDescent="0.2">
      <c r="B49" s="1052"/>
      <c r="C49" s="1055"/>
      <c r="D49" s="1055"/>
      <c r="E49" s="777" t="s">
        <v>668</v>
      </c>
      <c r="F49" s="809">
        <f>SUM(F48:F48)</f>
        <v>0</v>
      </c>
    </row>
    <row r="50" spans="2:8" ht="15" customHeight="1" x14ac:dyDescent="0.2">
      <c r="B50" s="1052"/>
      <c r="C50" s="1054" t="s">
        <v>669</v>
      </c>
      <c r="D50" s="1054" t="s">
        <v>670</v>
      </c>
      <c r="E50" s="620" t="s">
        <v>753</v>
      </c>
      <c r="F50" s="797">
        <f>+PRESUPUESTO!G161+PRESUPUESTO!G117+PRESUPUESTO!G160+PRESUPUESTO!G95+PRESUPUESTO!G323</f>
        <v>9111.5</v>
      </c>
    </row>
    <row r="51" spans="2:8" ht="28.5" x14ac:dyDescent="0.2">
      <c r="B51" s="1052"/>
      <c r="C51" s="1055"/>
      <c r="D51" s="1055"/>
      <c r="E51" s="777" t="s">
        <v>671</v>
      </c>
      <c r="F51" s="809">
        <f>+F50</f>
        <v>9111.5</v>
      </c>
    </row>
    <row r="52" spans="2:8" ht="15" customHeight="1" x14ac:dyDescent="0.2">
      <c r="B52" s="1052"/>
      <c r="C52" s="1054" t="s">
        <v>672</v>
      </c>
      <c r="D52" s="1054" t="s">
        <v>673</v>
      </c>
      <c r="E52" s="619" t="s">
        <v>754</v>
      </c>
      <c r="F52" s="797">
        <f>+AFILIACIONES!E24/1000</f>
        <v>5000</v>
      </c>
    </row>
    <row r="53" spans="2:8" ht="28.5" customHeight="1" x14ac:dyDescent="0.2">
      <c r="B53" s="1052"/>
      <c r="C53" s="1056"/>
      <c r="D53" s="1056"/>
      <c r="E53" s="777" t="s">
        <v>674</v>
      </c>
      <c r="F53" s="809">
        <f>+F52</f>
        <v>5000</v>
      </c>
    </row>
    <row r="54" spans="2:8" ht="17.25" customHeight="1" x14ac:dyDescent="0.2">
      <c r="B54" s="1052"/>
      <c r="C54" s="1056"/>
      <c r="D54" s="1056"/>
      <c r="E54" s="619" t="s">
        <v>769</v>
      </c>
      <c r="F54" s="797"/>
    </row>
    <row r="55" spans="2:8" ht="16.5" customHeight="1" x14ac:dyDescent="0.2">
      <c r="B55" s="1052"/>
      <c r="C55" s="1056"/>
      <c r="D55" s="1056"/>
      <c r="E55" s="777" t="s">
        <v>675</v>
      </c>
      <c r="F55" s="809">
        <f>+F54</f>
        <v>0</v>
      </c>
    </row>
    <row r="56" spans="2:8" ht="16.5" customHeight="1" x14ac:dyDescent="0.2">
      <c r="B56" s="1052"/>
      <c r="C56" s="1056"/>
      <c r="D56" s="1056"/>
      <c r="E56" s="619" t="s">
        <v>755</v>
      </c>
      <c r="F56" s="797">
        <f>+PRESUPUESTO!G322</f>
        <v>0</v>
      </c>
    </row>
    <row r="57" spans="2:8" ht="16.5" customHeight="1" x14ac:dyDescent="0.2">
      <c r="B57" s="1052"/>
      <c r="C57" s="1056"/>
      <c r="D57" s="1056"/>
      <c r="E57" s="777" t="s">
        <v>676</v>
      </c>
      <c r="F57" s="809">
        <f>+F56</f>
        <v>0</v>
      </c>
    </row>
    <row r="58" spans="2:8" ht="27.75" customHeight="1" x14ac:dyDescent="0.2">
      <c r="B58" s="1052"/>
      <c r="C58" s="1056"/>
      <c r="D58" s="1056"/>
      <c r="E58" s="619" t="s">
        <v>756</v>
      </c>
      <c r="F58" s="797">
        <f>(+GEST.REC.HUM.!M39+'OTRAS ACTIV.'!N39)/1000</f>
        <v>14300</v>
      </c>
    </row>
    <row r="59" spans="2:8" ht="16.5" customHeight="1" x14ac:dyDescent="0.2">
      <c r="B59" s="1053"/>
      <c r="C59" s="1055"/>
      <c r="D59" s="1055"/>
      <c r="E59" s="777" t="s">
        <v>677</v>
      </c>
      <c r="F59" s="809">
        <f>+F58</f>
        <v>14300</v>
      </c>
    </row>
    <row r="60" spans="2:8" ht="20.25" x14ac:dyDescent="0.3">
      <c r="B60" s="795"/>
      <c r="C60" s="1083" t="s">
        <v>757</v>
      </c>
      <c r="D60" s="1083"/>
      <c r="E60" s="1049"/>
      <c r="F60" s="810">
        <f ca="1">+F15+F18+F19+F20+F21+F22+F31+F39+F42+F43+F44+F47+F49+F51+F53+F55+F57+F59</f>
        <v>2247755.3668332719</v>
      </c>
    </row>
    <row r="61" spans="2:8" ht="20.25" x14ac:dyDescent="0.3">
      <c r="B61" s="795"/>
      <c r="C61" s="1083" t="s">
        <v>758</v>
      </c>
      <c r="D61" s="1083"/>
      <c r="E61" s="1049"/>
      <c r="F61" s="810">
        <f>+PRESUPUESTO!G250</f>
        <v>1932104.4849749999</v>
      </c>
    </row>
    <row r="62" spans="2:8" ht="21" thickBot="1" x14ac:dyDescent="0.35">
      <c r="B62" s="795"/>
      <c r="C62" s="1084" t="s">
        <v>759</v>
      </c>
      <c r="D62" s="1084"/>
      <c r="E62" s="1085"/>
      <c r="F62" s="811">
        <f>+'PTO + EC'!D174+'PTO + EC'!D318</f>
        <v>0</v>
      </c>
    </row>
    <row r="63" spans="2:8" ht="21.75" thickTop="1" thickBot="1" x14ac:dyDescent="0.35">
      <c r="B63" s="799"/>
      <c r="C63" s="1086" t="s">
        <v>760</v>
      </c>
      <c r="D63" s="1086"/>
      <c r="E63" s="1087"/>
      <c r="F63" s="812">
        <f ca="1">SUM(F60:F62)</f>
        <v>4179859.8518082718</v>
      </c>
      <c r="G63" s="778"/>
      <c r="H63" s="779"/>
    </row>
    <row r="64" spans="2:8" ht="15" thickBot="1" x14ac:dyDescent="0.25">
      <c r="B64" s="804"/>
      <c r="C64" s="805"/>
      <c r="D64" s="805"/>
      <c r="E64" s="805"/>
      <c r="F64" s="803"/>
    </row>
    <row r="65" spans="2:9" ht="21" thickBot="1" x14ac:dyDescent="0.35">
      <c r="B65" s="790"/>
      <c r="C65" s="1088" t="s">
        <v>761</v>
      </c>
      <c r="D65" s="1088"/>
      <c r="E65" s="1089"/>
      <c r="F65" s="791">
        <f ca="1">+F11-F63</f>
        <v>1683641.2181917266</v>
      </c>
      <c r="G65" s="780"/>
      <c r="H65" s="780"/>
      <c r="I65" s="781"/>
    </row>
    <row r="66" spans="2:9" ht="15" thickBot="1" x14ac:dyDescent="0.25"/>
    <row r="67" spans="2:9" ht="18.75" thickBot="1" x14ac:dyDescent="0.3">
      <c r="B67" s="1081" t="s">
        <v>765</v>
      </c>
      <c r="C67" s="1082"/>
      <c r="D67" s="1082"/>
      <c r="E67" s="1082"/>
      <c r="F67" s="789">
        <f ca="1">IFERROR(F65/F11,"Sin datos")</f>
        <v>0.287139236113711</v>
      </c>
    </row>
    <row r="68" spans="2:9" x14ac:dyDescent="0.2">
      <c r="F68" s="788"/>
    </row>
    <row r="69" spans="2:9" x14ac:dyDescent="0.2">
      <c r="F69" s="788"/>
    </row>
    <row r="111" spans="2:6" s="766" customFormat="1" ht="15" x14ac:dyDescent="0.2">
      <c r="B111" s="764"/>
      <c r="C111" s="782" t="s">
        <v>678</v>
      </c>
      <c r="D111" s="782">
        <v>20</v>
      </c>
      <c r="F111" s="787"/>
    </row>
    <row r="112" spans="2:6" s="766" customFormat="1" ht="15" x14ac:dyDescent="0.2">
      <c r="B112" s="764"/>
      <c r="C112" s="782" t="s">
        <v>679</v>
      </c>
      <c r="D112" s="782">
        <v>49</v>
      </c>
      <c r="F112" s="787"/>
    </row>
  </sheetData>
  <mergeCells count="35">
    <mergeCell ref="B67:E67"/>
    <mergeCell ref="C60:E60"/>
    <mergeCell ref="C61:E61"/>
    <mergeCell ref="C62:E62"/>
    <mergeCell ref="C63:E63"/>
    <mergeCell ref="C65:E65"/>
    <mergeCell ref="C23:C31"/>
    <mergeCell ref="D23:D31"/>
    <mergeCell ref="B32:B47"/>
    <mergeCell ref="C32:C39"/>
    <mergeCell ref="D32:D39"/>
    <mergeCell ref="C40:C42"/>
    <mergeCell ref="D40:D42"/>
    <mergeCell ref="C43:C47"/>
    <mergeCell ref="D43:D47"/>
    <mergeCell ref="B14:B31"/>
    <mergeCell ref="C14:C22"/>
    <mergeCell ref="D14:D18"/>
    <mergeCell ref="D19:D22"/>
    <mergeCell ref="F6:F7"/>
    <mergeCell ref="B1:F2"/>
    <mergeCell ref="B3:F3"/>
    <mergeCell ref="C7:E7"/>
    <mergeCell ref="B48:B59"/>
    <mergeCell ref="C48:C49"/>
    <mergeCell ref="D48:D49"/>
    <mergeCell ref="C50:C51"/>
    <mergeCell ref="D50:D51"/>
    <mergeCell ref="C52:C59"/>
    <mergeCell ref="D52:D59"/>
    <mergeCell ref="C8:E8"/>
    <mergeCell ref="C9:E9"/>
    <mergeCell ref="C10:E10"/>
    <mergeCell ref="C11:E11"/>
    <mergeCell ref="C13:E13"/>
  </mergeCells>
  <conditionalFormatting sqref="G65">
    <cfRule type="iconSet" priority="1">
      <iconSet iconSet="3Symbols2" showValue="0">
        <cfvo type="percent" val="0"/>
        <cfvo type="num" val="2"/>
        <cfvo type="num" val="3"/>
      </iconSe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65" orientation="landscape" r:id="rId1"/>
  <ignoredErrors>
    <ignoredError sqref="F58 F56 F52" formula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4.28515625" bestFit="1" customWidth="1"/>
    <col min="2" max="2" width="37" customWidth="1"/>
    <col min="3" max="3" width="2.5703125" customWidth="1"/>
    <col min="4" max="5" width="34.28515625" bestFit="1" customWidth="1"/>
  </cols>
  <sheetData>
    <row r="1" spans="1:5" x14ac:dyDescent="0.2">
      <c r="A1" s="944"/>
      <c r="B1" s="944"/>
      <c r="C1" s="944"/>
      <c r="D1" s="945" t="s">
        <v>846</v>
      </c>
      <c r="E1" s="945" t="s">
        <v>846</v>
      </c>
    </row>
    <row r="2" spans="1:5" x14ac:dyDescent="0.2">
      <c r="A2" s="944"/>
      <c r="B2" s="944"/>
      <c r="C2" s="944"/>
      <c r="D2" s="945" t="s">
        <v>847</v>
      </c>
      <c r="E2" s="945" t="s">
        <v>847</v>
      </c>
    </row>
    <row r="3" spans="1:5" x14ac:dyDescent="0.2">
      <c r="A3" s="944"/>
      <c r="B3" s="944" t="s">
        <v>848</v>
      </c>
      <c r="C3" s="944"/>
      <c r="D3" s="945" t="s">
        <v>849</v>
      </c>
      <c r="E3" s="945" t="s">
        <v>850</v>
      </c>
    </row>
    <row r="4" spans="1:5" x14ac:dyDescent="0.2">
      <c r="A4" s="944"/>
      <c r="B4" s="944"/>
      <c r="C4" s="944"/>
      <c r="D4" s="945" t="s">
        <v>851</v>
      </c>
      <c r="E4" s="945" t="s">
        <v>851</v>
      </c>
    </row>
    <row r="5" spans="1:5" x14ac:dyDescent="0.2">
      <c r="A5" s="944"/>
      <c r="B5" s="944"/>
      <c r="C5" s="944"/>
      <c r="D5" s="945" t="s">
        <v>852</v>
      </c>
      <c r="E5" s="945" t="s">
        <v>852</v>
      </c>
    </row>
    <row r="6" spans="1:5" x14ac:dyDescent="0.2">
      <c r="A6" s="944"/>
      <c r="B6" s="944"/>
      <c r="C6" s="944"/>
      <c r="D6" s="945" t="s">
        <v>853</v>
      </c>
      <c r="E6" s="945" t="s">
        <v>853</v>
      </c>
    </row>
    <row r="7" spans="1:5" x14ac:dyDescent="0.2">
      <c r="A7" s="944"/>
      <c r="B7" s="944"/>
      <c r="C7" s="944"/>
      <c r="D7" s="945" t="s">
        <v>854</v>
      </c>
      <c r="E7" s="945" t="s">
        <v>854</v>
      </c>
    </row>
    <row r="8" spans="1:5" x14ac:dyDescent="0.2">
      <c r="A8" s="945" t="s">
        <v>460</v>
      </c>
      <c r="B8" s="945" t="s">
        <v>855</v>
      </c>
      <c r="C8" s="945"/>
      <c r="D8" s="946">
        <v>1196424.574</v>
      </c>
      <c r="E8" s="946">
        <v>1004795.074</v>
      </c>
    </row>
    <row r="9" spans="1:5" x14ac:dyDescent="0.2">
      <c r="A9" s="945" t="s">
        <v>152</v>
      </c>
      <c r="B9" s="945"/>
      <c r="C9" s="945"/>
      <c r="D9" s="946">
        <v>1216924.574</v>
      </c>
      <c r="E9" s="946">
        <v>1004795.074</v>
      </c>
    </row>
    <row r="10" spans="1:5" x14ac:dyDescent="0.2">
      <c r="A10" s="945" t="s">
        <v>373</v>
      </c>
      <c r="B10" s="945"/>
      <c r="C10" s="945"/>
      <c r="D10" s="946">
        <v>1220130.1140000001</v>
      </c>
      <c r="E10" s="946">
        <v>1007166.998</v>
      </c>
    </row>
    <row r="11" spans="1:5" x14ac:dyDescent="0.2">
      <c r="A11" s="945" t="s">
        <v>856</v>
      </c>
      <c r="B11" s="945" t="s">
        <v>857</v>
      </c>
      <c r="C11" s="945"/>
      <c r="D11" s="946">
        <v>5387350.4809999997</v>
      </c>
      <c r="E11" s="946">
        <v>3522272.1460000002</v>
      </c>
    </row>
    <row r="12" spans="1:5" x14ac:dyDescent="0.2">
      <c r="A12" s="945">
        <v>4160050100</v>
      </c>
      <c r="B12" s="945" t="s">
        <v>243</v>
      </c>
      <c r="C12" s="945"/>
      <c r="D12" s="946"/>
      <c r="E12" s="946">
        <v>3446544.912</v>
      </c>
    </row>
    <row r="13" spans="1:5" x14ac:dyDescent="0.2">
      <c r="A13" s="945">
        <v>4160050200</v>
      </c>
      <c r="B13" s="945" t="s">
        <v>858</v>
      </c>
      <c r="C13" s="945"/>
      <c r="D13" s="946"/>
      <c r="E13" s="946">
        <v>-5432</v>
      </c>
    </row>
    <row r="14" spans="1:5" x14ac:dyDescent="0.2">
      <c r="A14" s="945">
        <v>4160050600</v>
      </c>
      <c r="B14" s="945" t="s">
        <v>859</v>
      </c>
      <c r="C14" s="945"/>
      <c r="D14" s="946"/>
      <c r="E14" s="946">
        <v>15412.214</v>
      </c>
    </row>
    <row r="15" spans="1:5" x14ac:dyDescent="0.2">
      <c r="A15" s="945">
        <v>4160050614</v>
      </c>
      <c r="B15" s="945" t="s">
        <v>860</v>
      </c>
      <c r="C15" s="945"/>
      <c r="D15" s="946">
        <v>9667.4500000000007</v>
      </c>
      <c r="E15" s="946"/>
    </row>
    <row r="16" spans="1:5" x14ac:dyDescent="0.2">
      <c r="A16" s="945">
        <v>4160050700</v>
      </c>
      <c r="B16" s="945" t="s">
        <v>861</v>
      </c>
      <c r="C16" s="945"/>
      <c r="D16" s="946"/>
      <c r="E16" s="946">
        <v>4442</v>
      </c>
    </row>
    <row r="17" spans="1:5" x14ac:dyDescent="0.2">
      <c r="A17" s="945">
        <v>4160050900</v>
      </c>
      <c r="B17" s="945" t="s">
        <v>6</v>
      </c>
      <c r="C17" s="945"/>
      <c r="D17" s="946"/>
      <c r="E17" s="946">
        <v>128</v>
      </c>
    </row>
    <row r="18" spans="1:5" x14ac:dyDescent="0.2">
      <c r="A18" s="945">
        <v>4160051100</v>
      </c>
      <c r="B18" s="945" t="s">
        <v>7</v>
      </c>
      <c r="C18" s="945"/>
      <c r="D18" s="946"/>
      <c r="E18" s="946">
        <v>5850</v>
      </c>
    </row>
    <row r="19" spans="1:5" x14ac:dyDescent="0.2">
      <c r="A19" s="945">
        <v>4160051200</v>
      </c>
      <c r="B19" s="945" t="s">
        <v>8</v>
      </c>
      <c r="C19" s="945"/>
      <c r="D19" s="946"/>
      <c r="E19" s="946">
        <v>10282.044</v>
      </c>
    </row>
    <row r="20" spans="1:5" x14ac:dyDescent="0.2">
      <c r="A20" s="945">
        <v>4160051300</v>
      </c>
      <c r="B20" s="945" t="s">
        <v>284</v>
      </c>
      <c r="C20" s="945"/>
      <c r="D20" s="946"/>
      <c r="E20" s="946">
        <v>34180.976000000002</v>
      </c>
    </row>
    <row r="21" spans="1:5" x14ac:dyDescent="0.2">
      <c r="A21" s="945">
        <v>4160051402</v>
      </c>
      <c r="B21" s="945" t="s">
        <v>862</v>
      </c>
      <c r="C21" s="945"/>
      <c r="D21" s="946">
        <v>5303300.9110000003</v>
      </c>
      <c r="E21" s="946"/>
    </row>
    <row r="22" spans="1:5" x14ac:dyDescent="0.2">
      <c r="A22" s="945">
        <v>4160051407</v>
      </c>
      <c r="B22" s="945" t="s">
        <v>863</v>
      </c>
      <c r="C22" s="945"/>
      <c r="D22" s="946">
        <v>9159.2000000000007</v>
      </c>
      <c r="E22" s="946"/>
    </row>
    <row r="23" spans="1:5" x14ac:dyDescent="0.2">
      <c r="A23" s="945">
        <v>4160051408</v>
      </c>
      <c r="B23" s="945" t="s">
        <v>864</v>
      </c>
      <c r="C23" s="945"/>
      <c r="D23" s="946">
        <v>631.29999999999995</v>
      </c>
      <c r="E23" s="946"/>
    </row>
    <row r="24" spans="1:5" x14ac:dyDescent="0.2">
      <c r="A24" s="945">
        <v>4160051411</v>
      </c>
      <c r="B24" s="945" t="s">
        <v>865</v>
      </c>
      <c r="C24" s="945"/>
      <c r="D24" s="946">
        <v>14402.2</v>
      </c>
      <c r="E24" s="946"/>
    </row>
    <row r="25" spans="1:5" x14ac:dyDescent="0.2">
      <c r="A25" s="945">
        <v>4160051412</v>
      </c>
      <c r="B25" s="945" t="s">
        <v>866</v>
      </c>
      <c r="C25" s="945"/>
      <c r="D25" s="946">
        <v>11453.28</v>
      </c>
      <c r="E25" s="946"/>
    </row>
    <row r="26" spans="1:5" x14ac:dyDescent="0.2">
      <c r="A26" s="945">
        <v>4160051413</v>
      </c>
      <c r="B26" s="945" t="s">
        <v>867</v>
      </c>
      <c r="C26" s="945"/>
      <c r="D26" s="946">
        <v>38736.14</v>
      </c>
      <c r="E26" s="946"/>
    </row>
    <row r="27" spans="1:5" x14ac:dyDescent="0.2">
      <c r="A27" s="945" t="s">
        <v>868</v>
      </c>
      <c r="B27" s="945" t="s">
        <v>869</v>
      </c>
      <c r="C27" s="945"/>
      <c r="D27" s="946">
        <v>4167220.3670000001</v>
      </c>
      <c r="E27" s="946">
        <v>2515105.148</v>
      </c>
    </row>
    <row r="28" spans="1:5" x14ac:dyDescent="0.2">
      <c r="A28" s="945" t="s">
        <v>870</v>
      </c>
      <c r="B28" s="945" t="s">
        <v>871</v>
      </c>
      <c r="C28" s="945"/>
      <c r="D28" s="946">
        <v>2330401.8080000002</v>
      </c>
      <c r="E28" s="946">
        <v>1561949.625</v>
      </c>
    </row>
    <row r="29" spans="1:5" x14ac:dyDescent="0.2">
      <c r="A29" s="945" t="s">
        <v>868</v>
      </c>
      <c r="B29" s="945" t="s">
        <v>872</v>
      </c>
      <c r="C29" s="945"/>
      <c r="D29" s="946">
        <v>2212745.2510000002</v>
      </c>
      <c r="E29" s="946">
        <v>1505483.7879999999</v>
      </c>
    </row>
    <row r="30" spans="1:5" x14ac:dyDescent="0.2">
      <c r="A30" s="945">
        <v>5105060000</v>
      </c>
      <c r="B30" s="945" t="s">
        <v>20</v>
      </c>
      <c r="C30" s="945"/>
      <c r="D30" s="946">
        <v>1402673.6</v>
      </c>
      <c r="E30" s="946">
        <v>962998.69</v>
      </c>
    </row>
    <row r="31" spans="1:5" x14ac:dyDescent="0.2">
      <c r="A31" s="945">
        <v>5105240000</v>
      </c>
      <c r="B31" s="945" t="s">
        <v>22</v>
      </c>
      <c r="C31" s="945"/>
      <c r="D31" s="946">
        <v>4044.2280000000001</v>
      </c>
      <c r="E31" s="946">
        <v>336.96300000000002</v>
      </c>
    </row>
    <row r="32" spans="1:5" x14ac:dyDescent="0.2">
      <c r="A32" s="945">
        <v>5105270000</v>
      </c>
      <c r="B32" s="945" t="s">
        <v>873</v>
      </c>
      <c r="C32" s="945"/>
      <c r="D32" s="946">
        <v>2724.1880000000001</v>
      </c>
      <c r="E32" s="946">
        <v>1468.807</v>
      </c>
    </row>
    <row r="33" spans="1:5" x14ac:dyDescent="0.2">
      <c r="A33" s="945">
        <v>5105300000</v>
      </c>
      <c r="B33" s="945" t="s">
        <v>874</v>
      </c>
      <c r="C33" s="945"/>
      <c r="D33" s="946">
        <v>123570.927</v>
      </c>
      <c r="E33" s="946">
        <v>82342.566000000006</v>
      </c>
    </row>
    <row r="34" spans="1:5" x14ac:dyDescent="0.2">
      <c r="A34" s="945">
        <v>5105330000</v>
      </c>
      <c r="B34" s="945" t="s">
        <v>875</v>
      </c>
      <c r="C34" s="945"/>
      <c r="D34" s="946">
        <v>14249.217000000001</v>
      </c>
      <c r="E34" s="946">
        <v>4925.7539999999999</v>
      </c>
    </row>
    <row r="35" spans="1:5" x14ac:dyDescent="0.2">
      <c r="A35" s="945">
        <v>5105360000</v>
      </c>
      <c r="B35" s="945" t="s">
        <v>26</v>
      </c>
      <c r="C35" s="945"/>
      <c r="D35" s="946">
        <v>123570.928</v>
      </c>
      <c r="E35" s="946">
        <v>83984.812999999995</v>
      </c>
    </row>
    <row r="36" spans="1:5" x14ac:dyDescent="0.2">
      <c r="A36" s="945">
        <v>5105390000</v>
      </c>
      <c r="B36" s="945" t="s">
        <v>27</v>
      </c>
      <c r="C36" s="945"/>
      <c r="D36" s="946">
        <v>100689.33100000001</v>
      </c>
      <c r="E36" s="946">
        <v>65491.029000000002</v>
      </c>
    </row>
    <row r="37" spans="1:5" x14ac:dyDescent="0.2">
      <c r="A37" s="945">
        <v>5105450000</v>
      </c>
      <c r="B37" s="945" t="s">
        <v>28</v>
      </c>
      <c r="C37" s="945"/>
      <c r="D37" s="946">
        <v>1431.5889999999999</v>
      </c>
      <c r="E37" s="946">
        <v>6416.2150000000001</v>
      </c>
    </row>
    <row r="38" spans="1:5" x14ac:dyDescent="0.2">
      <c r="A38" s="945">
        <v>5105480000</v>
      </c>
      <c r="B38" s="945" t="s">
        <v>425</v>
      </c>
      <c r="C38" s="945"/>
      <c r="D38" s="946"/>
      <c r="E38" s="946">
        <v>1415.4</v>
      </c>
    </row>
    <row r="39" spans="1:5" x14ac:dyDescent="0.2">
      <c r="A39" s="945">
        <v>5105510000</v>
      </c>
      <c r="B39" s="945" t="s">
        <v>876</v>
      </c>
      <c r="C39" s="945"/>
      <c r="D39" s="946">
        <v>1256.31</v>
      </c>
      <c r="E39" s="946"/>
    </row>
    <row r="40" spans="1:5" x14ac:dyDescent="0.2">
      <c r="A40" s="945">
        <v>5105630000</v>
      </c>
      <c r="B40" s="945" t="s">
        <v>877</v>
      </c>
      <c r="C40" s="945"/>
      <c r="D40" s="946">
        <v>941.42499999999995</v>
      </c>
      <c r="E40" s="946">
        <v>1400</v>
      </c>
    </row>
    <row r="41" spans="1:5" x14ac:dyDescent="0.2">
      <c r="A41" s="945">
        <v>5105640000</v>
      </c>
      <c r="B41" s="945" t="s">
        <v>878</v>
      </c>
      <c r="C41" s="945"/>
      <c r="D41" s="946">
        <v>3326.9870000000001</v>
      </c>
      <c r="E41" s="946">
        <v>2460</v>
      </c>
    </row>
    <row r="42" spans="1:5" x14ac:dyDescent="0.2">
      <c r="A42" s="945">
        <v>5105680000</v>
      </c>
      <c r="B42" s="945" t="s">
        <v>879</v>
      </c>
      <c r="C42" s="945"/>
      <c r="D42" s="946">
        <v>7853.9589999999998</v>
      </c>
      <c r="E42" s="946">
        <v>5119.7150000000001</v>
      </c>
    </row>
    <row r="43" spans="1:5" x14ac:dyDescent="0.2">
      <c r="A43" s="945">
        <v>5105690000</v>
      </c>
      <c r="B43" s="945" t="s">
        <v>880</v>
      </c>
      <c r="C43" s="945"/>
      <c r="D43" s="946">
        <v>128726.04700000001</v>
      </c>
      <c r="E43" s="946">
        <v>89699.457999999999</v>
      </c>
    </row>
    <row r="44" spans="1:5" x14ac:dyDescent="0.2">
      <c r="A44" s="945">
        <v>5105700000</v>
      </c>
      <c r="B44" s="945" t="s">
        <v>881</v>
      </c>
      <c r="C44" s="945"/>
      <c r="D44" s="946">
        <v>165241.45000000001</v>
      </c>
      <c r="E44" s="946">
        <v>105872.231</v>
      </c>
    </row>
    <row r="45" spans="1:5" x14ac:dyDescent="0.2">
      <c r="A45" s="945">
        <v>5105720000</v>
      </c>
      <c r="B45" s="945" t="s">
        <v>882</v>
      </c>
      <c r="C45" s="945"/>
      <c r="D45" s="946">
        <v>58864.472999999998</v>
      </c>
      <c r="E45" s="946">
        <v>40639.451999999997</v>
      </c>
    </row>
    <row r="46" spans="1:5" x14ac:dyDescent="0.2">
      <c r="A46" s="945">
        <v>5105750000</v>
      </c>
      <c r="B46" s="945" t="s">
        <v>883</v>
      </c>
      <c r="C46" s="945"/>
      <c r="D46" s="946">
        <v>44148.355000000003</v>
      </c>
      <c r="E46" s="946">
        <v>30545.695</v>
      </c>
    </row>
    <row r="47" spans="1:5" x14ac:dyDescent="0.2">
      <c r="A47" s="945">
        <v>5105780000</v>
      </c>
      <c r="B47" s="945" t="s">
        <v>35</v>
      </c>
      <c r="C47" s="945"/>
      <c r="D47" s="946">
        <v>29432.237000000001</v>
      </c>
      <c r="E47" s="946">
        <v>20367</v>
      </c>
    </row>
    <row r="48" spans="1:5" x14ac:dyDescent="0.2">
      <c r="A48" s="945" t="s">
        <v>884</v>
      </c>
      <c r="B48" s="945" t="s">
        <v>885</v>
      </c>
      <c r="C48" s="945"/>
      <c r="D48" s="946">
        <v>4439.07</v>
      </c>
      <c r="E48" s="946">
        <v>1284.0719999999999</v>
      </c>
    </row>
    <row r="49" spans="1:5" x14ac:dyDescent="0.2">
      <c r="A49" s="945">
        <v>5110350300</v>
      </c>
      <c r="B49" s="945" t="s">
        <v>886</v>
      </c>
      <c r="C49" s="945"/>
      <c r="D49" s="946">
        <v>3639.07</v>
      </c>
      <c r="E49" s="946"/>
    </row>
    <row r="50" spans="1:5" x14ac:dyDescent="0.2">
      <c r="A50" s="945">
        <v>5110950000</v>
      </c>
      <c r="B50" s="945" t="s">
        <v>42</v>
      </c>
      <c r="C50" s="945"/>
      <c r="D50" s="946">
        <v>800</v>
      </c>
      <c r="E50" s="946">
        <v>1284.0719999999999</v>
      </c>
    </row>
    <row r="51" spans="1:5" x14ac:dyDescent="0.2">
      <c r="A51" s="945" t="s">
        <v>887</v>
      </c>
      <c r="B51" s="945" t="s">
        <v>888</v>
      </c>
      <c r="C51" s="945"/>
      <c r="D51" s="946">
        <v>113217.48699999999</v>
      </c>
      <c r="E51" s="946">
        <v>55181.764999999999</v>
      </c>
    </row>
    <row r="52" spans="1:5" x14ac:dyDescent="0.2">
      <c r="A52" s="945" t="s">
        <v>889</v>
      </c>
      <c r="B52" s="945" t="s">
        <v>890</v>
      </c>
      <c r="C52" s="945"/>
      <c r="D52" s="946">
        <v>2291.94</v>
      </c>
      <c r="E52" s="946"/>
    </row>
    <row r="53" spans="1:5" x14ac:dyDescent="0.2">
      <c r="A53" s="945">
        <v>5120950000</v>
      </c>
      <c r="B53" s="945" t="s">
        <v>45</v>
      </c>
      <c r="C53" s="945"/>
      <c r="D53" s="946">
        <v>2291.94</v>
      </c>
      <c r="E53" s="946"/>
    </row>
    <row r="54" spans="1:5" x14ac:dyDescent="0.2">
      <c r="A54" s="945" t="s">
        <v>891</v>
      </c>
      <c r="B54" s="945" t="s">
        <v>892</v>
      </c>
      <c r="C54" s="945"/>
      <c r="D54" s="946">
        <v>10400</v>
      </c>
      <c r="E54" s="946">
        <v>7553.5240000000003</v>
      </c>
    </row>
    <row r="55" spans="1:5" x14ac:dyDescent="0.2">
      <c r="A55" s="945">
        <v>5125100000</v>
      </c>
      <c r="B55" s="945" t="s">
        <v>893</v>
      </c>
      <c r="C55" s="945"/>
      <c r="D55" s="946">
        <v>10400</v>
      </c>
      <c r="E55" s="946">
        <v>7553.5240000000003</v>
      </c>
    </row>
    <row r="56" spans="1:5" x14ac:dyDescent="0.2">
      <c r="A56" s="945" t="s">
        <v>511</v>
      </c>
      <c r="B56" s="945"/>
      <c r="C56" s="945"/>
      <c r="D56" s="946">
        <v>3856.7170000000001</v>
      </c>
      <c r="E56" s="946">
        <v>2524.4160000000002</v>
      </c>
    </row>
    <row r="57" spans="1:5" x14ac:dyDescent="0.2">
      <c r="A57" s="945">
        <v>5130950300</v>
      </c>
      <c r="B57" s="945" t="s">
        <v>894</v>
      </c>
      <c r="C57" s="945"/>
      <c r="D57" s="946">
        <v>3856.7170000000001</v>
      </c>
      <c r="E57" s="946">
        <v>2524.4160000000002</v>
      </c>
    </row>
    <row r="58" spans="1:5" x14ac:dyDescent="0.2">
      <c r="A58" s="945" t="s">
        <v>512</v>
      </c>
      <c r="B58" s="945"/>
      <c r="C58" s="945"/>
      <c r="D58" s="946">
        <v>38337.03</v>
      </c>
      <c r="E58" s="946">
        <v>35405.587</v>
      </c>
    </row>
    <row r="59" spans="1:5" x14ac:dyDescent="0.2">
      <c r="A59" s="945">
        <v>5135400000</v>
      </c>
      <c r="B59" s="945" t="s">
        <v>895</v>
      </c>
      <c r="C59" s="945"/>
      <c r="D59" s="946">
        <v>1057.1600000000001</v>
      </c>
      <c r="E59" s="946">
        <v>17.213000000000001</v>
      </c>
    </row>
    <row r="60" spans="1:5" x14ac:dyDescent="0.2">
      <c r="A60" s="945">
        <v>5135950500</v>
      </c>
      <c r="B60" s="945" t="s">
        <v>896</v>
      </c>
      <c r="C60" s="945"/>
      <c r="D60" s="946">
        <v>48.15</v>
      </c>
      <c r="E60" s="946"/>
    </row>
    <row r="61" spans="1:5" x14ac:dyDescent="0.2">
      <c r="A61" s="945">
        <v>5135950700</v>
      </c>
      <c r="B61" s="945" t="s">
        <v>897</v>
      </c>
      <c r="C61" s="945"/>
      <c r="D61" s="946">
        <v>37231.72</v>
      </c>
      <c r="E61" s="946">
        <v>34003.214</v>
      </c>
    </row>
    <row r="62" spans="1:5" x14ac:dyDescent="0.2">
      <c r="A62" s="945">
        <v>5135951300</v>
      </c>
      <c r="B62" s="945" t="s">
        <v>898</v>
      </c>
      <c r="C62" s="945"/>
      <c r="D62" s="946"/>
      <c r="E62" s="946">
        <v>1385.16</v>
      </c>
    </row>
    <row r="63" spans="1:5" x14ac:dyDescent="0.2">
      <c r="A63" s="945" t="s">
        <v>899</v>
      </c>
      <c r="B63" s="945" t="s">
        <v>900</v>
      </c>
      <c r="C63" s="945"/>
      <c r="D63" s="946">
        <v>13533.6</v>
      </c>
      <c r="E63" s="946"/>
    </row>
    <row r="64" spans="1:5" x14ac:dyDescent="0.2">
      <c r="A64" s="945">
        <v>5155050000</v>
      </c>
      <c r="B64" s="945" t="s">
        <v>901</v>
      </c>
      <c r="C64" s="945"/>
      <c r="D64" s="946">
        <v>6000</v>
      </c>
      <c r="E64" s="946"/>
    </row>
    <row r="65" spans="1:5" x14ac:dyDescent="0.2">
      <c r="A65" s="945">
        <v>5155150000</v>
      </c>
      <c r="B65" s="945" t="s">
        <v>62</v>
      </c>
      <c r="C65" s="945"/>
      <c r="D65" s="946">
        <v>5500</v>
      </c>
      <c r="E65" s="946"/>
    </row>
    <row r="66" spans="1:5" x14ac:dyDescent="0.2">
      <c r="A66" s="945">
        <v>5155200000</v>
      </c>
      <c r="B66" s="945" t="s">
        <v>63</v>
      </c>
      <c r="C66" s="945"/>
      <c r="D66" s="946">
        <v>1583.6</v>
      </c>
      <c r="E66" s="946"/>
    </row>
    <row r="67" spans="1:5" x14ac:dyDescent="0.2">
      <c r="A67" s="945">
        <v>5155950100</v>
      </c>
      <c r="B67" s="945" t="s">
        <v>902</v>
      </c>
      <c r="C67" s="945"/>
      <c r="D67" s="946">
        <v>450</v>
      </c>
      <c r="E67" s="946"/>
    </row>
    <row r="68" spans="1:5" x14ac:dyDescent="0.2">
      <c r="A68" s="945" t="s">
        <v>903</v>
      </c>
      <c r="B68" s="945" t="s">
        <v>904</v>
      </c>
      <c r="C68" s="945"/>
      <c r="D68" s="946">
        <v>3000</v>
      </c>
      <c r="E68" s="946">
        <v>11.824</v>
      </c>
    </row>
    <row r="69" spans="1:5" x14ac:dyDescent="0.2">
      <c r="A69" s="945">
        <v>5165951000</v>
      </c>
      <c r="B69" s="945" t="s">
        <v>905</v>
      </c>
      <c r="C69" s="945"/>
      <c r="D69" s="946">
        <v>3000</v>
      </c>
      <c r="E69" s="946">
        <v>11.824</v>
      </c>
    </row>
    <row r="70" spans="1:5" x14ac:dyDescent="0.2">
      <c r="A70" s="945" t="s">
        <v>906</v>
      </c>
      <c r="B70" s="945" t="s">
        <v>907</v>
      </c>
      <c r="C70" s="945"/>
      <c r="D70" s="946">
        <v>41798.199999999997</v>
      </c>
      <c r="E70" s="946">
        <v>9686.4140000000007</v>
      </c>
    </row>
    <row r="71" spans="1:5" x14ac:dyDescent="0.2">
      <c r="A71" s="945">
        <v>5195100000</v>
      </c>
      <c r="B71" s="945" t="s">
        <v>908</v>
      </c>
      <c r="C71" s="945"/>
      <c r="D71" s="946"/>
      <c r="E71" s="946">
        <v>24.306000000000001</v>
      </c>
    </row>
    <row r="72" spans="1:5" x14ac:dyDescent="0.2">
      <c r="A72" s="945">
        <v>5195200000</v>
      </c>
      <c r="B72" s="945" t="s">
        <v>909</v>
      </c>
      <c r="C72" s="945"/>
      <c r="D72" s="946">
        <v>10600</v>
      </c>
      <c r="E72" s="946">
        <v>135.37299999999999</v>
      </c>
    </row>
    <row r="73" spans="1:5" x14ac:dyDescent="0.2">
      <c r="A73" s="945">
        <v>5195250000</v>
      </c>
      <c r="B73" s="945" t="s">
        <v>910</v>
      </c>
      <c r="C73" s="945"/>
      <c r="D73" s="946">
        <v>1979.5</v>
      </c>
      <c r="E73" s="946">
        <v>1524.1969999999999</v>
      </c>
    </row>
    <row r="74" spans="1:5" x14ac:dyDescent="0.2">
      <c r="A74" s="945">
        <v>5195300000</v>
      </c>
      <c r="B74" s="945" t="s">
        <v>911</v>
      </c>
      <c r="C74" s="945"/>
      <c r="D74" s="946">
        <v>4879.2</v>
      </c>
      <c r="E74" s="946">
        <v>2488.6930000000002</v>
      </c>
    </row>
    <row r="75" spans="1:5" x14ac:dyDescent="0.2">
      <c r="A75" s="945">
        <v>5195450000</v>
      </c>
      <c r="B75" s="945" t="s">
        <v>912</v>
      </c>
      <c r="C75" s="945"/>
      <c r="D75" s="946">
        <v>7839.5</v>
      </c>
      <c r="E75" s="946">
        <v>809.44799999999998</v>
      </c>
    </row>
    <row r="76" spans="1:5" x14ac:dyDescent="0.2">
      <c r="A76" s="945">
        <v>5195950100</v>
      </c>
      <c r="B76" s="945" t="s">
        <v>234</v>
      </c>
      <c r="C76" s="945"/>
      <c r="D76" s="946">
        <v>16500</v>
      </c>
      <c r="E76" s="946">
        <v>4238.1970000000001</v>
      </c>
    </row>
    <row r="77" spans="1:5" x14ac:dyDescent="0.2">
      <c r="A77" s="945">
        <v>5195951500</v>
      </c>
      <c r="B77" s="945" t="s">
        <v>913</v>
      </c>
      <c r="C77" s="945"/>
      <c r="D77" s="946"/>
      <c r="E77" s="946">
        <v>338.2</v>
      </c>
    </row>
    <row r="78" spans="1:5" x14ac:dyDescent="0.2">
      <c r="A78" s="945">
        <v>5195951900</v>
      </c>
      <c r="B78" s="945" t="s">
        <v>914</v>
      </c>
      <c r="C78" s="945"/>
      <c r="D78" s="946"/>
      <c r="E78" s="946">
        <v>128</v>
      </c>
    </row>
    <row r="79" spans="1:5" x14ac:dyDescent="0.2">
      <c r="A79" s="945" t="s">
        <v>870</v>
      </c>
      <c r="B79" s="945" t="s">
        <v>915</v>
      </c>
      <c r="C79" s="945"/>
      <c r="D79" s="946">
        <v>1836818.5589999999</v>
      </c>
      <c r="E79" s="946">
        <v>953155.52300000004</v>
      </c>
    </row>
    <row r="80" spans="1:5" x14ac:dyDescent="0.2">
      <c r="A80" s="945" t="s">
        <v>916</v>
      </c>
      <c r="B80" s="945" t="s">
        <v>917</v>
      </c>
      <c r="C80" s="945"/>
      <c r="D80" s="946">
        <v>1053308.8230000001</v>
      </c>
      <c r="E80" s="946">
        <v>566839.96499999997</v>
      </c>
    </row>
    <row r="81" spans="1:5" x14ac:dyDescent="0.2">
      <c r="A81" s="945" t="s">
        <v>86</v>
      </c>
      <c r="B81" s="945"/>
      <c r="C81" s="945"/>
      <c r="D81" s="946">
        <v>2954.7750000000001</v>
      </c>
      <c r="E81" s="946">
        <v>1889.9649999999999</v>
      </c>
    </row>
    <row r="82" spans="1:5" x14ac:dyDescent="0.2">
      <c r="A82" s="945" t="s">
        <v>88</v>
      </c>
      <c r="B82" s="945"/>
      <c r="C82" s="945"/>
      <c r="D82" s="946">
        <v>7787.0060000000003</v>
      </c>
      <c r="E82" s="946">
        <v>4893.0600000000004</v>
      </c>
    </row>
    <row r="83" spans="1:5" x14ac:dyDescent="0.2">
      <c r="A83" s="945" t="s">
        <v>90</v>
      </c>
      <c r="B83" s="945"/>
      <c r="C83" s="945"/>
      <c r="D83" s="946">
        <v>6372.8940000000002</v>
      </c>
      <c r="E83" s="946">
        <v>6320.9809999999998</v>
      </c>
    </row>
    <row r="84" spans="1:5" x14ac:dyDescent="0.2">
      <c r="A84" s="945" t="s">
        <v>92</v>
      </c>
      <c r="B84" s="945"/>
      <c r="C84" s="945"/>
      <c r="D84" s="946">
        <v>18101.173999999999</v>
      </c>
      <c r="E84" s="946">
        <v>11704.05</v>
      </c>
    </row>
    <row r="85" spans="1:5" x14ac:dyDescent="0.2">
      <c r="A85" s="945" t="s">
        <v>94</v>
      </c>
      <c r="B85" s="945"/>
      <c r="C85" s="945"/>
      <c r="D85" s="946">
        <v>54339.815000000002</v>
      </c>
      <c r="E85" s="946">
        <v>30386.971000000001</v>
      </c>
    </row>
    <row r="86" spans="1:5" x14ac:dyDescent="0.2">
      <c r="A86" s="945" t="s">
        <v>96</v>
      </c>
      <c r="B86" s="945"/>
      <c r="C86" s="945"/>
      <c r="D86" s="946">
        <v>31866.249</v>
      </c>
      <c r="E86" s="946">
        <v>18987.314999999999</v>
      </c>
    </row>
    <row r="87" spans="1:5" x14ac:dyDescent="0.2">
      <c r="A87" s="945" t="s">
        <v>102</v>
      </c>
      <c r="B87" s="945"/>
      <c r="C87" s="945"/>
      <c r="D87" s="946">
        <v>13162.04</v>
      </c>
      <c r="E87" s="946">
        <v>8706.2379999999994</v>
      </c>
    </row>
    <row r="88" spans="1:5" x14ac:dyDescent="0.2">
      <c r="A88" s="945" t="s">
        <v>100</v>
      </c>
      <c r="B88" s="945"/>
      <c r="C88" s="945"/>
      <c r="D88" s="946">
        <v>23137.387999999999</v>
      </c>
      <c r="E88" s="946">
        <v>17756.185000000001</v>
      </c>
    </row>
    <row r="89" spans="1:5" x14ac:dyDescent="0.2">
      <c r="A89" s="945" t="s">
        <v>777</v>
      </c>
      <c r="B89" s="945"/>
      <c r="C89" s="945"/>
      <c r="D89" s="946">
        <v>10866.415999999999</v>
      </c>
      <c r="E89" s="946">
        <v>15400</v>
      </c>
    </row>
    <row r="90" spans="1:5" x14ac:dyDescent="0.2">
      <c r="A90" s="945" t="s">
        <v>779</v>
      </c>
      <c r="B90" s="945"/>
      <c r="C90" s="945"/>
      <c r="D90" s="946">
        <v>1020.8</v>
      </c>
      <c r="E90" s="946">
        <v>110</v>
      </c>
    </row>
    <row r="91" spans="1:5" x14ac:dyDescent="0.2">
      <c r="A91" s="945" t="s">
        <v>260</v>
      </c>
      <c r="B91" s="945"/>
      <c r="C91" s="945"/>
      <c r="D91" s="946">
        <v>127611.6</v>
      </c>
      <c r="E91" s="946">
        <v>58950</v>
      </c>
    </row>
    <row r="92" spans="1:5" x14ac:dyDescent="0.2">
      <c r="A92" s="945" t="s">
        <v>421</v>
      </c>
      <c r="B92" s="945"/>
      <c r="C92" s="945"/>
      <c r="D92" s="946">
        <v>29646.716</v>
      </c>
      <c r="E92" s="946">
        <v>12778.754999999999</v>
      </c>
    </row>
    <row r="93" spans="1:5" x14ac:dyDescent="0.2">
      <c r="A93" s="945" t="s">
        <v>586</v>
      </c>
      <c r="B93" s="945"/>
      <c r="C93" s="945"/>
      <c r="D93" s="946">
        <v>242430.772</v>
      </c>
      <c r="E93" s="946">
        <v>117545.29300000001</v>
      </c>
    </row>
    <row r="94" spans="1:5" x14ac:dyDescent="0.2">
      <c r="A94" s="945" t="s">
        <v>588</v>
      </c>
      <c r="B94" s="945"/>
      <c r="C94" s="945"/>
      <c r="D94" s="946">
        <v>292212.12</v>
      </c>
      <c r="E94" s="946">
        <v>185584.85</v>
      </c>
    </row>
    <row r="95" spans="1:5" x14ac:dyDescent="0.2">
      <c r="A95" s="945" t="s">
        <v>918</v>
      </c>
      <c r="B95" s="945"/>
      <c r="C95" s="945"/>
      <c r="D95" s="946">
        <v>-4884</v>
      </c>
      <c r="E95" s="946"/>
    </row>
    <row r="96" spans="1:5" x14ac:dyDescent="0.2">
      <c r="A96" s="945" t="s">
        <v>919</v>
      </c>
      <c r="B96" s="945"/>
      <c r="C96" s="945"/>
      <c r="D96" s="946">
        <v>38870</v>
      </c>
      <c r="E96" s="946"/>
    </row>
    <row r="97" spans="1:5" x14ac:dyDescent="0.2">
      <c r="A97" s="945" t="s">
        <v>423</v>
      </c>
      <c r="B97" s="945"/>
      <c r="C97" s="945"/>
      <c r="D97" s="946">
        <v>24539.871999999999</v>
      </c>
      <c r="E97" s="946">
        <v>-231.07</v>
      </c>
    </row>
    <row r="98" spans="1:5" x14ac:dyDescent="0.2">
      <c r="A98" s="945" t="s">
        <v>591</v>
      </c>
      <c r="B98" s="945"/>
      <c r="C98" s="945"/>
      <c r="D98" s="946">
        <v>107747.01</v>
      </c>
      <c r="E98" s="946">
        <v>52242.353000000003</v>
      </c>
    </row>
    <row r="99" spans="1:5" x14ac:dyDescent="0.2">
      <c r="A99" s="945" t="s">
        <v>104</v>
      </c>
      <c r="B99" s="945"/>
      <c r="C99" s="945"/>
      <c r="D99" s="946">
        <v>25526.175999999999</v>
      </c>
      <c r="E99" s="946">
        <v>23815.019</v>
      </c>
    </row>
    <row r="100" spans="1:5" x14ac:dyDescent="0.2">
      <c r="A100" s="945" t="s">
        <v>916</v>
      </c>
      <c r="B100" s="945" t="s">
        <v>920</v>
      </c>
      <c r="C100" s="945"/>
      <c r="D100" s="946">
        <v>783509.73600000003</v>
      </c>
      <c r="E100" s="946">
        <v>386315.55800000002</v>
      </c>
    </row>
    <row r="101" spans="1:5" x14ac:dyDescent="0.2">
      <c r="A101" s="945" t="s">
        <v>115</v>
      </c>
      <c r="B101" s="945"/>
      <c r="C101" s="945"/>
      <c r="D101" s="946">
        <v>4914.6180000000004</v>
      </c>
      <c r="E101" s="946">
        <v>2921.8290000000002</v>
      </c>
    </row>
    <row r="102" spans="1:5" x14ac:dyDescent="0.2">
      <c r="A102" s="945" t="s">
        <v>117</v>
      </c>
      <c r="B102" s="945"/>
      <c r="C102" s="945"/>
      <c r="D102" s="946">
        <v>1271.606</v>
      </c>
      <c r="E102" s="946">
        <v>356.19299999999998</v>
      </c>
    </row>
    <row r="103" spans="1:5" x14ac:dyDescent="0.2">
      <c r="A103" s="945" t="s">
        <v>119</v>
      </c>
      <c r="B103" s="945"/>
      <c r="C103" s="945"/>
      <c r="D103" s="946">
        <v>6755.2650000000003</v>
      </c>
      <c r="E103" s="946">
        <v>4346.8140000000003</v>
      </c>
    </row>
    <row r="104" spans="1:5" x14ac:dyDescent="0.2">
      <c r="A104" s="945" t="s">
        <v>121</v>
      </c>
      <c r="B104" s="945"/>
      <c r="C104" s="945"/>
      <c r="D104" s="946">
        <v>3769.84</v>
      </c>
      <c r="E104" s="946">
        <v>1889.5550000000001</v>
      </c>
    </row>
    <row r="105" spans="1:5" x14ac:dyDescent="0.2">
      <c r="A105" s="945" t="s">
        <v>123</v>
      </c>
      <c r="B105" s="945"/>
      <c r="C105" s="945"/>
      <c r="D105" s="946">
        <v>7557.4089999999997</v>
      </c>
      <c r="E105" s="946">
        <v>4708.5410000000002</v>
      </c>
    </row>
    <row r="106" spans="1:5" x14ac:dyDescent="0.2">
      <c r="A106" s="945" t="s">
        <v>125</v>
      </c>
      <c r="B106" s="945"/>
      <c r="C106" s="945"/>
      <c r="D106" s="946">
        <v>1193.9690000000001</v>
      </c>
      <c r="E106" s="946">
        <v>1956.454</v>
      </c>
    </row>
    <row r="107" spans="1:5" x14ac:dyDescent="0.2">
      <c r="A107" s="945" t="s">
        <v>127</v>
      </c>
      <c r="B107" s="945"/>
      <c r="C107" s="945"/>
      <c r="D107" s="946">
        <v>12713.21</v>
      </c>
      <c r="E107" s="946">
        <v>9365.4500000000007</v>
      </c>
    </row>
    <row r="108" spans="1:5" x14ac:dyDescent="0.2">
      <c r="A108" s="945" t="s">
        <v>129</v>
      </c>
      <c r="B108" s="945"/>
      <c r="C108" s="945"/>
      <c r="D108" s="946">
        <v>11777.271000000001</v>
      </c>
      <c r="E108" s="946">
        <v>8499.6820000000007</v>
      </c>
    </row>
    <row r="109" spans="1:5" x14ac:dyDescent="0.2">
      <c r="A109" s="945" t="s">
        <v>363</v>
      </c>
      <c r="B109" s="945"/>
      <c r="C109" s="945"/>
      <c r="D109" s="946">
        <v>73753.279999999999</v>
      </c>
      <c r="E109" s="946">
        <v>32060.896000000001</v>
      </c>
    </row>
    <row r="110" spans="1:5" x14ac:dyDescent="0.2">
      <c r="A110" s="945" t="s">
        <v>365</v>
      </c>
      <c r="B110" s="945"/>
      <c r="C110" s="945"/>
      <c r="D110" s="946">
        <v>139863.26500000001</v>
      </c>
      <c r="E110" s="946">
        <v>11208.374</v>
      </c>
    </row>
    <row r="111" spans="1:5" x14ac:dyDescent="0.2">
      <c r="A111" s="945" t="s">
        <v>367</v>
      </c>
      <c r="B111" s="945"/>
      <c r="C111" s="945"/>
      <c r="D111" s="946">
        <v>17408.509999999998</v>
      </c>
      <c r="E111" s="946">
        <v>5298.92</v>
      </c>
    </row>
    <row r="112" spans="1:5" x14ac:dyDescent="0.2">
      <c r="A112" s="945" t="s">
        <v>131</v>
      </c>
      <c r="B112" s="945"/>
      <c r="C112" s="945"/>
      <c r="D112" s="946">
        <v>13839.269</v>
      </c>
      <c r="E112" s="946">
        <v>10235.744000000001</v>
      </c>
    </row>
    <row r="113" spans="1:5" x14ac:dyDescent="0.2">
      <c r="A113" s="945" t="s">
        <v>135</v>
      </c>
      <c r="B113" s="945"/>
      <c r="C113" s="945"/>
      <c r="D113" s="946">
        <v>428941.98800000001</v>
      </c>
      <c r="E113" s="946">
        <v>238632.443</v>
      </c>
    </row>
    <row r="114" spans="1:5" x14ac:dyDescent="0.2">
      <c r="A114" s="945" t="s">
        <v>137</v>
      </c>
      <c r="B114" s="945"/>
      <c r="C114" s="945"/>
      <c r="D114" s="946">
        <v>7498.24</v>
      </c>
      <c r="E114" s="946">
        <v>4433.2820000000002</v>
      </c>
    </row>
    <row r="115" spans="1:5" x14ac:dyDescent="0.2">
      <c r="A115" s="945" t="s">
        <v>139</v>
      </c>
      <c r="B115" s="945"/>
      <c r="C115" s="945"/>
      <c r="D115" s="946">
        <v>17552.655999999999</v>
      </c>
      <c r="E115" s="946">
        <v>13242.022000000001</v>
      </c>
    </row>
    <row r="116" spans="1:5" x14ac:dyDescent="0.2">
      <c r="A116" s="945" t="s">
        <v>141</v>
      </c>
      <c r="B116" s="945"/>
      <c r="C116" s="945"/>
      <c r="D116" s="946">
        <v>10542.029</v>
      </c>
      <c r="E116" s="946">
        <v>6042.4129999999996</v>
      </c>
    </row>
    <row r="117" spans="1:5" x14ac:dyDescent="0.2">
      <c r="A117" s="945" t="s">
        <v>143</v>
      </c>
      <c r="B117" s="945"/>
      <c r="C117" s="945"/>
      <c r="D117" s="946">
        <v>15.872999999999999</v>
      </c>
      <c r="E117" s="946">
        <v>11.778</v>
      </c>
    </row>
    <row r="118" spans="1:5" x14ac:dyDescent="0.2">
      <c r="A118" s="945" t="s">
        <v>145</v>
      </c>
      <c r="B118" s="945"/>
      <c r="C118" s="945"/>
      <c r="D118" s="946">
        <v>8425.5720000000001</v>
      </c>
      <c r="E118" s="946">
        <v>20858.511999999999</v>
      </c>
    </row>
    <row r="119" spans="1:5" x14ac:dyDescent="0.2">
      <c r="A119" s="945" t="s">
        <v>369</v>
      </c>
      <c r="B119" s="945"/>
      <c r="C119" s="945"/>
      <c r="D119" s="946">
        <v>674.59100000000001</v>
      </c>
      <c r="E119" s="946">
        <v>843.08</v>
      </c>
    </row>
    <row r="120" spans="1:5" x14ac:dyDescent="0.2">
      <c r="A120" s="945" t="s">
        <v>147</v>
      </c>
      <c r="B120" s="945"/>
      <c r="C120" s="945"/>
      <c r="D120" s="946">
        <v>9615.76</v>
      </c>
      <c r="E120" s="946">
        <v>5787.8159999999998</v>
      </c>
    </row>
    <row r="121" spans="1:5" x14ac:dyDescent="0.2">
      <c r="A121" s="945" t="s">
        <v>149</v>
      </c>
      <c r="B121" s="945"/>
      <c r="C121" s="945"/>
      <c r="D121" s="946">
        <v>5425.5150000000003</v>
      </c>
      <c r="E121" s="946">
        <v>3615.76</v>
      </c>
    </row>
    <row r="122" spans="1:5" x14ac:dyDescent="0.2">
      <c r="A122" s="945" t="s">
        <v>921</v>
      </c>
      <c r="B122" s="945" t="s">
        <v>922</v>
      </c>
      <c r="C122" s="945"/>
      <c r="D122" s="946">
        <v>-3205.54</v>
      </c>
      <c r="E122" s="946">
        <v>-2371.924</v>
      </c>
    </row>
    <row r="123" spans="1:5" x14ac:dyDescent="0.2">
      <c r="A123" s="945" t="s">
        <v>868</v>
      </c>
      <c r="B123" s="945" t="s">
        <v>923</v>
      </c>
      <c r="C123" s="945"/>
      <c r="D123" s="946">
        <v>3205.54</v>
      </c>
      <c r="E123" s="946">
        <v>2371.924</v>
      </c>
    </row>
    <row r="124" spans="1:5" x14ac:dyDescent="0.2">
      <c r="A124" s="945" t="s">
        <v>906</v>
      </c>
      <c r="B124" s="945" t="s">
        <v>924</v>
      </c>
      <c r="C124" s="945"/>
      <c r="D124" s="946"/>
      <c r="E124" s="946">
        <v>2371.924</v>
      </c>
    </row>
    <row r="125" spans="1:5" x14ac:dyDescent="0.2">
      <c r="A125" s="945">
        <v>5395070000</v>
      </c>
      <c r="B125" s="945" t="s">
        <v>925</v>
      </c>
      <c r="C125" s="945"/>
      <c r="D125" s="946">
        <v>2805.54</v>
      </c>
      <c r="E125" s="946">
        <v>2371.924</v>
      </c>
    </row>
    <row r="126" spans="1:5" x14ac:dyDescent="0.2">
      <c r="A126" s="945">
        <v>5395950000</v>
      </c>
      <c r="B126" s="945" t="s">
        <v>84</v>
      </c>
      <c r="C126" s="945"/>
      <c r="D126" s="946">
        <v>400</v>
      </c>
      <c r="E126" s="946"/>
    </row>
    <row r="127" spans="1:5" x14ac:dyDescent="0.2">
      <c r="A127" s="945" t="s">
        <v>926</v>
      </c>
      <c r="B127" s="945" t="s">
        <v>927</v>
      </c>
      <c r="C127" s="945"/>
      <c r="D127" s="946">
        <v>20500</v>
      </c>
      <c r="E127" s="946"/>
    </row>
    <row r="128" spans="1:5" x14ac:dyDescent="0.2">
      <c r="A128" s="945" t="s">
        <v>928</v>
      </c>
      <c r="B128" s="945" t="s">
        <v>929</v>
      </c>
      <c r="C128" s="945"/>
      <c r="D128" s="946">
        <v>20500</v>
      </c>
      <c r="E128" s="946"/>
    </row>
    <row r="129" spans="1:5" x14ac:dyDescent="0.2">
      <c r="A129" s="945">
        <v>1528058501</v>
      </c>
      <c r="B129" s="945" t="s">
        <v>930</v>
      </c>
      <c r="C129" s="945"/>
      <c r="D129" s="946">
        <v>20500</v>
      </c>
      <c r="E129" s="9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40"/>
  <sheetViews>
    <sheetView showGridLines="0" topLeftCell="A198" workbookViewId="0">
      <selection activeCell="E61" sqref="E61"/>
    </sheetView>
  </sheetViews>
  <sheetFormatPr baseColWidth="10" defaultRowHeight="16.5" customHeight="1" outlineLevelRow="1" x14ac:dyDescent="0.2"/>
  <cols>
    <col min="1" max="1" width="1.7109375" style="196" customWidth="1"/>
    <col min="2" max="2" width="41.5703125" style="223" bestFit="1" customWidth="1"/>
    <col min="3" max="3" width="16.140625" style="224" customWidth="1"/>
    <col min="4" max="5" width="19" style="224" customWidth="1"/>
    <col min="6" max="6" width="57.140625" style="523" customWidth="1"/>
    <col min="7" max="8" width="14" style="196" bestFit="1" customWidth="1"/>
    <col min="9" max="16384" width="11.42578125" style="196"/>
  </cols>
  <sheetData>
    <row r="1" spans="1:8" ht="60" customHeight="1" x14ac:dyDescent="0.25">
      <c r="B1" s="526"/>
      <c r="C1" s="590"/>
      <c r="D1" s="590"/>
      <c r="E1" s="692"/>
    </row>
    <row r="2" spans="1:8" ht="18" customHeight="1" x14ac:dyDescent="0.25">
      <c r="B2" s="1038" t="str">
        <f>+PRESUPUESTO!B2</f>
        <v>ADMINISTRACION DE EMPRESAS</v>
      </c>
      <c r="C2" s="1038"/>
      <c r="D2" s="1038"/>
      <c r="E2" s="1038"/>
      <c r="G2" s="600"/>
      <c r="H2" s="601"/>
    </row>
    <row r="3" spans="1:8" ht="12.75" customHeight="1" thickBot="1" x14ac:dyDescent="0.25">
      <c r="A3" s="197"/>
      <c r="B3" s="198" t="s">
        <v>432</v>
      </c>
      <c r="C3" s="199" t="s">
        <v>169</v>
      </c>
      <c r="D3" s="199"/>
      <c r="E3" s="199"/>
    </row>
    <row r="4" spans="1:8" s="201" customFormat="1" ht="18.75" customHeight="1" x14ac:dyDescent="0.2">
      <c r="B4" s="1039" t="s">
        <v>230</v>
      </c>
      <c r="C4" s="1036" t="s">
        <v>795</v>
      </c>
      <c r="D4" s="1036" t="s">
        <v>797</v>
      </c>
      <c r="E4" s="1036" t="s">
        <v>782</v>
      </c>
      <c r="F4" s="1034" t="s">
        <v>600</v>
      </c>
    </row>
    <row r="5" spans="1:8" ht="20.25" customHeight="1" thickBot="1" x14ac:dyDescent="0.25">
      <c r="B5" s="1040"/>
      <c r="C5" s="1037"/>
      <c r="D5" s="1090"/>
      <c r="E5" s="1090"/>
      <c r="F5" s="1034"/>
    </row>
    <row r="6" spans="1:8" customFormat="1" ht="12.75" x14ac:dyDescent="0.2">
      <c r="A6" s="2"/>
      <c r="B6" s="202" t="s">
        <v>0</v>
      </c>
      <c r="C6" s="203"/>
      <c r="D6" s="599"/>
      <c r="E6" s="748"/>
      <c r="F6" s="524"/>
    </row>
    <row r="7" spans="1:8" customFormat="1" ht="12.75" hidden="1" outlineLevel="1" x14ac:dyDescent="0.2">
      <c r="A7" s="2"/>
      <c r="B7" s="206" t="s">
        <v>291</v>
      </c>
      <c r="C7" s="203"/>
      <c r="D7" s="203"/>
      <c r="E7" s="749"/>
      <c r="F7" s="524"/>
    </row>
    <row r="8" spans="1:8" customFormat="1" ht="13.5" hidden="1" customHeight="1" outlineLevel="1" x14ac:dyDescent="0.2">
      <c r="A8" s="176">
        <v>4160050100</v>
      </c>
      <c r="B8" s="207" t="s">
        <v>1</v>
      </c>
      <c r="C8" s="226">
        <f>+PRESUPUESTO!G8</f>
        <v>5777956.5199999996</v>
      </c>
      <c r="D8" s="226">
        <f>+EDUC.CONT.!N8/1000</f>
        <v>0</v>
      </c>
      <c r="E8" s="750">
        <f>+C8+D8</f>
        <v>5777956.5199999996</v>
      </c>
      <c r="F8" s="524"/>
    </row>
    <row r="9" spans="1:8" customFormat="1" ht="13.5" hidden="1" customHeight="1" outlineLevel="1" x14ac:dyDescent="0.2">
      <c r="A9" s="589">
        <v>4160050200</v>
      </c>
      <c r="B9" s="207" t="s">
        <v>711</v>
      </c>
      <c r="C9" s="586">
        <f>+PRESUPUESTO!G9</f>
        <v>0</v>
      </c>
      <c r="D9" s="586"/>
      <c r="E9" s="751">
        <f t="shared" ref="E9:E72" si="0">+C9+D9</f>
        <v>0</v>
      </c>
      <c r="F9" s="524"/>
    </row>
    <row r="10" spans="1:8" customFormat="1" ht="12.75" hidden="1" outlineLevel="1" x14ac:dyDescent="0.2">
      <c r="A10" s="3">
        <v>4160050300</v>
      </c>
      <c r="B10" s="207" t="s">
        <v>3</v>
      </c>
      <c r="C10" s="225">
        <f>+PRESUPUESTO!G10</f>
        <v>0</v>
      </c>
      <c r="D10" s="225"/>
      <c r="E10" s="752">
        <f t="shared" si="0"/>
        <v>0</v>
      </c>
      <c r="F10" s="524"/>
    </row>
    <row r="11" spans="1:8" customFormat="1" ht="12.75" hidden="1" outlineLevel="1" x14ac:dyDescent="0.2">
      <c r="A11" s="587">
        <v>4160050500</v>
      </c>
      <c r="B11" s="207" t="s">
        <v>683</v>
      </c>
      <c r="C11" s="225">
        <f>+PRESUPUESTO!G11</f>
        <v>0</v>
      </c>
      <c r="D11" s="225"/>
      <c r="E11" s="752">
        <f t="shared" si="0"/>
        <v>0</v>
      </c>
      <c r="F11" s="524"/>
    </row>
    <row r="12" spans="1:8" customFormat="1" ht="12.75" hidden="1" outlineLevel="1" x14ac:dyDescent="0.2">
      <c r="A12" s="3">
        <v>4160050600</v>
      </c>
      <c r="B12" s="207" t="s">
        <v>4</v>
      </c>
      <c r="C12" s="225">
        <f>+PRESUPUESTO!G12</f>
        <v>16182.6</v>
      </c>
      <c r="D12" s="225"/>
      <c r="E12" s="752">
        <f t="shared" si="0"/>
        <v>16182.6</v>
      </c>
      <c r="F12" s="524"/>
    </row>
    <row r="13" spans="1:8" customFormat="1" ht="12.75" hidden="1" outlineLevel="1" x14ac:dyDescent="0.2">
      <c r="A13" s="3">
        <v>4160050700</v>
      </c>
      <c r="B13" s="207" t="s">
        <v>5</v>
      </c>
      <c r="C13" s="225">
        <f>+PRESUPUESTO!G13</f>
        <v>9082.5</v>
      </c>
      <c r="D13" s="225"/>
      <c r="E13" s="752">
        <f t="shared" si="0"/>
        <v>9082.5</v>
      </c>
      <c r="F13" s="524"/>
    </row>
    <row r="14" spans="1:8" customFormat="1" ht="12.75" hidden="1" outlineLevel="1" x14ac:dyDescent="0.2">
      <c r="A14" s="3">
        <v>4160050800</v>
      </c>
      <c r="B14" s="207" t="s">
        <v>686</v>
      </c>
      <c r="C14" s="225">
        <f>+PRESUPUESTO!G14</f>
        <v>0</v>
      </c>
      <c r="D14" s="225"/>
      <c r="E14" s="752">
        <f t="shared" si="0"/>
        <v>0</v>
      </c>
      <c r="F14" s="524"/>
    </row>
    <row r="15" spans="1:8" customFormat="1" ht="12.75" hidden="1" outlineLevel="1" x14ac:dyDescent="0.2">
      <c r="A15" s="3">
        <v>4160050900</v>
      </c>
      <c r="B15" s="207" t="s">
        <v>6</v>
      </c>
      <c r="C15" s="225">
        <f>+PRESUPUESTO!G15</f>
        <v>310.8</v>
      </c>
      <c r="D15" s="225"/>
      <c r="E15" s="752">
        <f t="shared" si="0"/>
        <v>310.8</v>
      </c>
      <c r="F15" s="524"/>
    </row>
    <row r="16" spans="1:8" customFormat="1" ht="12.75" hidden="1" outlineLevel="1" x14ac:dyDescent="0.2">
      <c r="A16" s="3">
        <v>4160051100</v>
      </c>
      <c r="B16" s="207" t="s">
        <v>7</v>
      </c>
      <c r="C16" s="225">
        <f>+PRESUPUESTO!G16</f>
        <v>13282.5</v>
      </c>
      <c r="D16" s="225"/>
      <c r="E16" s="752">
        <f t="shared" si="0"/>
        <v>13282.5</v>
      </c>
      <c r="F16" s="524"/>
    </row>
    <row r="17" spans="1:6" customFormat="1" ht="12.75" hidden="1" outlineLevel="1" x14ac:dyDescent="0.2">
      <c r="A17" s="3">
        <v>4160051200</v>
      </c>
      <c r="B17" s="207" t="s">
        <v>8</v>
      </c>
      <c r="C17" s="225">
        <f>+PRESUPUESTO!G17</f>
        <v>10796.1</v>
      </c>
      <c r="D17" s="225"/>
      <c r="E17" s="752">
        <f t="shared" si="0"/>
        <v>10796.1</v>
      </c>
      <c r="F17" s="524"/>
    </row>
    <row r="18" spans="1:6" customFormat="1" ht="12.75" hidden="1" outlineLevel="1" x14ac:dyDescent="0.2">
      <c r="A18" s="3">
        <v>4160051300</v>
      </c>
      <c r="B18" s="207" t="s">
        <v>284</v>
      </c>
      <c r="C18" s="225">
        <f>+PRESUPUESTO!G18</f>
        <v>35890.050000000003</v>
      </c>
      <c r="D18" s="225"/>
      <c r="E18" s="752">
        <f t="shared" si="0"/>
        <v>35890.050000000003</v>
      </c>
      <c r="F18" s="524"/>
    </row>
    <row r="19" spans="1:6" customFormat="1" ht="12.75" hidden="1" outlineLevel="1" x14ac:dyDescent="0.2">
      <c r="A19" s="3">
        <v>4160053000</v>
      </c>
      <c r="B19" s="207" t="s">
        <v>9</v>
      </c>
      <c r="C19" s="225">
        <f>+PRESUPUESTO!G19</f>
        <v>0</v>
      </c>
      <c r="D19" s="225"/>
      <c r="E19" s="752">
        <f t="shared" si="0"/>
        <v>0</v>
      </c>
      <c r="F19" s="524"/>
    </row>
    <row r="20" spans="1:6" customFormat="1" ht="12.75" hidden="1" outlineLevel="1" x14ac:dyDescent="0.2">
      <c r="A20" s="3">
        <v>4160950100</v>
      </c>
      <c r="B20" s="207" t="s">
        <v>10</v>
      </c>
      <c r="C20" s="225">
        <f>+PRESUPUESTO!G20</f>
        <v>0</v>
      </c>
      <c r="D20" s="225"/>
      <c r="E20" s="752">
        <f t="shared" si="0"/>
        <v>0</v>
      </c>
      <c r="F20" s="524"/>
    </row>
    <row r="21" spans="1:6" customFormat="1" ht="12.75" hidden="1" outlineLevel="1" x14ac:dyDescent="0.2">
      <c r="A21" s="3">
        <v>4160950200</v>
      </c>
      <c r="B21" s="207" t="s">
        <v>292</v>
      </c>
      <c r="C21" s="225">
        <f>+PRESUPUESTO!G21</f>
        <v>0</v>
      </c>
      <c r="D21" s="225"/>
      <c r="E21" s="752">
        <f t="shared" si="0"/>
        <v>0</v>
      </c>
      <c r="F21" s="524"/>
    </row>
    <row r="22" spans="1:6" customFormat="1" ht="12.75" hidden="1" outlineLevel="1" x14ac:dyDescent="0.2">
      <c r="A22" s="3">
        <v>4160950300</v>
      </c>
      <c r="B22" s="207" t="s">
        <v>293</v>
      </c>
      <c r="C22" s="225">
        <f>+PRESUPUESTO!G22</f>
        <v>0</v>
      </c>
      <c r="D22" s="225"/>
      <c r="E22" s="752">
        <f t="shared" si="0"/>
        <v>0</v>
      </c>
      <c r="F22" s="524"/>
    </row>
    <row r="23" spans="1:6" customFormat="1" ht="12.75" hidden="1" outlineLevel="1" x14ac:dyDescent="0.2">
      <c r="A23" s="3">
        <v>4160950400</v>
      </c>
      <c r="B23" s="207" t="s">
        <v>294</v>
      </c>
      <c r="C23" s="225">
        <f>+PRESUPUESTO!G23</f>
        <v>0</v>
      </c>
      <c r="D23" s="225"/>
      <c r="E23" s="752">
        <f t="shared" si="0"/>
        <v>0</v>
      </c>
      <c r="F23" s="524"/>
    </row>
    <row r="24" spans="1:6" customFormat="1" ht="12.75" hidden="1" outlineLevel="1" x14ac:dyDescent="0.2">
      <c r="A24" s="3">
        <v>4160950500</v>
      </c>
      <c r="B24" s="207" t="s">
        <v>11</v>
      </c>
      <c r="C24" s="225">
        <f>+PRESUPUESTO!G24</f>
        <v>0</v>
      </c>
      <c r="D24" s="225"/>
      <c r="E24" s="752">
        <f t="shared" si="0"/>
        <v>0</v>
      </c>
      <c r="F24" s="524"/>
    </row>
    <row r="25" spans="1:6" customFormat="1" ht="12.75" hidden="1" outlineLevel="1" x14ac:dyDescent="0.2">
      <c r="A25" s="3">
        <v>4160950600</v>
      </c>
      <c r="B25" s="207" t="s">
        <v>12</v>
      </c>
      <c r="C25" s="225">
        <f>+PRESUPUESTO!G25</f>
        <v>0</v>
      </c>
      <c r="D25" s="225"/>
      <c r="E25" s="752">
        <f t="shared" si="0"/>
        <v>0</v>
      </c>
      <c r="F25" s="524"/>
    </row>
    <row r="26" spans="1:6" customFormat="1" ht="12.75" hidden="1" outlineLevel="1" x14ac:dyDescent="0.2">
      <c r="A26" s="3">
        <v>4160950700</v>
      </c>
      <c r="B26" s="207" t="s">
        <v>295</v>
      </c>
      <c r="C26" s="225">
        <f>+PRESUPUESTO!G26</f>
        <v>0</v>
      </c>
      <c r="D26" s="225"/>
      <c r="E26" s="752">
        <f t="shared" si="0"/>
        <v>0</v>
      </c>
      <c r="F26" s="524"/>
    </row>
    <row r="27" spans="1:6" customFormat="1" ht="12.75" hidden="1" outlineLevel="1" x14ac:dyDescent="0.2">
      <c r="A27" s="587">
        <v>4160950800</v>
      </c>
      <c r="B27" s="207" t="s">
        <v>684</v>
      </c>
      <c r="C27" s="588">
        <f>+PRESUPUESTO!G27</f>
        <v>0</v>
      </c>
      <c r="D27" s="225"/>
      <c r="E27" s="752">
        <f t="shared" si="0"/>
        <v>0</v>
      </c>
      <c r="F27" s="524"/>
    </row>
    <row r="28" spans="1:6" customFormat="1" ht="12.75" hidden="1" outlineLevel="1" x14ac:dyDescent="0.2">
      <c r="A28" s="587">
        <v>4160951000</v>
      </c>
      <c r="B28" s="207" t="s">
        <v>685</v>
      </c>
      <c r="C28" s="588">
        <f>+PRESUPUESTO!G28</f>
        <v>0</v>
      </c>
      <c r="D28" s="225"/>
      <c r="E28" s="752">
        <f t="shared" si="0"/>
        <v>0</v>
      </c>
      <c r="F28" s="524"/>
    </row>
    <row r="29" spans="1:6" customFormat="1" ht="12.75" collapsed="1" x14ac:dyDescent="0.2">
      <c r="A29" s="176"/>
      <c r="B29" s="209" t="s">
        <v>13</v>
      </c>
      <c r="C29" s="520">
        <f>SUM(C8:C28)</f>
        <v>5863501.0699999984</v>
      </c>
      <c r="D29" s="210">
        <f>SUM(D8:D28)</f>
        <v>0</v>
      </c>
      <c r="E29" s="753">
        <f t="shared" si="0"/>
        <v>5863501.0699999984</v>
      </c>
      <c r="F29" s="524"/>
    </row>
    <row r="30" spans="1:6" customFormat="1" ht="12.75" x14ac:dyDescent="0.2">
      <c r="A30" s="176"/>
      <c r="B30" s="206" t="s">
        <v>296</v>
      </c>
      <c r="C30" s="208" t="s">
        <v>169</v>
      </c>
      <c r="D30" s="208"/>
      <c r="E30" s="754"/>
      <c r="F30" s="524"/>
    </row>
    <row r="31" spans="1:6" customFormat="1" ht="12.75" x14ac:dyDescent="0.2">
      <c r="A31" s="176"/>
      <c r="B31" s="212" t="s">
        <v>297</v>
      </c>
      <c r="C31" s="208" t="s">
        <v>169</v>
      </c>
      <c r="D31" s="208"/>
      <c r="E31" s="754"/>
      <c r="F31" s="524"/>
    </row>
    <row r="32" spans="1:6" customFormat="1" ht="12.75" hidden="1" outlineLevel="1" x14ac:dyDescent="0.2">
      <c r="A32" s="176"/>
      <c r="B32" s="212" t="s">
        <v>298</v>
      </c>
      <c r="C32" s="208"/>
      <c r="D32" s="208"/>
      <c r="E32" s="754">
        <f t="shared" si="0"/>
        <v>0</v>
      </c>
      <c r="F32" s="524"/>
    </row>
    <row r="33" spans="1:6" customFormat="1" ht="12.75" hidden="1" outlineLevel="1" x14ac:dyDescent="0.2">
      <c r="A33" s="589">
        <v>5105030000</v>
      </c>
      <c r="B33" s="207" t="s">
        <v>712</v>
      </c>
      <c r="C33" s="208">
        <f>+PRESUPUESTO!G33</f>
        <v>0</v>
      </c>
      <c r="D33" s="208"/>
      <c r="E33" s="754">
        <f t="shared" si="0"/>
        <v>0</v>
      </c>
      <c r="F33" s="524"/>
    </row>
    <row r="34" spans="1:6" customFormat="1" ht="12.75" hidden="1" outlineLevel="1" x14ac:dyDescent="0.2">
      <c r="A34" s="176">
        <v>5105060000</v>
      </c>
      <c r="B34" s="207" t="s">
        <v>20</v>
      </c>
      <c r="C34" s="226">
        <f>+PRESUPUESTO!G34</f>
        <v>1357678.7</v>
      </c>
      <c r="D34" s="586"/>
      <c r="E34" s="751">
        <f t="shared" si="0"/>
        <v>1357678.7</v>
      </c>
      <c r="F34" s="524"/>
    </row>
    <row r="35" spans="1:6" customFormat="1" ht="12.75" hidden="1" outlineLevel="1" x14ac:dyDescent="0.2">
      <c r="A35" s="176">
        <v>5105150000</v>
      </c>
      <c r="B35" s="207" t="s">
        <v>21</v>
      </c>
      <c r="C35" s="225">
        <f>+PRESUPUESTO!G35</f>
        <v>0</v>
      </c>
      <c r="D35" s="586"/>
      <c r="E35" s="751">
        <f t="shared" si="0"/>
        <v>0</v>
      </c>
      <c r="F35" s="524"/>
    </row>
    <row r="36" spans="1:6" customFormat="1" ht="12.75" hidden="1" outlineLevel="1" x14ac:dyDescent="0.2">
      <c r="A36" s="176">
        <v>5105240000</v>
      </c>
      <c r="B36" s="207" t="s">
        <v>22</v>
      </c>
      <c r="C36" s="225">
        <f>+PRESUPUESTO!G36</f>
        <v>530.71672500000011</v>
      </c>
      <c r="D36" s="586"/>
      <c r="E36" s="751">
        <f t="shared" si="0"/>
        <v>530.71672500000011</v>
      </c>
      <c r="F36" s="524"/>
    </row>
    <row r="37" spans="1:6" customFormat="1" ht="12.75" hidden="1" outlineLevel="1" x14ac:dyDescent="0.2">
      <c r="A37" s="176">
        <v>5105250000</v>
      </c>
      <c r="B37" s="207" t="s">
        <v>681</v>
      </c>
      <c r="C37" s="225">
        <f>+PRESUPUESTO!G37</f>
        <v>0</v>
      </c>
      <c r="D37" s="586"/>
      <c r="E37" s="751">
        <f t="shared" si="0"/>
        <v>0</v>
      </c>
      <c r="F37" s="524"/>
    </row>
    <row r="38" spans="1:6" customFormat="1" ht="12.75" hidden="1" outlineLevel="1" x14ac:dyDescent="0.2">
      <c r="A38" s="176">
        <v>5105270000</v>
      </c>
      <c r="B38" s="207" t="s">
        <v>23</v>
      </c>
      <c r="C38" s="226">
        <f>+PRESUPUESTO!G38</f>
        <v>4621.210133333333</v>
      </c>
      <c r="D38" s="586"/>
      <c r="E38" s="751">
        <f t="shared" si="0"/>
        <v>4621.210133333333</v>
      </c>
      <c r="F38" s="524"/>
    </row>
    <row r="39" spans="1:6" customFormat="1" ht="12.75" hidden="1" outlineLevel="1" x14ac:dyDescent="0.2">
      <c r="A39" s="176">
        <v>5105300000</v>
      </c>
      <c r="B39" s="207" t="s">
        <v>24</v>
      </c>
      <c r="C39" s="226">
        <f>+PRESUPUESTO!G39</f>
        <v>120127.2087148148</v>
      </c>
      <c r="D39" s="586"/>
      <c r="E39" s="751">
        <f t="shared" si="0"/>
        <v>120127.2087148148</v>
      </c>
      <c r="F39" s="524"/>
    </row>
    <row r="40" spans="1:6" customFormat="1" ht="12.75" hidden="1" outlineLevel="1" x14ac:dyDescent="0.2">
      <c r="A40" s="176">
        <v>5105330000</v>
      </c>
      <c r="B40" s="207" t="s">
        <v>25</v>
      </c>
      <c r="C40" s="226">
        <f>+PRESUPUESTO!G40</f>
        <v>13739.846481456789</v>
      </c>
      <c r="D40" s="586"/>
      <c r="E40" s="751">
        <f t="shared" si="0"/>
        <v>13739.846481456789</v>
      </c>
      <c r="F40" s="524"/>
    </row>
    <row r="41" spans="1:6" customFormat="1" ht="12.75" hidden="1" outlineLevel="1" x14ac:dyDescent="0.2">
      <c r="A41" s="176">
        <v>5105360000</v>
      </c>
      <c r="B41" s="207" t="s">
        <v>26</v>
      </c>
      <c r="C41" s="226">
        <f>+PRESUPUESTO!G41</f>
        <v>120127.212</v>
      </c>
      <c r="D41" s="586"/>
      <c r="E41" s="751">
        <f t="shared" si="0"/>
        <v>120127.212</v>
      </c>
      <c r="F41" s="524"/>
    </row>
    <row r="42" spans="1:6" customFormat="1" ht="12.75" hidden="1" outlineLevel="1" x14ac:dyDescent="0.2">
      <c r="A42" s="176">
        <v>5105390000</v>
      </c>
      <c r="B42" s="207" t="s">
        <v>27</v>
      </c>
      <c r="C42" s="226">
        <f>+PRESUPUESTO!G42</f>
        <v>75426.594444444461</v>
      </c>
      <c r="D42" s="586"/>
      <c r="E42" s="751">
        <f t="shared" si="0"/>
        <v>75426.594444444461</v>
      </c>
      <c r="F42" s="524"/>
    </row>
    <row r="43" spans="1:6" customFormat="1" ht="12.75" hidden="1" outlineLevel="1" x14ac:dyDescent="0.2">
      <c r="A43" s="176">
        <v>5105420000</v>
      </c>
      <c r="B43" s="207" t="s">
        <v>506</v>
      </c>
      <c r="C43" s="225">
        <f>+PRESUPUESTO!G43</f>
        <v>0</v>
      </c>
      <c r="D43" s="586"/>
      <c r="E43" s="751">
        <f t="shared" si="0"/>
        <v>0</v>
      </c>
      <c r="F43" s="524"/>
    </row>
    <row r="44" spans="1:6" customFormat="1" ht="12.75" hidden="1" outlineLevel="1" x14ac:dyDescent="0.2">
      <c r="A44" s="176">
        <v>5105450000</v>
      </c>
      <c r="B44" s="207" t="s">
        <v>28</v>
      </c>
      <c r="C44" s="225">
        <f>+PRESUPUESTO!G44</f>
        <v>0</v>
      </c>
      <c r="D44" s="586"/>
      <c r="E44" s="751">
        <f t="shared" si="0"/>
        <v>0</v>
      </c>
      <c r="F44" s="524"/>
    </row>
    <row r="45" spans="1:6" customFormat="1" ht="12.75" hidden="1" outlineLevel="1" x14ac:dyDescent="0.2">
      <c r="A45" s="176">
        <v>5105480000</v>
      </c>
      <c r="B45" s="207" t="s">
        <v>425</v>
      </c>
      <c r="C45" s="225">
        <f>+PRESUPUESTO!G45</f>
        <v>0</v>
      </c>
      <c r="D45" s="586"/>
      <c r="E45" s="751">
        <f t="shared" si="0"/>
        <v>0</v>
      </c>
      <c r="F45" s="524"/>
    </row>
    <row r="46" spans="1:6" customFormat="1" ht="12.75" hidden="1" outlineLevel="1" x14ac:dyDescent="0.2">
      <c r="A46" s="176">
        <v>5105510000</v>
      </c>
      <c r="B46" s="207" t="s">
        <v>29</v>
      </c>
      <c r="C46" s="225">
        <f>+PRESUPUESTO!G46</f>
        <v>0</v>
      </c>
      <c r="D46" s="586"/>
      <c r="E46" s="751">
        <f t="shared" si="0"/>
        <v>0</v>
      </c>
      <c r="F46" s="524"/>
    </row>
    <row r="47" spans="1:6" customFormat="1" ht="12.75" hidden="1" outlineLevel="1" x14ac:dyDescent="0.2">
      <c r="A47" s="176">
        <v>5105600000</v>
      </c>
      <c r="B47" s="207" t="s">
        <v>299</v>
      </c>
      <c r="C47" s="225">
        <f>+PRESUPUESTO!G47</f>
        <v>0</v>
      </c>
      <c r="D47" s="586"/>
      <c r="E47" s="751">
        <f t="shared" si="0"/>
        <v>0</v>
      </c>
      <c r="F47" s="524"/>
    </row>
    <row r="48" spans="1:6" customFormat="1" ht="12.75" hidden="1" outlineLevel="1" x14ac:dyDescent="0.2">
      <c r="A48" s="176">
        <v>5105630000</v>
      </c>
      <c r="B48" s="207" t="s">
        <v>300</v>
      </c>
      <c r="C48" s="226">
        <f ca="1">+PRESUPUESTO!G48</f>
        <v>17200</v>
      </c>
      <c r="D48" s="586"/>
      <c r="E48" s="751">
        <f t="shared" ca="1" si="0"/>
        <v>17200</v>
      </c>
      <c r="F48" s="524"/>
    </row>
    <row r="49" spans="1:6" customFormat="1" ht="12.75" hidden="1" outlineLevel="1" x14ac:dyDescent="0.2">
      <c r="A49" s="176">
        <v>5105640000</v>
      </c>
      <c r="B49" s="207" t="s">
        <v>682</v>
      </c>
      <c r="C49" s="586">
        <f>+PRESUPUESTO!G49</f>
        <v>3874.5</v>
      </c>
      <c r="D49" s="586"/>
      <c r="E49" s="751">
        <f t="shared" si="0"/>
        <v>3874.5</v>
      </c>
      <c r="F49" s="524"/>
    </row>
    <row r="50" spans="1:6" customFormat="1" ht="12.75" hidden="1" outlineLevel="1" x14ac:dyDescent="0.2">
      <c r="A50" s="176">
        <v>5105660000</v>
      </c>
      <c r="B50" s="207" t="s">
        <v>301</v>
      </c>
      <c r="C50" s="225">
        <f>+PRESUPUESTO!G50</f>
        <v>0</v>
      </c>
      <c r="D50" s="586"/>
      <c r="E50" s="751">
        <f t="shared" si="0"/>
        <v>0</v>
      </c>
      <c r="F50" s="524"/>
    </row>
    <row r="51" spans="1:6" customFormat="1" ht="12.75" hidden="1" outlineLevel="1" x14ac:dyDescent="0.2">
      <c r="A51" s="176">
        <v>5105680000</v>
      </c>
      <c r="B51" s="207" t="s">
        <v>30</v>
      </c>
      <c r="C51" s="226">
        <f>+PRESUPUESTO!G51</f>
        <v>7712.6131619999996</v>
      </c>
      <c r="D51" s="586"/>
      <c r="E51" s="751">
        <f t="shared" si="0"/>
        <v>7712.6131619999996</v>
      </c>
      <c r="F51" s="524"/>
    </row>
    <row r="52" spans="1:6" customFormat="1" ht="12.75" hidden="1" outlineLevel="1" x14ac:dyDescent="0.2">
      <c r="A52" s="176">
        <v>5105690000</v>
      </c>
      <c r="B52" s="207" t="s">
        <v>31</v>
      </c>
      <c r="C52" s="226">
        <f>+PRESUPUESTO!G52</f>
        <v>125229.60230555556</v>
      </c>
      <c r="D52" s="586"/>
      <c r="E52" s="751">
        <f t="shared" si="0"/>
        <v>125229.60230555556</v>
      </c>
      <c r="F52" s="524"/>
    </row>
    <row r="53" spans="1:6" customFormat="1" ht="12.75" hidden="1" outlineLevel="1" x14ac:dyDescent="0.2">
      <c r="A53" s="176">
        <v>5105700000</v>
      </c>
      <c r="B53" s="207" t="s">
        <v>32</v>
      </c>
      <c r="C53" s="226">
        <f>+PRESUPUESTO!G53</f>
        <v>149763.05266666666</v>
      </c>
      <c r="D53" s="586"/>
      <c r="E53" s="751">
        <f t="shared" si="0"/>
        <v>149763.05266666666</v>
      </c>
      <c r="F53" s="524"/>
    </row>
    <row r="54" spans="1:6" customFormat="1" ht="12.75" hidden="1" outlineLevel="1" x14ac:dyDescent="0.2">
      <c r="A54" s="176">
        <v>5105720000</v>
      </c>
      <c r="B54" s="207" t="s">
        <v>33</v>
      </c>
      <c r="C54" s="226">
        <f>+PRESUPUESTO!G54</f>
        <v>57324.154453566</v>
      </c>
      <c r="D54" s="586"/>
      <c r="E54" s="751">
        <f t="shared" si="0"/>
        <v>57324.154453566</v>
      </c>
      <c r="F54" s="524"/>
    </row>
    <row r="55" spans="1:6" customFormat="1" ht="12.75" hidden="1" outlineLevel="1" x14ac:dyDescent="0.2">
      <c r="A55" s="176">
        <v>5105750000</v>
      </c>
      <c r="B55" s="207" t="s">
        <v>34</v>
      </c>
      <c r="C55" s="226">
        <f>+PRESUPUESTO!G55</f>
        <v>42993.115840174498</v>
      </c>
      <c r="D55" s="586"/>
      <c r="E55" s="751">
        <f t="shared" si="0"/>
        <v>42993.115840174498</v>
      </c>
      <c r="F55" s="524"/>
    </row>
    <row r="56" spans="1:6" customFormat="1" ht="12.75" hidden="1" outlineLevel="1" x14ac:dyDescent="0.2">
      <c r="A56" s="176">
        <v>5105780000</v>
      </c>
      <c r="B56" s="207" t="s">
        <v>35</v>
      </c>
      <c r="C56" s="226">
        <f>+PRESUPUESTO!G56</f>
        <v>28662.077226783</v>
      </c>
      <c r="D56" s="586"/>
      <c r="E56" s="751">
        <f t="shared" si="0"/>
        <v>28662.077226783</v>
      </c>
      <c r="F56" s="524"/>
    </row>
    <row r="57" spans="1:6" customFormat="1" ht="12.75" hidden="1" outlineLevel="1" x14ac:dyDescent="0.2">
      <c r="A57" s="176">
        <v>5105840000</v>
      </c>
      <c r="B57" s="207" t="s">
        <v>302</v>
      </c>
      <c r="C57" s="225">
        <f>+PRESUPUESTO!G57</f>
        <v>0</v>
      </c>
      <c r="D57" s="225"/>
      <c r="E57" s="752">
        <f t="shared" si="0"/>
        <v>0</v>
      </c>
      <c r="F57" s="524"/>
    </row>
    <row r="58" spans="1:6" customFormat="1" ht="12.75" hidden="1" outlineLevel="1" x14ac:dyDescent="0.2">
      <c r="A58" s="176">
        <v>5105950100</v>
      </c>
      <c r="B58" s="207" t="s">
        <v>36</v>
      </c>
      <c r="C58" s="225">
        <f>+PRESUPUESTO!G58</f>
        <v>0</v>
      </c>
      <c r="D58" s="225"/>
      <c r="E58" s="752">
        <f t="shared" si="0"/>
        <v>0</v>
      </c>
      <c r="F58" s="524"/>
    </row>
    <row r="59" spans="1:6" customFormat="1" ht="12.75" hidden="1" outlineLevel="1" x14ac:dyDescent="0.2">
      <c r="A59" s="176">
        <v>5105950200</v>
      </c>
      <c r="B59" s="207" t="s">
        <v>37</v>
      </c>
      <c r="C59" s="225">
        <f>+PRESUPUESTO!G59</f>
        <v>0</v>
      </c>
      <c r="D59" s="225"/>
      <c r="E59" s="752">
        <f t="shared" si="0"/>
        <v>0</v>
      </c>
      <c r="F59" s="524"/>
    </row>
    <row r="60" spans="1:6" customFormat="1" ht="12.75" hidden="1" outlineLevel="1" x14ac:dyDescent="0.2">
      <c r="A60" s="176">
        <v>5105950300</v>
      </c>
      <c r="B60" s="207" t="s">
        <v>38</v>
      </c>
      <c r="C60" s="225">
        <f>+PRESUPUESTO!G60</f>
        <v>0</v>
      </c>
      <c r="D60" s="225"/>
      <c r="E60" s="752">
        <f t="shared" si="0"/>
        <v>0</v>
      </c>
      <c r="F60" s="524"/>
    </row>
    <row r="61" spans="1:6" customFormat="1" ht="12.75" collapsed="1" x14ac:dyDescent="0.2">
      <c r="A61" s="176"/>
      <c r="B61" s="213" t="s">
        <v>303</v>
      </c>
      <c r="C61" s="214">
        <f ca="1">SUM(C33:C60)</f>
        <v>2125010.6041537952</v>
      </c>
      <c r="D61" s="214">
        <f>SUM(D33:D60)</f>
        <v>0</v>
      </c>
      <c r="E61" s="755">
        <f t="shared" ca="1" si="0"/>
        <v>2125010.6041537952</v>
      </c>
      <c r="F61" s="524"/>
    </row>
    <row r="62" spans="1:6" customFormat="1" ht="12.75" hidden="1" outlineLevel="1" x14ac:dyDescent="0.2">
      <c r="A62" s="176"/>
      <c r="B62" s="212" t="s">
        <v>304</v>
      </c>
      <c r="C62" s="208" t="s">
        <v>169</v>
      </c>
      <c r="D62" s="208"/>
      <c r="E62" s="754"/>
      <c r="F62" s="524"/>
    </row>
    <row r="63" spans="1:6" customFormat="1" ht="12.75" hidden="1" outlineLevel="1" x14ac:dyDescent="0.2">
      <c r="A63" s="3">
        <v>5110100000</v>
      </c>
      <c r="B63" s="207" t="s">
        <v>307</v>
      </c>
      <c r="C63" s="225">
        <f>+PRESUPUESTO!G63</f>
        <v>0</v>
      </c>
      <c r="D63" s="225"/>
      <c r="E63" s="752">
        <f t="shared" si="0"/>
        <v>0</v>
      </c>
      <c r="F63" s="524"/>
    </row>
    <row r="64" spans="1:6" customFormat="1" ht="12.75" hidden="1" outlineLevel="1" x14ac:dyDescent="0.2">
      <c r="A64" s="3">
        <v>5110200000</v>
      </c>
      <c r="B64" s="207" t="s">
        <v>583</v>
      </c>
      <c r="C64" s="225">
        <f>+PRESUPUESTO!G64</f>
        <v>0</v>
      </c>
      <c r="D64" s="225"/>
      <c r="E64" s="752">
        <f t="shared" si="0"/>
        <v>0</v>
      </c>
      <c r="F64" s="524"/>
    </row>
    <row r="65" spans="1:6" customFormat="1" ht="12.75" hidden="1" outlineLevel="1" x14ac:dyDescent="0.2">
      <c r="A65" s="3">
        <v>5110250000</v>
      </c>
      <c r="B65" s="207" t="s">
        <v>308</v>
      </c>
      <c r="C65" s="225">
        <f>+PRESUPUESTO!G65</f>
        <v>0</v>
      </c>
      <c r="D65" s="225"/>
      <c r="E65" s="752">
        <f t="shared" si="0"/>
        <v>0</v>
      </c>
      <c r="F65" s="524"/>
    </row>
    <row r="66" spans="1:6" customFormat="1" ht="12.75" hidden="1" outlineLevel="1" x14ac:dyDescent="0.2">
      <c r="A66" s="587">
        <v>5110350000</v>
      </c>
      <c r="B66" s="207" t="s">
        <v>687</v>
      </c>
      <c r="C66" s="225">
        <f>+PRESUPUESTO!G66</f>
        <v>0</v>
      </c>
      <c r="D66" s="225"/>
      <c r="E66" s="752">
        <f t="shared" si="0"/>
        <v>0</v>
      </c>
      <c r="F66" s="524"/>
    </row>
    <row r="67" spans="1:6" customFormat="1" ht="12.75" hidden="1" outlineLevel="1" x14ac:dyDescent="0.2">
      <c r="A67" s="176">
        <v>5110350100</v>
      </c>
      <c r="B67" s="558" t="s">
        <v>629</v>
      </c>
      <c r="C67" s="226">
        <f ca="1">+PRESUPUESTO!G67</f>
        <v>0</v>
      </c>
      <c r="D67" s="586"/>
      <c r="E67" s="751">
        <f t="shared" ca="1" si="0"/>
        <v>0</v>
      </c>
      <c r="F67" s="524"/>
    </row>
    <row r="68" spans="1:6" customFormat="1" ht="12.75" hidden="1" outlineLevel="1" x14ac:dyDescent="0.2">
      <c r="A68" s="176">
        <v>5110350300</v>
      </c>
      <c r="B68" s="207" t="s">
        <v>40</v>
      </c>
      <c r="C68" s="225">
        <f>+PRESUPUESTO!G68</f>
        <v>0</v>
      </c>
      <c r="D68" s="315">
        <f>(+EDUC.CONT.!N13)/1000</f>
        <v>0</v>
      </c>
      <c r="E68" s="756">
        <f t="shared" si="0"/>
        <v>0</v>
      </c>
      <c r="F68" s="524"/>
    </row>
    <row r="69" spans="1:6" customFormat="1" ht="12.75" hidden="1" outlineLevel="1" x14ac:dyDescent="0.2">
      <c r="A69" s="176">
        <v>5110350400</v>
      </c>
      <c r="B69" s="207" t="s">
        <v>41</v>
      </c>
      <c r="C69" s="225">
        <f>+PRESUPUESTO!G69</f>
        <v>0</v>
      </c>
      <c r="D69" s="225"/>
      <c r="E69" s="752">
        <f t="shared" si="0"/>
        <v>0</v>
      </c>
      <c r="F69" s="524"/>
    </row>
    <row r="70" spans="1:6" customFormat="1" ht="12.75" hidden="1" outlineLevel="1" x14ac:dyDescent="0.2">
      <c r="A70" s="176">
        <v>5110350600</v>
      </c>
      <c r="B70" s="207" t="s">
        <v>305</v>
      </c>
      <c r="C70" s="225">
        <f>+PRESUPUESTO!G70</f>
        <v>0</v>
      </c>
      <c r="D70" s="225"/>
      <c r="E70" s="752">
        <f t="shared" si="0"/>
        <v>0</v>
      </c>
      <c r="F70" s="524"/>
    </row>
    <row r="71" spans="1:6" customFormat="1" ht="12.75" hidden="1" outlineLevel="1" x14ac:dyDescent="0.2">
      <c r="A71" s="176">
        <v>5110950000</v>
      </c>
      <c r="B71" s="207" t="s">
        <v>42</v>
      </c>
      <c r="C71" s="226">
        <f ca="1">+PRESUPUESTO!G72</f>
        <v>3000</v>
      </c>
      <c r="D71" s="586"/>
      <c r="E71" s="751">
        <f t="shared" ca="1" si="0"/>
        <v>3000</v>
      </c>
      <c r="F71" s="524"/>
    </row>
    <row r="72" spans="1:6" customFormat="1" ht="12.75" collapsed="1" x14ac:dyDescent="0.2">
      <c r="A72" s="176"/>
      <c r="B72" s="213" t="s">
        <v>306</v>
      </c>
      <c r="C72" s="214">
        <f ca="1">SUM(C63:C71)</f>
        <v>3000</v>
      </c>
      <c r="D72" s="214">
        <f>SUM(D63:D71)</f>
        <v>0</v>
      </c>
      <c r="E72" s="755">
        <f t="shared" ca="1" si="0"/>
        <v>3000</v>
      </c>
      <c r="F72" s="524"/>
    </row>
    <row r="73" spans="1:6" customFormat="1" ht="12.75" hidden="1" customHeight="1" outlineLevel="1" x14ac:dyDescent="0.2">
      <c r="A73" s="176"/>
      <c r="B73" s="212" t="s">
        <v>507</v>
      </c>
      <c r="C73" s="208"/>
      <c r="D73" s="208"/>
      <c r="E73" s="754">
        <f t="shared" ref="E73:E136" si="1">+C73+D73</f>
        <v>0</v>
      </c>
      <c r="F73" s="524"/>
    </row>
    <row r="74" spans="1:6" customFormat="1" ht="12.75" hidden="1" outlineLevel="1" x14ac:dyDescent="0.2">
      <c r="A74" s="176">
        <v>5110350200</v>
      </c>
      <c r="B74" s="207" t="s">
        <v>508</v>
      </c>
      <c r="C74" s="226">
        <f>CONVENIOS!D62/1000</f>
        <v>0</v>
      </c>
      <c r="D74" s="586"/>
      <c r="E74" s="751">
        <f t="shared" si="1"/>
        <v>0</v>
      </c>
      <c r="F74" s="524"/>
    </row>
    <row r="75" spans="1:6" customFormat="1" ht="12.75" customHeight="1" collapsed="1" x14ac:dyDescent="0.2">
      <c r="A75" s="176"/>
      <c r="B75" s="213" t="s">
        <v>524</v>
      </c>
      <c r="C75" s="214">
        <f>+C74</f>
        <v>0</v>
      </c>
      <c r="D75" s="214">
        <f>+D74</f>
        <v>0</v>
      </c>
      <c r="E75" s="755">
        <f t="shared" si="1"/>
        <v>0</v>
      </c>
      <c r="F75" s="524"/>
    </row>
    <row r="76" spans="1:6" customFormat="1" ht="12.75" hidden="1" outlineLevel="1" x14ac:dyDescent="0.2">
      <c r="A76" s="176"/>
      <c r="B76" s="212" t="s">
        <v>44</v>
      </c>
      <c r="C76" s="208" t="s">
        <v>169</v>
      </c>
      <c r="D76" s="208"/>
      <c r="E76" s="754"/>
      <c r="F76" s="524"/>
    </row>
    <row r="77" spans="1:6" customFormat="1" ht="12.75" hidden="1" outlineLevel="1" x14ac:dyDescent="0.2">
      <c r="A77" s="176"/>
      <c r="B77" s="212" t="s">
        <v>509</v>
      </c>
      <c r="C77" s="208"/>
      <c r="D77" s="208"/>
      <c r="E77" s="754">
        <f t="shared" si="1"/>
        <v>0</v>
      </c>
      <c r="F77" s="524"/>
    </row>
    <row r="78" spans="1:6" customFormat="1" ht="12.75" hidden="1" outlineLevel="1" x14ac:dyDescent="0.2">
      <c r="A78" s="3">
        <v>5115050000</v>
      </c>
      <c r="B78" s="207" t="s">
        <v>309</v>
      </c>
      <c r="C78" s="225">
        <f>+PRESUPUESTO!G79</f>
        <v>0</v>
      </c>
      <c r="D78" s="225"/>
      <c r="E78" s="752">
        <f t="shared" si="1"/>
        <v>0</v>
      </c>
      <c r="F78" s="524"/>
    </row>
    <row r="79" spans="1:6" customFormat="1" ht="12.75" hidden="1" outlineLevel="1" x14ac:dyDescent="0.2">
      <c r="A79" s="3">
        <v>5115150000</v>
      </c>
      <c r="B79" s="207" t="s">
        <v>310</v>
      </c>
      <c r="C79" s="225">
        <f>+PRESUPUESTO!G80</f>
        <v>0</v>
      </c>
      <c r="D79" s="225"/>
      <c r="E79" s="752">
        <f t="shared" si="1"/>
        <v>0</v>
      </c>
      <c r="F79" s="524"/>
    </row>
    <row r="80" spans="1:6" customFormat="1" ht="12.75" hidden="1" outlineLevel="1" x14ac:dyDescent="0.2">
      <c r="A80" s="587">
        <v>5115250000</v>
      </c>
      <c r="B80" s="207" t="s">
        <v>688</v>
      </c>
      <c r="C80" s="225">
        <f>+PRESUPUESTO!G81</f>
        <v>0</v>
      </c>
      <c r="D80" s="225"/>
      <c r="E80" s="752">
        <f t="shared" si="1"/>
        <v>0</v>
      </c>
      <c r="F80" s="524"/>
    </row>
    <row r="81" spans="1:6" customFormat="1" ht="12.75" hidden="1" outlineLevel="1" x14ac:dyDescent="0.2">
      <c r="A81" s="3">
        <v>5115950200</v>
      </c>
      <c r="B81" s="207" t="s">
        <v>311</v>
      </c>
      <c r="C81" s="225">
        <f>+PRESUPUESTO!G82</f>
        <v>0</v>
      </c>
      <c r="D81" s="225"/>
      <c r="E81" s="752">
        <f t="shared" si="1"/>
        <v>0</v>
      </c>
      <c r="F81" s="524"/>
    </row>
    <row r="82" spans="1:6" customFormat="1" ht="12.75" hidden="1" outlineLevel="1" x14ac:dyDescent="0.2">
      <c r="A82" s="587">
        <v>5115950500</v>
      </c>
      <c r="B82" s="207" t="s">
        <v>689</v>
      </c>
      <c r="C82" s="225">
        <f>+PRESUPUESTO!G83</f>
        <v>0</v>
      </c>
      <c r="D82" s="225"/>
      <c r="E82" s="752">
        <f t="shared" si="1"/>
        <v>0</v>
      </c>
      <c r="F82" s="524"/>
    </row>
    <row r="83" spans="1:6" customFormat="1" ht="12.75" hidden="1" outlineLevel="1" x14ac:dyDescent="0.2">
      <c r="A83" s="3"/>
      <c r="B83" s="212" t="s">
        <v>446</v>
      </c>
      <c r="C83" s="225"/>
      <c r="D83" s="225"/>
      <c r="E83" s="752">
        <f t="shared" si="1"/>
        <v>0</v>
      </c>
      <c r="F83" s="524"/>
    </row>
    <row r="84" spans="1:6" customFormat="1" ht="12.75" hidden="1" outlineLevel="1" x14ac:dyDescent="0.2">
      <c r="A84" s="3">
        <v>5120100000</v>
      </c>
      <c r="B84" s="207" t="s">
        <v>714</v>
      </c>
      <c r="C84" s="226">
        <f ca="1">+PRESUPUESTO!G85</f>
        <v>0</v>
      </c>
      <c r="D84" s="586"/>
      <c r="E84" s="751">
        <f t="shared" ca="1" si="1"/>
        <v>0</v>
      </c>
      <c r="F84" s="524"/>
    </row>
    <row r="85" spans="1:6" customFormat="1" ht="12.75" hidden="1" outlineLevel="1" x14ac:dyDescent="0.2">
      <c r="A85" s="3">
        <v>5120250000</v>
      </c>
      <c r="B85" s="207" t="s">
        <v>312</v>
      </c>
      <c r="C85" s="225">
        <f>+PRESUPUESTO!G86</f>
        <v>0</v>
      </c>
      <c r="D85" s="225"/>
      <c r="E85" s="752">
        <f t="shared" si="1"/>
        <v>0</v>
      </c>
      <c r="F85" s="524"/>
    </row>
    <row r="86" spans="1:6" customFormat="1" ht="12.75" hidden="1" outlineLevel="1" x14ac:dyDescent="0.2">
      <c r="A86" s="3">
        <v>5120300000</v>
      </c>
      <c r="B86" s="207" t="s">
        <v>313</v>
      </c>
      <c r="C86" s="225">
        <f>+PRESUPUESTO!G87</f>
        <v>0</v>
      </c>
      <c r="D86" s="225"/>
      <c r="E86" s="752">
        <f t="shared" si="1"/>
        <v>0</v>
      </c>
      <c r="F86" s="524"/>
    </row>
    <row r="87" spans="1:6" customFormat="1" ht="12.75" hidden="1" outlineLevel="1" x14ac:dyDescent="0.2">
      <c r="A87" s="3">
        <v>5120950000</v>
      </c>
      <c r="B87" s="207" t="s">
        <v>45</v>
      </c>
      <c r="C87" s="225">
        <f>+PRESUPUESTO!G88</f>
        <v>1732.5</v>
      </c>
      <c r="D87" s="315">
        <f>(+EDUC.CONT.!N14)/1000</f>
        <v>0</v>
      </c>
      <c r="E87" s="756">
        <f t="shared" si="1"/>
        <v>1732.5</v>
      </c>
      <c r="F87" s="524"/>
    </row>
    <row r="88" spans="1:6" customFormat="1" ht="12.75" hidden="1" outlineLevel="1" x14ac:dyDescent="0.2">
      <c r="A88" s="3"/>
      <c r="B88" s="212" t="s">
        <v>510</v>
      </c>
      <c r="C88" s="225" t="s">
        <v>169</v>
      </c>
      <c r="D88" s="225"/>
      <c r="E88" s="752"/>
      <c r="F88" s="524"/>
    </row>
    <row r="89" spans="1:6" customFormat="1" ht="12.75" hidden="1" outlineLevel="1" x14ac:dyDescent="0.2">
      <c r="A89" s="3">
        <v>5125100000</v>
      </c>
      <c r="B89" s="207" t="s">
        <v>46</v>
      </c>
      <c r="C89" s="226">
        <f ca="1">+PRESUPUESTO!G90</f>
        <v>7500</v>
      </c>
      <c r="D89" s="586"/>
      <c r="E89" s="751">
        <f t="shared" ca="1" si="1"/>
        <v>7500</v>
      </c>
      <c r="F89" s="524"/>
    </row>
    <row r="90" spans="1:6" customFormat="1" ht="12.75" hidden="1" outlineLevel="1" x14ac:dyDescent="0.2">
      <c r="A90" s="3"/>
      <c r="B90" s="212" t="s">
        <v>511</v>
      </c>
      <c r="C90" s="225" t="s">
        <v>169</v>
      </c>
      <c r="D90" s="225"/>
      <c r="E90" s="752"/>
      <c r="F90" s="524"/>
    </row>
    <row r="91" spans="1:6" customFormat="1" ht="12.75" hidden="1" outlineLevel="1" x14ac:dyDescent="0.2">
      <c r="A91" s="3">
        <v>5130100000</v>
      </c>
      <c r="B91" s="207" t="s">
        <v>47</v>
      </c>
      <c r="C91" s="226">
        <f ca="1">+PRESUPUESTO!G92</f>
        <v>0</v>
      </c>
      <c r="D91" s="226">
        <f>(+EDUC.CONT.!N15)/1000</f>
        <v>0</v>
      </c>
      <c r="E91" s="750"/>
      <c r="F91" s="524"/>
    </row>
    <row r="92" spans="1:6" customFormat="1" ht="12.75" hidden="1" outlineLevel="1" x14ac:dyDescent="0.2">
      <c r="A92" s="3">
        <v>5130600000</v>
      </c>
      <c r="B92" s="207" t="s">
        <v>48</v>
      </c>
      <c r="C92" s="225">
        <f>+PRESUPUESTO!G93</f>
        <v>0</v>
      </c>
      <c r="D92" s="225"/>
      <c r="E92" s="752">
        <f t="shared" si="1"/>
        <v>0</v>
      </c>
      <c r="F92" s="524"/>
    </row>
    <row r="93" spans="1:6" customFormat="1" ht="12.75" hidden="1" outlineLevel="1" x14ac:dyDescent="0.2">
      <c r="A93" s="3">
        <v>5130950200</v>
      </c>
      <c r="B93" s="207" t="s">
        <v>314</v>
      </c>
      <c r="C93" s="225">
        <f>+PRESUPUESTO!G94</f>
        <v>0</v>
      </c>
      <c r="D93" s="225"/>
      <c r="E93" s="752">
        <f t="shared" si="1"/>
        <v>0</v>
      </c>
      <c r="F93" s="524"/>
    </row>
    <row r="94" spans="1:6" customFormat="1" ht="12.75" hidden="1" outlineLevel="1" x14ac:dyDescent="0.2">
      <c r="A94" s="3">
        <v>5130950300</v>
      </c>
      <c r="B94" s="207" t="s">
        <v>49</v>
      </c>
      <c r="C94" s="315">
        <f>+PRESUPUESTO!G95</f>
        <v>2864</v>
      </c>
      <c r="D94" s="586"/>
      <c r="E94" s="751">
        <f t="shared" si="1"/>
        <v>2864</v>
      </c>
      <c r="F94" s="524"/>
    </row>
    <row r="95" spans="1:6" customFormat="1" ht="12.75" hidden="1" outlineLevel="1" x14ac:dyDescent="0.2">
      <c r="A95" s="587">
        <v>5130950400</v>
      </c>
      <c r="B95" s="207" t="s">
        <v>690</v>
      </c>
      <c r="C95" s="586">
        <f>+PRESUPUESTO!G96</f>
        <v>0</v>
      </c>
      <c r="D95" s="586"/>
      <c r="E95" s="751">
        <f t="shared" si="1"/>
        <v>0</v>
      </c>
      <c r="F95" s="524"/>
    </row>
    <row r="96" spans="1:6" customFormat="1" ht="12.75" hidden="1" outlineLevel="1" x14ac:dyDescent="0.2">
      <c r="A96" s="3"/>
      <c r="B96" s="212" t="s">
        <v>512</v>
      </c>
      <c r="C96" s="225" t="s">
        <v>169</v>
      </c>
      <c r="D96" s="225"/>
      <c r="E96" s="752"/>
      <c r="F96" s="524"/>
    </row>
    <row r="97" spans="1:6" customFormat="1" ht="12.75" hidden="1" outlineLevel="1" x14ac:dyDescent="0.2">
      <c r="A97" s="3">
        <v>5135050100</v>
      </c>
      <c r="B97" s="207" t="s">
        <v>315</v>
      </c>
      <c r="C97" s="225">
        <f>+PRESUPUESTO!G98</f>
        <v>0</v>
      </c>
      <c r="D97" s="225"/>
      <c r="E97" s="752">
        <f t="shared" si="1"/>
        <v>0</v>
      </c>
      <c r="F97" s="524"/>
    </row>
    <row r="98" spans="1:6" customFormat="1" ht="12.75" hidden="1" outlineLevel="1" x14ac:dyDescent="0.2">
      <c r="A98" s="3">
        <v>5135050200</v>
      </c>
      <c r="B98" s="207" t="s">
        <v>316</v>
      </c>
      <c r="C98" s="225">
        <f>+PRESUPUESTO!G99</f>
        <v>0</v>
      </c>
      <c r="D98" s="225"/>
      <c r="E98" s="752">
        <f t="shared" si="1"/>
        <v>0</v>
      </c>
      <c r="F98" s="524"/>
    </row>
    <row r="99" spans="1:6" customFormat="1" ht="12.75" hidden="1" outlineLevel="1" x14ac:dyDescent="0.2">
      <c r="A99" s="3">
        <v>5135150000</v>
      </c>
      <c r="B99" s="207" t="s">
        <v>317</v>
      </c>
      <c r="C99" s="225">
        <f>+PRESUPUESTO!G100</f>
        <v>0</v>
      </c>
      <c r="D99" s="225"/>
      <c r="E99" s="752">
        <f t="shared" si="1"/>
        <v>0</v>
      </c>
      <c r="F99" s="524"/>
    </row>
    <row r="100" spans="1:6" customFormat="1" ht="12.75" hidden="1" outlineLevel="1" x14ac:dyDescent="0.2">
      <c r="A100" s="3">
        <v>5135250000</v>
      </c>
      <c r="B100" s="207" t="s">
        <v>318</v>
      </c>
      <c r="C100" s="225">
        <f>+PRESUPUESTO!G101</f>
        <v>0</v>
      </c>
      <c r="D100" s="225"/>
      <c r="E100" s="752">
        <f t="shared" si="1"/>
        <v>0</v>
      </c>
      <c r="F100" s="524"/>
    </row>
    <row r="101" spans="1:6" customFormat="1" ht="12.75" hidden="1" outlineLevel="1" x14ac:dyDescent="0.2">
      <c r="A101" s="3">
        <v>5135300000</v>
      </c>
      <c r="B101" s="207" t="s">
        <v>319</v>
      </c>
      <c r="C101" s="225">
        <f>+PRESUPUESTO!G102</f>
        <v>0</v>
      </c>
      <c r="D101" s="225"/>
      <c r="E101" s="752">
        <f t="shared" si="1"/>
        <v>0</v>
      </c>
      <c r="F101" s="524"/>
    </row>
    <row r="102" spans="1:6" customFormat="1" ht="12.75" hidden="1" outlineLevel="1" x14ac:dyDescent="0.2">
      <c r="A102" s="3">
        <v>5135350000</v>
      </c>
      <c r="B102" s="207" t="s">
        <v>50</v>
      </c>
      <c r="C102" s="225">
        <f>+PRESUPUESTO!G103</f>
        <v>0</v>
      </c>
      <c r="D102" s="225"/>
      <c r="E102" s="752">
        <f t="shared" si="1"/>
        <v>0</v>
      </c>
      <c r="F102" s="524"/>
    </row>
    <row r="103" spans="1:6" customFormat="1" ht="12.75" hidden="1" outlineLevel="1" x14ac:dyDescent="0.2">
      <c r="A103" s="3">
        <v>5135400000</v>
      </c>
      <c r="B103" s="207" t="s">
        <v>51</v>
      </c>
      <c r="C103" s="226">
        <f ca="1">+PRESUPUESTO!G104</f>
        <v>237.3</v>
      </c>
      <c r="D103" s="226">
        <f>(+EDUC.CONT.!N16)/1000</f>
        <v>0</v>
      </c>
      <c r="E103" s="750">
        <f t="shared" ca="1" si="1"/>
        <v>237.3</v>
      </c>
      <c r="F103" s="524"/>
    </row>
    <row r="104" spans="1:6" customFormat="1" ht="12.75" hidden="1" outlineLevel="1" x14ac:dyDescent="0.2">
      <c r="A104" s="3">
        <v>5135500000</v>
      </c>
      <c r="B104" s="207" t="s">
        <v>52</v>
      </c>
      <c r="C104" s="225">
        <f>+PRESUPUESTO!G105</f>
        <v>0</v>
      </c>
      <c r="D104" s="225"/>
      <c r="E104" s="752">
        <f t="shared" si="1"/>
        <v>0</v>
      </c>
      <c r="F104" s="524"/>
    </row>
    <row r="105" spans="1:6" customFormat="1" ht="12.75" hidden="1" outlineLevel="1" x14ac:dyDescent="0.2">
      <c r="A105" s="3">
        <v>5135550000</v>
      </c>
      <c r="B105" s="207" t="s">
        <v>584</v>
      </c>
      <c r="C105" s="225">
        <f>+PRESUPUESTO!G106</f>
        <v>0</v>
      </c>
      <c r="D105" s="225"/>
      <c r="E105" s="752">
        <f t="shared" si="1"/>
        <v>0</v>
      </c>
      <c r="F105" s="524"/>
    </row>
    <row r="106" spans="1:6" customFormat="1" ht="12.75" hidden="1" outlineLevel="1" x14ac:dyDescent="0.2">
      <c r="A106" s="3">
        <v>5135950100</v>
      </c>
      <c r="B106" s="207" t="s">
        <v>53</v>
      </c>
      <c r="C106" s="225">
        <f>+PRESUPUESTO!G107</f>
        <v>0</v>
      </c>
      <c r="D106" s="225"/>
      <c r="E106" s="752">
        <f t="shared" si="1"/>
        <v>0</v>
      </c>
      <c r="F106" s="524"/>
    </row>
    <row r="107" spans="1:6" customFormat="1" ht="12.75" hidden="1" outlineLevel="1" x14ac:dyDescent="0.2">
      <c r="A107" s="3">
        <v>5135950200</v>
      </c>
      <c r="B107" s="207" t="s">
        <v>320</v>
      </c>
      <c r="C107" s="225">
        <f>+PRESUPUESTO!G108</f>
        <v>0</v>
      </c>
      <c r="D107" s="225"/>
      <c r="E107" s="752">
        <f t="shared" si="1"/>
        <v>0</v>
      </c>
      <c r="F107" s="524"/>
    </row>
    <row r="108" spans="1:6" customFormat="1" ht="12.75" hidden="1" outlineLevel="1" x14ac:dyDescent="0.2">
      <c r="A108" s="3">
        <v>5135950300</v>
      </c>
      <c r="B108" s="207" t="s">
        <v>321</v>
      </c>
      <c r="C108" s="225">
        <f>+PRESUPUESTO!G109</f>
        <v>0</v>
      </c>
      <c r="D108" s="225"/>
      <c r="E108" s="752">
        <f t="shared" si="1"/>
        <v>0</v>
      </c>
      <c r="F108" s="524"/>
    </row>
    <row r="109" spans="1:6" customFormat="1" ht="12.75" hidden="1" outlineLevel="1" x14ac:dyDescent="0.2">
      <c r="A109" s="3">
        <v>5135950400</v>
      </c>
      <c r="B109" s="207" t="s">
        <v>54</v>
      </c>
      <c r="C109" s="225">
        <f>+PRESUPUESTO!G110</f>
        <v>0</v>
      </c>
      <c r="D109" s="225"/>
      <c r="E109" s="752">
        <f t="shared" si="1"/>
        <v>0</v>
      </c>
      <c r="F109" s="524"/>
    </row>
    <row r="110" spans="1:6" customFormat="1" ht="12.75" hidden="1" outlineLevel="1" x14ac:dyDescent="0.2">
      <c r="A110" s="3">
        <v>5135950500</v>
      </c>
      <c r="B110" s="207" t="s">
        <v>322</v>
      </c>
      <c r="C110" s="225">
        <f ca="1">+PRESUPUESTO!G111</f>
        <v>0</v>
      </c>
      <c r="D110" s="315">
        <f>(+EDUC.CONT.!N17)/1000</f>
        <v>0</v>
      </c>
      <c r="E110" s="756">
        <f t="shared" ca="1" si="1"/>
        <v>0</v>
      </c>
      <c r="F110" s="524"/>
    </row>
    <row r="111" spans="1:6" customFormat="1" ht="12.75" hidden="1" outlineLevel="1" x14ac:dyDescent="0.2">
      <c r="A111" s="3">
        <v>5135950600</v>
      </c>
      <c r="B111" s="207" t="s">
        <v>55</v>
      </c>
      <c r="C111" s="225">
        <f>+PRESUPUESTO!G112</f>
        <v>0</v>
      </c>
      <c r="D111" s="315">
        <f>(+EDUC.CONT.!N18)/1000</f>
        <v>0</v>
      </c>
      <c r="E111" s="756">
        <f t="shared" si="1"/>
        <v>0</v>
      </c>
      <c r="F111" s="524"/>
    </row>
    <row r="112" spans="1:6" customFormat="1" ht="12.75" hidden="1" outlineLevel="1" x14ac:dyDescent="0.2">
      <c r="A112" s="3">
        <v>5135950700</v>
      </c>
      <c r="B112" s="207" t="s">
        <v>56</v>
      </c>
      <c r="C112" s="226">
        <f ca="1">+PRESUPUESTO!G113</f>
        <v>37803.15</v>
      </c>
      <c r="D112" s="586"/>
      <c r="E112" s="751">
        <f t="shared" ca="1" si="1"/>
        <v>37803.15</v>
      </c>
      <c r="F112" s="524"/>
    </row>
    <row r="113" spans="1:6" customFormat="1" ht="12.75" hidden="1" outlineLevel="1" x14ac:dyDescent="0.2">
      <c r="A113" s="3">
        <v>5135950900</v>
      </c>
      <c r="B113" s="207" t="s">
        <v>323</v>
      </c>
      <c r="C113" s="225">
        <f>+PRESUPUESTO!G114</f>
        <v>0</v>
      </c>
      <c r="D113" s="225"/>
      <c r="E113" s="752">
        <f t="shared" si="1"/>
        <v>0</v>
      </c>
      <c r="F113" s="524"/>
    </row>
    <row r="114" spans="1:6" customFormat="1" ht="12.75" hidden="1" outlineLevel="1" x14ac:dyDescent="0.2">
      <c r="A114" s="3">
        <v>5135951000</v>
      </c>
      <c r="B114" s="207" t="s">
        <v>57</v>
      </c>
      <c r="C114" s="225">
        <f>+PRESUPUESTO!G115</f>
        <v>0</v>
      </c>
      <c r="D114" s="225"/>
      <c r="E114" s="752">
        <f t="shared" si="1"/>
        <v>0</v>
      </c>
      <c r="F114" s="524"/>
    </row>
    <row r="115" spans="1:6" customFormat="1" ht="12.75" hidden="1" outlineLevel="1" x14ac:dyDescent="0.2">
      <c r="A115" s="3">
        <v>5135951100</v>
      </c>
      <c r="B115" s="207" t="s">
        <v>58</v>
      </c>
      <c r="C115" s="225">
        <f>+PRESUPUESTO!G116</f>
        <v>0</v>
      </c>
      <c r="D115" s="225"/>
      <c r="E115" s="752">
        <f t="shared" si="1"/>
        <v>0</v>
      </c>
      <c r="F115" s="524"/>
    </row>
    <row r="116" spans="1:6" customFormat="1" ht="12.75" hidden="1" outlineLevel="1" x14ac:dyDescent="0.2">
      <c r="A116" s="3">
        <v>5135951300</v>
      </c>
      <c r="B116" s="207" t="s">
        <v>59</v>
      </c>
      <c r="C116" s="225">
        <f>+PRESUPUESTO!G117</f>
        <v>3231.9</v>
      </c>
      <c r="D116" s="225"/>
      <c r="E116" s="752">
        <f t="shared" si="1"/>
        <v>3231.9</v>
      </c>
      <c r="F116" s="524"/>
    </row>
    <row r="117" spans="1:6" customFormat="1" ht="12.75" hidden="1" outlineLevel="1" x14ac:dyDescent="0.2">
      <c r="A117" s="3">
        <v>5135951600</v>
      </c>
      <c r="B117" s="207" t="s">
        <v>324</v>
      </c>
      <c r="C117" s="225">
        <f>+PRESUPUESTO!G118</f>
        <v>0</v>
      </c>
      <c r="D117" s="225"/>
      <c r="E117" s="752">
        <f t="shared" si="1"/>
        <v>0</v>
      </c>
      <c r="F117" s="524"/>
    </row>
    <row r="118" spans="1:6" customFormat="1" ht="12.75" hidden="1" outlineLevel="1" x14ac:dyDescent="0.2">
      <c r="A118" s="3">
        <v>5135951700</v>
      </c>
      <c r="B118" s="207" t="s">
        <v>325</v>
      </c>
      <c r="C118" s="225">
        <f>+PRESUPUESTO!G119</f>
        <v>0</v>
      </c>
      <c r="D118" s="225"/>
      <c r="E118" s="752">
        <f t="shared" si="1"/>
        <v>0</v>
      </c>
      <c r="F118" s="524"/>
    </row>
    <row r="119" spans="1:6" customFormat="1" ht="12.75" hidden="1" outlineLevel="1" x14ac:dyDescent="0.2">
      <c r="A119" s="3">
        <v>5135951900</v>
      </c>
      <c r="B119" s="207" t="s">
        <v>585</v>
      </c>
      <c r="C119" s="225">
        <f>+PRESUPUESTO!G120</f>
        <v>0</v>
      </c>
      <c r="D119" s="225"/>
      <c r="E119" s="752">
        <f t="shared" si="1"/>
        <v>0</v>
      </c>
      <c r="F119" s="524"/>
    </row>
    <row r="120" spans="1:6" customFormat="1" ht="12.75" hidden="1" outlineLevel="1" x14ac:dyDescent="0.2">
      <c r="A120" s="587">
        <v>5135953000</v>
      </c>
      <c r="B120" s="207" t="s">
        <v>691</v>
      </c>
      <c r="C120" s="225">
        <f>+PRESUPUESTO!G121</f>
        <v>0</v>
      </c>
      <c r="D120" s="225"/>
      <c r="E120" s="752">
        <f t="shared" si="1"/>
        <v>0</v>
      </c>
      <c r="F120" s="524"/>
    </row>
    <row r="121" spans="1:6" customFormat="1" ht="12.75" hidden="1" outlineLevel="1" x14ac:dyDescent="0.2">
      <c r="A121" s="3">
        <v>5135955000</v>
      </c>
      <c r="B121" s="207" t="s">
        <v>60</v>
      </c>
      <c r="C121" s="225">
        <f>+PRESUPUESTO!G122</f>
        <v>0</v>
      </c>
      <c r="D121" s="225"/>
      <c r="E121" s="752">
        <f t="shared" si="1"/>
        <v>0</v>
      </c>
      <c r="F121" s="524"/>
    </row>
    <row r="122" spans="1:6" customFormat="1" ht="12.75" hidden="1" outlineLevel="1" x14ac:dyDescent="0.2">
      <c r="A122" s="3">
        <v>5135956900</v>
      </c>
      <c r="B122" s="207" t="s">
        <v>326</v>
      </c>
      <c r="C122" s="225">
        <f>+PRESUPUESTO!G123</f>
        <v>0</v>
      </c>
      <c r="D122" s="225"/>
      <c r="E122" s="752">
        <f t="shared" si="1"/>
        <v>0</v>
      </c>
      <c r="F122" s="524"/>
    </row>
    <row r="123" spans="1:6" customFormat="1" ht="12.75" hidden="1" outlineLevel="1" x14ac:dyDescent="0.2">
      <c r="A123" s="587">
        <v>5135957000</v>
      </c>
      <c r="B123" s="207" t="s">
        <v>692</v>
      </c>
      <c r="C123" s="225">
        <f>+PRESUPUESTO!G124</f>
        <v>0</v>
      </c>
      <c r="D123" s="225"/>
      <c r="E123" s="752">
        <f t="shared" si="1"/>
        <v>0</v>
      </c>
      <c r="F123" s="524"/>
    </row>
    <row r="124" spans="1:6" customFormat="1" ht="12.75" hidden="1" outlineLevel="1" x14ac:dyDescent="0.2">
      <c r="A124" s="3"/>
      <c r="B124" s="212" t="s">
        <v>513</v>
      </c>
      <c r="C124" s="225" t="s">
        <v>169</v>
      </c>
      <c r="D124" s="225"/>
      <c r="E124" s="752"/>
      <c r="F124" s="524"/>
    </row>
    <row r="125" spans="1:6" customFormat="1" ht="12.75" hidden="1" outlineLevel="1" x14ac:dyDescent="0.2">
      <c r="A125" s="3">
        <v>5140050000</v>
      </c>
      <c r="B125" s="207" t="s">
        <v>327</v>
      </c>
      <c r="C125" s="225">
        <f>+PRESUPUESTO!G126</f>
        <v>0</v>
      </c>
      <c r="D125" s="225"/>
      <c r="E125" s="752">
        <f t="shared" si="1"/>
        <v>0</v>
      </c>
      <c r="F125" s="524"/>
    </row>
    <row r="126" spans="1:6" customFormat="1" ht="12.75" hidden="1" outlineLevel="1" x14ac:dyDescent="0.2">
      <c r="A126" s="3">
        <v>5140150000</v>
      </c>
      <c r="B126" s="207" t="s">
        <v>328</v>
      </c>
      <c r="C126" s="225">
        <f>+PRESUPUESTO!G127</f>
        <v>0</v>
      </c>
      <c r="D126" s="225"/>
      <c r="E126" s="752">
        <f t="shared" si="1"/>
        <v>0</v>
      </c>
      <c r="F126" s="524"/>
    </row>
    <row r="127" spans="1:6" customFormat="1" ht="12.75" hidden="1" outlineLevel="1" x14ac:dyDescent="0.2">
      <c r="A127" s="587">
        <v>5140200000</v>
      </c>
      <c r="B127" s="207" t="s">
        <v>693</v>
      </c>
      <c r="C127" s="225">
        <f>+PRESUPUESTO!G128</f>
        <v>0</v>
      </c>
      <c r="D127" s="225"/>
      <c r="E127" s="752">
        <f t="shared" si="1"/>
        <v>0</v>
      </c>
      <c r="F127" s="524"/>
    </row>
    <row r="128" spans="1:6" customFormat="1" ht="12.75" hidden="1" outlineLevel="1" x14ac:dyDescent="0.2">
      <c r="A128" s="587">
        <v>5140210000</v>
      </c>
      <c r="B128" s="207" t="s">
        <v>694</v>
      </c>
      <c r="C128" s="225">
        <f>+PRESUPUESTO!G129</f>
        <v>0</v>
      </c>
      <c r="D128" s="225"/>
      <c r="E128" s="752">
        <f t="shared" si="1"/>
        <v>0</v>
      </c>
      <c r="F128" s="524"/>
    </row>
    <row r="129" spans="1:6" customFormat="1" ht="12.75" hidden="1" outlineLevel="1" x14ac:dyDescent="0.2">
      <c r="A129" s="3">
        <v>5140950200</v>
      </c>
      <c r="B129" s="207" t="s">
        <v>329</v>
      </c>
      <c r="C129" s="225">
        <f>+PRESUPUESTO!G130</f>
        <v>0</v>
      </c>
      <c r="D129" s="225"/>
      <c r="E129" s="752">
        <f t="shared" si="1"/>
        <v>0</v>
      </c>
      <c r="F129" s="524"/>
    </row>
    <row r="130" spans="1:6" customFormat="1" ht="12.75" hidden="1" outlineLevel="1" x14ac:dyDescent="0.2">
      <c r="A130" s="3"/>
      <c r="B130" s="212" t="s">
        <v>514</v>
      </c>
      <c r="C130" s="225" t="s">
        <v>169</v>
      </c>
      <c r="D130" s="225"/>
      <c r="E130" s="752"/>
      <c r="F130" s="524"/>
    </row>
    <row r="131" spans="1:6" customFormat="1" ht="12.75" hidden="1" outlineLevel="1" x14ac:dyDescent="0.2">
      <c r="A131" s="3">
        <v>5145100000</v>
      </c>
      <c r="B131" s="207" t="s">
        <v>330</v>
      </c>
      <c r="C131" s="225">
        <f>+PRESUPUESTO!G132</f>
        <v>0</v>
      </c>
      <c r="D131" s="225"/>
      <c r="E131" s="752">
        <f t="shared" si="1"/>
        <v>0</v>
      </c>
      <c r="F131" s="524"/>
    </row>
    <row r="132" spans="1:6" customFormat="1" ht="12.75" hidden="1" outlineLevel="1" x14ac:dyDescent="0.2">
      <c r="A132" s="3">
        <v>5145150200</v>
      </c>
      <c r="B132" s="207" t="s">
        <v>494</v>
      </c>
      <c r="C132" s="225">
        <f>+PRESUPUESTO!G133</f>
        <v>0</v>
      </c>
      <c r="D132" s="225"/>
      <c r="E132" s="752">
        <f t="shared" si="1"/>
        <v>0</v>
      </c>
      <c r="F132" s="524"/>
    </row>
    <row r="133" spans="1:6" customFormat="1" ht="12.75" hidden="1" outlineLevel="1" x14ac:dyDescent="0.2">
      <c r="A133" s="3">
        <v>5145150300</v>
      </c>
      <c r="B133" s="207" t="s">
        <v>495</v>
      </c>
      <c r="C133" s="225">
        <f>+PRESUPUESTO!G134</f>
        <v>0</v>
      </c>
      <c r="D133" s="225"/>
      <c r="E133" s="752">
        <f t="shared" si="1"/>
        <v>0</v>
      </c>
      <c r="F133" s="524"/>
    </row>
    <row r="134" spans="1:6" customFormat="1" ht="12.75" hidden="1" outlineLevel="1" x14ac:dyDescent="0.2">
      <c r="A134" s="3">
        <v>5145150400</v>
      </c>
      <c r="B134" s="207" t="s">
        <v>496</v>
      </c>
      <c r="C134" s="225">
        <f>+PRESUPUESTO!G135</f>
        <v>0</v>
      </c>
      <c r="D134" s="225"/>
      <c r="E134" s="752">
        <f t="shared" si="1"/>
        <v>0</v>
      </c>
      <c r="F134" s="524"/>
    </row>
    <row r="135" spans="1:6" customFormat="1" ht="12.75" hidden="1" outlineLevel="1" x14ac:dyDescent="0.2">
      <c r="A135" s="3">
        <v>5145250000</v>
      </c>
      <c r="B135" s="207" t="s">
        <v>497</v>
      </c>
      <c r="C135" s="225">
        <f>+PRESUPUESTO!G136</f>
        <v>0</v>
      </c>
      <c r="D135" s="225"/>
      <c r="E135" s="752">
        <f t="shared" si="1"/>
        <v>0</v>
      </c>
      <c r="F135" s="524"/>
    </row>
    <row r="136" spans="1:6" customFormat="1" ht="12.75" hidden="1" outlineLevel="1" x14ac:dyDescent="0.2">
      <c r="A136" s="3">
        <v>5145300000</v>
      </c>
      <c r="B136" s="207" t="s">
        <v>498</v>
      </c>
      <c r="C136" s="225">
        <f ca="1">+PRESUPUESTO!G137</f>
        <v>0</v>
      </c>
      <c r="D136" s="225"/>
      <c r="E136" s="752">
        <f t="shared" ca="1" si="1"/>
        <v>0</v>
      </c>
      <c r="F136" s="524"/>
    </row>
    <row r="137" spans="1:6" customFormat="1" ht="12.75" hidden="1" outlineLevel="1" x14ac:dyDescent="0.2">
      <c r="A137" s="3">
        <v>5150950000</v>
      </c>
      <c r="B137" s="207" t="s">
        <v>331</v>
      </c>
      <c r="C137" s="225">
        <f>+PRESUPUESTO!G138</f>
        <v>0</v>
      </c>
      <c r="D137" s="225"/>
      <c r="E137" s="752">
        <f t="shared" ref="E137:E200" si="2">+C137+D137</f>
        <v>0</v>
      </c>
      <c r="F137" s="524"/>
    </row>
    <row r="138" spans="1:6" customFormat="1" ht="12.75" hidden="1" outlineLevel="1" x14ac:dyDescent="0.2">
      <c r="A138" s="3"/>
      <c r="B138" s="212" t="s">
        <v>515</v>
      </c>
      <c r="C138" s="225"/>
      <c r="D138" s="225"/>
      <c r="E138" s="752">
        <f t="shared" si="2"/>
        <v>0</v>
      </c>
      <c r="F138" s="524"/>
    </row>
    <row r="139" spans="1:6" customFormat="1" ht="12.75" hidden="1" outlineLevel="1" x14ac:dyDescent="0.2">
      <c r="A139" s="3">
        <v>5155050000</v>
      </c>
      <c r="B139" s="207" t="s">
        <v>61</v>
      </c>
      <c r="C139" s="226">
        <f ca="1">+PRESUPUESTO!G140</f>
        <v>6400</v>
      </c>
      <c r="D139" s="226">
        <f>(+EDUC.CONT.!N19)/1000</f>
        <v>0</v>
      </c>
      <c r="E139" s="750">
        <f t="shared" ca="1" si="2"/>
        <v>6400</v>
      </c>
      <c r="F139" s="524"/>
    </row>
    <row r="140" spans="1:6" customFormat="1" ht="12.75" hidden="1" outlineLevel="1" x14ac:dyDescent="0.2">
      <c r="A140" s="3">
        <v>5155150000</v>
      </c>
      <c r="B140" s="207" t="s">
        <v>62</v>
      </c>
      <c r="C140" s="226">
        <f ca="1">+PRESUPUESTO!G141</f>
        <v>7500</v>
      </c>
      <c r="D140" s="226">
        <f>(+EDUC.CONT.!N20)/1000</f>
        <v>0</v>
      </c>
      <c r="E140" s="750">
        <f t="shared" ca="1" si="2"/>
        <v>7500</v>
      </c>
      <c r="F140" s="524"/>
    </row>
    <row r="141" spans="1:6" customFormat="1" ht="12.75" hidden="1" outlineLevel="1" x14ac:dyDescent="0.2">
      <c r="A141" s="3">
        <v>5155200000</v>
      </c>
      <c r="B141" s="207" t="s">
        <v>63</v>
      </c>
      <c r="C141" s="225">
        <f>+PRESUPUESTO!G142</f>
        <v>0</v>
      </c>
      <c r="D141" s="225"/>
      <c r="E141" s="752">
        <f t="shared" si="2"/>
        <v>0</v>
      </c>
      <c r="F141" s="524"/>
    </row>
    <row r="142" spans="1:6" customFormat="1" ht="12.75" hidden="1" outlineLevel="1" x14ac:dyDescent="0.2">
      <c r="A142" s="3">
        <v>5155950100</v>
      </c>
      <c r="B142" s="207" t="s">
        <v>285</v>
      </c>
      <c r="C142" s="315">
        <f>+PRESUPUESTO!G143</f>
        <v>600</v>
      </c>
      <c r="D142" s="586"/>
      <c r="E142" s="751">
        <f t="shared" si="2"/>
        <v>600</v>
      </c>
      <c r="F142" s="524"/>
    </row>
    <row r="143" spans="1:6" customFormat="1" ht="12.75" hidden="1" outlineLevel="1" x14ac:dyDescent="0.2">
      <c r="A143" s="3">
        <v>5155950200</v>
      </c>
      <c r="B143" s="207" t="s">
        <v>286</v>
      </c>
      <c r="C143" s="225">
        <f>+PRESUPUESTO!G144</f>
        <v>0</v>
      </c>
      <c r="D143" s="586"/>
      <c r="E143" s="751">
        <f t="shared" si="2"/>
        <v>0</v>
      </c>
      <c r="F143" s="524"/>
    </row>
    <row r="144" spans="1:6" customFormat="1" ht="12.75" hidden="1" outlineLevel="1" x14ac:dyDescent="0.2">
      <c r="A144" s="3"/>
      <c r="B144" s="317" t="s">
        <v>516</v>
      </c>
      <c r="C144" s="225"/>
      <c r="D144" s="586"/>
      <c r="E144" s="751">
        <f t="shared" si="2"/>
        <v>0</v>
      </c>
      <c r="F144" s="524"/>
    </row>
    <row r="145" spans="1:6" customFormat="1" ht="12.75" hidden="1" outlineLevel="1" x14ac:dyDescent="0.2">
      <c r="A145" s="3">
        <v>5165951000</v>
      </c>
      <c r="B145" s="316" t="s">
        <v>93</v>
      </c>
      <c r="C145" s="226">
        <f>+PRESUPUESTO!G146</f>
        <v>667.33500000000004</v>
      </c>
      <c r="D145" s="586"/>
      <c r="E145" s="751">
        <f t="shared" si="2"/>
        <v>667.33500000000004</v>
      </c>
      <c r="F145" s="524"/>
    </row>
    <row r="146" spans="1:6" customFormat="1" ht="12.75" hidden="1" outlineLevel="1" x14ac:dyDescent="0.2">
      <c r="A146" s="3"/>
      <c r="B146" s="317" t="s">
        <v>517</v>
      </c>
      <c r="C146" s="225"/>
      <c r="D146" s="225"/>
      <c r="E146" s="752">
        <f t="shared" si="2"/>
        <v>0</v>
      </c>
      <c r="F146" s="524"/>
    </row>
    <row r="147" spans="1:6" customFormat="1" ht="12.75" hidden="1" outlineLevel="1" x14ac:dyDescent="0.2">
      <c r="A147" s="3">
        <v>5195100000</v>
      </c>
      <c r="B147" s="207" t="s">
        <v>65</v>
      </c>
      <c r="C147" s="225">
        <f>+PRESUPUESTO!G148</f>
        <v>38.281950000000002</v>
      </c>
      <c r="D147" s="225"/>
      <c r="E147" s="752">
        <f t="shared" si="2"/>
        <v>38.281950000000002</v>
      </c>
      <c r="F147" s="524"/>
    </row>
    <row r="148" spans="1:6" customFormat="1" ht="12.75" hidden="1" outlineLevel="1" x14ac:dyDescent="0.2">
      <c r="A148" s="3">
        <v>5195200000</v>
      </c>
      <c r="B148" s="207" t="s">
        <v>66</v>
      </c>
      <c r="C148" s="226">
        <f ca="1">+PRESUPUESTO!G149</f>
        <v>11100</v>
      </c>
      <c r="D148" s="226">
        <f>(+EDUC.CONT.!N21)/1000</f>
        <v>0</v>
      </c>
      <c r="E148" s="750">
        <f t="shared" ca="1" si="2"/>
        <v>11100</v>
      </c>
      <c r="F148" s="524"/>
    </row>
    <row r="149" spans="1:6" customFormat="1" ht="12.75" hidden="1" outlineLevel="1" x14ac:dyDescent="0.2">
      <c r="A149" s="3">
        <v>5195250000</v>
      </c>
      <c r="B149" s="207" t="s">
        <v>67</v>
      </c>
      <c r="C149" s="225">
        <f>+PRESUPUESTO!G150</f>
        <v>2400.610275</v>
      </c>
      <c r="D149" s="225"/>
      <c r="E149" s="752">
        <f t="shared" si="2"/>
        <v>2400.610275</v>
      </c>
      <c r="F149" s="524"/>
    </row>
    <row r="150" spans="1:6" customFormat="1" ht="12.75" hidden="1" outlineLevel="1" x14ac:dyDescent="0.2">
      <c r="A150" s="3">
        <v>5195300000</v>
      </c>
      <c r="B150" s="207" t="s">
        <v>68</v>
      </c>
      <c r="C150" s="226">
        <f ca="1">+PRESUPUESTO!G151</f>
        <v>3919.6914750000005</v>
      </c>
      <c r="D150" s="226">
        <f>(+EDUC.CONT.!N22)/1000</f>
        <v>0</v>
      </c>
      <c r="E150" s="750">
        <f t="shared" ca="1" si="2"/>
        <v>3919.6914750000005</v>
      </c>
      <c r="F150" s="524"/>
    </row>
    <row r="151" spans="1:6" customFormat="1" ht="12.75" hidden="1" outlineLevel="1" x14ac:dyDescent="0.2">
      <c r="A151" s="3">
        <v>5195350000</v>
      </c>
      <c r="B151" s="207" t="s">
        <v>287</v>
      </c>
      <c r="C151" s="225">
        <f>+PRESUPUESTO!G152</f>
        <v>0</v>
      </c>
      <c r="D151" s="225"/>
      <c r="E151" s="752">
        <f t="shared" si="2"/>
        <v>0</v>
      </c>
      <c r="F151" s="524"/>
    </row>
    <row r="152" spans="1:6" customFormat="1" ht="12.75" hidden="1" outlineLevel="1" x14ac:dyDescent="0.2">
      <c r="A152" s="3">
        <v>5195450000</v>
      </c>
      <c r="B152" s="207" t="s">
        <v>69</v>
      </c>
      <c r="C152" s="226">
        <f ca="1">+PRESUPUESTO!G153</f>
        <v>5100</v>
      </c>
      <c r="D152" s="226">
        <f>(+EDUC.CONT.!N23)/1000</f>
        <v>0</v>
      </c>
      <c r="E152" s="750">
        <f t="shared" ca="1" si="2"/>
        <v>5100</v>
      </c>
      <c r="F152" s="524"/>
    </row>
    <row r="153" spans="1:6" customFormat="1" ht="12.75" hidden="1" outlineLevel="1" x14ac:dyDescent="0.2">
      <c r="A153" s="3">
        <v>5195500000</v>
      </c>
      <c r="B153" s="207" t="s">
        <v>332</v>
      </c>
      <c r="C153" s="225">
        <f>+PRESUPUESTO!G154</f>
        <v>0</v>
      </c>
      <c r="D153" s="225"/>
      <c r="E153" s="752">
        <f t="shared" si="2"/>
        <v>0</v>
      </c>
      <c r="F153" s="524"/>
    </row>
    <row r="154" spans="1:6" customFormat="1" ht="12.75" hidden="1" outlineLevel="1" x14ac:dyDescent="0.2">
      <c r="A154" s="3">
        <v>5195650000</v>
      </c>
      <c r="B154" s="207" t="s">
        <v>333</v>
      </c>
      <c r="C154" s="225">
        <f>+PRESUPUESTO!G155</f>
        <v>0</v>
      </c>
      <c r="D154" s="225"/>
      <c r="E154" s="752">
        <f t="shared" si="2"/>
        <v>0</v>
      </c>
      <c r="F154" s="524"/>
    </row>
    <row r="155" spans="1:6" customFormat="1" ht="12.75" hidden="1" outlineLevel="1" x14ac:dyDescent="0.2">
      <c r="A155" s="3">
        <v>5195950100</v>
      </c>
      <c r="B155" s="207" t="s">
        <v>54</v>
      </c>
      <c r="C155" s="226">
        <f ca="1">+PRESUPUESTO!G156</f>
        <v>10000</v>
      </c>
      <c r="D155" s="586"/>
      <c r="E155" s="751">
        <f t="shared" ca="1" si="2"/>
        <v>10000</v>
      </c>
      <c r="F155" s="524"/>
    </row>
    <row r="156" spans="1:6" customFormat="1" ht="12.75" hidden="1" outlineLevel="1" x14ac:dyDescent="0.2">
      <c r="A156" s="3">
        <v>5195950200</v>
      </c>
      <c r="B156" s="207" t="s">
        <v>70</v>
      </c>
      <c r="C156" s="226">
        <f ca="1">+PRESUPUESTO!G157</f>
        <v>0</v>
      </c>
      <c r="D156" s="226">
        <f>(+EDUC.CONT.!N24)/1000</f>
        <v>0</v>
      </c>
      <c r="E156" s="750">
        <f t="shared" ca="1" si="2"/>
        <v>0</v>
      </c>
      <c r="F156" s="524"/>
    </row>
    <row r="157" spans="1:6" customFormat="1" ht="12.75" hidden="1" outlineLevel="1" x14ac:dyDescent="0.2">
      <c r="A157" s="3">
        <v>5195950300</v>
      </c>
      <c r="B157" s="207" t="s">
        <v>71</v>
      </c>
      <c r="C157" s="225">
        <f>+PRESUPUESTO!G158</f>
        <v>0</v>
      </c>
      <c r="D157" s="225"/>
      <c r="E157" s="752">
        <f t="shared" si="2"/>
        <v>0</v>
      </c>
      <c r="F157" s="524"/>
    </row>
    <row r="158" spans="1:6" customFormat="1" ht="12.75" hidden="1" outlineLevel="1" x14ac:dyDescent="0.2">
      <c r="A158" s="3">
        <v>5195950400</v>
      </c>
      <c r="B158" s="207" t="s">
        <v>72</v>
      </c>
      <c r="C158" s="225">
        <f>+PRESUPUESTO!G159</f>
        <v>0</v>
      </c>
      <c r="D158" s="225"/>
      <c r="E158" s="752">
        <f t="shared" si="2"/>
        <v>0</v>
      </c>
      <c r="F158" s="524"/>
    </row>
    <row r="159" spans="1:6" customFormat="1" ht="12.75" hidden="1" outlineLevel="1" x14ac:dyDescent="0.2">
      <c r="A159" s="3">
        <v>5195950500</v>
      </c>
      <c r="B159" s="207" t="s">
        <v>334</v>
      </c>
      <c r="C159" s="225">
        <f>+PRESUPUESTO!G160</f>
        <v>0</v>
      </c>
      <c r="D159" s="225"/>
      <c r="E159" s="752">
        <f t="shared" si="2"/>
        <v>0</v>
      </c>
      <c r="F159" s="524"/>
    </row>
    <row r="160" spans="1:6" customFormat="1" ht="12.75" hidden="1" outlineLevel="1" x14ac:dyDescent="0.2">
      <c r="A160" s="3">
        <v>5195950600</v>
      </c>
      <c r="B160" s="207" t="s">
        <v>73</v>
      </c>
      <c r="C160" s="225">
        <f>+PRESUPUESTO!G161</f>
        <v>0</v>
      </c>
      <c r="D160" s="225"/>
      <c r="E160" s="752">
        <f t="shared" si="2"/>
        <v>0</v>
      </c>
      <c r="F160" s="524"/>
    </row>
    <row r="161" spans="1:6" customFormat="1" ht="12.75" hidden="1" outlineLevel="1" x14ac:dyDescent="0.2">
      <c r="A161" s="3">
        <v>5195950800</v>
      </c>
      <c r="B161" s="207" t="s">
        <v>74</v>
      </c>
      <c r="C161" s="225">
        <f>+PRESUPUESTO!G162</f>
        <v>0</v>
      </c>
      <c r="D161" s="225"/>
      <c r="E161" s="752">
        <f t="shared" si="2"/>
        <v>0</v>
      </c>
      <c r="F161" s="524"/>
    </row>
    <row r="162" spans="1:6" customFormat="1" ht="12.75" hidden="1" outlineLevel="1" x14ac:dyDescent="0.2">
      <c r="A162" s="3">
        <v>5195950900</v>
      </c>
      <c r="B162" s="207" t="s">
        <v>335</v>
      </c>
      <c r="C162" s="225">
        <f>+PRESUPUESTO!G163</f>
        <v>0</v>
      </c>
      <c r="D162" s="225"/>
      <c r="E162" s="752">
        <f t="shared" si="2"/>
        <v>0</v>
      </c>
      <c r="F162" s="524"/>
    </row>
    <row r="163" spans="1:6" customFormat="1" ht="12.75" hidden="1" outlineLevel="1" x14ac:dyDescent="0.2">
      <c r="A163" s="3">
        <v>5195951000</v>
      </c>
      <c r="B163" s="207" t="s">
        <v>75</v>
      </c>
      <c r="C163" s="225">
        <f>+PRESUPUESTO!G164</f>
        <v>0</v>
      </c>
      <c r="D163" s="225"/>
      <c r="E163" s="752">
        <f t="shared" si="2"/>
        <v>0</v>
      </c>
      <c r="F163" s="524"/>
    </row>
    <row r="164" spans="1:6" customFormat="1" ht="12.75" hidden="1" outlineLevel="1" x14ac:dyDescent="0.2">
      <c r="A164" s="3">
        <v>5195951100</v>
      </c>
      <c r="B164" s="207" t="s">
        <v>288</v>
      </c>
      <c r="C164" s="225">
        <f>+PRESUPUESTO!G165</f>
        <v>0</v>
      </c>
      <c r="D164" s="225"/>
      <c r="E164" s="752">
        <f t="shared" si="2"/>
        <v>0</v>
      </c>
      <c r="F164" s="524"/>
    </row>
    <row r="165" spans="1:6" customFormat="1" ht="12.75" hidden="1" outlineLevel="1" x14ac:dyDescent="0.2">
      <c r="A165" s="3">
        <v>5195951200</v>
      </c>
      <c r="B165" s="207" t="s">
        <v>336</v>
      </c>
      <c r="C165" s="225">
        <f>+PRESUPUESTO!G166</f>
        <v>0</v>
      </c>
      <c r="D165" s="225"/>
      <c r="E165" s="752">
        <f t="shared" si="2"/>
        <v>0</v>
      </c>
      <c r="F165" s="524"/>
    </row>
    <row r="166" spans="1:6" customFormat="1" ht="12.75" hidden="1" outlineLevel="1" x14ac:dyDescent="0.2">
      <c r="A166" s="3">
        <v>5195951300</v>
      </c>
      <c r="B166" s="207" t="s">
        <v>76</v>
      </c>
      <c r="C166" s="225">
        <f>+PRESUPUESTO!G167</f>
        <v>0</v>
      </c>
      <c r="D166" s="225"/>
      <c r="E166" s="752">
        <f t="shared" si="2"/>
        <v>0</v>
      </c>
      <c r="F166" s="524"/>
    </row>
    <row r="167" spans="1:6" customFormat="1" ht="12.75" hidden="1" outlineLevel="1" x14ac:dyDescent="0.2">
      <c r="A167" s="3">
        <v>5195951400</v>
      </c>
      <c r="B167" s="207" t="s">
        <v>337</v>
      </c>
      <c r="C167" s="225">
        <f>+PRESUPUESTO!G168</f>
        <v>0</v>
      </c>
      <c r="D167" s="225"/>
      <c r="E167" s="752">
        <f t="shared" si="2"/>
        <v>0</v>
      </c>
      <c r="F167" s="524"/>
    </row>
    <row r="168" spans="1:6" customFormat="1" ht="12.75" hidden="1" outlineLevel="1" x14ac:dyDescent="0.2">
      <c r="A168" s="3">
        <v>5195951500</v>
      </c>
      <c r="B168" s="207" t="s">
        <v>77</v>
      </c>
      <c r="C168" s="225">
        <f>+PRESUPUESTO!G169</f>
        <v>532.66499999999996</v>
      </c>
      <c r="D168" s="225"/>
      <c r="E168" s="752">
        <f t="shared" si="2"/>
        <v>532.66499999999996</v>
      </c>
      <c r="F168" s="524"/>
    </row>
    <row r="169" spans="1:6" customFormat="1" ht="12.75" hidden="1" outlineLevel="1" x14ac:dyDescent="0.2">
      <c r="A169" s="3">
        <v>5195951600</v>
      </c>
      <c r="B169" s="207" t="s">
        <v>64</v>
      </c>
      <c r="C169" s="225">
        <f ca="1">+PRESUPUESTO!G170</f>
        <v>0</v>
      </c>
      <c r="D169" s="225">
        <f>(+EDUC.CONT.!N25)/1000</f>
        <v>0</v>
      </c>
      <c r="E169" s="752">
        <f t="shared" ca="1" si="2"/>
        <v>0</v>
      </c>
      <c r="F169" s="524"/>
    </row>
    <row r="170" spans="1:6" customFormat="1" ht="12.75" hidden="1" outlineLevel="1" x14ac:dyDescent="0.2">
      <c r="A170" s="3">
        <v>5195951900</v>
      </c>
      <c r="B170" s="207" t="s">
        <v>78</v>
      </c>
      <c r="C170" s="225">
        <f>+PRESUPUESTO!G171</f>
        <v>201.60000000000002</v>
      </c>
      <c r="D170" s="225"/>
      <c r="E170" s="752">
        <f t="shared" si="2"/>
        <v>201.60000000000002</v>
      </c>
      <c r="F170" s="524"/>
    </row>
    <row r="171" spans="1:6" customFormat="1" ht="12.75" hidden="1" outlineLevel="1" x14ac:dyDescent="0.2">
      <c r="A171" s="3">
        <v>5195952000</v>
      </c>
      <c r="B171" s="207" t="s">
        <v>338</v>
      </c>
      <c r="C171" s="225">
        <f>+PRESUPUESTO!G172</f>
        <v>0</v>
      </c>
      <c r="D171" s="225"/>
      <c r="E171" s="752">
        <f t="shared" si="2"/>
        <v>0</v>
      </c>
      <c r="F171" s="524"/>
    </row>
    <row r="172" spans="1:6" customFormat="1" ht="12.75" hidden="1" outlineLevel="1" x14ac:dyDescent="0.2">
      <c r="A172" s="3">
        <v>5195952800</v>
      </c>
      <c r="B172" s="316" t="s">
        <v>518</v>
      </c>
      <c r="C172" s="225">
        <f>+PRESUPUESTO!G173</f>
        <v>0</v>
      </c>
      <c r="D172" s="225"/>
      <c r="E172" s="752">
        <f t="shared" si="2"/>
        <v>0</v>
      </c>
      <c r="F172" s="524"/>
    </row>
    <row r="173" spans="1:6" customFormat="1" ht="12.75" hidden="1" outlineLevel="1" x14ac:dyDescent="0.2">
      <c r="A173" s="3">
        <v>5195953000</v>
      </c>
      <c r="B173" s="207" t="s">
        <v>339</v>
      </c>
      <c r="C173" s="225">
        <f>+PRESUPUESTO!G175</f>
        <v>0</v>
      </c>
      <c r="D173" s="225"/>
      <c r="E173" s="752">
        <f t="shared" si="2"/>
        <v>0</v>
      </c>
      <c r="F173" s="524"/>
    </row>
    <row r="174" spans="1:6" customFormat="1" ht="12.75" collapsed="1" x14ac:dyDescent="0.2">
      <c r="A174" s="176"/>
      <c r="B174" s="213" t="s">
        <v>79</v>
      </c>
      <c r="C174" s="214">
        <f ca="1">SUM(C78:C173)</f>
        <v>101829.03370000001</v>
      </c>
      <c r="D174" s="214">
        <f>SUM(D78:D173)</f>
        <v>0</v>
      </c>
      <c r="E174" s="755">
        <f t="shared" ca="1" si="2"/>
        <v>101829.03370000001</v>
      </c>
      <c r="F174" s="524"/>
    </row>
    <row r="175" spans="1:6" customFormat="1" ht="12.75" x14ac:dyDescent="0.2">
      <c r="A175" s="176"/>
      <c r="B175" s="209" t="s">
        <v>340</v>
      </c>
      <c r="C175" s="210">
        <f ca="1">+C61+C72+C174+C75</f>
        <v>2229839.6378537952</v>
      </c>
      <c r="D175" s="210">
        <f>+D61+D72+D174+D75</f>
        <v>0</v>
      </c>
      <c r="E175" s="753">
        <f t="shared" ca="1" si="2"/>
        <v>2229839.6378537952</v>
      </c>
      <c r="F175" s="524"/>
    </row>
    <row r="176" spans="1:6" customFormat="1" ht="12.75" x14ac:dyDescent="0.2">
      <c r="A176" s="176"/>
      <c r="B176" s="212" t="s">
        <v>341</v>
      </c>
      <c r="C176" s="225" t="s">
        <v>169</v>
      </c>
      <c r="D176" s="225"/>
      <c r="E176" s="752"/>
      <c r="F176" s="524"/>
    </row>
    <row r="177" spans="1:6" customFormat="1" ht="12.75" outlineLevel="1" x14ac:dyDescent="0.2">
      <c r="A177" s="176"/>
      <c r="B177" s="212" t="s">
        <v>85</v>
      </c>
      <c r="C177" s="225" t="s">
        <v>169</v>
      </c>
      <c r="D177" s="225"/>
      <c r="E177" s="752"/>
      <c r="F177" s="524"/>
    </row>
    <row r="178" spans="1:6" customFormat="1" ht="12.75" outlineLevel="1" x14ac:dyDescent="0.2">
      <c r="A178" s="176" t="s">
        <v>342</v>
      </c>
      <c r="B178" s="207" t="s">
        <v>343</v>
      </c>
      <c r="C178" s="225">
        <f>+PRESUPUESTO!G180</f>
        <v>0</v>
      </c>
      <c r="D178" s="225"/>
      <c r="E178" s="752">
        <f t="shared" si="2"/>
        <v>0</v>
      </c>
      <c r="F178" s="524"/>
    </row>
    <row r="179" spans="1:6" customFormat="1" ht="12.75" outlineLevel="1" x14ac:dyDescent="0.2">
      <c r="A179" s="176" t="s">
        <v>594</v>
      </c>
      <c r="B179" s="207" t="s">
        <v>595</v>
      </c>
      <c r="C179" s="225">
        <f>+PRESUPUESTO!G181</f>
        <v>0</v>
      </c>
      <c r="D179" s="225"/>
      <c r="E179" s="752">
        <f t="shared" si="2"/>
        <v>0</v>
      </c>
      <c r="F179" s="524"/>
    </row>
    <row r="180" spans="1:6" customFormat="1" ht="12.75" outlineLevel="1" x14ac:dyDescent="0.2">
      <c r="A180" s="177" t="s">
        <v>86</v>
      </c>
      <c r="B180" s="207" t="s">
        <v>87</v>
      </c>
      <c r="C180" s="225">
        <f>+PRESUPUESTO!G184</f>
        <v>2976.6948749999997</v>
      </c>
      <c r="D180" s="225"/>
      <c r="E180" s="752">
        <f t="shared" si="2"/>
        <v>2976.6948749999997</v>
      </c>
      <c r="F180" s="524"/>
    </row>
    <row r="181" spans="1:6" customFormat="1" ht="12.75" outlineLevel="1" x14ac:dyDescent="0.2">
      <c r="A181" s="177" t="s">
        <v>88</v>
      </c>
      <c r="B181" s="207" t="s">
        <v>89</v>
      </c>
      <c r="C181" s="225">
        <f>+PRESUPUESTO!G185</f>
        <v>7706.5695000000005</v>
      </c>
      <c r="D181" s="225"/>
      <c r="E181" s="752">
        <f t="shared" si="2"/>
        <v>7706.5695000000005</v>
      </c>
      <c r="F181" s="524"/>
    </row>
    <row r="182" spans="1:6" customFormat="1" ht="12.75" outlineLevel="1" x14ac:dyDescent="0.2">
      <c r="A182" s="177" t="s">
        <v>90</v>
      </c>
      <c r="B182" s="207" t="s">
        <v>91</v>
      </c>
      <c r="C182" s="225">
        <f>+PRESUPUESTO!G186</f>
        <v>9955.545075</v>
      </c>
      <c r="D182" s="225"/>
      <c r="E182" s="752">
        <f t="shared" si="2"/>
        <v>9955.545075</v>
      </c>
      <c r="F182" s="524"/>
    </row>
    <row r="183" spans="1:6" customFormat="1" ht="12.75" outlineLevel="1" x14ac:dyDescent="0.2">
      <c r="A183" s="177" t="s">
        <v>92</v>
      </c>
      <c r="B183" s="207" t="s">
        <v>93</v>
      </c>
      <c r="C183" s="225">
        <f>+PRESUPUESTO!G187</f>
        <v>18433.878749999996</v>
      </c>
      <c r="D183" s="225"/>
      <c r="E183" s="752">
        <f t="shared" si="2"/>
        <v>18433.878749999996</v>
      </c>
      <c r="F183" s="524"/>
    </row>
    <row r="184" spans="1:6" customFormat="1" ht="12.75" outlineLevel="1" x14ac:dyDescent="0.2">
      <c r="A184" s="177" t="s">
        <v>94</v>
      </c>
      <c r="B184" s="207" t="s">
        <v>95</v>
      </c>
      <c r="C184" s="225">
        <f>+PRESUPUESTO!G188</f>
        <v>47859.479325</v>
      </c>
      <c r="D184" s="225"/>
      <c r="E184" s="752">
        <f t="shared" si="2"/>
        <v>47859.479325</v>
      </c>
      <c r="F184" s="524"/>
    </row>
    <row r="185" spans="1:6" customFormat="1" ht="12.75" outlineLevel="1" x14ac:dyDescent="0.2">
      <c r="A185" s="177" t="s">
        <v>344</v>
      </c>
      <c r="B185" s="207" t="s">
        <v>345</v>
      </c>
      <c r="C185" s="225">
        <f>+PRESUPUESTO!G189</f>
        <v>0</v>
      </c>
      <c r="D185" s="225"/>
      <c r="E185" s="752">
        <f t="shared" si="2"/>
        <v>0</v>
      </c>
      <c r="F185" s="524"/>
    </row>
    <row r="186" spans="1:6" customFormat="1" ht="12.75" outlineLevel="1" x14ac:dyDescent="0.2">
      <c r="A186" s="177" t="s">
        <v>96</v>
      </c>
      <c r="B186" s="207" t="s">
        <v>97</v>
      </c>
      <c r="C186" s="225">
        <f>+PRESUPUESTO!G190</f>
        <v>29905.021124999996</v>
      </c>
      <c r="D186" s="225"/>
      <c r="E186" s="752">
        <f t="shared" si="2"/>
        <v>29905.021124999996</v>
      </c>
      <c r="F186" s="524"/>
    </row>
    <row r="187" spans="1:6" customFormat="1" ht="12.75" outlineLevel="1" x14ac:dyDescent="0.2">
      <c r="A187" s="177" t="s">
        <v>346</v>
      </c>
      <c r="B187" s="207" t="s">
        <v>347</v>
      </c>
      <c r="C187" s="225">
        <f>+PRESUPUESTO!G191</f>
        <v>0</v>
      </c>
      <c r="D187" s="225"/>
      <c r="E187" s="752">
        <f t="shared" si="2"/>
        <v>0</v>
      </c>
      <c r="F187" s="524"/>
    </row>
    <row r="188" spans="1:6" customFormat="1" ht="12.75" outlineLevel="1" x14ac:dyDescent="0.2">
      <c r="A188" s="177" t="s">
        <v>348</v>
      </c>
      <c r="B188" s="207" t="s">
        <v>349</v>
      </c>
      <c r="C188" s="225">
        <f>+PRESUPUESTO!G192</f>
        <v>0</v>
      </c>
      <c r="D188" s="225"/>
      <c r="E188" s="752">
        <f t="shared" si="2"/>
        <v>0</v>
      </c>
      <c r="F188" s="524"/>
    </row>
    <row r="189" spans="1:6" customFormat="1" ht="12.75" outlineLevel="1" x14ac:dyDescent="0.2">
      <c r="A189" s="177" t="s">
        <v>98</v>
      </c>
      <c r="B189" s="207" t="s">
        <v>99</v>
      </c>
      <c r="C189" s="225">
        <f>+PRESUPUESTO!G193</f>
        <v>0</v>
      </c>
      <c r="D189" s="225"/>
      <c r="E189" s="752">
        <f t="shared" si="2"/>
        <v>0</v>
      </c>
      <c r="F189" s="524"/>
    </row>
    <row r="190" spans="1:6" customFormat="1" ht="12.75" outlineLevel="1" x14ac:dyDescent="0.2">
      <c r="A190" s="177" t="s">
        <v>100</v>
      </c>
      <c r="B190" s="207" t="s">
        <v>101</v>
      </c>
      <c r="C190" s="225">
        <f>+PRESUPUESTO!G194</f>
        <v>27965.991375000005</v>
      </c>
      <c r="D190" s="225"/>
      <c r="E190" s="752">
        <f t="shared" si="2"/>
        <v>27965.991375000005</v>
      </c>
      <c r="F190" s="524"/>
    </row>
    <row r="191" spans="1:6" customFormat="1" ht="12.75" outlineLevel="1" x14ac:dyDescent="0.2">
      <c r="A191" s="177" t="s">
        <v>102</v>
      </c>
      <c r="B191" s="207" t="s">
        <v>103</v>
      </c>
      <c r="C191" s="225">
        <f>+PRESUPUESTO!G195</f>
        <v>13712.324850000001</v>
      </c>
      <c r="D191" s="225"/>
      <c r="E191" s="752">
        <f t="shared" si="2"/>
        <v>13712.324850000001</v>
      </c>
      <c r="F191" s="524"/>
    </row>
    <row r="192" spans="1:6" customFormat="1" ht="12.75" outlineLevel="1" x14ac:dyDescent="0.2">
      <c r="A192" s="177" t="s">
        <v>104</v>
      </c>
      <c r="B192" s="207" t="s">
        <v>105</v>
      </c>
      <c r="C192" s="225">
        <f>+PRESUPUESTO!G196</f>
        <v>37508.654925000003</v>
      </c>
      <c r="D192" s="225"/>
      <c r="E192" s="752">
        <f t="shared" si="2"/>
        <v>37508.654925000003</v>
      </c>
      <c r="F192" s="524"/>
    </row>
    <row r="193" spans="1:6" customFormat="1" ht="12.75" outlineLevel="1" x14ac:dyDescent="0.2">
      <c r="A193" s="177" t="s">
        <v>106</v>
      </c>
      <c r="B193" s="207" t="s">
        <v>107</v>
      </c>
      <c r="C193" s="225">
        <f>+PRESUPUESTO!G197</f>
        <v>0</v>
      </c>
      <c r="D193" s="225"/>
      <c r="E193" s="752">
        <f t="shared" si="2"/>
        <v>0</v>
      </c>
      <c r="F193" s="524"/>
    </row>
    <row r="194" spans="1:6" customFormat="1" ht="12.75" outlineLevel="1" x14ac:dyDescent="0.2">
      <c r="A194" s="177" t="s">
        <v>350</v>
      </c>
      <c r="B194" s="207" t="s">
        <v>351</v>
      </c>
      <c r="C194" s="225">
        <f>+PRESUPUESTO!G198</f>
        <v>0</v>
      </c>
      <c r="D194" s="225"/>
      <c r="E194" s="752">
        <f t="shared" si="2"/>
        <v>0</v>
      </c>
      <c r="F194" s="524"/>
    </row>
    <row r="195" spans="1:6" customFormat="1" ht="12.75" outlineLevel="1" x14ac:dyDescent="0.2">
      <c r="A195" s="177" t="s">
        <v>352</v>
      </c>
      <c r="B195" s="207" t="s">
        <v>353</v>
      </c>
      <c r="C195" s="225">
        <f>+PRESUPUESTO!G199</f>
        <v>0</v>
      </c>
      <c r="D195" s="225"/>
      <c r="E195" s="752">
        <f t="shared" si="2"/>
        <v>0</v>
      </c>
      <c r="F195" s="524"/>
    </row>
    <row r="196" spans="1:6" customFormat="1" ht="12.75" outlineLevel="1" x14ac:dyDescent="0.2">
      <c r="A196" s="177" t="s">
        <v>354</v>
      </c>
      <c r="B196" s="207" t="s">
        <v>355</v>
      </c>
      <c r="C196" s="225">
        <f>+PRESUPUESTO!G200</f>
        <v>0</v>
      </c>
      <c r="D196" s="225"/>
      <c r="E196" s="752">
        <f t="shared" si="2"/>
        <v>0</v>
      </c>
      <c r="F196" s="524"/>
    </row>
    <row r="197" spans="1:6" customFormat="1" ht="12.75" outlineLevel="1" x14ac:dyDescent="0.2">
      <c r="A197" s="177" t="s">
        <v>108</v>
      </c>
      <c r="B197" s="207" t="s">
        <v>109</v>
      </c>
      <c r="C197" s="225">
        <f>+PRESUPUESTO!G201</f>
        <v>0</v>
      </c>
      <c r="D197" s="225"/>
      <c r="E197" s="752">
        <f t="shared" si="2"/>
        <v>0</v>
      </c>
      <c r="F197" s="524"/>
    </row>
    <row r="198" spans="1:6" customFormat="1" ht="12.75" outlineLevel="1" x14ac:dyDescent="0.2">
      <c r="A198" s="177" t="s">
        <v>110</v>
      </c>
      <c r="B198" s="207" t="s">
        <v>111</v>
      </c>
      <c r="C198" s="225">
        <f>+PRESUPUESTO!G202</f>
        <v>0</v>
      </c>
      <c r="D198" s="225"/>
      <c r="E198" s="752">
        <f t="shared" si="2"/>
        <v>0</v>
      </c>
      <c r="F198" s="524"/>
    </row>
    <row r="199" spans="1:6" customFormat="1" ht="12.75" outlineLevel="1" x14ac:dyDescent="0.2">
      <c r="A199" s="177" t="s">
        <v>112</v>
      </c>
      <c r="B199" s="207" t="s">
        <v>356</v>
      </c>
      <c r="C199" s="225">
        <f>+PRESUPUESTO!G203</f>
        <v>0</v>
      </c>
      <c r="D199" s="225"/>
      <c r="E199" s="752">
        <f t="shared" si="2"/>
        <v>0</v>
      </c>
      <c r="F199" s="524"/>
    </row>
    <row r="200" spans="1:6" customFormat="1" ht="12.75" outlineLevel="1" x14ac:dyDescent="0.2">
      <c r="A200" s="177" t="s">
        <v>289</v>
      </c>
      <c r="B200" s="207" t="s">
        <v>357</v>
      </c>
      <c r="C200" s="225">
        <f>+PRESUPUESTO!G204</f>
        <v>0</v>
      </c>
      <c r="D200" s="225"/>
      <c r="E200" s="752">
        <f t="shared" si="2"/>
        <v>0</v>
      </c>
      <c r="F200" s="524"/>
    </row>
    <row r="201" spans="1:6" customFormat="1" ht="12.75" outlineLevel="1" x14ac:dyDescent="0.2">
      <c r="A201" s="177" t="s">
        <v>358</v>
      </c>
      <c r="B201" s="207" t="s">
        <v>359</v>
      </c>
      <c r="C201" s="225">
        <f>+PRESUPUESTO!G205</f>
        <v>0</v>
      </c>
      <c r="D201" s="225"/>
      <c r="E201" s="752">
        <f t="shared" ref="E201:E264" si="3">+C201+D201</f>
        <v>0</v>
      </c>
      <c r="F201" s="524"/>
    </row>
    <row r="202" spans="1:6" customFormat="1" ht="12.75" outlineLevel="1" x14ac:dyDescent="0.2">
      <c r="A202" s="177" t="s">
        <v>360</v>
      </c>
      <c r="B202" s="207" t="s">
        <v>361</v>
      </c>
      <c r="C202" s="225">
        <f>+PRESUPUESTO!G206</f>
        <v>0</v>
      </c>
      <c r="D202" s="225"/>
      <c r="E202" s="752">
        <f t="shared" si="3"/>
        <v>0</v>
      </c>
      <c r="F202" s="524"/>
    </row>
    <row r="203" spans="1:6" customFormat="1" ht="12.75" outlineLevel="1" x14ac:dyDescent="0.2">
      <c r="A203" s="177" t="s">
        <v>426</v>
      </c>
      <c r="B203" s="207" t="s">
        <v>427</v>
      </c>
      <c r="C203" s="225">
        <f>+PRESUPUESTO!G207</f>
        <v>0</v>
      </c>
      <c r="D203" s="225"/>
      <c r="E203" s="752">
        <f t="shared" si="3"/>
        <v>0</v>
      </c>
      <c r="F203" s="524"/>
    </row>
    <row r="204" spans="1:6" customFormat="1" ht="12.75" outlineLevel="1" x14ac:dyDescent="0.2">
      <c r="A204" s="177" t="s">
        <v>777</v>
      </c>
      <c r="B204" s="207" t="s">
        <v>778</v>
      </c>
      <c r="C204" s="225">
        <f>+PRESUPUESTO!G208</f>
        <v>33180</v>
      </c>
      <c r="D204" s="225"/>
      <c r="E204" s="752">
        <f t="shared" si="3"/>
        <v>33180</v>
      </c>
      <c r="F204" s="524"/>
    </row>
    <row r="205" spans="1:6" customFormat="1" ht="12.75" outlineLevel="1" x14ac:dyDescent="0.2">
      <c r="A205" s="177" t="s">
        <v>779</v>
      </c>
      <c r="B205" s="207" t="s">
        <v>780</v>
      </c>
      <c r="C205" s="225">
        <f>+PRESUPUESTO!G209</f>
        <v>383.25</v>
      </c>
      <c r="D205" s="225"/>
      <c r="E205" s="752">
        <f t="shared" si="3"/>
        <v>383.25</v>
      </c>
      <c r="F205" s="524"/>
    </row>
    <row r="206" spans="1:6" customFormat="1" ht="12.75" outlineLevel="1" x14ac:dyDescent="0.2">
      <c r="A206" s="177" t="s">
        <v>260</v>
      </c>
      <c r="B206" s="207" t="s">
        <v>362</v>
      </c>
      <c r="C206" s="225">
        <f>+PRESUPUESTO!G213</f>
        <v>125632.5</v>
      </c>
      <c r="D206" s="225"/>
      <c r="E206" s="752">
        <f t="shared" si="3"/>
        <v>125632.5</v>
      </c>
      <c r="F206" s="524"/>
    </row>
    <row r="207" spans="1:6" customFormat="1" ht="12.75" outlineLevel="1" x14ac:dyDescent="0.2">
      <c r="A207" s="177" t="s">
        <v>421</v>
      </c>
      <c r="B207" s="207" t="s">
        <v>422</v>
      </c>
      <c r="C207" s="225">
        <f>+PRESUPUESTO!G214</f>
        <v>28140</v>
      </c>
      <c r="D207" s="225"/>
      <c r="E207" s="752">
        <f t="shared" si="3"/>
        <v>28140</v>
      </c>
      <c r="F207" s="524"/>
    </row>
    <row r="208" spans="1:6" customFormat="1" ht="12.75" outlineLevel="1" x14ac:dyDescent="0.2">
      <c r="A208" s="320" t="s">
        <v>522</v>
      </c>
      <c r="B208" s="207" t="s">
        <v>523</v>
      </c>
      <c r="C208" s="225">
        <f>+PRESUPUESTO!G215</f>
        <v>0</v>
      </c>
      <c r="D208" s="225"/>
      <c r="E208" s="752">
        <f t="shared" si="3"/>
        <v>0</v>
      </c>
      <c r="F208" s="524"/>
    </row>
    <row r="209" spans="1:6" customFormat="1" ht="12.75" outlineLevel="1" x14ac:dyDescent="0.2">
      <c r="A209" s="320" t="s">
        <v>586</v>
      </c>
      <c r="B209" s="207" t="s">
        <v>587</v>
      </c>
      <c r="C209" s="225">
        <f>+PRESUPUESTO!G216</f>
        <v>263857.54814999993</v>
      </c>
      <c r="D209" s="225"/>
      <c r="E209" s="752">
        <f t="shared" si="3"/>
        <v>263857.54814999993</v>
      </c>
      <c r="F209" s="524"/>
    </row>
    <row r="210" spans="1:6" customFormat="1" ht="12.75" outlineLevel="1" x14ac:dyDescent="0.2">
      <c r="A210" s="320" t="s">
        <v>588</v>
      </c>
      <c r="B210" s="207" t="s">
        <v>590</v>
      </c>
      <c r="C210" s="225">
        <f>+PRESUPUESTO!G217</f>
        <v>394380</v>
      </c>
      <c r="D210" s="225"/>
      <c r="E210" s="752">
        <f t="shared" si="3"/>
        <v>394380</v>
      </c>
      <c r="F210" s="524"/>
    </row>
    <row r="211" spans="1:6" customFormat="1" ht="12.75" outlineLevel="1" x14ac:dyDescent="0.2">
      <c r="A211" s="320" t="s">
        <v>591</v>
      </c>
      <c r="B211" s="207" t="s">
        <v>589</v>
      </c>
      <c r="C211" s="225">
        <f>+PRESUPUESTO!G220</f>
        <v>117270.02139999997</v>
      </c>
      <c r="D211" s="225"/>
      <c r="E211" s="752">
        <f t="shared" si="3"/>
        <v>117270.02139999997</v>
      </c>
      <c r="F211" s="524"/>
    </row>
    <row r="212" spans="1:6" customFormat="1" ht="12.75" outlineLevel="1" x14ac:dyDescent="0.2">
      <c r="A212" s="177" t="s">
        <v>593</v>
      </c>
      <c r="B212" s="207" t="s">
        <v>592</v>
      </c>
      <c r="C212" s="225">
        <f>+PRESUPUESTO!G222</f>
        <v>0</v>
      </c>
      <c r="D212" s="225"/>
      <c r="E212" s="752">
        <f t="shared" si="3"/>
        <v>0</v>
      </c>
      <c r="F212" s="524"/>
    </row>
    <row r="213" spans="1:6" customFormat="1" ht="12.75" outlineLevel="1" x14ac:dyDescent="0.2">
      <c r="A213" s="177" t="s">
        <v>423</v>
      </c>
      <c r="B213" s="207" t="s">
        <v>424</v>
      </c>
      <c r="C213" s="225">
        <f>+PRESUPUESTO!G224</f>
        <v>13230</v>
      </c>
      <c r="D213" s="225"/>
      <c r="E213" s="752">
        <f t="shared" si="3"/>
        <v>13230</v>
      </c>
      <c r="F213" s="524"/>
    </row>
    <row r="214" spans="1:6" customFormat="1" ht="12.75" x14ac:dyDescent="0.2">
      <c r="A214" s="177"/>
      <c r="B214" s="213" t="s">
        <v>113</v>
      </c>
      <c r="C214" s="214">
        <f>SUM(C178:C213)</f>
        <v>1172097.4793499999</v>
      </c>
      <c r="D214" s="214">
        <f>SUM(D178:D213)</f>
        <v>0</v>
      </c>
      <c r="E214" s="755">
        <f t="shared" si="3"/>
        <v>1172097.4793499999</v>
      </c>
      <c r="F214" s="524"/>
    </row>
    <row r="215" spans="1:6" customFormat="1" ht="12.75" hidden="1" outlineLevel="1" x14ac:dyDescent="0.2">
      <c r="A215" s="177"/>
      <c r="B215" s="212" t="s">
        <v>114</v>
      </c>
      <c r="C215" s="208" t="s">
        <v>169</v>
      </c>
      <c r="D215" s="208"/>
      <c r="E215" s="754"/>
      <c r="F215" s="524"/>
    </row>
    <row r="216" spans="1:6" customFormat="1" ht="12.75" hidden="1" outlineLevel="1" x14ac:dyDescent="0.2">
      <c r="A216" s="177" t="s">
        <v>115</v>
      </c>
      <c r="B216" s="207" t="s">
        <v>116</v>
      </c>
      <c r="C216" s="225">
        <f>+PRESUPUESTO!G227</f>
        <v>4601.8806750000003</v>
      </c>
      <c r="D216" s="225"/>
      <c r="E216" s="752">
        <f t="shared" si="3"/>
        <v>4601.8806750000003</v>
      </c>
      <c r="F216" s="524"/>
    </row>
    <row r="217" spans="1:6" customFormat="1" ht="12.75" hidden="1" outlineLevel="1" x14ac:dyDescent="0.2">
      <c r="A217" s="177" t="s">
        <v>117</v>
      </c>
      <c r="B217" s="207" t="s">
        <v>118</v>
      </c>
      <c r="C217" s="225">
        <f>+PRESUPUESTO!G228</f>
        <v>561.00397499999997</v>
      </c>
      <c r="D217" s="225"/>
      <c r="E217" s="752">
        <f t="shared" si="3"/>
        <v>561.00397499999997</v>
      </c>
      <c r="F217" s="524"/>
    </row>
    <row r="218" spans="1:6" customFormat="1" ht="12.75" hidden="1" outlineLevel="1" x14ac:dyDescent="0.2">
      <c r="A218" s="177" t="s">
        <v>119</v>
      </c>
      <c r="B218" s="207" t="s">
        <v>120</v>
      </c>
      <c r="C218" s="225">
        <f>+PRESUPUESTO!G229</f>
        <v>6846.2320500000005</v>
      </c>
      <c r="D218" s="225"/>
      <c r="E218" s="752">
        <f t="shared" si="3"/>
        <v>6846.2320500000005</v>
      </c>
      <c r="F218" s="524"/>
    </row>
    <row r="219" spans="1:6" customFormat="1" ht="12.75" hidden="1" outlineLevel="1" x14ac:dyDescent="0.2">
      <c r="A219" s="177" t="s">
        <v>121</v>
      </c>
      <c r="B219" s="207" t="s">
        <v>122</v>
      </c>
      <c r="C219" s="225">
        <f>+PRESUPUESTO!G230</f>
        <v>2976.049125</v>
      </c>
      <c r="D219" s="225"/>
      <c r="E219" s="752">
        <f t="shared" si="3"/>
        <v>2976.049125</v>
      </c>
      <c r="F219" s="524"/>
    </row>
    <row r="220" spans="1:6" customFormat="1" ht="12.75" hidden="1" outlineLevel="1" x14ac:dyDescent="0.2">
      <c r="A220" s="177" t="s">
        <v>123</v>
      </c>
      <c r="B220" s="207" t="s">
        <v>124</v>
      </c>
      <c r="C220" s="225">
        <f>+PRESUPUESTO!G231</f>
        <v>7415.9520750000001</v>
      </c>
      <c r="D220" s="225"/>
      <c r="E220" s="752">
        <f t="shared" si="3"/>
        <v>7415.9520750000001</v>
      </c>
      <c r="F220" s="524"/>
    </row>
    <row r="221" spans="1:6" customFormat="1" ht="12.75" hidden="1" outlineLevel="1" x14ac:dyDescent="0.2">
      <c r="A221" s="177" t="s">
        <v>125</v>
      </c>
      <c r="B221" s="207" t="s">
        <v>126</v>
      </c>
      <c r="C221" s="225">
        <f>+PRESUPUESTO!G232</f>
        <v>3081.4150500000001</v>
      </c>
      <c r="D221" s="225"/>
      <c r="E221" s="752">
        <f t="shared" si="3"/>
        <v>3081.4150500000001</v>
      </c>
      <c r="F221" s="524"/>
    </row>
    <row r="222" spans="1:6" customFormat="1" ht="12.75" hidden="1" outlineLevel="1" x14ac:dyDescent="0.2">
      <c r="A222" s="177" t="s">
        <v>127</v>
      </c>
      <c r="B222" s="207" t="s">
        <v>128</v>
      </c>
      <c r="C222" s="225">
        <f>+PRESUPUESTO!G233</f>
        <v>14750.583750000002</v>
      </c>
      <c r="D222" s="225"/>
      <c r="E222" s="752">
        <f t="shared" si="3"/>
        <v>14750.583750000002</v>
      </c>
      <c r="F222" s="524"/>
    </row>
    <row r="223" spans="1:6" customFormat="1" ht="12.75" hidden="1" outlineLevel="1" x14ac:dyDescent="0.2">
      <c r="A223" s="177" t="s">
        <v>129</v>
      </c>
      <c r="B223" s="207" t="s">
        <v>130</v>
      </c>
      <c r="C223" s="225">
        <f>+PRESUPUESTO!G234</f>
        <v>13386.999150000001</v>
      </c>
      <c r="D223" s="225"/>
      <c r="E223" s="752">
        <f t="shared" si="3"/>
        <v>13386.999150000001</v>
      </c>
      <c r="F223" s="524"/>
    </row>
    <row r="224" spans="1:6" customFormat="1" ht="12.75" hidden="1" outlineLevel="1" x14ac:dyDescent="0.2">
      <c r="A224" s="177" t="s">
        <v>131</v>
      </c>
      <c r="B224" s="207" t="s">
        <v>132</v>
      </c>
      <c r="C224" s="225">
        <f>+PRESUPUESTO!G235</f>
        <v>16121.296800000002</v>
      </c>
      <c r="D224" s="225"/>
      <c r="E224" s="752">
        <f t="shared" si="3"/>
        <v>16121.296800000002</v>
      </c>
      <c r="F224" s="524"/>
    </row>
    <row r="225" spans="1:6" customFormat="1" ht="12.75" hidden="1" outlineLevel="1" x14ac:dyDescent="0.2">
      <c r="A225" s="177" t="s">
        <v>363</v>
      </c>
      <c r="B225" s="207" t="s">
        <v>364</v>
      </c>
      <c r="C225" s="225">
        <f>+PRESUPUESTO!G236</f>
        <v>60995.55</v>
      </c>
      <c r="D225" s="225"/>
      <c r="E225" s="752">
        <f t="shared" si="3"/>
        <v>60995.55</v>
      </c>
      <c r="F225" s="524"/>
    </row>
    <row r="226" spans="1:6" customFormat="1" ht="12.75" hidden="1" outlineLevel="1" x14ac:dyDescent="0.2">
      <c r="A226" s="177" t="s">
        <v>365</v>
      </c>
      <c r="B226" s="207" t="s">
        <v>366</v>
      </c>
      <c r="C226" s="225">
        <f>+PRESUPUESTO!G237</f>
        <v>17653.189050000001</v>
      </c>
      <c r="D226" s="225"/>
      <c r="E226" s="752">
        <f t="shared" si="3"/>
        <v>17653.189050000001</v>
      </c>
      <c r="F226" s="524"/>
    </row>
    <row r="227" spans="1:6" customFormat="1" ht="12.75" hidden="1" outlineLevel="1" x14ac:dyDescent="0.2">
      <c r="A227" s="177" t="s">
        <v>367</v>
      </c>
      <c r="B227" s="207" t="s">
        <v>368</v>
      </c>
      <c r="C227" s="225">
        <f>+PRESUPUESTO!G238</f>
        <v>8345.7990000000009</v>
      </c>
      <c r="D227" s="225"/>
      <c r="E227" s="752">
        <f t="shared" si="3"/>
        <v>8345.7990000000009</v>
      </c>
      <c r="F227" s="524"/>
    </row>
    <row r="228" spans="1:6" customFormat="1" ht="12.75" hidden="1" outlineLevel="1" x14ac:dyDescent="0.2">
      <c r="A228" s="177" t="s">
        <v>133</v>
      </c>
      <c r="B228" s="207" t="s">
        <v>134</v>
      </c>
      <c r="C228" s="225">
        <f>+PRESUPUESTO!G239</f>
        <v>0</v>
      </c>
      <c r="D228" s="225"/>
      <c r="E228" s="752">
        <f t="shared" si="3"/>
        <v>0</v>
      </c>
      <c r="F228" s="524"/>
    </row>
    <row r="229" spans="1:6" customFormat="1" ht="12.75" hidden="1" outlineLevel="1" x14ac:dyDescent="0.2">
      <c r="A229" s="177" t="s">
        <v>135</v>
      </c>
      <c r="B229" s="207" t="s">
        <v>136</v>
      </c>
      <c r="C229" s="225">
        <f>+PRESUPUESTO!G240</f>
        <v>417846.45</v>
      </c>
      <c r="D229" s="225"/>
      <c r="E229" s="752">
        <f t="shared" si="3"/>
        <v>417846.45</v>
      </c>
      <c r="F229" s="524"/>
    </row>
    <row r="230" spans="1:6" customFormat="1" ht="12.75" hidden="1" outlineLevel="1" x14ac:dyDescent="0.2">
      <c r="A230" s="177" t="s">
        <v>137</v>
      </c>
      <c r="B230" s="207" t="s">
        <v>138</v>
      </c>
      <c r="C230" s="225">
        <f>+PRESUPUESTO!G241</f>
        <v>6982.4191500000006</v>
      </c>
      <c r="D230" s="225"/>
      <c r="E230" s="752">
        <f t="shared" si="3"/>
        <v>6982.4191500000006</v>
      </c>
      <c r="F230" s="524"/>
    </row>
    <row r="231" spans="1:6" customFormat="1" ht="12.75" hidden="1" outlineLevel="1" x14ac:dyDescent="0.2">
      <c r="A231" s="177" t="s">
        <v>139</v>
      </c>
      <c r="B231" s="207" t="s">
        <v>140</v>
      </c>
      <c r="C231" s="225">
        <f>+PRESUPUESTO!G242</f>
        <v>20856.184650000003</v>
      </c>
      <c r="D231" s="225"/>
      <c r="E231" s="752">
        <f t="shared" si="3"/>
        <v>20856.184650000003</v>
      </c>
      <c r="F231" s="524"/>
    </row>
    <row r="232" spans="1:6" customFormat="1" ht="12.75" hidden="1" outlineLevel="1" x14ac:dyDescent="0.2">
      <c r="A232" s="177" t="s">
        <v>141</v>
      </c>
      <c r="B232" s="207" t="s">
        <v>142</v>
      </c>
      <c r="C232" s="225">
        <f>+PRESUPUESTO!G243</f>
        <v>9516.800475</v>
      </c>
      <c r="D232" s="225"/>
      <c r="E232" s="752">
        <f t="shared" si="3"/>
        <v>9516.800475</v>
      </c>
      <c r="F232" s="524"/>
    </row>
    <row r="233" spans="1:6" customFormat="1" ht="12.75" hidden="1" outlineLevel="1" x14ac:dyDescent="0.2">
      <c r="A233" s="177" t="s">
        <v>143</v>
      </c>
      <c r="B233" s="207" t="s">
        <v>144</v>
      </c>
      <c r="C233" s="225">
        <f>+PRESUPUESTO!G244</f>
        <v>18.550350000000002</v>
      </c>
      <c r="D233" s="225"/>
      <c r="E233" s="752">
        <f t="shared" si="3"/>
        <v>18.550350000000002</v>
      </c>
      <c r="F233" s="524"/>
    </row>
    <row r="234" spans="1:6" customFormat="1" ht="12.75" hidden="1" outlineLevel="1" x14ac:dyDescent="0.2">
      <c r="A234" s="177" t="s">
        <v>145</v>
      </c>
      <c r="B234" s="207" t="s">
        <v>146</v>
      </c>
      <c r="C234" s="225">
        <f>+PRESUPUESTO!G245</f>
        <v>32852.1564</v>
      </c>
      <c r="D234" s="225"/>
      <c r="E234" s="752">
        <f t="shared" si="3"/>
        <v>32852.1564</v>
      </c>
      <c r="F234" s="524"/>
    </row>
    <row r="235" spans="1:6" customFormat="1" ht="12.75" hidden="1" outlineLevel="1" x14ac:dyDescent="0.2">
      <c r="A235" s="177" t="s">
        <v>369</v>
      </c>
      <c r="B235" s="207" t="s">
        <v>370</v>
      </c>
      <c r="C235" s="225">
        <f>+PRESUPUESTO!G246</f>
        <v>1327.8510000000001</v>
      </c>
      <c r="D235" s="225"/>
      <c r="E235" s="752">
        <f t="shared" si="3"/>
        <v>1327.8510000000001</v>
      </c>
      <c r="F235" s="524"/>
    </row>
    <row r="236" spans="1:6" customFormat="1" ht="12.75" hidden="1" outlineLevel="1" x14ac:dyDescent="0.2">
      <c r="A236" s="177" t="s">
        <v>147</v>
      </c>
      <c r="B236" s="207" t="s">
        <v>148</v>
      </c>
      <c r="C236" s="225">
        <f>+PRESUPUESTO!G247</f>
        <v>9115.8101999999999</v>
      </c>
      <c r="D236" s="225"/>
      <c r="E236" s="752">
        <f t="shared" si="3"/>
        <v>9115.8101999999999</v>
      </c>
      <c r="F236" s="524"/>
    </row>
    <row r="237" spans="1:6" customFormat="1" ht="12.75" hidden="1" outlineLevel="1" x14ac:dyDescent="0.2">
      <c r="A237" s="177" t="s">
        <v>149</v>
      </c>
      <c r="B237" s="207" t="s">
        <v>150</v>
      </c>
      <c r="C237" s="225">
        <f>+PRESUPUESTO!G248</f>
        <v>5694.822000000001</v>
      </c>
      <c r="D237" s="225"/>
      <c r="E237" s="752">
        <f t="shared" si="3"/>
        <v>5694.822000000001</v>
      </c>
      <c r="F237" s="524"/>
    </row>
    <row r="238" spans="1:6" customFormat="1" ht="12.75" collapsed="1" x14ac:dyDescent="0.2">
      <c r="A238" s="3"/>
      <c r="B238" s="215" t="s">
        <v>151</v>
      </c>
      <c r="C238" s="214">
        <f>SUM(C216:C237)</f>
        <v>660946.99492500001</v>
      </c>
      <c r="D238" s="214">
        <f>SUM(D216:D237)</f>
        <v>0</v>
      </c>
      <c r="E238" s="755">
        <f t="shared" si="3"/>
        <v>660946.99492500001</v>
      </c>
      <c r="F238" s="524"/>
    </row>
    <row r="239" spans="1:6" customFormat="1" ht="12.75" x14ac:dyDescent="0.2">
      <c r="A239" s="1"/>
      <c r="B239" s="216" t="s">
        <v>371</v>
      </c>
      <c r="C239" s="210">
        <f>+C214+C238</f>
        <v>1833044.4742749999</v>
      </c>
      <c r="D239" s="210">
        <f>+D214+D238</f>
        <v>0</v>
      </c>
      <c r="E239" s="753">
        <f t="shared" si="3"/>
        <v>1833044.4742749999</v>
      </c>
      <c r="F239" s="524"/>
    </row>
    <row r="240" spans="1:6" customFormat="1" ht="12.75" x14ac:dyDescent="0.2">
      <c r="A240" s="178"/>
      <c r="B240" s="209" t="s">
        <v>372</v>
      </c>
      <c r="C240" s="210">
        <f ca="1">+C175+C239</f>
        <v>4062884.1121287951</v>
      </c>
      <c r="D240" s="210">
        <f>+D175+D239</f>
        <v>0</v>
      </c>
      <c r="E240" s="753">
        <f t="shared" ca="1" si="3"/>
        <v>4062884.1121287951</v>
      </c>
      <c r="F240" s="524"/>
    </row>
    <row r="241" spans="1:6" customFormat="1" ht="12.75" x14ac:dyDescent="0.2">
      <c r="A241" s="176"/>
      <c r="B241" s="209" t="s">
        <v>373</v>
      </c>
      <c r="C241" s="210">
        <f ca="1">+C29-C240</f>
        <v>1800616.9578712033</v>
      </c>
      <c r="D241" s="210">
        <f>+D29-D240</f>
        <v>0</v>
      </c>
      <c r="E241" s="753">
        <f t="shared" ca="1" si="3"/>
        <v>1800616.9578712033</v>
      </c>
      <c r="F241" s="524"/>
    </row>
    <row r="242" spans="1:6" customFormat="1" ht="12.75" hidden="1" outlineLevel="1" x14ac:dyDescent="0.2">
      <c r="A242" s="176"/>
      <c r="B242" s="212" t="s">
        <v>374</v>
      </c>
      <c r="C242" s="208" t="s">
        <v>169</v>
      </c>
      <c r="D242" s="208"/>
      <c r="E242" s="754"/>
      <c r="F242" s="524"/>
    </row>
    <row r="243" spans="1:6" customFormat="1" ht="12.75" hidden="1" outlineLevel="1" x14ac:dyDescent="0.2">
      <c r="A243" s="176"/>
      <c r="B243" s="212" t="s">
        <v>519</v>
      </c>
      <c r="C243" s="208"/>
      <c r="D243" s="208"/>
      <c r="E243" s="754">
        <f t="shared" si="3"/>
        <v>0</v>
      </c>
      <c r="F243" s="524"/>
    </row>
    <row r="244" spans="1:6" customFormat="1" ht="12.75" hidden="1" outlineLevel="1" x14ac:dyDescent="0.2">
      <c r="A244" s="176">
        <v>4210050500</v>
      </c>
      <c r="B244" s="207" t="s">
        <v>14</v>
      </c>
      <c r="C244" s="225">
        <f>+PRESUPUESTO!G255</f>
        <v>0</v>
      </c>
      <c r="D244" s="225"/>
      <c r="E244" s="752">
        <f t="shared" si="3"/>
        <v>0</v>
      </c>
      <c r="F244" s="524"/>
    </row>
    <row r="245" spans="1:6" customFormat="1" ht="12.75" hidden="1" outlineLevel="1" x14ac:dyDescent="0.2">
      <c r="A245" s="176">
        <v>4210050601</v>
      </c>
      <c r="B245" s="207" t="s">
        <v>375</v>
      </c>
      <c r="C245" s="225">
        <f>+PRESUPUESTO!G256</f>
        <v>0</v>
      </c>
      <c r="D245" s="225"/>
      <c r="E245" s="752">
        <f t="shared" si="3"/>
        <v>0</v>
      </c>
      <c r="F245" s="524"/>
    </row>
    <row r="246" spans="1:6" customFormat="1" ht="12.75" hidden="1" outlineLevel="1" x14ac:dyDescent="0.2">
      <c r="A246" s="176">
        <v>4210050602</v>
      </c>
      <c r="B246" s="207" t="s">
        <v>376</v>
      </c>
      <c r="C246" s="225">
        <f>+PRESUPUESTO!G257</f>
        <v>0</v>
      </c>
      <c r="D246" s="225"/>
      <c r="E246" s="752">
        <f t="shared" si="3"/>
        <v>0</v>
      </c>
      <c r="F246" s="524"/>
    </row>
    <row r="247" spans="1:6" customFormat="1" ht="12.75" hidden="1" outlineLevel="1" x14ac:dyDescent="0.2">
      <c r="A247" s="589">
        <v>4210050608</v>
      </c>
      <c r="B247" s="207" t="s">
        <v>695</v>
      </c>
      <c r="C247" s="225">
        <f>+PRESUPUESTO!G258</f>
        <v>0</v>
      </c>
      <c r="D247" s="225"/>
      <c r="E247" s="752">
        <f t="shared" si="3"/>
        <v>0</v>
      </c>
      <c r="F247" s="524"/>
    </row>
    <row r="248" spans="1:6" customFormat="1" ht="12.75" hidden="1" outlineLevel="1" x14ac:dyDescent="0.2">
      <c r="A248" s="176">
        <v>4210050603</v>
      </c>
      <c r="B248" s="207" t="s">
        <v>377</v>
      </c>
      <c r="C248" s="225">
        <f>+PRESUPUESTO!G259</f>
        <v>0</v>
      </c>
      <c r="D248" s="225"/>
      <c r="E248" s="752">
        <f t="shared" si="3"/>
        <v>0</v>
      </c>
      <c r="F248" s="524"/>
    </row>
    <row r="249" spans="1:6" customFormat="1" ht="12.75" hidden="1" outlineLevel="1" x14ac:dyDescent="0.2">
      <c r="A249" s="589">
        <v>4210050606</v>
      </c>
      <c r="B249" s="316" t="s">
        <v>696</v>
      </c>
      <c r="C249" s="225">
        <f>+PRESUPUESTO!G260</f>
        <v>0</v>
      </c>
      <c r="D249" s="225"/>
      <c r="E249" s="752">
        <f t="shared" si="3"/>
        <v>0</v>
      </c>
      <c r="F249" s="524"/>
    </row>
    <row r="250" spans="1:6" customFormat="1" ht="12.75" hidden="1" outlineLevel="1" x14ac:dyDescent="0.2">
      <c r="A250" s="176">
        <v>4210200000</v>
      </c>
      <c r="B250" s="207" t="s">
        <v>15</v>
      </c>
      <c r="C250" s="225">
        <f>+PRESUPUESTO!G261</f>
        <v>0</v>
      </c>
      <c r="D250" s="225"/>
      <c r="E250" s="752">
        <f t="shared" si="3"/>
        <v>0</v>
      </c>
      <c r="F250" s="524"/>
    </row>
    <row r="251" spans="1:6" customFormat="1" ht="12.75" hidden="1" outlineLevel="1" x14ac:dyDescent="0.2">
      <c r="A251" s="176">
        <v>4210400000</v>
      </c>
      <c r="B251" s="207" t="s">
        <v>428</v>
      </c>
      <c r="C251" s="225">
        <f>+PRESUPUESTO!G262</f>
        <v>0</v>
      </c>
      <c r="D251" s="225"/>
      <c r="E251" s="752">
        <f t="shared" si="3"/>
        <v>0</v>
      </c>
      <c r="F251" s="524"/>
    </row>
    <row r="252" spans="1:6" customFormat="1" ht="12.75" hidden="1" outlineLevel="1" x14ac:dyDescent="0.2">
      <c r="A252" s="176">
        <v>4210600000</v>
      </c>
      <c r="B252" s="207" t="s">
        <v>16</v>
      </c>
      <c r="C252" s="225">
        <f>+PRESUPUESTO!G263</f>
        <v>0</v>
      </c>
      <c r="D252" s="225"/>
      <c r="E252" s="752">
        <f t="shared" si="3"/>
        <v>0</v>
      </c>
      <c r="F252" s="524"/>
    </row>
    <row r="253" spans="1:6" customFormat="1" ht="12.75" hidden="1" outlineLevel="1" x14ac:dyDescent="0.2">
      <c r="A253" s="176">
        <v>4210950200</v>
      </c>
      <c r="B253" s="207" t="s">
        <v>17</v>
      </c>
      <c r="C253" s="225">
        <f>+PRESUPUESTO!G264</f>
        <v>0</v>
      </c>
      <c r="D253" s="225"/>
      <c r="E253" s="752">
        <f t="shared" si="3"/>
        <v>0</v>
      </c>
      <c r="F253" s="524"/>
    </row>
    <row r="254" spans="1:6" customFormat="1" ht="12.75" hidden="1" outlineLevel="1" x14ac:dyDescent="0.2">
      <c r="A254" s="176">
        <v>4210950300</v>
      </c>
      <c r="B254" s="207" t="s">
        <v>378</v>
      </c>
      <c r="C254" s="225">
        <f>+PRESUPUESTO!G265</f>
        <v>0</v>
      </c>
      <c r="D254" s="225"/>
      <c r="E254" s="752">
        <f t="shared" si="3"/>
        <v>0</v>
      </c>
      <c r="F254" s="524"/>
    </row>
    <row r="255" spans="1:6" customFormat="1" ht="12.75" hidden="1" outlineLevel="1" x14ac:dyDescent="0.2">
      <c r="A255" s="589">
        <v>4210953501</v>
      </c>
      <c r="B255" s="207" t="s">
        <v>713</v>
      </c>
      <c r="C255" s="225">
        <f>+PRESUPUESTO!G266</f>
        <v>0</v>
      </c>
      <c r="D255" s="225"/>
      <c r="E255" s="752">
        <f t="shared" si="3"/>
        <v>0</v>
      </c>
      <c r="F255" s="524"/>
    </row>
    <row r="256" spans="1:6" customFormat="1" ht="12.75" hidden="1" outlineLevel="1" x14ac:dyDescent="0.2">
      <c r="A256" s="589">
        <v>4210953502</v>
      </c>
      <c r="B256" s="207" t="s">
        <v>697</v>
      </c>
      <c r="C256" s="225">
        <f>+PRESUPUESTO!G267</f>
        <v>0</v>
      </c>
      <c r="D256" s="225"/>
      <c r="E256" s="752">
        <f t="shared" si="3"/>
        <v>0</v>
      </c>
      <c r="F256" s="524"/>
    </row>
    <row r="257" spans="1:6" customFormat="1" ht="12.75" hidden="1" outlineLevel="1" x14ac:dyDescent="0.2">
      <c r="A257" s="176"/>
      <c r="B257" s="212" t="s">
        <v>446</v>
      </c>
      <c r="C257" s="225"/>
      <c r="D257" s="225"/>
      <c r="E257" s="752">
        <f t="shared" si="3"/>
        <v>0</v>
      </c>
      <c r="F257" s="524"/>
    </row>
    <row r="258" spans="1:6" customFormat="1" ht="12.75" hidden="1" outlineLevel="1" x14ac:dyDescent="0.2">
      <c r="A258" s="176">
        <v>4220100100</v>
      </c>
      <c r="B258" s="207" t="s">
        <v>379</v>
      </c>
      <c r="C258" s="225">
        <f>+PRESUPUESTO!G269</f>
        <v>0</v>
      </c>
      <c r="D258" s="225"/>
      <c r="E258" s="752">
        <f t="shared" si="3"/>
        <v>0</v>
      </c>
      <c r="F258" s="524"/>
    </row>
    <row r="259" spans="1:6" customFormat="1" ht="12.75" hidden="1" outlineLevel="1" x14ac:dyDescent="0.2">
      <c r="A259" s="176">
        <v>4220100200</v>
      </c>
      <c r="B259" s="207" t="s">
        <v>380</v>
      </c>
      <c r="C259" s="225">
        <f>+PRESUPUESTO!G270</f>
        <v>0</v>
      </c>
      <c r="D259" s="225"/>
      <c r="E259" s="752">
        <f t="shared" si="3"/>
        <v>0</v>
      </c>
      <c r="F259" s="524"/>
    </row>
    <row r="260" spans="1:6" customFormat="1" ht="12.75" hidden="1" outlineLevel="1" x14ac:dyDescent="0.2">
      <c r="A260" s="176">
        <v>4220100300</v>
      </c>
      <c r="B260" s="207" t="s">
        <v>381</v>
      </c>
      <c r="C260" s="225">
        <f>+PRESUPUESTO!G271</f>
        <v>0</v>
      </c>
      <c r="D260" s="225"/>
      <c r="E260" s="752">
        <f t="shared" si="3"/>
        <v>0</v>
      </c>
      <c r="F260" s="524"/>
    </row>
    <row r="261" spans="1:6" customFormat="1" ht="12.75" hidden="1" outlineLevel="1" x14ac:dyDescent="0.2">
      <c r="A261" s="176">
        <v>4220100400</v>
      </c>
      <c r="B261" s="207" t="s">
        <v>382</v>
      </c>
      <c r="C261" s="225">
        <f>+PRESUPUESTO!G272</f>
        <v>0</v>
      </c>
      <c r="D261" s="225"/>
      <c r="E261" s="752">
        <f t="shared" si="3"/>
        <v>0</v>
      </c>
      <c r="F261" s="524"/>
    </row>
    <row r="262" spans="1:6" customFormat="1" ht="12.75" hidden="1" outlineLevel="1" x14ac:dyDescent="0.2">
      <c r="A262" s="176">
        <v>4220100500</v>
      </c>
      <c r="B262" s="207" t="s">
        <v>333</v>
      </c>
      <c r="C262" s="225">
        <f>+PRESUPUESTO!G273</f>
        <v>0</v>
      </c>
      <c r="D262" s="225"/>
      <c r="E262" s="752">
        <f t="shared" si="3"/>
        <v>0</v>
      </c>
      <c r="F262" s="524"/>
    </row>
    <row r="263" spans="1:6" customFormat="1" ht="12.75" hidden="1" outlineLevel="1" x14ac:dyDescent="0.2">
      <c r="A263" s="176">
        <v>4220100600</v>
      </c>
      <c r="B263" s="207" t="s">
        <v>383</v>
      </c>
      <c r="C263" s="225">
        <f>+PRESUPUESTO!G274</f>
        <v>0</v>
      </c>
      <c r="D263" s="586"/>
      <c r="E263" s="752">
        <f t="shared" si="3"/>
        <v>0</v>
      </c>
      <c r="F263" s="524"/>
    </row>
    <row r="264" spans="1:6" customFormat="1" ht="12.75" hidden="1" outlineLevel="1" x14ac:dyDescent="0.2">
      <c r="A264" s="176">
        <v>4220100700</v>
      </c>
      <c r="B264" s="207" t="s">
        <v>384</v>
      </c>
      <c r="C264" s="225">
        <f>+PRESUPUESTO!G275</f>
        <v>0</v>
      </c>
      <c r="D264" s="586"/>
      <c r="E264" s="751">
        <f t="shared" si="3"/>
        <v>0</v>
      </c>
      <c r="F264" s="524"/>
    </row>
    <row r="265" spans="1:6" customFormat="1" ht="12.75" hidden="1" outlineLevel="1" x14ac:dyDescent="0.2">
      <c r="A265" s="176">
        <v>4220100800</v>
      </c>
      <c r="B265" s="207" t="s">
        <v>385</v>
      </c>
      <c r="C265" s="225">
        <f>+PRESUPUESTO!G276</f>
        <v>0</v>
      </c>
      <c r="D265" s="586"/>
      <c r="E265" s="751">
        <f t="shared" ref="E265:E327" si="4">+C265+D265</f>
        <v>0</v>
      </c>
      <c r="F265" s="524"/>
    </row>
    <row r="266" spans="1:6" customFormat="1" ht="12.75" hidden="1" outlineLevel="1" x14ac:dyDescent="0.2">
      <c r="A266" s="176"/>
      <c r="B266" s="212" t="s">
        <v>223</v>
      </c>
      <c r="C266" s="225"/>
      <c r="D266" s="586"/>
      <c r="E266" s="751">
        <f t="shared" si="4"/>
        <v>0</v>
      </c>
      <c r="F266" s="524"/>
    </row>
    <row r="267" spans="1:6" customFormat="1" ht="12.75" hidden="1" outlineLevel="1" x14ac:dyDescent="0.2">
      <c r="A267" s="176">
        <v>4230050000</v>
      </c>
      <c r="B267" s="207" t="s">
        <v>386</v>
      </c>
      <c r="C267" s="315">
        <f>+PRESUPUESTO!G278</f>
        <v>0</v>
      </c>
      <c r="D267" s="586"/>
      <c r="E267" s="751">
        <f t="shared" si="4"/>
        <v>0</v>
      </c>
      <c r="F267" s="524"/>
    </row>
    <row r="268" spans="1:6" customFormat="1" ht="12.75" hidden="1" outlineLevel="1" x14ac:dyDescent="0.2">
      <c r="A268" s="176">
        <v>4230100000</v>
      </c>
      <c r="B268" s="207" t="s">
        <v>317</v>
      </c>
      <c r="C268" s="586">
        <f>+PRESUPUESTO!G279</f>
        <v>0</v>
      </c>
      <c r="D268" s="586"/>
      <c r="E268" s="751">
        <f t="shared" si="4"/>
        <v>0</v>
      </c>
      <c r="F268" s="524"/>
    </row>
    <row r="269" spans="1:6" customFormat="1" ht="12.75" hidden="1" outlineLevel="1" x14ac:dyDescent="0.2">
      <c r="A269" s="176"/>
      <c r="B269" s="212" t="s">
        <v>512</v>
      </c>
      <c r="C269" s="225"/>
      <c r="D269" s="586"/>
      <c r="E269" s="751">
        <f t="shared" si="4"/>
        <v>0</v>
      </c>
      <c r="F269" s="524"/>
    </row>
    <row r="270" spans="1:6" customFormat="1" ht="12.75" hidden="1" outlineLevel="1" x14ac:dyDescent="0.2">
      <c r="A270" s="589">
        <v>4235100000</v>
      </c>
      <c r="B270" s="207" t="s">
        <v>698</v>
      </c>
      <c r="C270" s="225">
        <f>+PRESUPUESTO!G281</f>
        <v>0</v>
      </c>
      <c r="D270" s="586"/>
      <c r="E270" s="751">
        <f t="shared" si="4"/>
        <v>0</v>
      </c>
      <c r="F270" s="524"/>
    </row>
    <row r="271" spans="1:6" customFormat="1" ht="12.75" hidden="1" outlineLevel="1" x14ac:dyDescent="0.2">
      <c r="A271" s="176">
        <v>4235200000</v>
      </c>
      <c r="B271" s="207" t="s">
        <v>387</v>
      </c>
      <c r="C271" s="225">
        <f>+PRESUPUESTO!G282</f>
        <v>0</v>
      </c>
      <c r="D271" s="586"/>
      <c r="E271" s="751">
        <f t="shared" si="4"/>
        <v>0</v>
      </c>
      <c r="F271" s="524"/>
    </row>
    <row r="272" spans="1:6" customFormat="1" ht="12.75" hidden="1" outlineLevel="1" x14ac:dyDescent="0.2">
      <c r="A272" s="176">
        <v>4235550000</v>
      </c>
      <c r="B272" s="207" t="s">
        <v>388</v>
      </c>
      <c r="C272" s="226">
        <f>+PRESUPUESTO!G283</f>
        <v>0</v>
      </c>
      <c r="D272" s="586"/>
      <c r="E272" s="751">
        <f t="shared" si="4"/>
        <v>0</v>
      </c>
      <c r="F272" s="524"/>
    </row>
    <row r="273" spans="1:6" customFormat="1" ht="12.75" hidden="1" outlineLevel="1" x14ac:dyDescent="0.2">
      <c r="A273" s="176">
        <v>4235653500</v>
      </c>
      <c r="B273" s="207" t="s">
        <v>389</v>
      </c>
      <c r="C273" s="225">
        <f>+PRESUPUESTO!G284</f>
        <v>0</v>
      </c>
      <c r="D273" s="586"/>
      <c r="E273" s="751">
        <f t="shared" si="4"/>
        <v>0</v>
      </c>
      <c r="F273" s="524"/>
    </row>
    <row r="274" spans="1:6" customFormat="1" ht="12.75" hidden="1" outlineLevel="1" x14ac:dyDescent="0.2">
      <c r="A274" s="589">
        <v>4235950900</v>
      </c>
      <c r="B274" s="207" t="s">
        <v>699</v>
      </c>
      <c r="C274" s="225">
        <f>+PRESUPUESTO!G285</f>
        <v>0</v>
      </c>
      <c r="D274" s="586"/>
      <c r="E274" s="751">
        <f t="shared" si="4"/>
        <v>0</v>
      </c>
      <c r="F274" s="524"/>
    </row>
    <row r="275" spans="1:6" customFormat="1" ht="12.75" hidden="1" outlineLevel="1" x14ac:dyDescent="0.2">
      <c r="A275" s="176">
        <v>4235950100</v>
      </c>
      <c r="B275" s="207" t="s">
        <v>390</v>
      </c>
      <c r="C275" s="225">
        <f>+PRESUPUESTO!G286</f>
        <v>0</v>
      </c>
      <c r="D275" s="586">
        <f>+EDUC.CONT.!N9/1000</f>
        <v>0</v>
      </c>
      <c r="E275" s="751">
        <f t="shared" si="4"/>
        <v>0</v>
      </c>
      <c r="F275" s="524"/>
    </row>
    <row r="276" spans="1:6" customFormat="1" ht="12.75" hidden="1" outlineLevel="1" x14ac:dyDescent="0.2">
      <c r="A276" s="176">
        <v>4235950200</v>
      </c>
      <c r="B276" s="207" t="s">
        <v>391</v>
      </c>
      <c r="C276" s="225">
        <f>+PRESUPUESTO!G287</f>
        <v>0</v>
      </c>
      <c r="D276" s="586"/>
      <c r="E276" s="751">
        <f t="shared" si="4"/>
        <v>0</v>
      </c>
      <c r="F276" s="524"/>
    </row>
    <row r="277" spans="1:6" customFormat="1" ht="12.75" hidden="1" outlineLevel="1" x14ac:dyDescent="0.2">
      <c r="A277" s="176">
        <v>4235950500</v>
      </c>
      <c r="B277" s="207" t="s">
        <v>392</v>
      </c>
      <c r="C277" s="225">
        <f>+PRESUPUESTO!G288</f>
        <v>0</v>
      </c>
      <c r="D277" s="586"/>
      <c r="E277" s="751">
        <f t="shared" si="4"/>
        <v>0</v>
      </c>
      <c r="F277" s="524"/>
    </row>
    <row r="278" spans="1:6" customFormat="1" ht="12.75" hidden="1" outlineLevel="1" x14ac:dyDescent="0.2">
      <c r="A278" s="3">
        <v>4235950600</v>
      </c>
      <c r="B278" s="207" t="s">
        <v>393</v>
      </c>
      <c r="C278" s="225">
        <f>+PRESUPUESTO!G289</f>
        <v>0</v>
      </c>
      <c r="D278" s="586"/>
      <c r="E278" s="752">
        <f t="shared" si="4"/>
        <v>0</v>
      </c>
      <c r="F278" s="524"/>
    </row>
    <row r="279" spans="1:6" customFormat="1" ht="12.75" hidden="1" outlineLevel="1" x14ac:dyDescent="0.2">
      <c r="A279" s="587">
        <v>4235950800</v>
      </c>
      <c r="B279" s="207" t="s">
        <v>700</v>
      </c>
      <c r="C279" s="225">
        <f>+PRESUPUESTO!G290</f>
        <v>0</v>
      </c>
      <c r="D279" s="586"/>
      <c r="E279" s="752">
        <f t="shared" si="4"/>
        <v>0</v>
      </c>
      <c r="F279" s="524"/>
    </row>
    <row r="280" spans="1:6" customFormat="1" ht="12.75" hidden="1" outlineLevel="1" x14ac:dyDescent="0.2">
      <c r="A280" s="3"/>
      <c r="B280" s="212" t="s">
        <v>520</v>
      </c>
      <c r="C280" s="225"/>
      <c r="D280" s="586"/>
      <c r="E280" s="752">
        <f t="shared" si="4"/>
        <v>0</v>
      </c>
      <c r="F280" s="524"/>
    </row>
    <row r="281" spans="1:6" customFormat="1" ht="12.75" hidden="1" outlineLevel="1" x14ac:dyDescent="0.2">
      <c r="A281" s="587">
        <v>4250150000</v>
      </c>
      <c r="B281" s="316" t="s">
        <v>701</v>
      </c>
      <c r="C281" s="225">
        <f>+PRESUPUESTO!G292</f>
        <v>0</v>
      </c>
      <c r="D281" s="586"/>
      <c r="E281" s="752">
        <f t="shared" si="4"/>
        <v>0</v>
      </c>
      <c r="F281" s="524"/>
    </row>
    <row r="282" spans="1:6" customFormat="1" ht="12.75" hidden="1" outlineLevel="1" x14ac:dyDescent="0.2">
      <c r="A282" s="587">
        <v>4250350200</v>
      </c>
      <c r="B282" s="316" t="s">
        <v>702</v>
      </c>
      <c r="C282" s="225">
        <f>+PRESUPUESTO!G293</f>
        <v>0</v>
      </c>
      <c r="D282" s="586"/>
      <c r="E282" s="752">
        <f t="shared" si="4"/>
        <v>0</v>
      </c>
      <c r="F282" s="524"/>
    </row>
    <row r="283" spans="1:6" customFormat="1" ht="12.75" hidden="1" outlineLevel="1" x14ac:dyDescent="0.2">
      <c r="A283" s="176">
        <v>4250500000</v>
      </c>
      <c r="B283" s="207" t="s">
        <v>18</v>
      </c>
      <c r="C283" s="225">
        <f>+PRESUPUESTO!G294</f>
        <v>0</v>
      </c>
      <c r="D283" s="586"/>
      <c r="E283" s="752">
        <f t="shared" si="4"/>
        <v>0</v>
      </c>
      <c r="F283" s="524"/>
    </row>
    <row r="284" spans="1:6" customFormat="1" ht="12.75" hidden="1" outlineLevel="1" x14ac:dyDescent="0.2">
      <c r="A284" s="176">
        <v>4255050000</v>
      </c>
      <c r="B284" s="207" t="s">
        <v>394</v>
      </c>
      <c r="C284" s="225">
        <f>+PRESUPUESTO!G295</f>
        <v>0</v>
      </c>
      <c r="D284" s="586"/>
      <c r="E284" s="752">
        <f t="shared" si="4"/>
        <v>0</v>
      </c>
      <c r="F284" s="524"/>
    </row>
    <row r="285" spans="1:6" customFormat="1" ht="12.75" hidden="1" outlineLevel="1" x14ac:dyDescent="0.2">
      <c r="A285" s="176"/>
      <c r="B285" s="212" t="s">
        <v>521</v>
      </c>
      <c r="C285" s="225"/>
      <c r="D285" s="586"/>
      <c r="E285" s="752">
        <f t="shared" si="4"/>
        <v>0</v>
      </c>
      <c r="F285" s="524"/>
    </row>
    <row r="286" spans="1:6" customFormat="1" ht="12.75" hidden="1" outlineLevel="1" x14ac:dyDescent="0.2">
      <c r="A286" s="176">
        <v>4265010000</v>
      </c>
      <c r="B286" s="207" t="s">
        <v>19</v>
      </c>
      <c r="C286" s="225">
        <f>+PRESUPUESTO!G297</f>
        <v>0</v>
      </c>
      <c r="D286" s="586"/>
      <c r="E286" s="752">
        <f t="shared" si="4"/>
        <v>0</v>
      </c>
      <c r="F286" s="524"/>
    </row>
    <row r="287" spans="1:6" customFormat="1" ht="12.75" hidden="1" outlineLevel="1" x14ac:dyDescent="0.2">
      <c r="A287" s="176"/>
      <c r="B287" s="212" t="s">
        <v>443</v>
      </c>
      <c r="C287" s="225"/>
      <c r="D287" s="586"/>
      <c r="E287" s="752">
        <f t="shared" si="4"/>
        <v>0</v>
      </c>
      <c r="F287" s="524"/>
    </row>
    <row r="288" spans="1:6" customFormat="1" ht="12.75" hidden="1" outlineLevel="1" x14ac:dyDescent="0.2">
      <c r="A288" s="176">
        <v>4295050000</v>
      </c>
      <c r="B288" s="316" t="s">
        <v>395</v>
      </c>
      <c r="C288" s="759">
        <f>+PRESUPUESTO!G299</f>
        <v>0</v>
      </c>
      <c r="D288" s="586"/>
      <c r="E288" s="752">
        <f t="shared" si="4"/>
        <v>0</v>
      </c>
      <c r="F288" s="524"/>
    </row>
    <row r="289" spans="1:6" customFormat="1" ht="12.75" hidden="1" outlineLevel="1" x14ac:dyDescent="0.2">
      <c r="A289" s="176">
        <v>4295070000</v>
      </c>
      <c r="B289" s="316" t="s">
        <v>28</v>
      </c>
      <c r="C289" s="225">
        <f>+PRESUPUESTO!G300</f>
        <v>0</v>
      </c>
      <c r="D289" s="586"/>
      <c r="E289" s="752">
        <f t="shared" si="4"/>
        <v>0</v>
      </c>
      <c r="F289" s="524"/>
    </row>
    <row r="290" spans="1:6" customFormat="1" ht="12.75" hidden="1" outlineLevel="1" x14ac:dyDescent="0.2">
      <c r="A290" s="176">
        <v>4295090600</v>
      </c>
      <c r="B290" s="316" t="s">
        <v>396</v>
      </c>
      <c r="C290" s="225">
        <f>+PRESUPUESTO!G301</f>
        <v>0</v>
      </c>
      <c r="D290" s="586"/>
      <c r="E290" s="752">
        <f t="shared" si="4"/>
        <v>0</v>
      </c>
      <c r="F290" s="524"/>
    </row>
    <row r="291" spans="1:6" customFormat="1" ht="12.75" hidden="1" outlineLevel="1" x14ac:dyDescent="0.2">
      <c r="A291" s="176">
        <v>4295110000</v>
      </c>
      <c r="B291" s="316" t="s">
        <v>596</v>
      </c>
      <c r="C291" s="225">
        <f>+PRESUPUESTO!G302</f>
        <v>0</v>
      </c>
      <c r="D291" s="586"/>
      <c r="E291" s="752">
        <f t="shared" si="4"/>
        <v>0</v>
      </c>
      <c r="F291" s="524"/>
    </row>
    <row r="292" spans="1:6" customFormat="1" ht="12.75" hidden="1" outlineLevel="1" x14ac:dyDescent="0.2">
      <c r="A292" s="176">
        <v>4295510000</v>
      </c>
      <c r="B292" s="316" t="s">
        <v>397</v>
      </c>
      <c r="C292" s="225">
        <f>+PRESUPUESTO!G303</f>
        <v>0</v>
      </c>
      <c r="D292" s="225"/>
      <c r="E292" s="752">
        <f t="shared" si="4"/>
        <v>0</v>
      </c>
      <c r="F292" s="524"/>
    </row>
    <row r="293" spans="1:6" customFormat="1" ht="12.75" hidden="1" outlineLevel="1" x14ac:dyDescent="0.2">
      <c r="A293" s="176">
        <v>4295530000</v>
      </c>
      <c r="B293" s="316" t="s">
        <v>398</v>
      </c>
      <c r="C293" s="225">
        <f>+PRESUPUESTO!G304</f>
        <v>0</v>
      </c>
      <c r="D293" s="225"/>
      <c r="E293" s="752">
        <f t="shared" si="4"/>
        <v>0</v>
      </c>
      <c r="F293" s="524"/>
    </row>
    <row r="294" spans="1:6" customFormat="1" ht="12.75" collapsed="1" x14ac:dyDescent="0.2">
      <c r="A294" s="3"/>
      <c r="B294" s="213" t="s">
        <v>399</v>
      </c>
      <c r="C294" s="214">
        <f>SUM(C244:C293)</f>
        <v>0</v>
      </c>
      <c r="D294" s="214">
        <f>SUM(D244:D293)</f>
        <v>0</v>
      </c>
      <c r="E294" s="755">
        <f t="shared" si="4"/>
        <v>0</v>
      </c>
      <c r="F294" s="524"/>
    </row>
    <row r="295" spans="1:6" customFormat="1" ht="12.75" x14ac:dyDescent="0.2">
      <c r="A295" s="176"/>
      <c r="B295" s="212" t="s">
        <v>400</v>
      </c>
      <c r="C295" s="208" t="s">
        <v>169</v>
      </c>
      <c r="D295" s="208"/>
      <c r="E295" s="754"/>
      <c r="F295" s="524"/>
    </row>
    <row r="296" spans="1:6" customFormat="1" ht="12.75" hidden="1" outlineLevel="1" x14ac:dyDescent="0.2">
      <c r="A296" s="176"/>
      <c r="B296" s="212" t="s">
        <v>80</v>
      </c>
      <c r="C296" s="208" t="s">
        <v>169</v>
      </c>
      <c r="D296" s="208"/>
      <c r="E296" s="754"/>
      <c r="F296" s="524"/>
    </row>
    <row r="297" spans="1:6" customFormat="1" ht="12.75" hidden="1" outlineLevel="1" x14ac:dyDescent="0.2">
      <c r="A297" s="176">
        <v>5305050100</v>
      </c>
      <c r="B297" s="318" t="s">
        <v>401</v>
      </c>
      <c r="C297" s="225">
        <f>+PRESUPUESTO!G308</f>
        <v>0</v>
      </c>
      <c r="D297" s="225"/>
      <c r="E297" s="752">
        <f t="shared" si="4"/>
        <v>0</v>
      </c>
      <c r="F297" s="524"/>
    </row>
    <row r="298" spans="1:6" customFormat="1" ht="12.75" hidden="1" outlineLevel="1" x14ac:dyDescent="0.2">
      <c r="A298" s="589">
        <v>5305050000</v>
      </c>
      <c r="B298" s="318" t="s">
        <v>703</v>
      </c>
      <c r="C298" s="225">
        <f>+PRESUPUESTO!G309</f>
        <v>0</v>
      </c>
      <c r="D298" s="225"/>
      <c r="E298" s="752">
        <f t="shared" si="4"/>
        <v>0</v>
      </c>
      <c r="F298" s="524"/>
    </row>
    <row r="299" spans="1:6" customFormat="1" ht="12.75" hidden="1" outlineLevel="1" x14ac:dyDescent="0.2">
      <c r="A299" s="176">
        <v>5305050200</v>
      </c>
      <c r="B299" s="318" t="s">
        <v>402</v>
      </c>
      <c r="C299" s="225">
        <f>+PRESUPUESTO!G310</f>
        <v>0</v>
      </c>
      <c r="D299" s="225"/>
      <c r="E299" s="752">
        <f t="shared" si="4"/>
        <v>0</v>
      </c>
      <c r="F299" s="524"/>
    </row>
    <row r="300" spans="1:6" customFormat="1" ht="12.75" hidden="1" outlineLevel="1" x14ac:dyDescent="0.2">
      <c r="A300" s="589">
        <v>5305050400</v>
      </c>
      <c r="B300" s="318" t="s">
        <v>704</v>
      </c>
      <c r="C300" s="225">
        <f>+PRESUPUESTO!G311</f>
        <v>0</v>
      </c>
      <c r="D300" s="225"/>
      <c r="E300" s="752">
        <f t="shared" si="4"/>
        <v>0</v>
      </c>
      <c r="F300" s="524"/>
    </row>
    <row r="301" spans="1:6" customFormat="1" ht="12.75" hidden="1" outlineLevel="1" x14ac:dyDescent="0.2">
      <c r="A301" s="176">
        <v>5305150000</v>
      </c>
      <c r="B301" s="316" t="s">
        <v>81</v>
      </c>
      <c r="C301" s="225">
        <f>+PRESUPUESTO!G312</f>
        <v>0</v>
      </c>
      <c r="D301" s="225"/>
      <c r="E301" s="752">
        <f t="shared" si="4"/>
        <v>0</v>
      </c>
      <c r="F301" s="524"/>
    </row>
    <row r="302" spans="1:6" customFormat="1" ht="12.75" hidden="1" outlineLevel="1" x14ac:dyDescent="0.2">
      <c r="A302" s="176">
        <v>5305200200</v>
      </c>
      <c r="B302" s="318" t="s">
        <v>403</v>
      </c>
      <c r="C302" s="225">
        <f>+PRESUPUESTO!G313</f>
        <v>0</v>
      </c>
      <c r="D302" s="225"/>
      <c r="E302" s="752">
        <f t="shared" si="4"/>
        <v>0</v>
      </c>
      <c r="F302" s="524"/>
    </row>
    <row r="303" spans="1:6" customFormat="1" ht="12.75" hidden="1" outlineLevel="1" x14ac:dyDescent="0.2">
      <c r="A303" s="176">
        <v>5305200300</v>
      </c>
      <c r="B303" s="316" t="s">
        <v>82</v>
      </c>
      <c r="C303" s="225">
        <f>+PRESUPUESTO!G314</f>
        <v>0</v>
      </c>
      <c r="D303" s="225"/>
      <c r="E303" s="752">
        <f t="shared" si="4"/>
        <v>0</v>
      </c>
      <c r="F303" s="524"/>
    </row>
    <row r="304" spans="1:6" customFormat="1" ht="12.75" hidden="1" outlineLevel="1" x14ac:dyDescent="0.2">
      <c r="A304" s="176">
        <v>5305250000</v>
      </c>
      <c r="B304" s="316" t="s">
        <v>15</v>
      </c>
      <c r="C304" s="225">
        <f>+PRESUPUESTO!G315</f>
        <v>0</v>
      </c>
      <c r="D304" s="225"/>
      <c r="E304" s="752">
        <f t="shared" si="4"/>
        <v>0</v>
      </c>
      <c r="F304" s="524"/>
    </row>
    <row r="305" spans="1:6" customFormat="1" ht="12.75" hidden="1" outlineLevel="1" x14ac:dyDescent="0.2">
      <c r="A305" s="589">
        <v>5305450100</v>
      </c>
      <c r="B305" s="316" t="s">
        <v>705</v>
      </c>
      <c r="C305" s="225">
        <f>+PRESUPUESTO!G316</f>
        <v>0</v>
      </c>
      <c r="D305" s="225"/>
      <c r="E305" s="752">
        <f t="shared" si="4"/>
        <v>0</v>
      </c>
      <c r="F305" s="524"/>
    </row>
    <row r="306" spans="1:6" customFormat="1" ht="12.75" hidden="1" outlineLevel="1" x14ac:dyDescent="0.2">
      <c r="A306" s="589">
        <v>5305953501</v>
      </c>
      <c r="B306" s="316" t="s">
        <v>706</v>
      </c>
      <c r="C306" s="225">
        <f>+PRESUPUESTO!G317</f>
        <v>0</v>
      </c>
      <c r="D306" s="225"/>
      <c r="E306" s="752">
        <f t="shared" si="4"/>
        <v>0</v>
      </c>
      <c r="F306" s="524"/>
    </row>
    <row r="307" spans="1:6" customFormat="1" ht="12.75" hidden="1" outlineLevel="1" x14ac:dyDescent="0.2">
      <c r="A307" s="176">
        <v>5315100000</v>
      </c>
      <c r="B307" s="318" t="s">
        <v>404</v>
      </c>
      <c r="C307" s="225">
        <f>+PRESUPUESTO!G318</f>
        <v>0</v>
      </c>
      <c r="D307" s="225"/>
      <c r="E307" s="752">
        <f t="shared" si="4"/>
        <v>0</v>
      </c>
      <c r="F307" s="524"/>
    </row>
    <row r="308" spans="1:6" customFormat="1" ht="12.75" hidden="1" outlineLevel="1" x14ac:dyDescent="0.2">
      <c r="A308" s="176">
        <v>5315150500</v>
      </c>
      <c r="B308" s="316" t="s">
        <v>406</v>
      </c>
      <c r="C308" s="225">
        <f>+PRESUPUESTO!G319</f>
        <v>0</v>
      </c>
      <c r="D308" s="225"/>
      <c r="E308" s="752">
        <f t="shared" si="4"/>
        <v>0</v>
      </c>
      <c r="F308" s="524"/>
    </row>
    <row r="309" spans="1:6" customFormat="1" ht="12.75" hidden="1" outlineLevel="1" x14ac:dyDescent="0.2">
      <c r="A309" s="176">
        <v>5315200000</v>
      </c>
      <c r="B309" s="316" t="s">
        <v>407</v>
      </c>
      <c r="C309" s="225">
        <f>+PRESUPUESTO!G320</f>
        <v>0</v>
      </c>
      <c r="D309" s="225"/>
      <c r="E309" s="752">
        <f t="shared" si="4"/>
        <v>0</v>
      </c>
      <c r="F309" s="524"/>
    </row>
    <row r="310" spans="1:6" customFormat="1" ht="12.75" hidden="1" outlineLevel="1" x14ac:dyDescent="0.2">
      <c r="A310" s="176">
        <v>5315950100</v>
      </c>
      <c r="B310" s="316" t="s">
        <v>280</v>
      </c>
      <c r="C310" s="225">
        <f>+PRESUPUESTO!G321</f>
        <v>0</v>
      </c>
      <c r="D310" s="225"/>
      <c r="E310" s="752">
        <f t="shared" si="4"/>
        <v>0</v>
      </c>
      <c r="F310" s="524"/>
    </row>
    <row r="311" spans="1:6" customFormat="1" ht="12.75" hidden="1" outlineLevel="1" x14ac:dyDescent="0.2">
      <c r="A311" s="589">
        <v>5395080000</v>
      </c>
      <c r="B311" s="316" t="s">
        <v>707</v>
      </c>
      <c r="C311" s="225">
        <f>+PRESUPUESTO!G322</f>
        <v>0</v>
      </c>
      <c r="D311" s="225"/>
      <c r="E311" s="752">
        <f t="shared" si="4"/>
        <v>0</v>
      </c>
      <c r="F311" s="524"/>
    </row>
    <row r="312" spans="1:6" customFormat="1" ht="12.75" hidden="1" outlineLevel="1" x14ac:dyDescent="0.2">
      <c r="A312" s="176">
        <v>5395070000</v>
      </c>
      <c r="B312" s="316" t="s">
        <v>597</v>
      </c>
      <c r="C312" s="225">
        <f>+PRESUPUESTO!G323</f>
        <v>3015.6</v>
      </c>
      <c r="D312" s="225"/>
      <c r="E312" s="752">
        <f t="shared" si="4"/>
        <v>3015.6</v>
      </c>
      <c r="F312" s="524"/>
    </row>
    <row r="313" spans="1:6" customFormat="1" ht="12.75" hidden="1" outlineLevel="1" x14ac:dyDescent="0.2">
      <c r="A313" s="176">
        <v>5395200000</v>
      </c>
      <c r="B313" s="318" t="s">
        <v>405</v>
      </c>
      <c r="C313" s="225">
        <f>+PRESUPUESTO!G324</f>
        <v>0</v>
      </c>
      <c r="D313" s="225"/>
      <c r="E313" s="752">
        <f t="shared" si="4"/>
        <v>0</v>
      </c>
      <c r="F313" s="524"/>
    </row>
    <row r="314" spans="1:6" customFormat="1" ht="12.75" hidden="1" outlineLevel="1" x14ac:dyDescent="0.2">
      <c r="A314" s="589">
        <v>5395250000</v>
      </c>
      <c r="B314" s="318" t="s">
        <v>708</v>
      </c>
      <c r="C314" s="225">
        <f>+PRESUPUESTO!G325</f>
        <v>0</v>
      </c>
      <c r="D314" s="225"/>
      <c r="E314" s="752">
        <f t="shared" si="4"/>
        <v>0</v>
      </c>
      <c r="F314" s="524"/>
    </row>
    <row r="315" spans="1:6" customFormat="1" ht="12.75" hidden="1" outlineLevel="1" x14ac:dyDescent="0.2">
      <c r="A315" s="589">
        <v>5395950200</v>
      </c>
      <c r="B315" s="318" t="s">
        <v>709</v>
      </c>
      <c r="C315" s="225">
        <f>+PRESUPUESTO!G326</f>
        <v>0</v>
      </c>
      <c r="D315" s="225"/>
      <c r="E315" s="752">
        <f t="shared" si="4"/>
        <v>0</v>
      </c>
      <c r="F315" s="524"/>
    </row>
    <row r="316" spans="1:6" customFormat="1" ht="12.75" hidden="1" outlineLevel="1" x14ac:dyDescent="0.2">
      <c r="A316" s="176">
        <v>5395950000</v>
      </c>
      <c r="B316" s="316" t="s">
        <v>84</v>
      </c>
      <c r="C316" s="315">
        <f ca="1">+PRESUPUESTO!G327</f>
        <v>2900</v>
      </c>
      <c r="D316" s="315">
        <f>(+EDUC.CONT.!N26)/1000</f>
        <v>0</v>
      </c>
      <c r="E316" s="756">
        <f t="shared" ca="1" si="4"/>
        <v>2900</v>
      </c>
      <c r="F316" s="524"/>
    </row>
    <row r="317" spans="1:6" customFormat="1" ht="12.75" hidden="1" outlineLevel="1" x14ac:dyDescent="0.2">
      <c r="A317" s="589">
        <v>6160050200</v>
      </c>
      <c r="B317" s="316" t="s">
        <v>710</v>
      </c>
      <c r="C317" s="586">
        <f>+PRESUPUESTO!G328</f>
        <v>0</v>
      </c>
      <c r="D317" s="586"/>
      <c r="E317" s="751">
        <f t="shared" si="4"/>
        <v>0</v>
      </c>
      <c r="F317" s="524"/>
    </row>
    <row r="318" spans="1:6" customFormat="1" ht="12.75" collapsed="1" x14ac:dyDescent="0.2">
      <c r="A318" s="176"/>
      <c r="B318" s="213" t="s">
        <v>408</v>
      </c>
      <c r="C318" s="214">
        <f ca="1">SUM(C297:C317)</f>
        <v>5915.6</v>
      </c>
      <c r="D318" s="214">
        <f>SUM(D297:D317)</f>
        <v>0</v>
      </c>
      <c r="E318" s="755">
        <f t="shared" ca="1" si="4"/>
        <v>5915.6</v>
      </c>
      <c r="F318" s="524"/>
    </row>
    <row r="319" spans="1:6" customFormat="1" ht="12.75" x14ac:dyDescent="0.2">
      <c r="A319" s="1"/>
      <c r="B319" s="209" t="s">
        <v>409</v>
      </c>
      <c r="C319" s="210">
        <f ca="1">+C294-C318</f>
        <v>-5915.6</v>
      </c>
      <c r="D319" s="210">
        <f>+D294-D318</f>
        <v>0</v>
      </c>
      <c r="E319" s="753">
        <f t="shared" ca="1" si="4"/>
        <v>-5915.6</v>
      </c>
      <c r="F319" s="524"/>
    </row>
    <row r="320" spans="1:6" customFormat="1" ht="12.75" x14ac:dyDescent="0.2">
      <c r="A320" s="3"/>
      <c r="B320" s="216" t="s">
        <v>152</v>
      </c>
      <c r="C320" s="210">
        <f ca="1">+C241+C319</f>
        <v>1794701.3578712032</v>
      </c>
      <c r="D320" s="210">
        <f>+D241+D319</f>
        <v>0</v>
      </c>
      <c r="E320" s="753">
        <f t="shared" ca="1" si="4"/>
        <v>1794701.3578712032</v>
      </c>
      <c r="F320" s="524"/>
    </row>
    <row r="321" spans="1:6" customFormat="1" ht="12.75" x14ac:dyDescent="0.2">
      <c r="A321" s="1"/>
      <c r="B321" s="206" t="s">
        <v>238</v>
      </c>
      <c r="C321" s="208"/>
      <c r="D321" s="208"/>
      <c r="E321" s="754">
        <f t="shared" si="4"/>
        <v>0</v>
      </c>
      <c r="F321" s="524"/>
    </row>
    <row r="322" spans="1:6" customFormat="1" ht="12.75" hidden="1" outlineLevel="1" x14ac:dyDescent="0.2">
      <c r="A322" s="1"/>
      <c r="B322" s="206" t="s">
        <v>410</v>
      </c>
      <c r="C322" s="208"/>
      <c r="D322" s="208"/>
      <c r="E322" s="754">
        <f t="shared" si="4"/>
        <v>0</v>
      </c>
      <c r="F322" s="524"/>
    </row>
    <row r="323" spans="1:6" customFormat="1" ht="12.75" hidden="1" outlineLevel="1" x14ac:dyDescent="0.2">
      <c r="A323" s="1">
        <v>1524050000</v>
      </c>
      <c r="B323" s="319" t="s">
        <v>411</v>
      </c>
      <c r="C323" s="226">
        <f ca="1">+PRESUPUESTO!G334</f>
        <v>0</v>
      </c>
      <c r="D323" s="586"/>
      <c r="E323" s="751">
        <f t="shared" ca="1" si="4"/>
        <v>0</v>
      </c>
      <c r="F323" s="524"/>
    </row>
    <row r="324" spans="1:6" customFormat="1" ht="12.75" hidden="1" outlineLevel="1" x14ac:dyDescent="0.2">
      <c r="A324" s="1">
        <v>1528050000</v>
      </c>
      <c r="B324" s="319" t="s">
        <v>598</v>
      </c>
      <c r="C324" s="226">
        <f ca="1">+PRESUPUESTO!G335</f>
        <v>7000</v>
      </c>
      <c r="D324" s="586"/>
      <c r="E324" s="751">
        <f t="shared" ca="1" si="4"/>
        <v>7000</v>
      </c>
      <c r="F324" s="524"/>
    </row>
    <row r="325" spans="1:6" customFormat="1" ht="12.75" hidden="1" outlineLevel="1" x14ac:dyDescent="0.2">
      <c r="A325" s="1">
        <v>1532050000</v>
      </c>
      <c r="B325" s="319" t="s">
        <v>599</v>
      </c>
      <c r="C325" s="226">
        <f ca="1">+PRESUPUESTO!G336</f>
        <v>5000</v>
      </c>
      <c r="D325" s="586"/>
      <c r="E325" s="751">
        <f t="shared" ca="1" si="4"/>
        <v>5000</v>
      </c>
      <c r="F325" s="524"/>
    </row>
    <row r="326" spans="1:6" customFormat="1" ht="12.75" collapsed="1" x14ac:dyDescent="0.2">
      <c r="A326" s="1"/>
      <c r="B326" s="217" t="s">
        <v>239</v>
      </c>
      <c r="C326" s="214">
        <f ca="1">SUM(C323:C325)</f>
        <v>12000</v>
      </c>
      <c r="D326" s="214">
        <f>SUM(D323:D325)</f>
        <v>0</v>
      </c>
      <c r="E326" s="755">
        <f t="shared" ca="1" si="4"/>
        <v>12000</v>
      </c>
      <c r="F326" s="524"/>
    </row>
    <row r="327" spans="1:6" customFormat="1" ht="13.5" thickBot="1" x14ac:dyDescent="0.25">
      <c r="A327" s="1"/>
      <c r="B327" s="218" t="s">
        <v>240</v>
      </c>
      <c r="C327" s="219">
        <f ca="1">+C320-C326</f>
        <v>1782701.3578712032</v>
      </c>
      <c r="D327" s="219">
        <f>+D320-D326</f>
        <v>0</v>
      </c>
      <c r="E327" s="757">
        <f t="shared" ca="1" si="4"/>
        <v>1782701.3578712032</v>
      </c>
      <c r="F327" s="524"/>
    </row>
    <row r="328" spans="1:6" ht="16.5" customHeight="1" x14ac:dyDescent="0.2">
      <c r="B328" s="220" t="s">
        <v>429</v>
      </c>
      <c r="C328" s="221">
        <f ca="1">IFERROR(C327/(+C29+C294),"Sin datos")</f>
        <v>0.30403360323275319</v>
      </c>
      <c r="D328" s="221" t="str">
        <f>IFERROR(D327/(+D29+D294),"Sin datos")</f>
        <v>Sin datos</v>
      </c>
      <c r="E328" s="221">
        <f ca="1">IFERROR(E327/(+E29+E294),"Sin datos")</f>
        <v>0.30403360323275319</v>
      </c>
      <c r="F328" s="525"/>
    </row>
    <row r="329" spans="1:6" ht="16.5" customHeight="1" x14ac:dyDescent="0.2">
      <c r="B329" s="220" t="s">
        <v>430</v>
      </c>
      <c r="C329" s="221">
        <f ca="1">IFERROR(C61/(+C29+C294),"Sin datos")</f>
        <v>0.36241327131774459</v>
      </c>
      <c r="D329" s="221" t="str">
        <f>IFERROR(D61/(+D29+D294),"Sin datos")</f>
        <v>Sin datos</v>
      </c>
      <c r="E329" s="221">
        <f ca="1">IFERROR(E61/(+E29+E294),"Sin datos")</f>
        <v>0.36241327131774459</v>
      </c>
    </row>
    <row r="330" spans="1:6" ht="16.5" customHeight="1" thickBot="1" x14ac:dyDescent="0.25"/>
    <row r="331" spans="1:6" ht="16.5" customHeight="1" x14ac:dyDescent="0.2">
      <c r="B331" s="596" t="s">
        <v>717</v>
      </c>
      <c r="C331" s="740">
        <f t="shared" ref="C331:D331" ca="1" si="5">IFERROR((C61+C72)/(C29+C294), "Sin datos")</f>
        <v>0.36292491102995494</v>
      </c>
      <c r="D331" s="740" t="str">
        <f t="shared" si="5"/>
        <v>Sin datos</v>
      </c>
      <c r="E331" s="741">
        <f t="shared" ref="E331" ca="1" si="6">IFERROR((E61+E72)/(E29+E294), "Sin datos")</f>
        <v>0.36292491102995494</v>
      </c>
    </row>
    <row r="332" spans="1:6" ht="16.5" customHeight="1" x14ac:dyDescent="0.2">
      <c r="B332" s="595" t="s">
        <v>718</v>
      </c>
      <c r="C332" s="742">
        <f t="shared" ref="C332:D332" ca="1" si="7">IFERROR(C61/C29,"Sin datos")</f>
        <v>0.36241327131774459</v>
      </c>
      <c r="D332" s="742" t="str">
        <f t="shared" si="7"/>
        <v>Sin datos</v>
      </c>
      <c r="E332" s="743">
        <f t="shared" ref="E332" ca="1" si="8">IFERROR(E61/E29,"Sin datos")</f>
        <v>0.36241327131774459</v>
      </c>
    </row>
    <row r="333" spans="1:6" ht="16.5" customHeight="1" x14ac:dyDescent="0.2">
      <c r="B333" s="597" t="s">
        <v>719</v>
      </c>
      <c r="C333" s="744">
        <f t="shared" ref="C333:D333" ca="1" si="9">IFERROR((C61/(C29+C294)),"Sin datos")</f>
        <v>0.36241327131774459</v>
      </c>
      <c r="D333" s="744" t="str">
        <f t="shared" si="9"/>
        <v>Sin datos</v>
      </c>
      <c r="E333" s="745">
        <f t="shared" ref="E333" ca="1" si="10">IFERROR((E61/(E29+E294)),"Sin datos")</f>
        <v>0.36241327131774459</v>
      </c>
    </row>
    <row r="334" spans="1:6" ht="16.5" customHeight="1" x14ac:dyDescent="0.2">
      <c r="B334" s="595" t="s">
        <v>720</v>
      </c>
      <c r="C334" s="742">
        <f t="shared" ref="C334:D334" ca="1" si="11">IFERROR(C72/C29,"Sin datos")</f>
        <v>5.1163971221037069E-4</v>
      </c>
      <c r="D334" s="742" t="str">
        <f t="shared" si="11"/>
        <v>Sin datos</v>
      </c>
      <c r="E334" s="743">
        <f t="shared" ref="E334" ca="1" si="12">IFERROR(E72/E29,"Sin datos")</f>
        <v>5.1163971221037069E-4</v>
      </c>
      <c r="F334" s="196"/>
    </row>
    <row r="335" spans="1:6" ht="16.5" customHeight="1" x14ac:dyDescent="0.2">
      <c r="B335" s="597" t="s">
        <v>721</v>
      </c>
      <c r="C335" s="744" t="s">
        <v>169</v>
      </c>
      <c r="D335" s="744" t="s">
        <v>169</v>
      </c>
      <c r="E335" s="745" t="s">
        <v>169</v>
      </c>
      <c r="F335" s="196"/>
    </row>
    <row r="336" spans="1:6" ht="16.5" customHeight="1" x14ac:dyDescent="0.2">
      <c r="B336" s="595" t="s">
        <v>722</v>
      </c>
      <c r="C336" s="742">
        <f t="shared" ref="C336:D336" ca="1" si="13">IFERROR((C320/(C29+C294)),"Sin datos")</f>
        <v>0.30608016208159466</v>
      </c>
      <c r="D336" s="742" t="str">
        <f t="shared" si="13"/>
        <v>Sin datos</v>
      </c>
      <c r="E336" s="743">
        <f t="shared" ref="E336" ca="1" si="14">IFERROR((E320/(E29+E294)),"Sin datos")</f>
        <v>0.30608016208159466</v>
      </c>
      <c r="F336" s="196"/>
    </row>
    <row r="337" spans="2:6" ht="16.5" customHeight="1" x14ac:dyDescent="0.2">
      <c r="B337" s="597" t="s">
        <v>723</v>
      </c>
      <c r="C337" s="744">
        <f t="shared" ref="C337:D337" ca="1" si="15">IFERROR((C326/C29),"Sin datos")</f>
        <v>2.0465588488414828E-3</v>
      </c>
      <c r="D337" s="744" t="str">
        <f t="shared" si="15"/>
        <v>Sin datos</v>
      </c>
      <c r="E337" s="745">
        <f t="shared" ref="E337" ca="1" si="16">IFERROR((E326/E29),"Sin datos")</f>
        <v>2.0465588488414828E-3</v>
      </c>
    </row>
    <row r="338" spans="2:6" ht="16.5" customHeight="1" x14ac:dyDescent="0.2">
      <c r="B338" s="595" t="s">
        <v>724</v>
      </c>
      <c r="C338" s="742">
        <f t="shared" ref="C338:D338" ca="1" si="17">IFERROR((C326/(C29+C294)),"Sin datos")</f>
        <v>2.0465588488414828E-3</v>
      </c>
      <c r="D338" s="742" t="str">
        <f t="shared" si="17"/>
        <v>Sin datos</v>
      </c>
      <c r="E338" s="743">
        <f t="shared" ref="E338" ca="1" si="18">IFERROR((E326/(E29+E294)),"Sin datos")</f>
        <v>2.0465588488414828E-3</v>
      </c>
      <c r="F338" s="196"/>
    </row>
    <row r="339" spans="2:6" ht="16.5" customHeight="1" thickBot="1" x14ac:dyDescent="0.25">
      <c r="B339" s="598" t="s">
        <v>725</v>
      </c>
      <c r="C339" s="746">
        <f t="shared" ref="C339:D339" ca="1" si="19">IFERROR((C240+C318)/(C29+C294),"Sin datos")</f>
        <v>0.69391983791840539</v>
      </c>
      <c r="D339" s="746" t="str">
        <f t="shared" si="19"/>
        <v>Sin datos</v>
      </c>
      <c r="E339" s="747">
        <f t="shared" ref="E339" ca="1" si="20">IFERROR((E240+E318)/(E29+E294),"Sin datos")</f>
        <v>0.69391983791840539</v>
      </c>
      <c r="F339" s="196"/>
    </row>
    <row r="340" spans="2:6" ht="16.5" customHeight="1" x14ac:dyDescent="0.2">
      <c r="B340" s="196"/>
      <c r="C340" s="196"/>
      <c r="D340" s="196"/>
      <c r="E340" s="196"/>
      <c r="F340" s="196"/>
    </row>
  </sheetData>
  <protectedRanges>
    <protectedRange sqref="F4:F329" name="Rango1"/>
  </protectedRanges>
  <mergeCells count="6">
    <mergeCell ref="B2:E2"/>
    <mergeCell ref="F4:F5"/>
    <mergeCell ref="B4:B5"/>
    <mergeCell ref="D4:D5"/>
    <mergeCell ref="C4:C5"/>
    <mergeCell ref="E4:E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R37"/>
  <sheetViews>
    <sheetView topLeftCell="D1" zoomScale="90" zoomScaleNormal="90" workbookViewId="0">
      <selection activeCell="V13" sqref="V13"/>
    </sheetView>
  </sheetViews>
  <sheetFormatPr baseColWidth="10" defaultRowHeight="12.75" x14ac:dyDescent="0.2"/>
  <cols>
    <col min="1" max="1" width="0.85546875" style="5" customWidth="1"/>
    <col min="2" max="4" width="11.5703125" style="5" bestFit="1" customWidth="1"/>
    <col min="5" max="5" width="2.85546875" style="5" customWidth="1"/>
    <col min="6" max="8" width="11.5703125" style="5" bestFit="1" customWidth="1"/>
    <col min="9" max="9" width="2.85546875" style="15" customWidth="1"/>
    <col min="10" max="10" width="11.5703125" style="34" bestFit="1" customWidth="1"/>
    <col min="11" max="12" width="11.5703125" style="5" bestFit="1" customWidth="1"/>
    <col min="13" max="13" width="4.7109375" style="5" customWidth="1"/>
    <col min="14" max="16" width="11.42578125" style="5"/>
    <col min="17" max="17" width="3.85546875" style="5" customWidth="1"/>
    <col min="18" max="23" width="11.42578125" style="5"/>
    <col min="24" max="44" width="11.42578125" style="823"/>
    <col min="45" max="16384" width="11.42578125" style="5"/>
  </cols>
  <sheetData>
    <row r="1" spans="2:44" ht="47.25" customHeight="1" thickBot="1" x14ac:dyDescent="0.25">
      <c r="G1" s="1095" t="s">
        <v>798</v>
      </c>
      <c r="H1" s="1095"/>
      <c r="I1" s="1095"/>
      <c r="J1" s="1095"/>
      <c r="K1" s="1095"/>
      <c r="L1" s="1095"/>
      <c r="M1" s="1095"/>
      <c r="N1" s="1095"/>
      <c r="O1" s="1095"/>
      <c r="P1" s="1095"/>
    </row>
    <row r="2" spans="2:44" s="34" customFormat="1" ht="16.5" thickBot="1" x14ac:dyDescent="0.3">
      <c r="B2" s="1092" t="str">
        <f>+PRESUPUESTO!$B$2</f>
        <v>ADMINISTRACION DE EMPRESAS</v>
      </c>
      <c r="C2" s="1093"/>
      <c r="D2" s="284">
        <v>2014</v>
      </c>
      <c r="F2" s="1092" t="str">
        <f>+PRESUPUESTO!$B$2</f>
        <v>ADMINISTRACION DE EMPRESAS</v>
      </c>
      <c r="G2" s="1093"/>
      <c r="H2" s="284">
        <v>2015</v>
      </c>
      <c r="I2" s="285"/>
      <c r="J2" s="1092" t="str">
        <f>+PRESUPUESTO!$B$2</f>
        <v>ADMINISTRACION DE EMPRESAS</v>
      </c>
      <c r="K2" s="1093"/>
      <c r="L2" s="284">
        <v>2016</v>
      </c>
      <c r="N2" s="1092" t="str">
        <f>+PRESUPUESTO!$B$2</f>
        <v>ADMINISTRACION DE EMPRESAS</v>
      </c>
      <c r="O2" s="1093"/>
      <c r="P2" s="284">
        <v>2017</v>
      </c>
      <c r="R2" s="1092" t="str">
        <f>+PRESUPUESTO!$B$2</f>
        <v>ADMINISTRACION DE EMPRESAS</v>
      </c>
      <c r="S2" s="1093"/>
      <c r="T2" s="284">
        <v>2018</v>
      </c>
      <c r="X2" s="824"/>
      <c r="Y2" s="824"/>
      <c r="Z2" s="824"/>
      <c r="AA2" s="824"/>
      <c r="AB2" s="824"/>
      <c r="AC2" s="824"/>
      <c r="AD2" s="824"/>
      <c r="AE2" s="824"/>
      <c r="AF2" s="824"/>
      <c r="AG2" s="824"/>
      <c r="AH2" s="824"/>
      <c r="AI2" s="824"/>
      <c r="AJ2" s="824"/>
      <c r="AK2" s="824"/>
      <c r="AL2" s="824"/>
      <c r="AM2" s="824"/>
      <c r="AN2" s="824"/>
      <c r="AO2" s="824"/>
      <c r="AP2" s="824"/>
      <c r="AQ2" s="824"/>
      <c r="AR2" s="824"/>
    </row>
    <row r="3" spans="2:44" s="33" customFormat="1" ht="13.5" thickBot="1" x14ac:dyDescent="0.25">
      <c r="B3" s="286" t="s">
        <v>200</v>
      </c>
      <c r="C3" s="286" t="s">
        <v>219</v>
      </c>
      <c r="D3" s="286" t="s">
        <v>220</v>
      </c>
      <c r="E3" s="35"/>
      <c r="F3" s="286" t="s">
        <v>200</v>
      </c>
      <c r="G3" s="286" t="s">
        <v>219</v>
      </c>
      <c r="H3" s="286" t="s">
        <v>220</v>
      </c>
      <c r="I3" s="287"/>
      <c r="J3" s="286" t="s">
        <v>200</v>
      </c>
      <c r="K3" s="286" t="s">
        <v>219</v>
      </c>
      <c r="L3" s="286" t="s">
        <v>220</v>
      </c>
      <c r="N3" s="286" t="s">
        <v>200</v>
      </c>
      <c r="O3" s="288" t="s">
        <v>219</v>
      </c>
      <c r="P3" s="288" t="s">
        <v>220</v>
      </c>
      <c r="R3" s="286" t="s">
        <v>200</v>
      </c>
      <c r="S3" s="288" t="s">
        <v>219</v>
      </c>
      <c r="T3" s="288" t="s">
        <v>220</v>
      </c>
      <c r="X3" s="825"/>
      <c r="Y3" s="825"/>
      <c r="Z3" s="825"/>
      <c r="AA3" s="825"/>
      <c r="AB3" s="825"/>
      <c r="AC3" s="825"/>
      <c r="AD3" s="825"/>
      <c r="AE3" s="825"/>
      <c r="AF3" s="825"/>
      <c r="AG3" s="825"/>
      <c r="AH3" s="825"/>
      <c r="AI3" s="825"/>
      <c r="AJ3" s="825"/>
      <c r="AK3" s="825"/>
      <c r="AL3" s="825"/>
      <c r="AM3" s="825"/>
      <c r="AN3" s="825"/>
      <c r="AO3" s="825"/>
      <c r="AP3" s="825"/>
      <c r="AQ3" s="825"/>
      <c r="AR3" s="825"/>
    </row>
    <row r="4" spans="2:44" x14ac:dyDescent="0.2">
      <c r="B4" s="29" t="s">
        <v>206</v>
      </c>
      <c r="C4" s="467">
        <v>60</v>
      </c>
      <c r="D4" s="467">
        <v>66</v>
      </c>
      <c r="F4" s="29" t="s">
        <v>206</v>
      </c>
      <c r="G4" s="467">
        <v>85</v>
      </c>
      <c r="H4" s="467">
        <v>62</v>
      </c>
      <c r="I4" s="5"/>
      <c r="J4" s="29" t="s">
        <v>206</v>
      </c>
      <c r="K4" s="467">
        <v>82</v>
      </c>
      <c r="L4" s="467">
        <v>77</v>
      </c>
      <c r="N4" s="29" t="s">
        <v>206</v>
      </c>
      <c r="O4" s="467">
        <v>59</v>
      </c>
      <c r="P4" s="467">
        <v>71</v>
      </c>
      <c r="R4" s="29" t="s">
        <v>206</v>
      </c>
      <c r="S4" s="467">
        <f>+MAT.!G25</f>
        <v>48</v>
      </c>
      <c r="T4" s="576">
        <f>+MAT.!G41</f>
        <v>70</v>
      </c>
    </row>
    <row r="5" spans="2:44" x14ac:dyDescent="0.2">
      <c r="B5" s="29" t="s">
        <v>207</v>
      </c>
      <c r="C5" s="467">
        <v>53</v>
      </c>
      <c r="D5" s="467">
        <v>60</v>
      </c>
      <c r="F5" s="29" t="s">
        <v>207</v>
      </c>
      <c r="G5" s="467">
        <v>62</v>
      </c>
      <c r="H5" s="467">
        <v>77</v>
      </c>
      <c r="I5" s="5"/>
      <c r="J5" s="29" t="s">
        <v>207</v>
      </c>
      <c r="K5" s="467">
        <v>65</v>
      </c>
      <c r="L5" s="467">
        <v>72</v>
      </c>
      <c r="N5" s="29" t="s">
        <v>207</v>
      </c>
      <c r="O5" s="467">
        <v>69</v>
      </c>
      <c r="P5" s="467">
        <v>61</v>
      </c>
      <c r="R5" s="29" t="s">
        <v>207</v>
      </c>
      <c r="S5" s="467">
        <f>+MAT.!G26</f>
        <v>67</v>
      </c>
      <c r="T5" s="467">
        <f>+MAT.!G42</f>
        <v>43</v>
      </c>
    </row>
    <row r="6" spans="2:44" x14ac:dyDescent="0.2">
      <c r="B6" s="29" t="s">
        <v>208</v>
      </c>
      <c r="C6" s="467">
        <v>40</v>
      </c>
      <c r="D6" s="467">
        <v>43</v>
      </c>
      <c r="F6" s="29" t="s">
        <v>208</v>
      </c>
      <c r="G6" s="467">
        <v>55</v>
      </c>
      <c r="H6" s="467">
        <v>54</v>
      </c>
      <c r="I6" s="5"/>
      <c r="J6" s="29" t="s">
        <v>208</v>
      </c>
      <c r="K6" s="467">
        <v>71</v>
      </c>
      <c r="L6" s="467">
        <v>60</v>
      </c>
      <c r="N6" s="29" t="s">
        <v>208</v>
      </c>
      <c r="O6" s="467">
        <v>67</v>
      </c>
      <c r="P6" s="467">
        <v>74</v>
      </c>
      <c r="R6" s="29" t="s">
        <v>208</v>
      </c>
      <c r="S6" s="467">
        <f>+MAT.!G27</f>
        <v>56</v>
      </c>
      <c r="T6" s="467">
        <f>+MAT.!G43</f>
        <v>62</v>
      </c>
    </row>
    <row r="7" spans="2:44" x14ac:dyDescent="0.2">
      <c r="B7" s="29" t="s">
        <v>209</v>
      </c>
      <c r="C7" s="467">
        <v>41</v>
      </c>
      <c r="D7" s="467">
        <v>29</v>
      </c>
      <c r="F7" s="29" t="s">
        <v>209</v>
      </c>
      <c r="G7" s="467">
        <v>37</v>
      </c>
      <c r="H7" s="467">
        <v>45</v>
      </c>
      <c r="I7" s="5"/>
      <c r="J7" s="29" t="s">
        <v>209</v>
      </c>
      <c r="K7" s="467">
        <v>37</v>
      </c>
      <c r="L7" s="467">
        <v>59</v>
      </c>
      <c r="N7" s="29" t="s">
        <v>209</v>
      </c>
      <c r="O7" s="467">
        <v>50</v>
      </c>
      <c r="P7" s="467">
        <v>62</v>
      </c>
      <c r="R7" s="29" t="s">
        <v>209</v>
      </c>
      <c r="S7" s="467">
        <f>+MAT.!G28</f>
        <v>63</v>
      </c>
      <c r="T7" s="467">
        <f>+MAT.!G44</f>
        <v>48</v>
      </c>
    </row>
    <row r="8" spans="2:44" x14ac:dyDescent="0.2">
      <c r="B8" s="29" t="s">
        <v>210</v>
      </c>
      <c r="C8" s="467">
        <v>23</v>
      </c>
      <c r="D8" s="467">
        <v>30</v>
      </c>
      <c r="F8" s="29" t="s">
        <v>210</v>
      </c>
      <c r="G8" s="467">
        <v>26</v>
      </c>
      <c r="H8" s="467">
        <v>27</v>
      </c>
      <c r="I8" s="5"/>
      <c r="J8" s="29" t="s">
        <v>210</v>
      </c>
      <c r="K8" s="467">
        <v>50</v>
      </c>
      <c r="L8" s="467">
        <v>29</v>
      </c>
      <c r="N8" s="29" t="s">
        <v>210</v>
      </c>
      <c r="O8" s="467">
        <v>58</v>
      </c>
      <c r="P8" s="467">
        <v>51</v>
      </c>
      <c r="R8" s="29" t="s">
        <v>210</v>
      </c>
      <c r="S8" s="467">
        <f>+MAT.!G29</f>
        <v>55</v>
      </c>
      <c r="T8" s="467">
        <f>+MAT.!G45</f>
        <v>56</v>
      </c>
    </row>
    <row r="9" spans="2:44" x14ac:dyDescent="0.2">
      <c r="B9" s="29" t="s">
        <v>211</v>
      </c>
      <c r="C9" s="467">
        <v>36</v>
      </c>
      <c r="D9" s="467">
        <v>35</v>
      </c>
      <c r="F9" s="29" t="s">
        <v>211</v>
      </c>
      <c r="G9" s="467">
        <v>39</v>
      </c>
      <c r="H9" s="467">
        <v>35</v>
      </c>
      <c r="I9" s="5"/>
      <c r="J9" s="29" t="s">
        <v>211</v>
      </c>
      <c r="K9" s="467">
        <v>30</v>
      </c>
      <c r="L9" s="467">
        <v>48</v>
      </c>
      <c r="N9" s="29" t="s">
        <v>211</v>
      </c>
      <c r="O9" s="467">
        <v>30</v>
      </c>
      <c r="P9" s="467">
        <v>54</v>
      </c>
      <c r="R9" s="29" t="s">
        <v>211</v>
      </c>
      <c r="S9" s="467">
        <f>+MAT.!G30</f>
        <v>51</v>
      </c>
      <c r="T9" s="467">
        <f>+MAT.!G46</f>
        <v>55</v>
      </c>
    </row>
    <row r="10" spans="2:44" x14ac:dyDescent="0.2">
      <c r="B10" s="29" t="s">
        <v>212</v>
      </c>
      <c r="C10" s="467">
        <v>25</v>
      </c>
      <c r="D10" s="467">
        <v>32</v>
      </c>
      <c r="F10" s="29" t="s">
        <v>212</v>
      </c>
      <c r="G10" s="467">
        <v>27</v>
      </c>
      <c r="H10" s="467">
        <v>40</v>
      </c>
      <c r="I10" s="5"/>
      <c r="J10" s="29" t="s">
        <v>212</v>
      </c>
      <c r="K10" s="467">
        <v>34</v>
      </c>
      <c r="L10" s="467">
        <v>35</v>
      </c>
      <c r="N10" s="29" t="s">
        <v>212</v>
      </c>
      <c r="O10" s="467">
        <v>50</v>
      </c>
      <c r="P10" s="467">
        <v>33</v>
      </c>
      <c r="R10" s="29" t="s">
        <v>212</v>
      </c>
      <c r="S10" s="467">
        <f>+MAT.!G31</f>
        <v>53</v>
      </c>
      <c r="T10" s="467">
        <f>+MAT.!G47</f>
        <v>50</v>
      </c>
    </row>
    <row r="11" spans="2:44" x14ac:dyDescent="0.2">
      <c r="B11" s="29" t="s">
        <v>213</v>
      </c>
      <c r="C11" s="467">
        <v>24</v>
      </c>
      <c r="D11" s="467">
        <v>26</v>
      </c>
      <c r="F11" s="29" t="s">
        <v>213</v>
      </c>
      <c r="G11" s="467">
        <v>25</v>
      </c>
      <c r="H11" s="467">
        <v>26</v>
      </c>
      <c r="I11" s="5"/>
      <c r="J11" s="29" t="s">
        <v>213</v>
      </c>
      <c r="K11" s="467">
        <v>33</v>
      </c>
      <c r="L11" s="467">
        <v>32</v>
      </c>
      <c r="N11" s="29" t="s">
        <v>213</v>
      </c>
      <c r="O11" s="467">
        <v>28</v>
      </c>
      <c r="P11" s="467">
        <v>46</v>
      </c>
      <c r="R11" s="29" t="s">
        <v>213</v>
      </c>
      <c r="S11" s="467">
        <f>+MAT.!G32</f>
        <v>31</v>
      </c>
      <c r="T11" s="467">
        <f>+MAT.!G48</f>
        <v>50</v>
      </c>
    </row>
    <row r="12" spans="2:44" x14ac:dyDescent="0.2">
      <c r="B12" s="29" t="s">
        <v>214</v>
      </c>
      <c r="C12" s="467">
        <v>30</v>
      </c>
      <c r="D12" s="467">
        <v>18</v>
      </c>
      <c r="F12" s="29" t="s">
        <v>214</v>
      </c>
      <c r="G12" s="467">
        <v>34</v>
      </c>
      <c r="H12" s="467">
        <v>24</v>
      </c>
      <c r="I12" s="5"/>
      <c r="J12" s="29" t="s">
        <v>214</v>
      </c>
      <c r="K12" s="467">
        <v>24</v>
      </c>
      <c r="L12" s="467">
        <v>31</v>
      </c>
      <c r="N12" s="29" t="s">
        <v>214</v>
      </c>
      <c r="O12" s="467">
        <v>29</v>
      </c>
      <c r="P12" s="467">
        <v>27</v>
      </c>
      <c r="R12" s="29" t="s">
        <v>214</v>
      </c>
      <c r="S12" s="467">
        <f>+MAT.!G33</f>
        <v>44</v>
      </c>
      <c r="T12" s="467">
        <f>+MAT.!G49</f>
        <v>30</v>
      </c>
    </row>
    <row r="13" spans="2:44" ht="13.5" thickBot="1" x14ac:dyDescent="0.25">
      <c r="B13" s="29" t="s">
        <v>215</v>
      </c>
      <c r="C13" s="467">
        <v>0</v>
      </c>
      <c r="D13" s="467">
        <v>0</v>
      </c>
      <c r="F13" s="29" t="s">
        <v>215</v>
      </c>
      <c r="G13" s="467">
        <v>0</v>
      </c>
      <c r="H13" s="467">
        <v>0</v>
      </c>
      <c r="I13" s="5"/>
      <c r="J13" s="29" t="s">
        <v>215</v>
      </c>
      <c r="K13" s="467">
        <v>0</v>
      </c>
      <c r="L13" s="467">
        <v>0</v>
      </c>
      <c r="N13" s="29" t="s">
        <v>215</v>
      </c>
      <c r="O13" s="467">
        <v>0</v>
      </c>
      <c r="P13" s="467">
        <v>0</v>
      </c>
      <c r="R13" s="29" t="s">
        <v>215</v>
      </c>
      <c r="S13" s="467">
        <f>+MAT.!G34</f>
        <v>0</v>
      </c>
      <c r="T13" s="467">
        <f>+MAT.!G50</f>
        <v>0</v>
      </c>
    </row>
    <row r="14" spans="2:44" ht="13.5" thickBot="1" x14ac:dyDescent="0.25">
      <c r="B14" s="30" t="s">
        <v>218</v>
      </c>
      <c r="C14" s="31">
        <f>SUM(C4:C13)</f>
        <v>332</v>
      </c>
      <c r="D14" s="32">
        <f>SUM(D4:D13)</f>
        <v>339</v>
      </c>
      <c r="F14" s="30" t="s">
        <v>218</v>
      </c>
      <c r="G14" s="31">
        <f>SUM(G4:G13)</f>
        <v>390</v>
      </c>
      <c r="H14" s="32">
        <f>SUM(H4:H13)</f>
        <v>390</v>
      </c>
      <c r="J14" s="30" t="s">
        <v>218</v>
      </c>
      <c r="K14" s="31">
        <f>SUM(K4:K13)</f>
        <v>426</v>
      </c>
      <c r="L14" s="32">
        <f>SUM(L4:L13)</f>
        <v>443</v>
      </c>
      <c r="N14" s="30" t="s">
        <v>218</v>
      </c>
      <c r="O14" s="31">
        <f>SUM(O4:O13)</f>
        <v>440</v>
      </c>
      <c r="P14" s="32">
        <f>SUM(P4:P13)</f>
        <v>479</v>
      </c>
      <c r="R14" s="30" t="s">
        <v>218</v>
      </c>
      <c r="S14" s="31">
        <f>SUM(S4:S13)</f>
        <v>468</v>
      </c>
      <c r="T14" s="32">
        <f>SUM(T4:T13)</f>
        <v>464</v>
      </c>
    </row>
    <row r="16" spans="2:44" ht="13.5" thickBot="1" x14ac:dyDescent="0.25"/>
    <row r="17" spans="2:21" ht="18" x14ac:dyDescent="0.25">
      <c r="B17" s="67"/>
      <c r="C17" s="1094" t="s">
        <v>272</v>
      </c>
      <c r="D17" s="1094"/>
      <c r="E17" s="1094"/>
      <c r="F17" s="1094"/>
      <c r="G17" s="1094"/>
      <c r="H17" s="1094"/>
      <c r="I17" s="1094"/>
      <c r="J17" s="1094"/>
      <c r="K17" s="830"/>
      <c r="M17" s="67"/>
      <c r="N17" s="68"/>
      <c r="O17" s="1094" t="s">
        <v>274</v>
      </c>
      <c r="P17" s="1094"/>
      <c r="Q17" s="1094"/>
      <c r="R17" s="1094"/>
      <c r="S17" s="1094"/>
      <c r="T17" s="1094"/>
      <c r="U17" s="69"/>
    </row>
    <row r="18" spans="2:21" x14ac:dyDescent="0.2">
      <c r="B18" s="56"/>
      <c r="C18" s="1091" t="s">
        <v>206</v>
      </c>
      <c r="D18" s="24"/>
      <c r="E18" s="24"/>
      <c r="F18" s="24"/>
      <c r="G18" s="24"/>
      <c r="H18" s="24"/>
      <c r="I18" s="24"/>
      <c r="J18" s="57"/>
      <c r="K18" s="831"/>
      <c r="M18" s="56"/>
      <c r="N18" s="24"/>
      <c r="O18" s="1091" t="s">
        <v>206</v>
      </c>
      <c r="P18" s="24"/>
      <c r="Q18" s="24"/>
      <c r="R18" s="24"/>
      <c r="S18" s="24"/>
      <c r="T18" s="24"/>
      <c r="U18" s="58"/>
    </row>
    <row r="19" spans="2:21" ht="12.75" customHeight="1" x14ac:dyDescent="0.25">
      <c r="B19" s="59" t="s">
        <v>273</v>
      </c>
      <c r="C19" s="1091"/>
      <c r="D19" s="24"/>
      <c r="E19" s="24"/>
      <c r="F19" s="24"/>
      <c r="G19" s="24"/>
      <c r="H19" s="24"/>
      <c r="I19" s="24"/>
      <c r="J19" s="57"/>
      <c r="K19" s="831"/>
      <c r="M19" s="56"/>
      <c r="N19" s="65" t="s">
        <v>273</v>
      </c>
      <c r="O19" s="1091"/>
      <c r="P19" s="24"/>
      <c r="Q19" s="24"/>
      <c r="R19" s="24"/>
      <c r="S19" s="24"/>
      <c r="T19" s="24"/>
      <c r="U19" s="58"/>
    </row>
    <row r="20" spans="2:21" x14ac:dyDescent="0.2">
      <c r="B20" s="828"/>
      <c r="C20" s="829"/>
      <c r="D20" s="829"/>
      <c r="E20" s="829"/>
      <c r="F20" s="829"/>
      <c r="G20" s="829"/>
      <c r="H20" s="829"/>
      <c r="I20" s="826"/>
      <c r="J20" s="827"/>
      <c r="K20" s="832"/>
      <c r="L20" s="823"/>
      <c r="M20" s="56"/>
      <c r="N20" s="24"/>
      <c r="O20" s="24"/>
      <c r="P20" s="24"/>
      <c r="Q20" s="24"/>
      <c r="R20" s="24"/>
      <c r="S20" s="24"/>
      <c r="T20" s="24"/>
      <c r="U20" s="58"/>
    </row>
    <row r="21" spans="2:21" x14ac:dyDescent="0.2">
      <c r="B21" s="828"/>
      <c r="C21" s="829">
        <f>VLOOKUP($C$18,$B$4:$T$13,2,0)</f>
        <v>60</v>
      </c>
      <c r="D21" s="829">
        <f>VLOOKUP($C$18,$B$4:$T$13,6,0)</f>
        <v>85</v>
      </c>
      <c r="E21" s="829">
        <f>VLOOKUP($C$18,$B$4:$T$13,10,0)</f>
        <v>82</v>
      </c>
      <c r="F21" s="829">
        <f>VLOOKUP($C$18,$B$4:$T$13,14,0)</f>
        <v>59</v>
      </c>
      <c r="G21" s="829">
        <f>VLOOKUP($C$18,$B$4:$T$13,18,0)</f>
        <v>48</v>
      </c>
      <c r="H21" s="829"/>
      <c r="I21" s="826"/>
      <c r="J21" s="827"/>
      <c r="K21" s="832"/>
      <c r="L21" s="823"/>
      <c r="M21" s="66"/>
      <c r="N21" s="55"/>
      <c r="O21" s="55">
        <f>VLOOKUP($O$18,$B$4:$T$13,3,0)</f>
        <v>66</v>
      </c>
      <c r="P21" s="55">
        <f>VLOOKUP($O$18,$B$4:$T$13,7,0)</f>
        <v>62</v>
      </c>
      <c r="Q21" s="55">
        <f>VLOOKUP($O$18,$B$4:$T$13,11,0)</f>
        <v>77</v>
      </c>
      <c r="R21" s="55">
        <f>VLOOKUP($O$18,$B$4:$T$13,15,0)</f>
        <v>71</v>
      </c>
      <c r="S21" s="55">
        <f>VLOOKUP($O$18,$B$4:$T$13,19,0)</f>
        <v>70</v>
      </c>
      <c r="T21" s="55"/>
      <c r="U21" s="58"/>
    </row>
    <row r="22" spans="2:21" x14ac:dyDescent="0.2">
      <c r="B22" s="828"/>
      <c r="C22" s="829">
        <f>D2</f>
        <v>2014</v>
      </c>
      <c r="D22" s="829">
        <f>H2</f>
        <v>2015</v>
      </c>
      <c r="E22" s="829">
        <f>L2</f>
        <v>2016</v>
      </c>
      <c r="F22" s="829">
        <f>P2</f>
        <v>2017</v>
      </c>
      <c r="G22" s="829">
        <f>T2</f>
        <v>2018</v>
      </c>
      <c r="H22" s="829"/>
      <c r="I22" s="826"/>
      <c r="J22" s="827"/>
      <c r="K22" s="832"/>
      <c r="L22" s="823"/>
      <c r="M22" s="66"/>
      <c r="N22" s="55"/>
      <c r="O22" s="55">
        <f>D2</f>
        <v>2014</v>
      </c>
      <c r="P22" s="55">
        <f>H2</f>
        <v>2015</v>
      </c>
      <c r="Q22" s="55">
        <f>L2</f>
        <v>2016</v>
      </c>
      <c r="R22" s="55">
        <f>P2</f>
        <v>2017</v>
      </c>
      <c r="S22" s="55">
        <f>T2</f>
        <v>2018</v>
      </c>
      <c r="T22" s="55"/>
      <c r="U22" s="58"/>
    </row>
    <row r="23" spans="2:21" x14ac:dyDescent="0.2">
      <c r="B23" s="828"/>
      <c r="C23" s="829"/>
      <c r="D23" s="829"/>
      <c r="E23" s="829"/>
      <c r="F23" s="829"/>
      <c r="G23" s="829"/>
      <c r="H23" s="829"/>
      <c r="I23" s="826"/>
      <c r="J23" s="827"/>
      <c r="K23" s="832"/>
      <c r="L23" s="823"/>
      <c r="M23" s="66"/>
      <c r="N23" s="55"/>
      <c r="O23" s="55"/>
      <c r="P23" s="55"/>
      <c r="Q23" s="55"/>
      <c r="R23" s="55"/>
      <c r="S23" s="55"/>
      <c r="T23" s="55"/>
      <c r="U23" s="58"/>
    </row>
    <row r="24" spans="2:21" x14ac:dyDescent="0.2">
      <c r="B24" s="56"/>
      <c r="C24" s="55"/>
      <c r="D24" s="55"/>
      <c r="E24" s="55"/>
      <c r="F24" s="55"/>
      <c r="G24" s="55"/>
      <c r="H24" s="55"/>
      <c r="I24" s="55"/>
      <c r="J24" s="60"/>
      <c r="K24" s="830"/>
      <c r="L24" s="54"/>
      <c r="M24" s="66"/>
      <c r="N24" s="55"/>
      <c r="O24" s="55"/>
      <c r="P24" s="55"/>
      <c r="Q24" s="55"/>
      <c r="R24" s="55"/>
      <c r="S24" s="55"/>
      <c r="T24" s="55"/>
      <c r="U24" s="58"/>
    </row>
    <row r="25" spans="2:21" x14ac:dyDescent="0.2">
      <c r="B25" s="56"/>
      <c r="C25" s="55"/>
      <c r="D25" s="55"/>
      <c r="E25" s="55"/>
      <c r="F25" s="55"/>
      <c r="G25" s="55"/>
      <c r="H25" s="55"/>
      <c r="I25" s="55"/>
      <c r="J25" s="60"/>
      <c r="K25" s="830"/>
      <c r="L25" s="54"/>
      <c r="M25" s="66"/>
      <c r="N25" s="55"/>
      <c r="O25" s="55"/>
      <c r="P25" s="55"/>
      <c r="Q25" s="55"/>
      <c r="R25" s="55"/>
      <c r="S25" s="55"/>
      <c r="T25" s="55"/>
      <c r="U25" s="58"/>
    </row>
    <row r="26" spans="2:21" x14ac:dyDescent="0.2">
      <c r="B26" s="56"/>
      <c r="C26" s="55"/>
      <c r="D26" s="55"/>
      <c r="E26" s="55"/>
      <c r="F26" s="55"/>
      <c r="G26" s="55"/>
      <c r="H26" s="55"/>
      <c r="I26" s="55"/>
      <c r="J26" s="60"/>
      <c r="K26" s="830"/>
      <c r="L26" s="54"/>
      <c r="M26" s="66"/>
      <c r="N26" s="55"/>
      <c r="O26" s="55"/>
      <c r="P26" s="55"/>
      <c r="Q26" s="55"/>
      <c r="R26" s="55"/>
      <c r="S26" s="55"/>
      <c r="T26" s="55"/>
      <c r="U26" s="58"/>
    </row>
    <row r="27" spans="2:21" x14ac:dyDescent="0.2">
      <c r="B27" s="56"/>
      <c r="C27" s="55"/>
      <c r="D27" s="55"/>
      <c r="E27" s="55"/>
      <c r="F27" s="55"/>
      <c r="G27" s="55"/>
      <c r="H27" s="55"/>
      <c r="I27" s="55"/>
      <c r="J27" s="60"/>
      <c r="K27" s="830"/>
      <c r="L27" s="54"/>
      <c r="M27" s="66"/>
      <c r="N27" s="55"/>
      <c r="O27" s="55"/>
      <c r="P27" s="55"/>
      <c r="Q27" s="55"/>
      <c r="R27" s="55"/>
      <c r="S27" s="55"/>
      <c r="T27" s="55"/>
      <c r="U27" s="58"/>
    </row>
    <row r="28" spans="2:21" x14ac:dyDescent="0.2">
      <c r="B28" s="56"/>
      <c r="C28" s="55"/>
      <c r="D28" s="55"/>
      <c r="E28" s="55"/>
      <c r="F28" s="55"/>
      <c r="G28" s="55"/>
      <c r="H28" s="55"/>
      <c r="I28" s="55"/>
      <c r="J28" s="60"/>
      <c r="K28" s="830"/>
      <c r="L28" s="54"/>
      <c r="M28" s="66"/>
      <c r="N28" s="55"/>
      <c r="O28" s="55"/>
      <c r="P28" s="55"/>
      <c r="Q28" s="55"/>
      <c r="R28" s="55"/>
      <c r="S28" s="55"/>
      <c r="T28" s="55"/>
      <c r="U28" s="58"/>
    </row>
    <row r="29" spans="2:21" x14ac:dyDescent="0.2">
      <c r="B29" s="56"/>
      <c r="C29" s="24"/>
      <c r="D29" s="24"/>
      <c r="E29" s="24"/>
      <c r="F29" s="24"/>
      <c r="G29" s="24"/>
      <c r="H29" s="24"/>
      <c r="I29" s="24"/>
      <c r="J29" s="57"/>
      <c r="K29" s="831"/>
      <c r="M29" s="56"/>
      <c r="N29" s="24"/>
      <c r="O29" s="24"/>
      <c r="P29" s="24"/>
      <c r="Q29" s="24"/>
      <c r="R29" s="24"/>
      <c r="S29" s="24"/>
      <c r="T29" s="24"/>
      <c r="U29" s="58"/>
    </row>
    <row r="30" spans="2:21" x14ac:dyDescent="0.2">
      <c r="B30" s="56"/>
      <c r="C30" s="24"/>
      <c r="D30" s="24"/>
      <c r="E30" s="24"/>
      <c r="F30" s="24"/>
      <c r="G30" s="24"/>
      <c r="H30" s="24"/>
      <c r="I30" s="24"/>
      <c r="J30" s="57"/>
      <c r="K30" s="831"/>
      <c r="M30" s="56"/>
      <c r="N30" s="24"/>
      <c r="O30" s="24"/>
      <c r="P30" s="24"/>
      <c r="Q30" s="24"/>
      <c r="R30" s="24"/>
      <c r="S30" s="24"/>
      <c r="T30" s="24"/>
      <c r="U30" s="58"/>
    </row>
    <row r="31" spans="2:21" x14ac:dyDescent="0.2">
      <c r="B31" s="56"/>
      <c r="C31" s="24"/>
      <c r="D31" s="24"/>
      <c r="E31" s="24"/>
      <c r="F31" s="24"/>
      <c r="G31" s="24"/>
      <c r="H31" s="24"/>
      <c r="I31" s="24"/>
      <c r="J31" s="57"/>
      <c r="K31" s="831"/>
      <c r="M31" s="56"/>
      <c r="N31" s="24"/>
      <c r="O31" s="24"/>
      <c r="P31" s="24"/>
      <c r="Q31" s="24"/>
      <c r="R31" s="24"/>
      <c r="S31" s="24"/>
      <c r="T31" s="24"/>
      <c r="U31" s="58"/>
    </row>
    <row r="32" spans="2:21" x14ac:dyDescent="0.2">
      <c r="B32" s="56"/>
      <c r="C32" s="24"/>
      <c r="D32" s="24"/>
      <c r="E32" s="24"/>
      <c r="F32" s="24"/>
      <c r="G32" s="24"/>
      <c r="H32" s="24"/>
      <c r="I32" s="24"/>
      <c r="J32" s="57"/>
      <c r="K32" s="831"/>
      <c r="M32" s="56"/>
      <c r="N32" s="24"/>
      <c r="O32" s="24"/>
      <c r="P32" s="24"/>
      <c r="Q32" s="24"/>
      <c r="R32" s="24"/>
      <c r="S32" s="24"/>
      <c r="T32" s="24"/>
      <c r="U32" s="58"/>
    </row>
    <row r="33" spans="2:21" x14ac:dyDescent="0.2">
      <c r="B33" s="56"/>
      <c r="C33" s="24"/>
      <c r="D33" s="24"/>
      <c r="E33" s="24"/>
      <c r="F33" s="24"/>
      <c r="G33" s="24"/>
      <c r="H33" s="24"/>
      <c r="I33" s="24"/>
      <c r="J33" s="57"/>
      <c r="K33" s="831"/>
      <c r="M33" s="56"/>
      <c r="N33" s="24"/>
      <c r="O33" s="24"/>
      <c r="P33" s="24"/>
      <c r="Q33" s="24"/>
      <c r="R33" s="24"/>
      <c r="S33" s="24"/>
      <c r="T33" s="24"/>
      <c r="U33" s="58"/>
    </row>
    <row r="34" spans="2:21" x14ac:dyDescent="0.2">
      <c r="B34" s="56"/>
      <c r="C34" s="24"/>
      <c r="D34" s="24"/>
      <c r="E34" s="24"/>
      <c r="F34" s="24"/>
      <c r="G34" s="24"/>
      <c r="H34" s="24"/>
      <c r="I34" s="24"/>
      <c r="J34" s="57"/>
      <c r="K34" s="831"/>
      <c r="M34" s="56"/>
      <c r="N34" s="24"/>
      <c r="O34" s="24"/>
      <c r="P34" s="24"/>
      <c r="Q34" s="24"/>
      <c r="R34" s="24"/>
      <c r="S34" s="24"/>
      <c r="T34" s="24"/>
      <c r="U34" s="58"/>
    </row>
    <row r="35" spans="2:21" x14ac:dyDescent="0.2">
      <c r="B35" s="56"/>
      <c r="C35" s="24"/>
      <c r="D35" s="24"/>
      <c r="E35" s="24"/>
      <c r="F35" s="24"/>
      <c r="G35" s="24"/>
      <c r="H35" s="24"/>
      <c r="I35" s="24"/>
      <c r="J35" s="57"/>
      <c r="K35" s="831"/>
      <c r="M35" s="56"/>
      <c r="N35" s="24"/>
      <c r="O35" s="24"/>
      <c r="P35" s="24"/>
      <c r="Q35" s="24"/>
      <c r="R35" s="24"/>
      <c r="S35" s="24"/>
      <c r="T35" s="24"/>
      <c r="U35" s="58"/>
    </row>
    <row r="36" spans="2:21" x14ac:dyDescent="0.2">
      <c r="B36" s="56"/>
      <c r="C36" s="24"/>
      <c r="D36" s="24"/>
      <c r="E36" s="24"/>
      <c r="F36" s="24"/>
      <c r="G36" s="24"/>
      <c r="H36" s="24"/>
      <c r="I36" s="24"/>
      <c r="J36" s="57"/>
      <c r="K36" s="831"/>
      <c r="M36" s="56"/>
      <c r="N36" s="24"/>
      <c r="O36" s="24"/>
      <c r="P36" s="24"/>
      <c r="Q36" s="24"/>
      <c r="R36" s="24"/>
      <c r="S36" s="24"/>
      <c r="T36" s="24"/>
      <c r="U36" s="58"/>
    </row>
    <row r="37" spans="2:21" ht="13.5" thickBot="1" x14ac:dyDescent="0.25">
      <c r="B37" s="61"/>
      <c r="C37" s="62"/>
      <c r="D37" s="62"/>
      <c r="E37" s="62"/>
      <c r="F37" s="62"/>
      <c r="G37" s="62"/>
      <c r="H37" s="62"/>
      <c r="I37" s="62"/>
      <c r="J37" s="63"/>
      <c r="K37" s="831"/>
      <c r="M37" s="61"/>
      <c r="N37" s="62"/>
      <c r="O37" s="62"/>
      <c r="P37" s="62"/>
      <c r="Q37" s="62"/>
      <c r="R37" s="62"/>
      <c r="S37" s="62"/>
      <c r="T37" s="62"/>
      <c r="U37" s="64"/>
    </row>
  </sheetData>
  <protectedRanges>
    <protectedRange sqref="C4:D13 G4:H13 K4:L13 O4:P13 S4:T9 S10:S13 T10:T13" name="Rango1_1"/>
  </protectedRanges>
  <mergeCells count="10">
    <mergeCell ref="R2:S2"/>
    <mergeCell ref="O18:O19"/>
    <mergeCell ref="O17:T17"/>
    <mergeCell ref="G1:P1"/>
    <mergeCell ref="N2:O2"/>
    <mergeCell ref="C18:C19"/>
    <mergeCell ref="B2:C2"/>
    <mergeCell ref="F2:G2"/>
    <mergeCell ref="J2:K2"/>
    <mergeCell ref="C17:J17"/>
  </mergeCells>
  <phoneticPr fontId="0" type="noConversion"/>
  <dataValidations disablePrompts="1" count="1">
    <dataValidation type="list" allowBlank="1" showInputMessage="1" showErrorMessage="1" sqref="C18:C19 O18:O19">
      <formula1>$B$4:$B$13</formula1>
    </dataValidation>
  </dataValidations>
  <pageMargins left="0.16" right="0.16" top="1" bottom="1" header="0" footer="0"/>
  <pageSetup scale="6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58"/>
  <sheetViews>
    <sheetView zoomScale="90" zoomScaleNormal="90" workbookViewId="0">
      <pane ySplit="20" topLeftCell="A21" activePane="bottomLeft" state="frozen"/>
      <selection activeCell="K44" sqref="K44"/>
      <selection pane="bottomLeft" activeCell="G43" sqref="G43"/>
    </sheetView>
  </sheetViews>
  <sheetFormatPr baseColWidth="10" defaultRowHeight="12.75" outlineLevelRow="1" x14ac:dyDescent="0.2"/>
  <cols>
    <col min="1" max="1" width="2.85546875" style="694" customWidth="1"/>
    <col min="2" max="2" width="11.7109375" style="694" customWidth="1"/>
    <col min="3" max="3" width="13.7109375" style="694" customWidth="1"/>
    <col min="4" max="4" width="13.85546875" style="694" customWidth="1"/>
    <col min="5" max="5" width="13.7109375" style="694" customWidth="1"/>
    <col min="6" max="6" width="3.85546875" style="694" customWidth="1"/>
    <col min="7" max="7" width="13.7109375" style="694" customWidth="1"/>
    <col min="8" max="8" width="13.42578125" style="694" customWidth="1"/>
    <col min="9" max="9" width="13.7109375" style="694" customWidth="1"/>
    <col min="10" max="10" width="3.5703125" style="694" customWidth="1"/>
    <col min="11" max="11" width="11.42578125" style="694"/>
    <col min="12" max="12" width="55.7109375" style="694" customWidth="1"/>
    <col min="13" max="13" width="1.42578125" style="694" customWidth="1"/>
    <col min="14" max="14" width="11.42578125" style="694"/>
    <col min="15" max="15" width="15.140625" style="694" bestFit="1" customWidth="1"/>
    <col min="16" max="16" width="15.42578125" style="694" bestFit="1" customWidth="1"/>
    <col min="17" max="17" width="13.85546875" style="694" bestFit="1" customWidth="1"/>
    <col min="18" max="18" width="11.42578125" style="694"/>
    <col min="19" max="16384" width="11.42578125" style="382"/>
  </cols>
  <sheetData>
    <row r="1" spans="1:18" hidden="1" outlineLevel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382"/>
    </row>
    <row r="2" spans="1:18" hidden="1" outlineLevel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382"/>
    </row>
    <row r="3" spans="1:18" hidden="1" outlineLevel="1" x14ac:dyDescent="0.2">
      <c r="A3" s="7"/>
      <c r="B3" s="7"/>
      <c r="C3" s="7"/>
      <c r="D3" s="7"/>
      <c r="E3" s="7"/>
      <c r="F3" s="7"/>
      <c r="G3" s="7"/>
      <c r="H3" s="693" t="e">
        <f>IF(#REF!&lt;0,#REF!," ")</f>
        <v>#REF!</v>
      </c>
      <c r="I3" s="7"/>
      <c r="J3" s="7"/>
      <c r="K3" s="7"/>
      <c r="L3" s="7"/>
      <c r="M3" s="7"/>
      <c r="N3" s="7"/>
      <c r="O3" s="7"/>
      <c r="P3" s="7"/>
      <c r="Q3" s="7"/>
      <c r="R3" s="382"/>
    </row>
    <row r="4" spans="1:18" hidden="1" outlineLevel="1" x14ac:dyDescent="0.2">
      <c r="A4" s="7"/>
      <c r="B4" s="7"/>
      <c r="C4" s="7"/>
      <c r="D4" s="7"/>
      <c r="E4" s="7"/>
      <c r="F4" s="7"/>
      <c r="G4" s="7"/>
      <c r="H4" s="693" t="e">
        <f>IF(#REF!&gt;0,#REF!," ")</f>
        <v>#REF!</v>
      </c>
      <c r="I4" s="7"/>
      <c r="J4" s="7"/>
      <c r="K4" s="7"/>
      <c r="L4" s="7"/>
      <c r="M4" s="7"/>
      <c r="N4" s="7"/>
      <c r="O4" s="7"/>
      <c r="P4" s="7"/>
      <c r="Q4" s="7"/>
      <c r="R4" s="382"/>
    </row>
    <row r="5" spans="1:18" hidden="1" outlineLevel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382"/>
    </row>
    <row r="6" spans="1:18" hidden="1" outlineLevel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382"/>
    </row>
    <row r="7" spans="1:18" hidden="1" outlineLevel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382"/>
    </row>
    <row r="8" spans="1:18" hidden="1" outlineLevel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382"/>
    </row>
    <row r="9" spans="1:18" hidden="1" outlineLevel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382"/>
    </row>
    <row r="10" spans="1:18" hidden="1" outlineLevel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382"/>
    </row>
    <row r="11" spans="1:18" hidden="1" outlineLevel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382"/>
    </row>
    <row r="12" spans="1:18" hidden="1" outlineLevel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382"/>
    </row>
    <row r="13" spans="1:18" hidden="1" outlineLevel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382"/>
    </row>
    <row r="14" spans="1:18" hidden="1" outlineLevel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382"/>
    </row>
    <row r="15" spans="1:18" hidden="1" outlineLevel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382"/>
    </row>
    <row r="16" spans="1:18" hidden="1" outlineLevel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382"/>
    </row>
    <row r="17" spans="1:18" hidden="1" outlineLevel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382"/>
    </row>
    <row r="18" spans="1:18" hidden="1" outlineLevel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382"/>
    </row>
    <row r="19" spans="1:18" hidden="1" outlineLevel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382"/>
    </row>
    <row r="20" spans="1:18" collapsed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3.5" thickBot="1" x14ac:dyDescent="0.25"/>
    <row r="22" spans="1:18" ht="13.5" thickBot="1" x14ac:dyDescent="0.25">
      <c r="A22" s="674"/>
      <c r="B22" s="1098" t="str">
        <f>+PRESUPUESTO!B2</f>
        <v>ADMINISTRACION DE EMPRESAS</v>
      </c>
      <c r="C22" s="1099"/>
      <c r="D22" s="1099"/>
      <c r="E22" s="1099"/>
      <c r="F22" s="1099"/>
      <c r="G22" s="1099"/>
      <c r="H22" s="1099"/>
      <c r="I22" s="1099"/>
      <c r="J22" s="1100"/>
    </row>
    <row r="23" spans="1:18" ht="13.5" thickBot="1" x14ac:dyDescent="0.25">
      <c r="B23" s="1101" t="s">
        <v>799</v>
      </c>
      <c r="C23" s="1102"/>
      <c r="D23" s="1102"/>
      <c r="E23" s="1103"/>
      <c r="F23" s="695"/>
      <c r="G23" s="1101" t="s">
        <v>800</v>
      </c>
      <c r="H23" s="1102"/>
      <c r="I23" s="1103"/>
      <c r="J23" s="686"/>
      <c r="K23" s="687"/>
      <c r="L23" s="696"/>
      <c r="O23" s="833" t="s">
        <v>276</v>
      </c>
      <c r="P23" s="833" t="s">
        <v>277</v>
      </c>
    </row>
    <row r="24" spans="1:18" s="702" customFormat="1" ht="26.25" thickBot="1" x14ac:dyDescent="0.25">
      <c r="A24" s="694"/>
      <c r="B24" s="697" t="s">
        <v>200</v>
      </c>
      <c r="C24" s="737" t="s">
        <v>201</v>
      </c>
      <c r="D24" s="698" t="s">
        <v>202</v>
      </c>
      <c r="E24" s="688" t="s">
        <v>203</v>
      </c>
      <c r="F24" s="690"/>
      <c r="G24" s="697" t="s">
        <v>201</v>
      </c>
      <c r="H24" s="698" t="s">
        <v>202</v>
      </c>
      <c r="I24" s="688" t="s">
        <v>205</v>
      </c>
      <c r="J24" s="690"/>
      <c r="K24" s="699" t="s">
        <v>155</v>
      </c>
      <c r="L24" s="700" t="s">
        <v>262</v>
      </c>
      <c r="M24" s="701"/>
      <c r="N24" s="701"/>
      <c r="O24" s="688" t="s">
        <v>2</v>
      </c>
      <c r="P24" s="688" t="s">
        <v>2</v>
      </c>
      <c r="Q24" s="701"/>
      <c r="R24" s="701"/>
    </row>
    <row r="25" spans="1:18" x14ac:dyDescent="0.2">
      <c r="B25" s="703" t="s">
        <v>206</v>
      </c>
      <c r="C25" s="735">
        <v>70</v>
      </c>
      <c r="D25" s="736">
        <v>6449000</v>
      </c>
      <c r="E25" s="671">
        <f>D25*C25</f>
        <v>451430000</v>
      </c>
      <c r="F25" s="681"/>
      <c r="G25" s="675">
        <v>48</v>
      </c>
      <c r="H25" s="914">
        <f>+D25</f>
        <v>6449000</v>
      </c>
      <c r="I25" s="680">
        <f>H25*G25</f>
        <v>309552000</v>
      </c>
      <c r="J25" s="681"/>
      <c r="K25" s="834">
        <f>G25-C25</f>
        <v>-22</v>
      </c>
      <c r="L25" s="706" t="s">
        <v>1059</v>
      </c>
      <c r="O25" s="916">
        <f>E41+E25</f>
        <v>902860000</v>
      </c>
      <c r="P25" s="917">
        <f>I41+I25</f>
        <v>760982000</v>
      </c>
    </row>
    <row r="26" spans="1:18" x14ac:dyDescent="0.2">
      <c r="B26" s="707" t="s">
        <v>207</v>
      </c>
      <c r="C26" s="704">
        <v>67</v>
      </c>
      <c r="D26" s="705">
        <v>6449000</v>
      </c>
      <c r="E26" s="672">
        <f t="shared" ref="E26:E36" si="0">D26*C26</f>
        <v>432083000</v>
      </c>
      <c r="F26" s="681"/>
      <c r="G26" s="677">
        <f t="shared" ref="G26:G34" si="1">+C26</f>
        <v>67</v>
      </c>
      <c r="H26" s="915">
        <f>+D26</f>
        <v>6449000</v>
      </c>
      <c r="I26" s="676">
        <f t="shared" ref="I26:I36" si="2">H26*G26</f>
        <v>432083000</v>
      </c>
      <c r="J26" s="681"/>
      <c r="K26" s="835">
        <f t="shared" ref="K26:K36" si="3">G26-C26</f>
        <v>0</v>
      </c>
      <c r="L26" s="708"/>
      <c r="O26" s="916">
        <f>E42+E26</f>
        <v>786778000</v>
      </c>
      <c r="P26" s="917">
        <f>I42+I26</f>
        <v>709390000</v>
      </c>
    </row>
    <row r="27" spans="1:18" x14ac:dyDescent="0.2">
      <c r="B27" s="707" t="s">
        <v>208</v>
      </c>
      <c r="C27" s="704">
        <v>56</v>
      </c>
      <c r="D27" s="705">
        <v>6449000</v>
      </c>
      <c r="E27" s="672">
        <f t="shared" si="0"/>
        <v>361144000</v>
      </c>
      <c r="F27" s="681"/>
      <c r="G27" s="677">
        <f t="shared" si="1"/>
        <v>56</v>
      </c>
      <c r="H27" s="915">
        <f t="shared" ref="H27:H36" si="4">+D27</f>
        <v>6449000</v>
      </c>
      <c r="I27" s="676">
        <f t="shared" si="2"/>
        <v>361144000</v>
      </c>
      <c r="J27" s="681"/>
      <c r="K27" s="835">
        <f t="shared" si="3"/>
        <v>0</v>
      </c>
      <c r="L27" s="708"/>
      <c r="O27" s="916">
        <f t="shared" ref="O27:O37" si="5">E43+E27</f>
        <v>760982000</v>
      </c>
      <c r="P27" s="917">
        <f t="shared" ref="P27:P37" si="6">I43+I27</f>
        <v>760982000</v>
      </c>
    </row>
    <row r="28" spans="1:18" x14ac:dyDescent="0.2">
      <c r="B28" s="707" t="s">
        <v>209</v>
      </c>
      <c r="C28" s="704">
        <v>63</v>
      </c>
      <c r="D28" s="705">
        <v>6236000</v>
      </c>
      <c r="E28" s="672">
        <f t="shared" si="0"/>
        <v>392868000</v>
      </c>
      <c r="F28" s="681"/>
      <c r="G28" s="677">
        <f t="shared" si="1"/>
        <v>63</v>
      </c>
      <c r="H28" s="915">
        <f t="shared" si="4"/>
        <v>6236000</v>
      </c>
      <c r="I28" s="676">
        <f t="shared" si="2"/>
        <v>392868000</v>
      </c>
      <c r="J28" s="681"/>
      <c r="K28" s="835">
        <f t="shared" si="3"/>
        <v>0</v>
      </c>
      <c r="L28" s="708"/>
      <c r="O28" s="916">
        <f t="shared" si="5"/>
        <v>702420000</v>
      </c>
      <c r="P28" s="917">
        <f t="shared" si="6"/>
        <v>702420000</v>
      </c>
    </row>
    <row r="29" spans="1:18" x14ac:dyDescent="0.2">
      <c r="B29" s="707" t="s">
        <v>210</v>
      </c>
      <c r="C29" s="704">
        <v>55</v>
      </c>
      <c r="D29" s="705">
        <v>6236000</v>
      </c>
      <c r="E29" s="672">
        <f t="shared" si="0"/>
        <v>342980000</v>
      </c>
      <c r="F29" s="681"/>
      <c r="G29" s="677">
        <f t="shared" si="1"/>
        <v>55</v>
      </c>
      <c r="H29" s="915">
        <f t="shared" si="4"/>
        <v>6236000</v>
      </c>
      <c r="I29" s="676">
        <f t="shared" si="2"/>
        <v>342980000</v>
      </c>
      <c r="J29" s="681"/>
      <c r="K29" s="835">
        <f t="shared" si="3"/>
        <v>0</v>
      </c>
      <c r="L29" s="708"/>
      <c r="O29" s="916">
        <f t="shared" si="5"/>
        <v>692196000</v>
      </c>
      <c r="P29" s="917">
        <f t="shared" si="6"/>
        <v>692196000</v>
      </c>
    </row>
    <row r="30" spans="1:18" x14ac:dyDescent="0.2">
      <c r="B30" s="707" t="s">
        <v>211</v>
      </c>
      <c r="C30" s="704">
        <v>51</v>
      </c>
      <c r="D30" s="705">
        <v>6236000</v>
      </c>
      <c r="E30" s="672">
        <f t="shared" si="0"/>
        <v>318036000</v>
      </c>
      <c r="F30" s="681"/>
      <c r="G30" s="677">
        <f t="shared" si="1"/>
        <v>51</v>
      </c>
      <c r="H30" s="915">
        <f t="shared" si="4"/>
        <v>6236000</v>
      </c>
      <c r="I30" s="676">
        <f t="shared" si="2"/>
        <v>318036000</v>
      </c>
      <c r="J30" s="681"/>
      <c r="K30" s="835">
        <f t="shared" si="3"/>
        <v>0</v>
      </c>
      <c r="L30" s="708"/>
      <c r="O30" s="916">
        <f t="shared" si="5"/>
        <v>661016000</v>
      </c>
      <c r="P30" s="917">
        <f t="shared" si="6"/>
        <v>661016000</v>
      </c>
    </row>
    <row r="31" spans="1:18" x14ac:dyDescent="0.2">
      <c r="B31" s="707" t="s">
        <v>212</v>
      </c>
      <c r="C31" s="704">
        <v>53</v>
      </c>
      <c r="D31" s="705">
        <v>6236000</v>
      </c>
      <c r="E31" s="672">
        <f t="shared" si="0"/>
        <v>330508000</v>
      </c>
      <c r="F31" s="681"/>
      <c r="G31" s="677">
        <f t="shared" si="1"/>
        <v>53</v>
      </c>
      <c r="H31" s="915">
        <f t="shared" si="4"/>
        <v>6236000</v>
      </c>
      <c r="I31" s="676">
        <f t="shared" si="2"/>
        <v>330508000</v>
      </c>
      <c r="J31" s="681"/>
      <c r="K31" s="835">
        <f t="shared" si="3"/>
        <v>0</v>
      </c>
      <c r="L31" s="708"/>
      <c r="O31" s="916">
        <f t="shared" si="5"/>
        <v>642308000</v>
      </c>
      <c r="P31" s="917">
        <f t="shared" si="6"/>
        <v>642308000</v>
      </c>
    </row>
    <row r="32" spans="1:18" x14ac:dyDescent="0.2">
      <c r="B32" s="707" t="s">
        <v>213</v>
      </c>
      <c r="C32" s="704">
        <v>31</v>
      </c>
      <c r="D32" s="705">
        <v>6236000</v>
      </c>
      <c r="E32" s="672">
        <f t="shared" si="0"/>
        <v>193316000</v>
      </c>
      <c r="F32" s="681"/>
      <c r="G32" s="677">
        <f t="shared" si="1"/>
        <v>31</v>
      </c>
      <c r="H32" s="915">
        <f t="shared" si="4"/>
        <v>6236000</v>
      </c>
      <c r="I32" s="676">
        <f t="shared" si="2"/>
        <v>193316000</v>
      </c>
      <c r="J32" s="681"/>
      <c r="K32" s="835">
        <f t="shared" si="3"/>
        <v>0</v>
      </c>
      <c r="L32" s="708"/>
      <c r="O32" s="916">
        <f t="shared" si="5"/>
        <v>505116000</v>
      </c>
      <c r="P32" s="917">
        <f t="shared" si="6"/>
        <v>505116000</v>
      </c>
    </row>
    <row r="33" spans="2:17" x14ac:dyDescent="0.2">
      <c r="B33" s="707" t="s">
        <v>214</v>
      </c>
      <c r="C33" s="704">
        <v>44</v>
      </c>
      <c r="D33" s="705">
        <v>6236000</v>
      </c>
      <c r="E33" s="672">
        <f t="shared" si="0"/>
        <v>274384000</v>
      </c>
      <c r="F33" s="681"/>
      <c r="G33" s="677">
        <f t="shared" si="1"/>
        <v>44</v>
      </c>
      <c r="H33" s="915">
        <f t="shared" si="4"/>
        <v>6236000</v>
      </c>
      <c r="I33" s="676">
        <f t="shared" si="2"/>
        <v>274384000</v>
      </c>
      <c r="J33" s="681"/>
      <c r="K33" s="835">
        <f t="shared" si="3"/>
        <v>0</v>
      </c>
      <c r="L33" s="708"/>
      <c r="O33" s="916">
        <f t="shared" si="5"/>
        <v>461464000</v>
      </c>
      <c r="P33" s="917">
        <f t="shared" si="6"/>
        <v>461464000</v>
      </c>
    </row>
    <row r="34" spans="2:17" x14ac:dyDescent="0.2">
      <c r="B34" s="707" t="s">
        <v>215</v>
      </c>
      <c r="C34" s="704">
        <v>0</v>
      </c>
      <c r="D34" s="705">
        <v>0</v>
      </c>
      <c r="E34" s="672">
        <f t="shared" si="0"/>
        <v>0</v>
      </c>
      <c r="F34" s="681"/>
      <c r="G34" s="677">
        <f t="shared" si="1"/>
        <v>0</v>
      </c>
      <c r="H34" s="915">
        <f t="shared" si="4"/>
        <v>0</v>
      </c>
      <c r="I34" s="676">
        <f t="shared" si="2"/>
        <v>0</v>
      </c>
      <c r="J34" s="681"/>
      <c r="K34" s="835">
        <f t="shared" si="3"/>
        <v>0</v>
      </c>
      <c r="L34" s="708"/>
      <c r="O34" s="916">
        <f t="shared" si="5"/>
        <v>0</v>
      </c>
      <c r="P34" s="917">
        <f t="shared" si="6"/>
        <v>0</v>
      </c>
    </row>
    <row r="35" spans="2:17" x14ac:dyDescent="0.2">
      <c r="B35" s="707" t="s">
        <v>216</v>
      </c>
      <c r="C35" s="704">
        <v>0</v>
      </c>
      <c r="D35" s="705">
        <v>0</v>
      </c>
      <c r="E35" s="672">
        <f t="shared" si="0"/>
        <v>0</v>
      </c>
      <c r="F35" s="681"/>
      <c r="G35" s="527">
        <v>0</v>
      </c>
      <c r="H35" s="915">
        <f t="shared" si="4"/>
        <v>0</v>
      </c>
      <c r="I35" s="676">
        <f t="shared" si="2"/>
        <v>0</v>
      </c>
      <c r="J35" s="681"/>
      <c r="K35" s="835">
        <f t="shared" si="3"/>
        <v>0</v>
      </c>
      <c r="L35" s="708" t="s">
        <v>169</v>
      </c>
      <c r="O35" s="916">
        <f t="shared" si="5"/>
        <v>0</v>
      </c>
      <c r="P35" s="917">
        <f t="shared" si="6"/>
        <v>0</v>
      </c>
    </row>
    <row r="36" spans="2:17" ht="13.5" thickBot="1" x14ac:dyDescent="0.25">
      <c r="B36" s="709" t="s">
        <v>217</v>
      </c>
      <c r="C36" s="704">
        <v>0</v>
      </c>
      <c r="D36" s="710">
        <v>0</v>
      </c>
      <c r="E36" s="711">
        <f t="shared" si="0"/>
        <v>0</v>
      </c>
      <c r="F36" s="682"/>
      <c r="G36" s="528">
        <v>0</v>
      </c>
      <c r="H36" s="915">
        <f t="shared" si="4"/>
        <v>0</v>
      </c>
      <c r="I36" s="678">
        <f t="shared" si="2"/>
        <v>0</v>
      </c>
      <c r="J36" s="682"/>
      <c r="K36" s="836">
        <f t="shared" si="3"/>
        <v>0</v>
      </c>
      <c r="L36" s="712"/>
      <c r="O36" s="916">
        <f t="shared" si="5"/>
        <v>0</v>
      </c>
      <c r="P36" s="917">
        <f t="shared" si="6"/>
        <v>0</v>
      </c>
    </row>
    <row r="37" spans="2:17" ht="13.5" thickBot="1" x14ac:dyDescent="0.25">
      <c r="B37" s="30" t="s">
        <v>218</v>
      </c>
      <c r="C37" s="713">
        <f>SUM(C25:C36)</f>
        <v>490</v>
      </c>
      <c r="D37" s="684"/>
      <c r="E37" s="714">
        <f>SUM(E25:E36)*0.98</f>
        <v>3034814020</v>
      </c>
      <c r="F37" s="681"/>
      <c r="G37" s="683">
        <f>SUM(G25:G36)</f>
        <v>468</v>
      </c>
      <c r="H37" s="684"/>
      <c r="I37" s="685">
        <f>SUM(I25:I36)*0.98</f>
        <v>2895773580</v>
      </c>
      <c r="J37" s="681"/>
      <c r="K37" s="674"/>
      <c r="L37" s="674"/>
      <c r="O37" s="683">
        <f t="shared" si="5"/>
        <v>5992837200</v>
      </c>
      <c r="P37" s="918">
        <f t="shared" si="6"/>
        <v>5777956520</v>
      </c>
    </row>
    <row r="38" spans="2:17" ht="13.5" thickBot="1" x14ac:dyDescent="0.25">
      <c r="B38" s="715"/>
      <c r="C38" s="674"/>
      <c r="D38" s="681"/>
      <c r="E38" s="681"/>
      <c r="F38" s="681"/>
      <c r="G38" s="681"/>
      <c r="H38" s="681"/>
      <c r="I38" s="681"/>
      <c r="J38" s="681"/>
      <c r="K38" s="674"/>
      <c r="L38" s="674"/>
    </row>
    <row r="39" spans="2:17" ht="14.25" customHeight="1" thickBot="1" x14ac:dyDescent="0.25">
      <c r="B39" s="1101" t="s">
        <v>801</v>
      </c>
      <c r="C39" s="1102"/>
      <c r="D39" s="1102"/>
      <c r="E39" s="1103"/>
      <c r="F39" s="686"/>
      <c r="G39" s="1101" t="s">
        <v>802</v>
      </c>
      <c r="H39" s="1102"/>
      <c r="I39" s="1103"/>
      <c r="J39" s="686"/>
      <c r="K39" s="687"/>
      <c r="L39" s="696"/>
      <c r="N39" s="426"/>
      <c r="O39" s="1097" t="s">
        <v>278</v>
      </c>
      <c r="P39" s="1097"/>
      <c r="Q39" s="716"/>
    </row>
    <row r="40" spans="2:17" ht="26.25" thickBot="1" x14ac:dyDescent="0.25">
      <c r="B40" s="717" t="s">
        <v>200</v>
      </c>
      <c r="C40" s="688" t="s">
        <v>204</v>
      </c>
      <c r="D40" s="718" t="s">
        <v>202</v>
      </c>
      <c r="E40" s="719" t="s">
        <v>205</v>
      </c>
      <c r="F40" s="674"/>
      <c r="G40" s="688" t="s">
        <v>204</v>
      </c>
      <c r="H40" s="688" t="s">
        <v>202</v>
      </c>
      <c r="I40" s="689" t="s">
        <v>205</v>
      </c>
      <c r="J40" s="690"/>
      <c r="K40" s="691" t="s">
        <v>155</v>
      </c>
      <c r="L40" s="720" t="s">
        <v>262</v>
      </c>
      <c r="N40" s="427"/>
      <c r="O40" s="721"/>
      <c r="P40" s="721"/>
      <c r="Q40" s="722"/>
    </row>
    <row r="41" spans="2:17" x14ac:dyDescent="0.2">
      <c r="B41" s="703" t="s">
        <v>206</v>
      </c>
      <c r="C41" s="723">
        <v>70</v>
      </c>
      <c r="D41" s="914">
        <v>6449000</v>
      </c>
      <c r="E41" s="673">
        <f>D41*C41</f>
        <v>451430000</v>
      </c>
      <c r="F41" s="674"/>
      <c r="G41" s="675">
        <v>70</v>
      </c>
      <c r="H41" s="914">
        <f>+D41</f>
        <v>6449000</v>
      </c>
      <c r="I41" s="673">
        <f>H41*G41</f>
        <v>451430000</v>
      </c>
      <c r="J41" s="681"/>
      <c r="K41" s="837">
        <f>G41-C41</f>
        <v>0</v>
      </c>
      <c r="L41" s="724"/>
      <c r="N41" s="427"/>
      <c r="O41" s="721"/>
      <c r="P41" s="721"/>
      <c r="Q41" s="722"/>
    </row>
    <row r="42" spans="2:17" x14ac:dyDescent="0.2">
      <c r="B42" s="707" t="s">
        <v>207</v>
      </c>
      <c r="C42" s="725">
        <v>55</v>
      </c>
      <c r="D42" s="914">
        <v>6449000</v>
      </c>
      <c r="E42" s="676">
        <f t="shared" ref="E42:E52" si="7">D42*C42</f>
        <v>354695000</v>
      </c>
      <c r="F42" s="674"/>
      <c r="G42" s="677">
        <v>43</v>
      </c>
      <c r="H42" s="915">
        <f>+D42</f>
        <v>6449000</v>
      </c>
      <c r="I42" s="676">
        <f t="shared" ref="I42:I52" si="8">H42*G42</f>
        <v>277307000</v>
      </c>
      <c r="J42" s="681"/>
      <c r="K42" s="838">
        <f t="shared" ref="K42:K52" si="9">G42-C42</f>
        <v>-12</v>
      </c>
      <c r="L42" s="726"/>
      <c r="N42" s="427"/>
      <c r="O42" s="721"/>
      <c r="P42" s="721"/>
      <c r="Q42" s="722"/>
    </row>
    <row r="43" spans="2:17" x14ac:dyDescent="0.2">
      <c r="B43" s="707" t="s">
        <v>208</v>
      </c>
      <c r="C43" s="725">
        <v>62</v>
      </c>
      <c r="D43" s="914">
        <v>6449000</v>
      </c>
      <c r="E43" s="676">
        <f t="shared" si="7"/>
        <v>399838000</v>
      </c>
      <c r="F43" s="674"/>
      <c r="G43" s="677">
        <f t="shared" ref="G43:G52" si="10">+C43</f>
        <v>62</v>
      </c>
      <c r="H43" s="915">
        <f t="shared" ref="H43:H52" si="11">+D43</f>
        <v>6449000</v>
      </c>
      <c r="I43" s="676">
        <f t="shared" si="8"/>
        <v>399838000</v>
      </c>
      <c r="J43" s="681"/>
      <c r="K43" s="838">
        <f t="shared" si="9"/>
        <v>0</v>
      </c>
      <c r="L43" s="726"/>
      <c r="N43" s="427"/>
      <c r="O43" s="721"/>
      <c r="P43" s="721"/>
      <c r="Q43" s="722"/>
    </row>
    <row r="44" spans="2:17" x14ac:dyDescent="0.2">
      <c r="B44" s="707" t="s">
        <v>209</v>
      </c>
      <c r="C44" s="725">
        <v>48</v>
      </c>
      <c r="D44" s="914">
        <v>6449000</v>
      </c>
      <c r="E44" s="676">
        <f t="shared" si="7"/>
        <v>309552000</v>
      </c>
      <c r="F44" s="674"/>
      <c r="G44" s="677">
        <f t="shared" si="10"/>
        <v>48</v>
      </c>
      <c r="H44" s="915">
        <f t="shared" si="11"/>
        <v>6449000</v>
      </c>
      <c r="I44" s="676">
        <f t="shared" si="8"/>
        <v>309552000</v>
      </c>
      <c r="J44" s="681"/>
      <c r="K44" s="838">
        <f t="shared" si="9"/>
        <v>0</v>
      </c>
      <c r="L44" s="726"/>
      <c r="N44" s="427"/>
      <c r="O44" s="721"/>
      <c r="P44" s="721"/>
      <c r="Q44" s="722"/>
    </row>
    <row r="45" spans="2:17" x14ac:dyDescent="0.2">
      <c r="B45" s="707" t="s">
        <v>210</v>
      </c>
      <c r="C45" s="725">
        <v>56</v>
      </c>
      <c r="D45" s="914">
        <v>6236000</v>
      </c>
      <c r="E45" s="676">
        <f t="shared" si="7"/>
        <v>349216000</v>
      </c>
      <c r="F45" s="674"/>
      <c r="G45" s="677">
        <f t="shared" si="10"/>
        <v>56</v>
      </c>
      <c r="H45" s="915">
        <f t="shared" si="11"/>
        <v>6236000</v>
      </c>
      <c r="I45" s="676">
        <f t="shared" si="8"/>
        <v>349216000</v>
      </c>
      <c r="J45" s="681"/>
      <c r="K45" s="838">
        <f t="shared" si="9"/>
        <v>0</v>
      </c>
      <c r="L45" s="726"/>
      <c r="N45" s="427"/>
      <c r="O45" s="721"/>
      <c r="P45" s="721"/>
      <c r="Q45" s="722"/>
    </row>
    <row r="46" spans="2:17" x14ac:dyDescent="0.2">
      <c r="B46" s="707" t="s">
        <v>211</v>
      </c>
      <c r="C46" s="725">
        <v>55</v>
      </c>
      <c r="D46" s="914">
        <v>6236000</v>
      </c>
      <c r="E46" s="676">
        <f t="shared" si="7"/>
        <v>342980000</v>
      </c>
      <c r="F46" s="674"/>
      <c r="G46" s="677">
        <f t="shared" si="10"/>
        <v>55</v>
      </c>
      <c r="H46" s="915">
        <f t="shared" si="11"/>
        <v>6236000</v>
      </c>
      <c r="I46" s="676">
        <f t="shared" si="8"/>
        <v>342980000</v>
      </c>
      <c r="J46" s="681"/>
      <c r="K46" s="838">
        <f t="shared" si="9"/>
        <v>0</v>
      </c>
      <c r="L46" s="726"/>
      <c r="N46" s="427"/>
      <c r="O46" s="721"/>
      <c r="P46" s="721"/>
      <c r="Q46" s="722"/>
    </row>
    <row r="47" spans="2:17" x14ac:dyDescent="0.2">
      <c r="B47" s="707" t="s">
        <v>212</v>
      </c>
      <c r="C47" s="725">
        <v>50</v>
      </c>
      <c r="D47" s="914">
        <v>6236000</v>
      </c>
      <c r="E47" s="676">
        <f t="shared" si="7"/>
        <v>311800000</v>
      </c>
      <c r="F47" s="674"/>
      <c r="G47" s="677">
        <f t="shared" si="10"/>
        <v>50</v>
      </c>
      <c r="H47" s="915">
        <f t="shared" si="11"/>
        <v>6236000</v>
      </c>
      <c r="I47" s="676">
        <f t="shared" si="8"/>
        <v>311800000</v>
      </c>
      <c r="J47" s="681"/>
      <c r="K47" s="838">
        <f t="shared" si="9"/>
        <v>0</v>
      </c>
      <c r="L47" s="726"/>
      <c r="N47" s="427"/>
      <c r="O47" s="721"/>
      <c r="P47" s="721"/>
      <c r="Q47" s="722"/>
    </row>
    <row r="48" spans="2:17" x14ac:dyDescent="0.2">
      <c r="B48" s="707" t="s">
        <v>213</v>
      </c>
      <c r="C48" s="725">
        <v>50</v>
      </c>
      <c r="D48" s="914">
        <v>6236000</v>
      </c>
      <c r="E48" s="676">
        <f t="shared" si="7"/>
        <v>311800000</v>
      </c>
      <c r="F48" s="674"/>
      <c r="G48" s="677">
        <f t="shared" si="10"/>
        <v>50</v>
      </c>
      <c r="H48" s="915">
        <f t="shared" si="11"/>
        <v>6236000</v>
      </c>
      <c r="I48" s="676">
        <f t="shared" si="8"/>
        <v>311800000</v>
      </c>
      <c r="J48" s="681"/>
      <c r="K48" s="838">
        <f t="shared" si="9"/>
        <v>0</v>
      </c>
      <c r="L48" s="726"/>
      <c r="N48" s="427"/>
      <c r="O48" s="721"/>
      <c r="P48" s="721"/>
      <c r="Q48" s="722"/>
    </row>
    <row r="49" spans="2:17" x14ac:dyDescent="0.2">
      <c r="B49" s="707" t="s">
        <v>214</v>
      </c>
      <c r="C49" s="725">
        <v>30</v>
      </c>
      <c r="D49" s="914">
        <v>6236000</v>
      </c>
      <c r="E49" s="676">
        <f t="shared" si="7"/>
        <v>187080000</v>
      </c>
      <c r="F49" s="674"/>
      <c r="G49" s="677">
        <f t="shared" si="10"/>
        <v>30</v>
      </c>
      <c r="H49" s="915">
        <f t="shared" si="11"/>
        <v>6236000</v>
      </c>
      <c r="I49" s="676">
        <f t="shared" si="8"/>
        <v>187080000</v>
      </c>
      <c r="J49" s="681"/>
      <c r="K49" s="838">
        <f t="shared" si="9"/>
        <v>0</v>
      </c>
      <c r="L49" s="726"/>
      <c r="N49" s="427"/>
      <c r="O49" s="721"/>
      <c r="P49" s="721"/>
      <c r="Q49" s="722"/>
    </row>
    <row r="50" spans="2:17" x14ac:dyDescent="0.2">
      <c r="B50" s="707" t="s">
        <v>215</v>
      </c>
      <c r="C50" s="725">
        <v>0</v>
      </c>
      <c r="D50" s="914">
        <v>0</v>
      </c>
      <c r="E50" s="676">
        <f t="shared" si="7"/>
        <v>0</v>
      </c>
      <c r="F50" s="674"/>
      <c r="G50" s="677">
        <f t="shared" si="10"/>
        <v>0</v>
      </c>
      <c r="H50" s="915">
        <f t="shared" si="11"/>
        <v>0</v>
      </c>
      <c r="I50" s="676">
        <f t="shared" si="8"/>
        <v>0</v>
      </c>
      <c r="J50" s="681"/>
      <c r="K50" s="838">
        <f t="shared" si="9"/>
        <v>0</v>
      </c>
      <c r="L50" s="726"/>
      <c r="N50" s="427"/>
      <c r="O50" s="721"/>
      <c r="P50" s="721"/>
      <c r="Q50" s="722"/>
    </row>
    <row r="51" spans="2:17" x14ac:dyDescent="0.2">
      <c r="B51" s="707" t="s">
        <v>216</v>
      </c>
      <c r="C51" s="497">
        <v>0</v>
      </c>
      <c r="D51" s="914">
        <v>0</v>
      </c>
      <c r="E51" s="676">
        <f t="shared" si="7"/>
        <v>0</v>
      </c>
      <c r="F51" s="674"/>
      <c r="G51" s="527">
        <f t="shared" si="10"/>
        <v>0</v>
      </c>
      <c r="H51" s="915">
        <f t="shared" si="11"/>
        <v>0</v>
      </c>
      <c r="I51" s="676">
        <f t="shared" si="8"/>
        <v>0</v>
      </c>
      <c r="J51" s="681"/>
      <c r="K51" s="838">
        <f t="shared" si="9"/>
        <v>0</v>
      </c>
      <c r="L51" s="726"/>
      <c r="N51" s="427"/>
      <c r="O51" s="721"/>
      <c r="P51" s="721"/>
      <c r="Q51" s="722"/>
    </row>
    <row r="52" spans="2:17" ht="13.5" thickBot="1" x14ac:dyDescent="0.25">
      <c r="B52" s="727" t="s">
        <v>217</v>
      </c>
      <c r="C52" s="498">
        <v>0</v>
      </c>
      <c r="D52" s="914">
        <v>0</v>
      </c>
      <c r="E52" s="678">
        <f t="shared" si="7"/>
        <v>0</v>
      </c>
      <c r="F52" s="679"/>
      <c r="G52" s="528">
        <f t="shared" si="10"/>
        <v>0</v>
      </c>
      <c r="H52" s="915">
        <f t="shared" si="11"/>
        <v>0</v>
      </c>
      <c r="I52" s="678">
        <f t="shared" si="8"/>
        <v>0</v>
      </c>
      <c r="J52" s="682"/>
      <c r="K52" s="839">
        <f t="shared" si="9"/>
        <v>0</v>
      </c>
      <c r="L52" s="728"/>
      <c r="N52" s="427"/>
      <c r="O52" s="721"/>
      <c r="P52" s="721"/>
      <c r="Q52" s="722"/>
    </row>
    <row r="53" spans="2:17" ht="13.5" thickBot="1" x14ac:dyDescent="0.25">
      <c r="B53" s="729" t="s">
        <v>218</v>
      </c>
      <c r="C53" s="730">
        <f>SUM(C41:C52)</f>
        <v>476</v>
      </c>
      <c r="D53" s="731"/>
      <c r="E53" s="714">
        <f>SUM(E41:E52)*0.98</f>
        <v>2958023180</v>
      </c>
      <c r="G53" s="732">
        <f>SUM(G41:G52)</f>
        <v>464</v>
      </c>
      <c r="H53" s="731"/>
      <c r="I53" s="714">
        <f>SUM(I41:I52)*0.98</f>
        <v>2882182940</v>
      </c>
      <c r="J53" s="681"/>
      <c r="N53" s="427"/>
      <c r="O53" s="721"/>
      <c r="P53" s="721"/>
      <c r="Q53" s="722"/>
    </row>
    <row r="54" spans="2:17" x14ac:dyDescent="0.2">
      <c r="N54" s="427"/>
      <c r="O54" s="721"/>
      <c r="P54" s="721"/>
      <c r="Q54" s="722"/>
    </row>
    <row r="55" spans="2:17" x14ac:dyDescent="0.2">
      <c r="N55" s="427"/>
      <c r="O55" s="721"/>
      <c r="P55" s="721"/>
      <c r="Q55" s="722"/>
    </row>
    <row r="56" spans="2:17" ht="21" customHeight="1" x14ac:dyDescent="0.2">
      <c r="B56" s="1096" t="s">
        <v>499</v>
      </c>
      <c r="C56" s="1096"/>
      <c r="D56" s="1096"/>
      <c r="E56" s="1096"/>
      <c r="F56" s="1096"/>
      <c r="G56" s="1096"/>
      <c r="H56" s="1096"/>
      <c r="I56" s="1096"/>
      <c r="N56" s="427"/>
      <c r="O56" s="721"/>
      <c r="P56" s="721"/>
      <c r="Q56" s="722"/>
    </row>
    <row r="57" spans="2:17" x14ac:dyDescent="0.2">
      <c r="N57" s="427"/>
      <c r="O57" s="721"/>
      <c r="P57" s="721"/>
      <c r="Q57" s="722"/>
    </row>
    <row r="58" spans="2:17" ht="13.5" thickBot="1" x14ac:dyDescent="0.25">
      <c r="N58" s="428"/>
      <c r="O58" s="733"/>
      <c r="P58" s="733"/>
      <c r="Q58" s="734"/>
    </row>
  </sheetData>
  <protectedRanges>
    <protectedRange sqref="L25:L36 L41:L52" name="Rango1"/>
  </protectedRanges>
  <mergeCells count="7">
    <mergeCell ref="B56:I56"/>
    <mergeCell ref="O39:P39"/>
    <mergeCell ref="B22:J22"/>
    <mergeCell ref="B23:E23"/>
    <mergeCell ref="B39:E39"/>
    <mergeCell ref="G23:I23"/>
    <mergeCell ref="G39:I39"/>
  </mergeCells>
  <phoneticPr fontId="0" type="noConversion"/>
  <pageMargins left="0.16" right="0.17" top="0.19" bottom="1" header="0" footer="0"/>
  <pageSetup paperSize="9"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N285"/>
  <sheetViews>
    <sheetView showGridLines="0" zoomScale="80" zoomScaleNormal="80" workbookViewId="0">
      <pane ySplit="20" topLeftCell="A21" activePane="bottomLeft" state="frozen"/>
      <selection activeCell="B1" sqref="B1"/>
      <selection pane="bottomLeft" activeCell="C40" sqref="C40"/>
    </sheetView>
  </sheetViews>
  <sheetFormatPr baseColWidth="10" defaultRowHeight="12.75" outlineLevelRow="1" x14ac:dyDescent="0.2"/>
  <cols>
    <col min="1" max="1" width="4.85546875" style="366" hidden="1" customWidth="1"/>
    <col min="2" max="2" width="42.85546875" style="17" customWidth="1"/>
    <col min="3" max="3" width="21.5703125" style="16" customWidth="1"/>
    <col min="4" max="4" width="13" style="21" hidden="1" customWidth="1"/>
    <col min="5" max="5" width="16.7109375" style="17" customWidth="1"/>
    <col min="6" max="6" width="13.85546875" style="17" customWidth="1"/>
    <col min="7" max="7" width="6.5703125" style="17" hidden="1" customWidth="1"/>
    <col min="8" max="8" width="6.7109375" style="17" customWidth="1"/>
    <col min="9" max="9" width="9.140625" style="17" customWidth="1"/>
    <col min="10" max="14" width="6.85546875" style="17" customWidth="1"/>
    <col min="15" max="15" width="5.7109375" style="17" customWidth="1"/>
    <col min="16" max="16" width="8.140625" style="17" customWidth="1"/>
    <col min="17" max="17" width="8.7109375" style="17" customWidth="1"/>
    <col min="18" max="18" width="6.85546875" style="17" customWidth="1"/>
    <col min="19" max="19" width="7.42578125" style="17" customWidth="1"/>
    <col min="20" max="23" width="6.85546875" style="17" customWidth="1"/>
    <col min="24" max="24" width="9.42578125" style="17" customWidth="1"/>
    <col min="25" max="25" width="9.5703125" style="17" customWidth="1"/>
    <col min="26" max="26" width="8.85546875" style="17" customWidth="1"/>
    <col min="27" max="27" width="11" style="20" customWidth="1"/>
    <col min="28" max="28" width="9.7109375" style="20" customWidth="1"/>
    <col min="29" max="29" width="11.42578125" style="17"/>
    <col min="30" max="30" width="13.85546875" style="17" customWidth="1"/>
    <col min="31" max="32" width="14.85546875" style="17" hidden="1" customWidth="1"/>
    <col min="33" max="35" width="14.85546875" style="20" hidden="1" customWidth="1"/>
    <col min="36" max="36" width="14.7109375" style="20" hidden="1" customWidth="1"/>
    <col min="37" max="37" width="19.7109375" style="20" hidden="1" customWidth="1"/>
    <col min="38" max="38" width="21.140625" style="20" hidden="1" customWidth="1"/>
    <col min="39" max="39" width="14.85546875" style="20" hidden="1" customWidth="1"/>
    <col min="40" max="40" width="17.5703125" style="20" hidden="1" customWidth="1"/>
    <col min="41" max="41" width="14.85546875" style="11" customWidth="1"/>
    <col min="42" max="42" width="16.28515625" style="17" customWidth="1"/>
    <col min="43" max="43" width="45.140625" style="17" customWidth="1"/>
    <col min="44" max="44" width="34" style="17" customWidth="1"/>
    <col min="45" max="85" width="11.42578125" style="25"/>
    <col min="86" max="86" width="7.28515625" style="25" customWidth="1"/>
    <col min="87" max="16384" width="11.42578125" style="25"/>
  </cols>
  <sheetData>
    <row r="1" spans="1:92" s="45" customFormat="1" ht="12.75" hidden="1" customHeight="1" outlineLevel="1" x14ac:dyDescent="0.2">
      <c r="A1" s="362"/>
      <c r="B1" s="36"/>
      <c r="C1" s="37"/>
      <c r="D1" s="41"/>
      <c r="E1" s="42"/>
      <c r="F1" s="42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43"/>
      <c r="AB1" s="43"/>
      <c r="AC1" s="40"/>
      <c r="AD1" s="40"/>
      <c r="AE1" s="40"/>
      <c r="AF1" s="40"/>
      <c r="AG1" s="43"/>
      <c r="AH1" s="43"/>
      <c r="AI1" s="43"/>
      <c r="AJ1" s="43"/>
      <c r="AK1" s="43"/>
      <c r="AL1" s="43"/>
      <c r="AM1" s="43"/>
      <c r="AN1" s="43"/>
      <c r="AO1" s="44"/>
      <c r="AP1" s="36"/>
      <c r="AQ1" s="36"/>
      <c r="AR1" s="36"/>
      <c r="CG1" s="25"/>
      <c r="CH1" s="25"/>
      <c r="CI1" s="25"/>
    </row>
    <row r="2" spans="1:92" s="45" customFormat="1" ht="12.75" hidden="1" customHeight="1" outlineLevel="1" x14ac:dyDescent="0.2">
      <c r="A2" s="363"/>
      <c r="B2" s="38"/>
      <c r="C2" s="39"/>
      <c r="D2" s="46"/>
      <c r="E2" s="47"/>
      <c r="F2" s="47"/>
      <c r="G2" s="3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9"/>
      <c r="AA2" s="8"/>
      <c r="AB2" s="358"/>
      <c r="AC2" s="9"/>
      <c r="AD2" s="9"/>
      <c r="AE2" s="9"/>
      <c r="AF2" s="9"/>
      <c r="AG2" s="8"/>
      <c r="AH2" s="8"/>
      <c r="AI2" s="8"/>
      <c r="AJ2" s="8"/>
      <c r="AK2" s="8"/>
      <c r="AL2" s="8"/>
      <c r="AM2" s="8"/>
      <c r="AN2" s="8"/>
      <c r="AO2" s="51"/>
      <c r="AP2" s="36"/>
      <c r="AQ2" s="36"/>
      <c r="AR2" s="36"/>
      <c r="CG2" s="179"/>
      <c r="CH2" s="179"/>
      <c r="CI2" s="179"/>
      <c r="CJ2" s="52"/>
      <c r="CK2" s="52"/>
      <c r="CL2" s="52"/>
      <c r="CM2" s="52"/>
      <c r="CN2" s="52"/>
    </row>
    <row r="3" spans="1:92" s="45" customFormat="1" ht="12.75" hidden="1" customHeight="1" outlineLevel="1" x14ac:dyDescent="0.2">
      <c r="A3" s="363"/>
      <c r="B3" s="38"/>
      <c r="C3" s="39"/>
      <c r="D3" s="46"/>
      <c r="E3" s="47"/>
      <c r="F3" s="47"/>
      <c r="G3" s="3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8"/>
      <c r="AB3" s="358"/>
      <c r="AC3" s="9"/>
      <c r="AD3" s="9"/>
      <c r="AE3" s="9"/>
      <c r="AF3" s="9"/>
      <c r="AG3" s="8"/>
      <c r="AH3" s="8"/>
      <c r="AI3" s="8"/>
      <c r="AJ3" s="8"/>
      <c r="AK3" s="8"/>
      <c r="AL3" s="8"/>
      <c r="AM3" s="8"/>
      <c r="AN3" s="8"/>
      <c r="AO3" s="51"/>
      <c r="AP3" s="36"/>
      <c r="AQ3" s="36"/>
      <c r="AR3" s="36"/>
      <c r="CG3" s="179"/>
      <c r="CH3" s="179"/>
      <c r="CI3" s="179"/>
      <c r="CJ3" s="52"/>
      <c r="CK3" s="52"/>
      <c r="CL3" s="52"/>
      <c r="CM3" s="52"/>
      <c r="CN3" s="52"/>
    </row>
    <row r="4" spans="1:92" s="45" customFormat="1" ht="12.75" hidden="1" customHeight="1" outlineLevel="1" x14ac:dyDescent="0.2">
      <c r="A4" s="363"/>
      <c r="B4" s="38"/>
      <c r="C4" s="39"/>
      <c r="D4" s="46"/>
      <c r="E4" s="38"/>
      <c r="F4" s="38"/>
      <c r="G4" s="3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8"/>
      <c r="AB4" s="358"/>
      <c r="AC4" s="9"/>
      <c r="AD4" s="9"/>
      <c r="AE4" s="9"/>
      <c r="AF4" s="9"/>
      <c r="AG4" s="8"/>
      <c r="AH4" s="8"/>
      <c r="AI4" s="8"/>
      <c r="AJ4" s="8"/>
      <c r="AK4" s="8"/>
      <c r="AL4" s="8"/>
      <c r="AM4" s="8"/>
      <c r="AN4" s="8"/>
      <c r="AO4" s="51"/>
      <c r="AP4" s="36"/>
      <c r="AQ4" s="36"/>
      <c r="AR4" s="36"/>
      <c r="CG4" s="179"/>
      <c r="CH4" s="179"/>
      <c r="CI4" s="179"/>
      <c r="CJ4" s="52"/>
      <c r="CK4" s="52"/>
      <c r="CL4" s="52"/>
      <c r="CM4" s="52"/>
      <c r="CN4" s="52"/>
    </row>
    <row r="5" spans="1:92" s="45" customFormat="1" ht="12.75" hidden="1" customHeight="1" outlineLevel="1" x14ac:dyDescent="0.2">
      <c r="A5" s="363"/>
      <c r="B5" s="38"/>
      <c r="C5" s="39"/>
      <c r="D5" s="46"/>
      <c r="E5" s="38"/>
      <c r="F5" s="38"/>
      <c r="G5" s="3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8"/>
      <c r="AB5" s="358"/>
      <c r="AC5" s="9"/>
      <c r="AD5" s="9"/>
      <c r="AE5" s="9"/>
      <c r="AF5" s="9"/>
      <c r="AG5" s="8"/>
      <c r="AH5" s="8"/>
      <c r="AI5" s="8"/>
      <c r="AJ5" s="8"/>
      <c r="AK5" s="8"/>
      <c r="AL5" s="8"/>
      <c r="AM5" s="8"/>
      <c r="AN5" s="8"/>
      <c r="AO5" s="51"/>
      <c r="AP5" s="36"/>
      <c r="AQ5" s="36"/>
      <c r="AR5" s="36"/>
      <c r="CG5" s="179"/>
      <c r="CH5" s="179"/>
      <c r="CI5" s="179"/>
      <c r="CJ5" s="52"/>
      <c r="CK5" s="52"/>
      <c r="CL5" s="52"/>
      <c r="CM5" s="52"/>
      <c r="CN5" s="52"/>
    </row>
    <row r="6" spans="1:92" s="45" customFormat="1" ht="12.75" hidden="1" customHeight="1" outlineLevel="1" x14ac:dyDescent="0.2">
      <c r="A6" s="363"/>
      <c r="B6" s="38"/>
      <c r="C6" s="39"/>
      <c r="D6" s="46"/>
      <c r="E6" s="38"/>
      <c r="F6" s="38"/>
      <c r="G6" s="3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8"/>
      <c r="AB6" s="358"/>
      <c r="AC6" s="9"/>
      <c r="AD6" s="9"/>
      <c r="AE6" s="9"/>
      <c r="AF6" s="9"/>
      <c r="AG6" s="8"/>
      <c r="AH6" s="8"/>
      <c r="AI6" s="8"/>
      <c r="AJ6" s="8"/>
      <c r="AK6" s="8"/>
      <c r="AL6" s="8"/>
      <c r="AM6" s="8"/>
      <c r="AN6" s="8"/>
      <c r="AO6" s="51"/>
      <c r="AP6" s="36"/>
      <c r="AQ6" s="36"/>
      <c r="AR6" s="36"/>
      <c r="CG6" s="179"/>
      <c r="CH6" s="179"/>
      <c r="CI6" s="179"/>
      <c r="CJ6" s="52"/>
      <c r="CK6" s="52"/>
      <c r="CL6" s="52"/>
      <c r="CM6" s="52"/>
      <c r="CN6" s="52"/>
    </row>
    <row r="7" spans="1:92" s="45" customFormat="1" ht="12.75" hidden="1" customHeight="1" outlineLevel="1" x14ac:dyDescent="0.2">
      <c r="A7" s="363"/>
      <c r="B7" s="38"/>
      <c r="C7" s="39"/>
      <c r="D7" s="46"/>
      <c r="E7" s="38"/>
      <c r="F7" s="38"/>
      <c r="G7" s="3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8"/>
      <c r="AB7" s="358"/>
      <c r="AC7" s="9"/>
      <c r="AD7" s="9"/>
      <c r="AE7" s="9"/>
      <c r="AF7" s="9"/>
      <c r="AG7" s="8"/>
      <c r="AH7" s="8"/>
      <c r="AI7" s="8"/>
      <c r="AJ7" s="8"/>
      <c r="AK7" s="8"/>
      <c r="AL7" s="8"/>
      <c r="AM7" s="8"/>
      <c r="AN7" s="8"/>
      <c r="AO7" s="51"/>
      <c r="AP7" s="36"/>
      <c r="AQ7" s="36"/>
      <c r="AR7" s="36"/>
      <c r="CG7" s="179"/>
      <c r="CH7" s="179"/>
      <c r="CI7" s="179"/>
      <c r="CJ7" s="52"/>
      <c r="CK7" s="52"/>
      <c r="CL7" s="52"/>
      <c r="CM7" s="52"/>
      <c r="CN7" s="52"/>
    </row>
    <row r="8" spans="1:92" s="45" customFormat="1" ht="12.75" hidden="1" customHeight="1" outlineLevel="1" x14ac:dyDescent="0.2">
      <c r="A8" s="363"/>
      <c r="B8" s="38"/>
      <c r="C8" s="39"/>
      <c r="D8" s="46"/>
      <c r="E8" s="38"/>
      <c r="F8" s="38"/>
      <c r="G8" s="3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8"/>
      <c r="AB8" s="358"/>
      <c r="AC8" s="9"/>
      <c r="AD8" s="9"/>
      <c r="AE8" s="9"/>
      <c r="AF8" s="9"/>
      <c r="AG8" s="8"/>
      <c r="AH8" s="8"/>
      <c r="AI8" s="8"/>
      <c r="AJ8" s="8"/>
      <c r="AK8" s="8"/>
      <c r="AL8" s="8"/>
      <c r="AM8" s="8"/>
      <c r="AN8" s="8"/>
      <c r="AO8" s="51"/>
      <c r="AP8" s="36"/>
      <c r="AQ8" s="36"/>
      <c r="AR8" s="36"/>
      <c r="CG8" s="179"/>
      <c r="CH8" s="179"/>
      <c r="CI8" s="179"/>
      <c r="CJ8" s="52"/>
      <c r="CK8" s="52"/>
      <c r="CL8" s="52"/>
      <c r="CM8" s="52"/>
      <c r="CN8" s="52"/>
    </row>
    <row r="9" spans="1:92" s="45" customFormat="1" ht="12.75" hidden="1" customHeight="1" outlineLevel="1" x14ac:dyDescent="0.2">
      <c r="A9" s="363"/>
      <c r="B9" s="38"/>
      <c r="C9" s="39"/>
      <c r="D9" s="46"/>
      <c r="E9" s="38"/>
      <c r="F9" s="38"/>
      <c r="G9" s="3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8"/>
      <c r="AB9" s="358"/>
      <c r="AC9" s="9"/>
      <c r="AD9" s="9"/>
      <c r="AE9" s="9"/>
      <c r="AF9" s="9"/>
      <c r="AG9" s="8"/>
      <c r="AH9" s="8"/>
      <c r="AI9" s="8"/>
      <c r="AJ9" s="8"/>
      <c r="AK9" s="8"/>
      <c r="AL9" s="8"/>
      <c r="AM9" s="8"/>
      <c r="AN9" s="8"/>
      <c r="AO9" s="51"/>
      <c r="AP9" s="36"/>
      <c r="AQ9" s="36"/>
      <c r="AR9" s="36"/>
      <c r="CG9" s="179"/>
      <c r="CH9" s="179"/>
      <c r="CI9" s="179"/>
      <c r="CJ9" s="52"/>
      <c r="CK9" s="52"/>
      <c r="CL9" s="52"/>
      <c r="CM9" s="52"/>
      <c r="CN9" s="52"/>
    </row>
    <row r="10" spans="1:92" s="45" customFormat="1" ht="12.75" hidden="1" customHeight="1" outlineLevel="1" x14ac:dyDescent="0.2">
      <c r="A10" s="363"/>
      <c r="B10" s="38"/>
      <c r="C10" s="39"/>
      <c r="D10" s="46"/>
      <c r="E10" s="38"/>
      <c r="F10" s="38"/>
      <c r="G10" s="3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8"/>
      <c r="AB10" s="358"/>
      <c r="AC10" s="9"/>
      <c r="AD10" s="9"/>
      <c r="AE10" s="9"/>
      <c r="AF10" s="9"/>
      <c r="AG10" s="8"/>
      <c r="AH10" s="8"/>
      <c r="AI10" s="8"/>
      <c r="AJ10" s="8"/>
      <c r="AK10" s="8"/>
      <c r="AL10" s="8"/>
      <c r="AM10" s="8"/>
      <c r="AN10" s="8"/>
      <c r="AO10" s="51"/>
      <c r="AP10" s="36"/>
      <c r="AQ10" s="36"/>
      <c r="AR10" s="36"/>
      <c r="CG10" s="179"/>
      <c r="CH10" s="179"/>
      <c r="CI10" s="179"/>
      <c r="CJ10" s="52"/>
      <c r="CK10" s="52"/>
      <c r="CL10" s="52"/>
      <c r="CM10" s="52"/>
      <c r="CN10" s="52"/>
    </row>
    <row r="11" spans="1:92" s="45" customFormat="1" ht="12.75" hidden="1" customHeight="1" outlineLevel="1" x14ac:dyDescent="0.2">
      <c r="A11" s="363"/>
      <c r="B11" s="38"/>
      <c r="C11" s="39"/>
      <c r="D11" s="46"/>
      <c r="E11" s="38"/>
      <c r="F11" s="38"/>
      <c r="G11" s="3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8"/>
      <c r="AB11" s="358"/>
      <c r="AC11" s="9"/>
      <c r="AD11" s="9"/>
      <c r="AE11" s="9"/>
      <c r="AF11" s="9"/>
      <c r="AG11" s="8"/>
      <c r="AH11" s="8"/>
      <c r="AI11" s="8"/>
      <c r="AJ11" s="8"/>
      <c r="AK11" s="8"/>
      <c r="AL11" s="8"/>
      <c r="AM11" s="8"/>
      <c r="AN11" s="8"/>
      <c r="AO11" s="51"/>
      <c r="AP11" s="36"/>
      <c r="AQ11" s="36"/>
      <c r="AR11" s="36"/>
      <c r="CG11" s="179"/>
      <c r="CH11" s="179"/>
      <c r="CI11" s="179"/>
      <c r="CJ11" s="52"/>
      <c r="CK11" s="52"/>
      <c r="CL11" s="52"/>
      <c r="CM11" s="52"/>
      <c r="CN11" s="52"/>
    </row>
    <row r="12" spans="1:92" s="45" customFormat="1" ht="12.75" hidden="1" customHeight="1" outlineLevel="1" x14ac:dyDescent="0.2">
      <c r="A12" s="363"/>
      <c r="B12" s="38"/>
      <c r="C12" s="39"/>
      <c r="D12" s="46"/>
      <c r="E12" s="38"/>
      <c r="F12" s="38"/>
      <c r="G12" s="3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8"/>
      <c r="AB12" s="358"/>
      <c r="AC12" s="9"/>
      <c r="AD12" s="9"/>
      <c r="AE12" s="9"/>
      <c r="AF12" s="9"/>
      <c r="AG12" s="8"/>
      <c r="AH12" s="8"/>
      <c r="AI12" s="8"/>
      <c r="AJ12" s="8"/>
      <c r="AK12" s="8"/>
      <c r="AL12" s="8"/>
      <c r="AM12" s="8"/>
      <c r="AN12" s="8"/>
      <c r="AO12" s="51"/>
      <c r="AP12" s="36"/>
      <c r="AQ12" s="36"/>
      <c r="AR12" s="36"/>
      <c r="CG12" s="179"/>
      <c r="CH12" s="179"/>
      <c r="CI12" s="179"/>
      <c r="CJ12" s="52"/>
      <c r="CK12" s="52"/>
      <c r="CL12" s="52"/>
      <c r="CM12" s="52"/>
      <c r="CN12" s="52"/>
    </row>
    <row r="13" spans="1:92" s="45" customFormat="1" ht="12.75" hidden="1" customHeight="1" outlineLevel="1" x14ac:dyDescent="0.2">
      <c r="A13" s="363"/>
      <c r="B13" s="38"/>
      <c r="C13" s="39"/>
      <c r="D13" s="46"/>
      <c r="E13" s="38"/>
      <c r="F13" s="38"/>
      <c r="G13" s="3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8"/>
      <c r="AB13" s="358"/>
      <c r="AC13" s="9"/>
      <c r="AD13" s="9"/>
      <c r="AE13" s="9"/>
      <c r="AF13" s="9"/>
      <c r="AG13" s="8"/>
      <c r="AH13" s="8"/>
      <c r="AI13" s="8"/>
      <c r="AJ13" s="8"/>
      <c r="AK13" s="8"/>
      <c r="AL13" s="8"/>
      <c r="AM13" s="8"/>
      <c r="AN13" s="8"/>
      <c r="AO13" s="51"/>
      <c r="AP13" s="36"/>
      <c r="AQ13" s="36"/>
      <c r="AR13" s="36"/>
      <c r="CG13" s="179"/>
      <c r="CH13" s="179"/>
      <c r="CI13" s="179"/>
      <c r="CJ13" s="52"/>
      <c r="CK13" s="52"/>
      <c r="CL13" s="52"/>
      <c r="CM13" s="52"/>
      <c r="CN13" s="52"/>
    </row>
    <row r="14" spans="1:92" s="45" customFormat="1" ht="12.75" hidden="1" customHeight="1" outlineLevel="1" x14ac:dyDescent="0.2">
      <c r="A14" s="363"/>
      <c r="B14" s="38"/>
      <c r="C14" s="39"/>
      <c r="D14" s="46"/>
      <c r="E14" s="38"/>
      <c r="F14" s="38"/>
      <c r="G14" s="3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8"/>
      <c r="AB14" s="358"/>
      <c r="AC14" s="9"/>
      <c r="AD14" s="9"/>
      <c r="AE14" s="9"/>
      <c r="AF14" s="9"/>
      <c r="AG14" s="8"/>
      <c r="AH14" s="8"/>
      <c r="AI14" s="8"/>
      <c r="AJ14" s="8"/>
      <c r="AK14" s="8"/>
      <c r="AL14" s="8"/>
      <c r="AM14" s="8"/>
      <c r="AN14" s="8"/>
      <c r="AO14" s="51"/>
      <c r="AP14" s="36"/>
      <c r="AQ14" s="36"/>
      <c r="AR14" s="36"/>
      <c r="CG14" s="179"/>
      <c r="CH14" s="179"/>
      <c r="CI14" s="179"/>
      <c r="CJ14" s="52"/>
      <c r="CK14" s="52"/>
      <c r="CL14" s="52"/>
      <c r="CM14" s="52"/>
      <c r="CN14" s="52"/>
    </row>
    <row r="15" spans="1:92" s="45" customFormat="1" ht="12.75" hidden="1" customHeight="1" outlineLevel="1" x14ac:dyDescent="0.2">
      <c r="A15" s="363"/>
      <c r="B15" s="38"/>
      <c r="C15" s="39"/>
      <c r="D15" s="46"/>
      <c r="E15" s="38"/>
      <c r="F15" s="38"/>
      <c r="G15" s="3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8"/>
      <c r="AB15" s="358"/>
      <c r="AC15" s="9"/>
      <c r="AD15" s="9"/>
      <c r="AE15" s="9"/>
      <c r="AF15" s="9"/>
      <c r="AG15" s="8"/>
      <c r="AH15" s="8"/>
      <c r="AI15" s="8"/>
      <c r="AJ15" s="8"/>
      <c r="AK15" s="8"/>
      <c r="AL15" s="8"/>
      <c r="AM15" s="8"/>
      <c r="AN15" s="8"/>
      <c r="AO15" s="51"/>
      <c r="AP15" s="36"/>
      <c r="AQ15" s="36"/>
      <c r="AR15" s="36"/>
      <c r="CG15" s="179"/>
      <c r="CH15" s="179"/>
      <c r="CI15" s="179"/>
      <c r="CJ15" s="52"/>
      <c r="CK15" s="52"/>
      <c r="CL15" s="52"/>
      <c r="CM15" s="52"/>
      <c r="CN15" s="52"/>
    </row>
    <row r="16" spans="1:92" s="45" customFormat="1" ht="12.75" hidden="1" customHeight="1" outlineLevel="1" x14ac:dyDescent="0.2">
      <c r="A16" s="363"/>
      <c r="B16" s="9"/>
      <c r="C16" s="53"/>
      <c r="D16" s="50"/>
      <c r="E16" s="9"/>
      <c r="F16" s="9"/>
      <c r="G16" s="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8"/>
      <c r="AB16" s="358"/>
      <c r="AC16" s="9"/>
      <c r="AD16" s="9"/>
      <c r="AE16" s="9"/>
      <c r="AF16" s="9"/>
      <c r="AG16" s="8"/>
      <c r="AH16" s="8"/>
      <c r="AI16" s="8"/>
      <c r="AJ16" s="8"/>
      <c r="AK16" s="8"/>
      <c r="AL16" s="8"/>
      <c r="AM16" s="8"/>
      <c r="AN16" s="8"/>
      <c r="AO16" s="51"/>
      <c r="AP16" s="36"/>
      <c r="AQ16" s="36"/>
      <c r="AR16" s="36"/>
      <c r="CG16" s="180">
        <v>1</v>
      </c>
      <c r="CH16" s="180" t="s">
        <v>414</v>
      </c>
      <c r="CI16" s="180"/>
      <c r="CJ16" s="52"/>
      <c r="CK16" s="52"/>
      <c r="CL16" s="52"/>
      <c r="CM16" s="52"/>
      <c r="CN16" s="52"/>
    </row>
    <row r="17" spans="1:92" s="45" customFormat="1" ht="56.25" hidden="1" customHeight="1" outlineLevel="1" thickBot="1" x14ac:dyDescent="0.25">
      <c r="A17" s="364"/>
      <c r="B17" s="9"/>
      <c r="C17" s="53"/>
      <c r="D17" s="50"/>
      <c r="E17" s="9"/>
      <c r="F17" s="9"/>
      <c r="G17" s="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8"/>
      <c r="AB17" s="358"/>
      <c r="AC17" s="9"/>
      <c r="AD17" s="9"/>
      <c r="AE17" s="9"/>
      <c r="AF17" s="9"/>
      <c r="AG17" s="8"/>
      <c r="AH17" s="8"/>
      <c r="AI17" s="8"/>
      <c r="AJ17" s="8"/>
      <c r="AK17" s="8"/>
      <c r="AL17" s="8"/>
      <c r="AM17" s="8"/>
      <c r="AN17" s="8"/>
      <c r="AO17" s="51"/>
      <c r="AP17" s="36"/>
      <c r="AQ17" s="36"/>
      <c r="AR17" s="36"/>
      <c r="CG17" s="180">
        <v>2</v>
      </c>
      <c r="CH17" s="180" t="s">
        <v>415</v>
      </c>
      <c r="CI17" s="180"/>
      <c r="CJ17" s="52"/>
      <c r="CK17" s="52"/>
      <c r="CL17" s="52"/>
      <c r="CM17" s="52"/>
      <c r="CN17" s="52"/>
    </row>
    <row r="18" spans="1:92" s="26" customFormat="1" ht="26.25" customHeight="1" collapsed="1" thickBot="1" x14ac:dyDescent="0.25">
      <c r="A18" s="1132" t="s">
        <v>576</v>
      </c>
      <c r="B18" s="385" t="s">
        <v>153</v>
      </c>
      <c r="C18" s="1147" t="s">
        <v>558</v>
      </c>
      <c r="D18" s="1135" t="s">
        <v>577</v>
      </c>
      <c r="E18" s="1141" t="s">
        <v>154</v>
      </c>
      <c r="F18" s="1144" t="s">
        <v>186</v>
      </c>
      <c r="G18" s="1122" t="s">
        <v>579</v>
      </c>
      <c r="H18" s="465" t="s">
        <v>803</v>
      </c>
      <c r="I18" s="465" t="s">
        <v>803</v>
      </c>
      <c r="J18" s="1125" t="s">
        <v>804</v>
      </c>
      <c r="K18" s="1125"/>
      <c r="L18" s="1125"/>
      <c r="M18" s="1125"/>
      <c r="N18" s="1125"/>
      <c r="O18" s="1125"/>
      <c r="P18" s="1125"/>
      <c r="Q18" s="1125"/>
      <c r="R18" s="1125"/>
      <c r="S18" s="1125"/>
      <c r="T18" s="1125"/>
      <c r="U18" s="1125"/>
      <c r="V18" s="1125"/>
      <c r="W18" s="1125"/>
      <c r="X18" s="369"/>
      <c r="Y18" s="369"/>
      <c r="Z18" s="172" t="s">
        <v>155</v>
      </c>
      <c r="AA18" s="840" t="s">
        <v>413</v>
      </c>
      <c r="AB18" s="840" t="s">
        <v>617</v>
      </c>
      <c r="AC18" s="465" t="s">
        <v>263</v>
      </c>
      <c r="AD18" s="465" t="s">
        <v>156</v>
      </c>
      <c r="AE18" s="591" t="s">
        <v>157</v>
      </c>
      <c r="AF18" s="591" t="s">
        <v>158</v>
      </c>
      <c r="AG18" s="622" t="s">
        <v>159</v>
      </c>
      <c r="AH18" s="622" t="s">
        <v>160</v>
      </c>
      <c r="AI18" s="622" t="s">
        <v>161</v>
      </c>
      <c r="AJ18" s="622" t="s">
        <v>162</v>
      </c>
      <c r="AK18" s="622" t="s">
        <v>163</v>
      </c>
      <c r="AL18" s="622" t="s">
        <v>164</v>
      </c>
      <c r="AM18" s="622" t="s">
        <v>165</v>
      </c>
      <c r="AN18" s="622" t="s">
        <v>166</v>
      </c>
      <c r="AO18" s="1120" t="s">
        <v>167</v>
      </c>
      <c r="AP18" s="1119" t="s">
        <v>726</v>
      </c>
      <c r="AQ18" s="1118" t="s">
        <v>262</v>
      </c>
      <c r="AR18" s="1118"/>
      <c r="CG18" s="27"/>
      <c r="CH18" s="27"/>
      <c r="CI18" s="27"/>
      <c r="CJ18" s="27"/>
      <c r="CK18" s="27"/>
      <c r="CL18" s="27"/>
      <c r="CM18" s="27"/>
      <c r="CN18" s="27"/>
    </row>
    <row r="19" spans="1:92" s="26" customFormat="1" ht="25.5" customHeight="1" x14ac:dyDescent="0.2">
      <c r="A19" s="1133"/>
      <c r="B19" s="1012" t="str">
        <f>+PRESUPUESTO!B2</f>
        <v>ADMINISTRACION DE EMPRESAS</v>
      </c>
      <c r="C19" s="1147"/>
      <c r="D19" s="1136"/>
      <c r="E19" s="1142"/>
      <c r="F19" s="1145"/>
      <c r="G19" s="1123"/>
      <c r="H19" s="1126" t="s">
        <v>169</v>
      </c>
      <c r="I19" s="1126" t="s">
        <v>169</v>
      </c>
      <c r="J19" s="1140" t="s">
        <v>283</v>
      </c>
      <c r="K19" s="1140"/>
      <c r="L19" s="1140"/>
      <c r="M19" s="1140"/>
      <c r="N19" s="557"/>
      <c r="O19" s="377"/>
      <c r="P19" s="1140" t="s">
        <v>573</v>
      </c>
      <c r="Q19" s="1140"/>
      <c r="R19" s="377"/>
      <c r="S19" s="1140" t="s">
        <v>574</v>
      </c>
      <c r="T19" s="1140"/>
      <c r="U19" s="1140"/>
      <c r="V19" s="377"/>
      <c r="W19" s="374" t="s">
        <v>575</v>
      </c>
      <c r="X19" s="384" t="s">
        <v>167</v>
      </c>
      <c r="Y19" s="384"/>
      <c r="Z19" s="1138"/>
      <c r="AA19" s="381"/>
      <c r="AB19" s="381"/>
      <c r="AC19" s="378"/>
      <c r="AD19" s="378"/>
      <c r="AE19" s="379"/>
      <c r="AF19" s="379"/>
      <c r="AG19" s="380"/>
      <c r="AH19" s="380"/>
      <c r="AI19" s="380"/>
      <c r="AJ19" s="380"/>
      <c r="AK19" s="380"/>
      <c r="AL19" s="380"/>
      <c r="AM19" s="380"/>
      <c r="AN19" s="380"/>
      <c r="AO19" s="1121"/>
      <c r="AP19" s="1119"/>
      <c r="AQ19" s="1118"/>
      <c r="AR19" s="1118"/>
      <c r="CG19" s="382"/>
      <c r="CH19" s="382"/>
      <c r="CI19" s="382"/>
      <c r="CJ19" s="27"/>
      <c r="CK19" s="27"/>
      <c r="CL19" s="27"/>
      <c r="CM19" s="27"/>
      <c r="CN19" s="27"/>
    </row>
    <row r="20" spans="1:92" s="26" customFormat="1" ht="20.25" customHeight="1" thickBot="1" x14ac:dyDescent="0.25">
      <c r="A20" s="1134"/>
      <c r="B20" s="383"/>
      <c r="C20" s="1148"/>
      <c r="D20" s="1137"/>
      <c r="E20" s="1143"/>
      <c r="F20" s="1146"/>
      <c r="G20" s="1123"/>
      <c r="H20" s="1119"/>
      <c r="I20" s="1119"/>
      <c r="J20" s="375" t="s">
        <v>548</v>
      </c>
      <c r="K20" s="375" t="s">
        <v>549</v>
      </c>
      <c r="L20" s="375" t="s">
        <v>550</v>
      </c>
      <c r="M20" s="375" t="s">
        <v>551</v>
      </c>
      <c r="N20" s="556" t="s">
        <v>632</v>
      </c>
      <c r="O20" s="376" t="s">
        <v>552</v>
      </c>
      <c r="P20" s="375" t="s">
        <v>553</v>
      </c>
      <c r="Q20" s="375" t="s">
        <v>554</v>
      </c>
      <c r="R20" s="376" t="s">
        <v>552</v>
      </c>
      <c r="S20" s="375" t="s">
        <v>633</v>
      </c>
      <c r="T20" s="556" t="s">
        <v>555</v>
      </c>
      <c r="U20" s="375" t="s">
        <v>556</v>
      </c>
      <c r="V20" s="376" t="s">
        <v>552</v>
      </c>
      <c r="W20" s="374" t="s">
        <v>557</v>
      </c>
      <c r="X20" s="384" t="s">
        <v>602</v>
      </c>
      <c r="Y20" s="384"/>
      <c r="Z20" s="1139"/>
      <c r="AA20" s="381"/>
      <c r="AB20" s="381"/>
      <c r="AC20" s="378"/>
      <c r="AD20" s="378"/>
      <c r="AE20" s="379"/>
      <c r="AF20" s="379"/>
      <c r="AG20" s="380"/>
      <c r="AH20" s="380"/>
      <c r="AI20" s="380"/>
      <c r="AJ20" s="380"/>
      <c r="AK20" s="380"/>
      <c r="AL20" s="380"/>
      <c r="AM20" s="380"/>
      <c r="AN20" s="380"/>
      <c r="AO20" s="1121"/>
      <c r="AP20" s="1119"/>
      <c r="AQ20" s="1118"/>
      <c r="AR20" s="1118"/>
      <c r="CG20" s="361" t="s">
        <v>414</v>
      </c>
      <c r="CH20" s="382"/>
      <c r="CI20" s="382"/>
      <c r="CJ20" s="27"/>
      <c r="CK20" s="27"/>
      <c r="CL20" s="27"/>
      <c r="CM20" s="27"/>
      <c r="CN20" s="27"/>
    </row>
    <row r="21" spans="1:92" s="906" customFormat="1" ht="13.5" customHeight="1" thickBot="1" x14ac:dyDescent="0.25">
      <c r="A21" s="392"/>
      <c r="B21" s="412" t="s">
        <v>823</v>
      </c>
      <c r="C21" s="479"/>
      <c r="D21" s="480"/>
      <c r="E21" s="22"/>
      <c r="F21" s="481"/>
      <c r="G21" s="23"/>
      <c r="H21" s="22"/>
      <c r="I21" s="390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359"/>
      <c r="AA21" s="359"/>
      <c r="AB21" s="359"/>
      <c r="AC21" s="22"/>
      <c r="AD21" s="22"/>
      <c r="AE21" s="481"/>
      <c r="AF21" s="22"/>
      <c r="AG21" s="22"/>
      <c r="AH21" s="22"/>
      <c r="AI21" s="22"/>
      <c r="AJ21" s="22"/>
      <c r="AK21" s="22"/>
      <c r="AL21" s="22" t="s">
        <v>169</v>
      </c>
      <c r="AM21" s="22"/>
      <c r="AN21" s="23"/>
      <c r="AO21" s="820"/>
      <c r="AP21" s="583" t="str">
        <f t="shared" ref="AP21" si="0">IFERROR(AO21/AD21,"Sin datos")</f>
        <v>Sin datos</v>
      </c>
      <c r="AQ21" s="904"/>
      <c r="AR21" s="905"/>
    </row>
    <row r="22" spans="1:92" ht="13.5" customHeight="1" outlineLevel="1" x14ac:dyDescent="0.2">
      <c r="A22" s="365" t="s">
        <v>559</v>
      </c>
      <c r="B22" s="566" t="s">
        <v>931</v>
      </c>
      <c r="C22" s="470"/>
      <c r="D22" s="416">
        <f>IF(E22="","",VLOOKUP(E22,BASE!$F$20:$H$25,2,FALSE))</f>
        <v>4</v>
      </c>
      <c r="E22" s="393" t="s">
        <v>540</v>
      </c>
      <c r="F22" s="471" t="s">
        <v>805</v>
      </c>
      <c r="G22" s="472">
        <f>IF(F22="","",VLOOKUP(F22,BASE!$B$15:$C$18,2,FALSE))</f>
        <v>4</v>
      </c>
      <c r="H22" s="353">
        <v>30</v>
      </c>
      <c r="I22" s="410">
        <v>0</v>
      </c>
      <c r="J22" s="352"/>
      <c r="K22" s="352"/>
      <c r="L22" s="352"/>
      <c r="M22" s="352"/>
      <c r="N22" s="352"/>
      <c r="O22" s="353">
        <f>+J22+K22+L22+M22+N22</f>
        <v>0</v>
      </c>
      <c r="P22" s="352"/>
      <c r="Q22" s="352"/>
      <c r="R22" s="353">
        <f>+P22+Q22</f>
        <v>0</v>
      </c>
      <c r="S22" s="352"/>
      <c r="T22" s="352"/>
      <c r="U22" s="352"/>
      <c r="V22" s="353">
        <f>+S22+T22+U22</f>
        <v>0</v>
      </c>
      <c r="W22" s="352">
        <v>0</v>
      </c>
      <c r="X22" s="469">
        <f t="shared" ref="X22" si="1">+O22+R22+V22+W22</f>
        <v>0</v>
      </c>
      <c r="Y22" s="192" t="str">
        <f t="shared" ref="Y22" si="2">IF(I22-X22=0,"OK ",IF(I22-X22&gt;0,"AJUSTE",IF(I22-X22&lt;0,"AJUSTE")))</f>
        <v xml:space="preserve">OK </v>
      </c>
      <c r="Z22" s="398" t="str">
        <f t="shared" ref="Z22" si="3">IF(H22-I22=0," ",IF(H22-I22&gt;0,"JUSTIFICAR","AJUSTE"))</f>
        <v>JUSTIFICAR</v>
      </c>
      <c r="AA22" s="473">
        <f>ROUND((IF(D22=1,(BASE!$G$51*I22),IF(D22=2,(BASE!$G$52*I22),IF(D22=3,(BASE!$G$53*I22),IF(D22=4,(BASE!$G$54*I22),IF(D22=5,(BASE!$G$55*I22),IF(D22=6,(BASE!$G$56*I22),0)))))))/1000,0)*1000</f>
        <v>0</v>
      </c>
      <c r="AB22" s="474">
        <v>0</v>
      </c>
      <c r="AC22" s="473">
        <f>AA22+AB22</f>
        <v>0</v>
      </c>
      <c r="AD22" s="473">
        <f>IF(G22=3,AC22*BASE!$I$62,IF(G22=1,AC22*(BASE!$I$61),IF(G22=2,AC22*(BASE!$I$63),AC22*BASE!$I$64)))</f>
        <v>0</v>
      </c>
      <c r="AE22" s="400">
        <f>IF(I22&lt;10,0,IF(AC22&lt;=BASE!$C$3*2,BASE!$C$2,0)*(AD22/AC22))</f>
        <v>0</v>
      </c>
      <c r="AF22" s="388">
        <v>0</v>
      </c>
      <c r="AG22" s="387">
        <f t="shared" ref="AG22:AG61" si="4">IF(I22=0,0,IF(G22=5,0,((AD22/12)+(AF22/12))/3*2))</f>
        <v>0</v>
      </c>
      <c r="AH22" s="387">
        <f>ROUND((AD22/12)+(AE22/12)+(AF22/12)+(AG22/12),0)</f>
        <v>0</v>
      </c>
      <c r="AI22" s="387">
        <f>((AD22/12)+(AE22/12)+(AF22/12)+(AG22/12))</f>
        <v>0</v>
      </c>
      <c r="AJ22" s="387">
        <f t="shared" ref="AJ22:AJ61" si="5">IF(G22=3,(AI22*11%),IF(G22=4,(AI22*12%),IF(G22=2,(AI22*12%),IF(G22=1,(AI22*10%),0))))</f>
        <v>0</v>
      </c>
      <c r="AK22" s="387">
        <f>IF(I22=0,0,IF(G22=5,0,(AC22+AF22/12)*12*BASE!$C$5))</f>
        <v>0</v>
      </c>
      <c r="AL22" s="387">
        <f>IF(I22=0,0,IF(G22=5,0,(AC22+AF22/12)*12*BASE!$C$7))</f>
        <v>0</v>
      </c>
      <c r="AM22" s="387">
        <f>IF(I22=0,0,IF(G22=5,0,(AC22+AF22/12)*12*BASE!$C$9))</f>
        <v>0</v>
      </c>
      <c r="AN22" s="401">
        <f>IF(I22=0,0,IF(G22=5,0,(AD22+AF22+AG22)*BASE!$C$10))</f>
        <v>0</v>
      </c>
      <c r="AO22" s="818">
        <f>+AD22+AE22+AF22+AG22+AH22+AI22+AJ22+AK22+AL22+AM22+AN22</f>
        <v>0</v>
      </c>
      <c r="AP22" s="585" t="str">
        <f>IFERROR(AO22/AD22,"Sin datos")</f>
        <v>Sin datos</v>
      </c>
      <c r="AQ22" s="1106" t="s">
        <v>1051</v>
      </c>
      <c r="AR22" s="1111"/>
      <c r="CG22" s="179">
        <v>0</v>
      </c>
      <c r="CH22" s="181">
        <v>1</v>
      </c>
      <c r="CI22" s="182" t="s">
        <v>168</v>
      </c>
    </row>
    <row r="23" spans="1:92" ht="13.5" customHeight="1" outlineLevel="1" x14ac:dyDescent="0.2">
      <c r="A23" s="365" t="s">
        <v>560</v>
      </c>
      <c r="B23" s="567" t="s">
        <v>932</v>
      </c>
      <c r="C23" s="413"/>
      <c r="D23" s="417">
        <f>IF(E23="","",VLOOKUP(E23,BASE!$F$20:$H$25,2,FALSE))</f>
        <v>4</v>
      </c>
      <c r="E23" s="393" t="s">
        <v>540</v>
      </c>
      <c r="F23" s="421" t="s">
        <v>547</v>
      </c>
      <c r="G23" s="422">
        <f>IF(F23="","",VLOOKUP(F23,BASE!$B$15:$C$18,2,FALSE))</f>
        <v>3</v>
      </c>
      <c r="H23" s="355">
        <v>12</v>
      </c>
      <c r="I23" s="410">
        <f t="shared" ref="I23:I61" si="6">+H23</f>
        <v>12</v>
      </c>
      <c r="J23" s="354">
        <v>6</v>
      </c>
      <c r="K23" s="354">
        <v>2</v>
      </c>
      <c r="L23" s="393">
        <v>2</v>
      </c>
      <c r="M23" s="354"/>
      <c r="N23" s="354"/>
      <c r="O23" s="355">
        <f t="shared" ref="O23:O61" si="7">+J23+K23+L23+M23+N23</f>
        <v>10</v>
      </c>
      <c r="P23" s="354"/>
      <c r="Q23" s="354"/>
      <c r="R23" s="355">
        <f t="shared" ref="R23:R61" si="8">+P23+Q23</f>
        <v>0</v>
      </c>
      <c r="S23" s="354"/>
      <c r="T23" s="354"/>
      <c r="U23" s="354"/>
      <c r="V23" s="355">
        <f t="shared" ref="V23:V61" si="9">+S23+T23+U23</f>
        <v>0</v>
      </c>
      <c r="W23" s="354">
        <v>2</v>
      </c>
      <c r="X23" s="461">
        <f t="shared" ref="X23:X61" si="10">+O23+R23+V23+W23</f>
        <v>12</v>
      </c>
      <c r="Y23" s="18" t="str">
        <f t="shared" ref="Y23:Y61" si="11">IF(I23-X23=0,"OK ",IF(I23-X23&gt;0,"AJUSTE",IF(I23-X23&lt;0,"AJUSTE")))</f>
        <v xml:space="preserve">OK </v>
      </c>
      <c r="Z23" s="397" t="str">
        <f t="shared" ref="Z23:Z61" si="12">IF(H23-I23=0," ",IF(H23-I23&gt;0,"JUSTIFICAR","AJUSTE"))</f>
        <v xml:space="preserve"> </v>
      </c>
      <c r="AA23" s="462">
        <f>ROUND((IF(D23=1,(BASE!$G$51*I23),IF(D23=2,(BASE!$G$52*I23),IF(D23=3,(BASE!$G$53*I23),IF(D23=4,(BASE!$G$54*I23),IF(D23=5,(BASE!$G$55*I23),IF(D23=6,(BASE!$G$56*I23),0)))))))/1000,0)*1000</f>
        <v>1337000</v>
      </c>
      <c r="AB23" s="399">
        <v>0</v>
      </c>
      <c r="AC23" s="462">
        <f t="shared" ref="AC23:AC61" si="13">AA23+AB23</f>
        <v>1337000</v>
      </c>
      <c r="AD23" s="462">
        <f>IF(G23=3,AC23*BASE!$I$62,IF(G23=1,AC23*(BASE!$I$61),IF(G23=2,AC23*(BASE!$I$63),AC23*BASE!$I$64)))</f>
        <v>14305899.999999998</v>
      </c>
      <c r="AE23" s="402">
        <f>IF(I23&lt;10,0,IF(AC23&lt;=BASE!$C$3*2,BASE!$C$2,0)*(AD23/AC23))</f>
        <v>943857.7</v>
      </c>
      <c r="AF23" s="13">
        <v>0</v>
      </c>
      <c r="AG23" s="14">
        <f t="shared" si="4"/>
        <v>794772.22222222213</v>
      </c>
      <c r="AH23" s="14">
        <f t="shared" ref="AH23:AH60" si="14">ROUND((AD23/12)+(AE23/12)+(AF23/12)+(AG23/12),0)</f>
        <v>1337044</v>
      </c>
      <c r="AI23" s="14">
        <f t="shared" ref="AI23:AI60" si="15">((AD23/12)+(AE23/12)+(AF23/12)+(AG23/12))</f>
        <v>1337044.160185185</v>
      </c>
      <c r="AJ23" s="14">
        <f t="shared" si="5"/>
        <v>147074.85762037034</v>
      </c>
      <c r="AK23" s="14">
        <f>IF(I23=0,0,IF(G23=5,0,(AC23+AF23/12)*12*BASE!$C$5))</f>
        <v>1363740</v>
      </c>
      <c r="AL23" s="14">
        <f>IF(I23=0,0,IF(G23=5,0,(AC23+AF23/12)*12*BASE!$C$7))</f>
        <v>1925280</v>
      </c>
      <c r="AM23" s="14">
        <f>IF(I23=0,0,IF(G23=5,0,(AC23+AF23/12)*12*BASE!$C$9))</f>
        <v>83749.679999999993</v>
      </c>
      <c r="AN23" s="403">
        <f>IF(I23=0,0,IF(G23=5,0,(AD23+AF23+AG23)*BASE!$C$10))</f>
        <v>1359060.4999999998</v>
      </c>
      <c r="AO23" s="813">
        <f>+AD23+AE23+AF23+AG23+AH23+AI23+AJ23+AK23+AL23+AM23+AN23</f>
        <v>23597523.120027773</v>
      </c>
      <c r="AP23" s="585">
        <f t="shared" ref="AP23:AP61" si="16">IFERROR(AO23/AD23,"Sin datos")</f>
        <v>1.6494958807224835</v>
      </c>
      <c r="AQ23" s="1104"/>
      <c r="AR23" s="1105"/>
      <c r="CG23" s="179">
        <v>0</v>
      </c>
      <c r="CH23" s="181">
        <v>1</v>
      </c>
      <c r="CI23" s="182" t="s">
        <v>168</v>
      </c>
    </row>
    <row r="24" spans="1:92" ht="13.5" customHeight="1" outlineLevel="1" x14ac:dyDescent="0.2">
      <c r="A24" s="365" t="s">
        <v>561</v>
      </c>
      <c r="B24" s="461" t="s">
        <v>933</v>
      </c>
      <c r="C24" s="413"/>
      <c r="D24" s="417">
        <f>IF(E24="","",VLOOKUP(E24,BASE!$F$20:$H$25,2,FALSE))</f>
        <v>4</v>
      </c>
      <c r="E24" s="393" t="s">
        <v>540</v>
      </c>
      <c r="F24" s="421" t="s">
        <v>805</v>
      </c>
      <c r="G24" s="422">
        <f>IF(F24="","",VLOOKUP(F24,BASE!$B$15:$C$18,2,FALSE))</f>
        <v>4</v>
      </c>
      <c r="H24" s="355">
        <v>40</v>
      </c>
      <c r="I24" s="410">
        <f t="shared" si="6"/>
        <v>40</v>
      </c>
      <c r="J24" s="354">
        <v>16</v>
      </c>
      <c r="K24" s="354">
        <v>3</v>
      </c>
      <c r="L24" s="393">
        <v>4</v>
      </c>
      <c r="M24" s="393">
        <v>4</v>
      </c>
      <c r="N24" s="354"/>
      <c r="O24" s="355">
        <f t="shared" si="7"/>
        <v>27</v>
      </c>
      <c r="P24" s="354"/>
      <c r="Q24" s="354"/>
      <c r="R24" s="355">
        <f t="shared" si="8"/>
        <v>0</v>
      </c>
      <c r="S24" s="354"/>
      <c r="T24" s="354"/>
      <c r="U24" s="354"/>
      <c r="V24" s="355">
        <f t="shared" si="9"/>
        <v>0</v>
      </c>
      <c r="W24" s="354">
        <v>13</v>
      </c>
      <c r="X24" s="461">
        <f t="shared" si="10"/>
        <v>40</v>
      </c>
      <c r="Y24" s="18" t="str">
        <f t="shared" si="11"/>
        <v xml:space="preserve">OK </v>
      </c>
      <c r="Z24" s="397" t="str">
        <f t="shared" si="12"/>
        <v xml:space="preserve"> </v>
      </c>
      <c r="AA24" s="462">
        <f>ROUND((IF(D24=1,(BASE!$G$51*I24),IF(D24=2,(BASE!$G$52*I24),IF(D24=3,(BASE!$G$53*I24),IF(D24=4,(BASE!$G$54*I24),IF(D24=5,(BASE!$G$55*I24),IF(D24=6,(BASE!$G$56*I24),0)))))))/1000,0)*1000</f>
        <v>4456000</v>
      </c>
      <c r="AB24" s="399">
        <v>0</v>
      </c>
      <c r="AC24" s="462">
        <f t="shared" si="13"/>
        <v>4456000</v>
      </c>
      <c r="AD24" s="603">
        <f>IF(G24=3,AC24*BASE!$I$62,IF(G24=1,AC24*(BASE!$I$61),IF(G24=2,AC24*(BASE!$I$63),AC24*BASE!$I$64)))</f>
        <v>50649866.666666672</v>
      </c>
      <c r="AE24" s="14">
        <f>IF(I24&lt;10,0,IF(AC24&lt;=BASE!$C$3*2,BASE!$C$2,0)*(AD24/AC24))</f>
        <v>0</v>
      </c>
      <c r="AF24" s="13">
        <v>0</v>
      </c>
      <c r="AG24" s="14">
        <f t="shared" si="4"/>
        <v>2813881.4814814818</v>
      </c>
      <c r="AH24" s="14">
        <f t="shared" si="14"/>
        <v>4455312</v>
      </c>
      <c r="AI24" s="14">
        <f t="shared" si="15"/>
        <v>4455312.3456790131</v>
      </c>
      <c r="AJ24" s="14">
        <f t="shared" si="5"/>
        <v>534637.48148148158</v>
      </c>
      <c r="AK24" s="14">
        <f>IF(I24=0,0,IF(G24=5,0,(AC24+AF24/12)*12*BASE!$C$5))</f>
        <v>4545120</v>
      </c>
      <c r="AL24" s="14">
        <f>IF(I24=0,0,IF(G24=5,0,(AC24+AF24/12)*12*BASE!$C$7))</f>
        <v>6416640</v>
      </c>
      <c r="AM24" s="14">
        <f>IF(I24=0,0,IF(G24=5,0,(AC24+AF24/12)*12*BASE!$C$9))</f>
        <v>279123.83999999997</v>
      </c>
      <c r="AN24" s="403">
        <f>IF(I24=0,0,IF(G24=5,0,(AD24+AF24+AG24)*BASE!$C$10))</f>
        <v>4811737.333333334</v>
      </c>
      <c r="AO24" s="813">
        <f>+AD24+AE24+AF24+AG24+AH24+AI24+AJ24+AK24+AL24+AM24+AN24</f>
        <v>78961631.148641989</v>
      </c>
      <c r="AP24" s="585">
        <f t="shared" si="16"/>
        <v>1.558970168042074</v>
      </c>
      <c r="AQ24" s="1104"/>
      <c r="AR24" s="1105"/>
      <c r="CG24" s="179">
        <v>0</v>
      </c>
      <c r="CH24" s="181">
        <v>1</v>
      </c>
      <c r="CI24" s="182" t="s">
        <v>168</v>
      </c>
    </row>
    <row r="25" spans="1:92" ht="13.5" customHeight="1" outlineLevel="1" x14ac:dyDescent="0.2">
      <c r="A25" s="365" t="s">
        <v>561</v>
      </c>
      <c r="B25" s="567" t="s">
        <v>934</v>
      </c>
      <c r="C25" s="413"/>
      <c r="D25" s="417">
        <f>IF(E25="","",VLOOKUP(E25,BASE!$F$20:$H$25,2,FALSE))</f>
        <v>5</v>
      </c>
      <c r="E25" s="393" t="s">
        <v>539</v>
      </c>
      <c r="F25" s="421" t="s">
        <v>547</v>
      </c>
      <c r="G25" s="422">
        <f>IF(F25="","",VLOOKUP(F25,BASE!$B$15:$C$18,2,FALSE))</f>
        <v>3</v>
      </c>
      <c r="H25" s="355">
        <v>40</v>
      </c>
      <c r="I25" s="410">
        <v>20</v>
      </c>
      <c r="J25" s="354">
        <v>10</v>
      </c>
      <c r="K25" s="354">
        <v>3</v>
      </c>
      <c r="L25" s="393">
        <v>3</v>
      </c>
      <c r="M25" s="354"/>
      <c r="N25" s="354"/>
      <c r="O25" s="355">
        <f t="shared" si="7"/>
        <v>16</v>
      </c>
      <c r="P25" s="354"/>
      <c r="Q25" s="354"/>
      <c r="R25" s="355">
        <f t="shared" si="8"/>
        <v>0</v>
      </c>
      <c r="S25" s="354"/>
      <c r="T25" s="354"/>
      <c r="U25" s="354"/>
      <c r="V25" s="355">
        <f t="shared" si="9"/>
        <v>0</v>
      </c>
      <c r="W25" s="393">
        <v>4</v>
      </c>
      <c r="X25" s="461">
        <f t="shared" si="10"/>
        <v>20</v>
      </c>
      <c r="Y25" s="18" t="str">
        <f t="shared" si="11"/>
        <v xml:space="preserve">OK </v>
      </c>
      <c r="Z25" s="397" t="str">
        <f t="shared" si="12"/>
        <v>JUSTIFICAR</v>
      </c>
      <c r="AA25" s="462">
        <f>ROUND((IF(D25=1,(BASE!$G$51*I25),IF(D25=2,(BASE!$G$52*I25),IF(D25=3,(BASE!$G$53*I25),IF(D25=4,(BASE!$G$54*I25),IF(D25=5,(BASE!$G$55*I25),IF(D25=6,(BASE!$G$56*I25),0)))))))/1000,0)*1000</f>
        <v>1780000</v>
      </c>
      <c r="AB25" s="399">
        <v>0</v>
      </c>
      <c r="AC25" s="462">
        <f t="shared" si="13"/>
        <v>1780000</v>
      </c>
      <c r="AD25" s="462">
        <f>IF(G25=3,AC25*BASE!$I$62,IF(G25=1,AC25*(BASE!$I$61),IF(G25=2,AC25*(BASE!$I$63),AC25*BASE!$I$64)))</f>
        <v>19046000</v>
      </c>
      <c r="AE25" s="402">
        <f>IF(I25&lt;10,0,IF(AC25&lt;=BASE!$C$3*2,BASE!$C$2,0)*(AD25/AC25))</f>
        <v>0</v>
      </c>
      <c r="AF25" s="13">
        <v>0</v>
      </c>
      <c r="AG25" s="14">
        <f t="shared" si="4"/>
        <v>1058111.1111111112</v>
      </c>
      <c r="AH25" s="14">
        <f t="shared" si="14"/>
        <v>1675343</v>
      </c>
      <c r="AI25" s="14">
        <f t="shared" si="15"/>
        <v>1675342.5925925926</v>
      </c>
      <c r="AJ25" s="14">
        <f t="shared" si="5"/>
        <v>184287.6851851852</v>
      </c>
      <c r="AK25" s="14">
        <f>IF(I25=0,0,IF(G25=5,0,(AC25+AF25/12)*12*BASE!$C$5))</f>
        <v>1815600.0000000002</v>
      </c>
      <c r="AL25" s="14">
        <f>IF(I25=0,0,IF(G25=5,0,(AC25+AF25/12)*12*BASE!$C$7))</f>
        <v>2563200</v>
      </c>
      <c r="AM25" s="14">
        <f>IF(I25=0,0,IF(G25=5,0,(AC25+AF25/12)*12*BASE!$C$9))</f>
        <v>111499.2</v>
      </c>
      <c r="AN25" s="403">
        <f>IF(I25=0,0,IF(G25=5,0,(AD25+AF25+AG25)*BASE!$C$10))</f>
        <v>1809370</v>
      </c>
      <c r="AO25" s="813">
        <f t="shared" ref="AO25:AO61" si="17">+AD25+AE25+AF25+AG25+AH25+AI25+AJ25+AK25+AL25+AM25+AN25</f>
        <v>29938753.588888891</v>
      </c>
      <c r="AP25" s="585">
        <f t="shared" si="16"/>
        <v>1.5719181764616661</v>
      </c>
      <c r="AQ25" s="1108" t="s">
        <v>1052</v>
      </c>
      <c r="AR25" s="1105"/>
      <c r="CG25" s="179">
        <v>0</v>
      </c>
      <c r="CH25" s="181">
        <v>1</v>
      </c>
      <c r="CI25" s="182" t="s">
        <v>168</v>
      </c>
    </row>
    <row r="26" spans="1:92" ht="13.5" customHeight="1" outlineLevel="1" x14ac:dyDescent="0.2">
      <c r="A26" s="365" t="s">
        <v>561</v>
      </c>
      <c r="B26" s="461" t="s">
        <v>935</v>
      </c>
      <c r="C26" s="413"/>
      <c r="D26" s="417">
        <f>IF(E26="","",VLOOKUP(E26,BASE!$F$20:$H$25,2,FALSE))</f>
        <v>4</v>
      </c>
      <c r="E26" s="578" t="s">
        <v>540</v>
      </c>
      <c r="F26" s="421" t="s">
        <v>805</v>
      </c>
      <c r="G26" s="422">
        <f>IF(F26="","",VLOOKUP(F26,BASE!$B$15:$C$18,2,FALSE))</f>
        <v>4</v>
      </c>
      <c r="H26" s="355">
        <v>24</v>
      </c>
      <c r="I26" s="410">
        <f t="shared" si="6"/>
        <v>24</v>
      </c>
      <c r="J26" s="393">
        <v>10</v>
      </c>
      <c r="K26" s="393">
        <v>2</v>
      </c>
      <c r="L26" s="393">
        <v>2</v>
      </c>
      <c r="M26" s="393">
        <v>4</v>
      </c>
      <c r="N26" s="354"/>
      <c r="O26" s="355">
        <f t="shared" si="7"/>
        <v>18</v>
      </c>
      <c r="P26" s="354"/>
      <c r="Q26" s="354">
        <v>0</v>
      </c>
      <c r="R26" s="355">
        <f t="shared" si="8"/>
        <v>0</v>
      </c>
      <c r="S26" s="354"/>
      <c r="T26" s="354"/>
      <c r="U26" s="354"/>
      <c r="V26" s="355">
        <f t="shared" si="9"/>
        <v>0</v>
      </c>
      <c r="W26" s="393">
        <v>6</v>
      </c>
      <c r="X26" s="461">
        <f t="shared" si="10"/>
        <v>24</v>
      </c>
      <c r="Y26" s="18" t="str">
        <f t="shared" si="11"/>
        <v xml:space="preserve">OK </v>
      </c>
      <c r="Z26" s="397" t="str">
        <f t="shared" si="12"/>
        <v xml:space="preserve"> </v>
      </c>
      <c r="AA26" s="462">
        <f>ROUND((IF(D26=1,(BASE!$G$51*I26),IF(D26=2,(BASE!$G$52*I26),IF(D26=3,(BASE!$G$53*I26),IF(D26=4,(BASE!$G$54*I26),IF(D26=5,(BASE!$G$55*I26),IF(D26=6,(BASE!$G$56*I26),0)))))))/1000,0)*1000</f>
        <v>2674000</v>
      </c>
      <c r="AB26" s="399">
        <v>0</v>
      </c>
      <c r="AC26" s="462">
        <f t="shared" si="13"/>
        <v>2674000</v>
      </c>
      <c r="AD26" s="462">
        <f>IF(G26=3,AC26*BASE!$I$62,IF(G26=1,AC26*(BASE!$I$61),IF(G26=2,AC26*(BASE!$I$63),AC26*BASE!$I$64)))</f>
        <v>30394466.666666668</v>
      </c>
      <c r="AE26" s="402">
        <f>IF(I26&lt;10,0,IF(AC26&lt;=BASE!$C$3*2,BASE!$C$2,0)*(AD26/AC26))</f>
        <v>0</v>
      </c>
      <c r="AF26" s="13">
        <v>0</v>
      </c>
      <c r="AG26" s="14">
        <f t="shared" si="4"/>
        <v>1688581.4814814816</v>
      </c>
      <c r="AH26" s="14">
        <f t="shared" si="14"/>
        <v>2673587</v>
      </c>
      <c r="AI26" s="14">
        <f t="shared" si="15"/>
        <v>2673587.3456790126</v>
      </c>
      <c r="AJ26" s="14">
        <f t="shared" si="5"/>
        <v>320830.48148148152</v>
      </c>
      <c r="AK26" s="14">
        <f>IF(I26=0,0,IF(G26=5,0,(AC26+AF26/12)*12*BASE!$C$5))</f>
        <v>2727480</v>
      </c>
      <c r="AL26" s="14">
        <f>IF(I26=0,0,IF(G26=5,0,(AC26+AF26/12)*12*BASE!$C$7))</f>
        <v>3850560</v>
      </c>
      <c r="AM26" s="14">
        <f>IF(I26=0,0,IF(G26=5,0,(AC26+AF26/12)*12*BASE!$C$9))</f>
        <v>167499.35999999999</v>
      </c>
      <c r="AN26" s="403">
        <f>IF(I26=0,0,IF(G26=5,0,(AD26+AF26+AG26)*BASE!$C$10))</f>
        <v>2887474.3333333335</v>
      </c>
      <c r="AO26" s="813">
        <f t="shared" si="17"/>
        <v>47384066.668641984</v>
      </c>
      <c r="AP26" s="656">
        <f t="shared" si="16"/>
        <v>1.5589701634938591</v>
      </c>
      <c r="AQ26" s="1104"/>
      <c r="AR26" s="1105"/>
      <c r="CG26" s="179">
        <v>0</v>
      </c>
      <c r="CH26" s="181">
        <v>1</v>
      </c>
      <c r="CI26" s="182" t="s">
        <v>168</v>
      </c>
    </row>
    <row r="27" spans="1:92" ht="13.5" customHeight="1" outlineLevel="1" x14ac:dyDescent="0.2">
      <c r="A27" s="365" t="s">
        <v>561</v>
      </c>
      <c r="B27" s="567" t="s">
        <v>936</v>
      </c>
      <c r="C27" s="413"/>
      <c r="D27" s="417">
        <f>IF(E27="","",VLOOKUP(E27,BASE!$F$20:$H$25,2,FALSE))</f>
        <v>3</v>
      </c>
      <c r="E27" s="393" t="s">
        <v>541</v>
      </c>
      <c r="F27" s="421" t="s">
        <v>805</v>
      </c>
      <c r="G27" s="422">
        <f>IF(F27="","",VLOOKUP(F27,BASE!$B$15:$C$18,2,FALSE))</f>
        <v>4</v>
      </c>
      <c r="H27" s="355">
        <v>18</v>
      </c>
      <c r="I27" s="410">
        <f t="shared" si="6"/>
        <v>18</v>
      </c>
      <c r="J27" s="393">
        <v>4</v>
      </c>
      <c r="K27" s="393">
        <v>1</v>
      </c>
      <c r="L27" s="393">
        <v>1</v>
      </c>
      <c r="M27" s="354"/>
      <c r="N27" s="354"/>
      <c r="O27" s="355">
        <f t="shared" si="7"/>
        <v>6</v>
      </c>
      <c r="P27" s="354"/>
      <c r="Q27" s="354">
        <v>12</v>
      </c>
      <c r="R27" s="355">
        <f t="shared" si="8"/>
        <v>12</v>
      </c>
      <c r="S27" s="354"/>
      <c r="T27" s="354"/>
      <c r="U27" s="354"/>
      <c r="V27" s="355">
        <f t="shared" si="9"/>
        <v>0</v>
      </c>
      <c r="W27" s="354"/>
      <c r="X27" s="461">
        <f t="shared" si="10"/>
        <v>18</v>
      </c>
      <c r="Y27" s="18" t="str">
        <f t="shared" si="11"/>
        <v xml:space="preserve">OK </v>
      </c>
      <c r="Z27" s="397" t="str">
        <f t="shared" si="12"/>
        <v xml:space="preserve"> </v>
      </c>
      <c r="AA27" s="462">
        <f>ROUND((IF(D27=1,(BASE!$G$51*I27),IF(D27=2,(BASE!$G$52*I27),IF(D27=3,(BASE!$G$53*I27),IF(D27=4,(BASE!$G$54*I27),IF(D27=5,(BASE!$G$55*I27),IF(D27=6,(BASE!$G$56*I27),0)))))))/1000,0)*1000</f>
        <v>2462000</v>
      </c>
      <c r="AB27" s="399">
        <v>1145000</v>
      </c>
      <c r="AC27" s="462">
        <f t="shared" si="13"/>
        <v>3607000</v>
      </c>
      <c r="AD27" s="462">
        <f>IF(G27=3,AC27*BASE!$I$62,IF(G27=1,AC27*(BASE!$I$61),IF(G27=2,AC27*(BASE!$I$63),AC27*BASE!$I$64)))</f>
        <v>40999566.666666672</v>
      </c>
      <c r="AE27" s="402">
        <f>IF(I27&lt;10,0,IF(AC27&lt;=BASE!$C$3*2,BASE!$C$2,0)*(AD27/AC27))</f>
        <v>0</v>
      </c>
      <c r="AF27" s="13">
        <v>0</v>
      </c>
      <c r="AG27" s="14">
        <f t="shared" si="4"/>
        <v>2277753.7037037038</v>
      </c>
      <c r="AH27" s="14">
        <f t="shared" si="14"/>
        <v>3606443</v>
      </c>
      <c r="AI27" s="14">
        <f t="shared" si="15"/>
        <v>3606443.3641975312</v>
      </c>
      <c r="AJ27" s="14">
        <f t="shared" si="5"/>
        <v>432773.20370370371</v>
      </c>
      <c r="AK27" s="14">
        <f>IF(I27=0,0,IF(G27=5,0,(AC27+AF27/12)*12*BASE!$C$5))</f>
        <v>3679140.0000000005</v>
      </c>
      <c r="AL27" s="14">
        <f>IF(I27=0,0,IF(G27=5,0,(AC27+AF27/12)*12*BASE!$C$7))</f>
        <v>5194080</v>
      </c>
      <c r="AM27" s="14">
        <f>IF(I27=0,0,IF(G27=5,0,(AC27+AF27/12)*12*BASE!$C$9))</f>
        <v>225942.47999999998</v>
      </c>
      <c r="AN27" s="403">
        <f>IF(I27=0,0,IF(G27=5,0,(AD27+AF27+AG27)*BASE!$C$10))</f>
        <v>3894958.8333333335</v>
      </c>
      <c r="AO27" s="813">
        <f t="shared" si="17"/>
        <v>63917101.251604937</v>
      </c>
      <c r="AP27" s="656">
        <f t="shared" si="16"/>
        <v>1.5589701659839883</v>
      </c>
      <c r="AQ27" s="1104"/>
      <c r="AR27" s="1105"/>
      <c r="CG27" s="179">
        <v>0</v>
      </c>
      <c r="CH27" s="181">
        <v>1</v>
      </c>
      <c r="CI27" s="182" t="s">
        <v>168</v>
      </c>
    </row>
    <row r="28" spans="1:92" ht="13.5" customHeight="1" outlineLevel="1" x14ac:dyDescent="0.2">
      <c r="A28" s="365" t="s">
        <v>561</v>
      </c>
      <c r="B28" s="461" t="s">
        <v>937</v>
      </c>
      <c r="C28" s="413"/>
      <c r="D28" s="417">
        <f>IF(E28="","",VLOOKUP(E28,BASE!$F$20:$H$25,2,FALSE))</f>
        <v>4</v>
      </c>
      <c r="E28" s="393" t="s">
        <v>540</v>
      </c>
      <c r="F28" s="421" t="s">
        <v>805</v>
      </c>
      <c r="G28" s="422">
        <f>IF(F28="","",VLOOKUP(F28,BASE!$B$15:$C$18,2,FALSE))</f>
        <v>4</v>
      </c>
      <c r="H28" s="355">
        <v>32</v>
      </c>
      <c r="I28" s="410">
        <v>24</v>
      </c>
      <c r="J28" s="393"/>
      <c r="K28" s="354"/>
      <c r="L28" s="354"/>
      <c r="M28" s="354"/>
      <c r="N28" s="354"/>
      <c r="O28" s="355">
        <f t="shared" si="7"/>
        <v>0</v>
      </c>
      <c r="P28" s="354"/>
      <c r="Q28" s="354"/>
      <c r="R28" s="355">
        <f t="shared" si="8"/>
        <v>0</v>
      </c>
      <c r="S28" s="354"/>
      <c r="T28" s="354"/>
      <c r="U28" s="354"/>
      <c r="V28" s="355">
        <f t="shared" si="9"/>
        <v>0</v>
      </c>
      <c r="W28" s="393">
        <v>24</v>
      </c>
      <c r="X28" s="461">
        <f t="shared" si="10"/>
        <v>24</v>
      </c>
      <c r="Y28" s="18" t="str">
        <f t="shared" si="11"/>
        <v xml:space="preserve">OK </v>
      </c>
      <c r="Z28" s="397" t="str">
        <f t="shared" si="12"/>
        <v>JUSTIFICAR</v>
      </c>
      <c r="AA28" s="462">
        <f>ROUND((IF(D28=1,(BASE!$G$51*I28),IF(D28=2,(BASE!$G$52*I28),IF(D28=3,(BASE!$G$53*I28),IF(D28=4,(BASE!$G$54*I28),IF(D28=5,(BASE!$G$55*I28),IF(D28=6,(BASE!$G$56*I28),0)))))))/1000,0)*1000</f>
        <v>2674000</v>
      </c>
      <c r="AB28" s="399">
        <v>489000</v>
      </c>
      <c r="AC28" s="462">
        <f t="shared" si="13"/>
        <v>3163000</v>
      </c>
      <c r="AD28" s="462">
        <f>IF(G28=3,AC28*BASE!$I$62,IF(G28=1,AC28*(BASE!$I$61),IF(G28=2,AC28*(BASE!$I$63),AC28*BASE!$I$64)))</f>
        <v>35952766.666666672</v>
      </c>
      <c r="AE28" s="402">
        <f>IF(I28&lt;10,0,IF(AC28&lt;=BASE!$C$3*2,BASE!$C$2,0)*(AD28/AC28))</f>
        <v>0</v>
      </c>
      <c r="AF28" s="13">
        <v>0</v>
      </c>
      <c r="AG28" s="14">
        <f t="shared" si="4"/>
        <v>1997375.9259259263</v>
      </c>
      <c r="AH28" s="14">
        <f t="shared" si="14"/>
        <v>3162512</v>
      </c>
      <c r="AI28" s="14">
        <f t="shared" si="15"/>
        <v>3162511.8827160499</v>
      </c>
      <c r="AJ28" s="14">
        <f t="shared" si="5"/>
        <v>379501.42592592596</v>
      </c>
      <c r="AK28" s="14">
        <f>IF(I28=0,0,IF(G28=5,0,(AC28+AF28/12)*12*BASE!$C$5))</f>
        <v>3226260</v>
      </c>
      <c r="AL28" s="14">
        <f>IF(I28=0,0,IF(G28=5,0,(AC28+AF28/12)*12*BASE!$C$7))</f>
        <v>4554720</v>
      </c>
      <c r="AM28" s="14">
        <f>IF(I28=0,0,IF(G28=5,0,(AC28+AF28/12)*12*BASE!$C$9))</f>
        <v>198130.32</v>
      </c>
      <c r="AN28" s="403">
        <f>IF(I28=0,0,IF(G28=5,0,(AD28+AF28+AG28)*BASE!$C$10))</f>
        <v>3415512.8333333335</v>
      </c>
      <c r="AO28" s="813">
        <f t="shared" si="17"/>
        <v>56049291.054567911</v>
      </c>
      <c r="AP28" s="656">
        <f t="shared" si="16"/>
        <v>1.5589701781291168</v>
      </c>
      <c r="AQ28" s="1108" t="s">
        <v>1073</v>
      </c>
      <c r="AR28" s="1105"/>
      <c r="CG28" s="179">
        <v>0</v>
      </c>
      <c r="CH28" s="181">
        <v>1</v>
      </c>
      <c r="CI28" s="182" t="s">
        <v>168</v>
      </c>
    </row>
    <row r="29" spans="1:92" ht="13.5" customHeight="1" outlineLevel="1" x14ac:dyDescent="0.2">
      <c r="A29" s="365" t="s">
        <v>561</v>
      </c>
      <c r="B29" s="461" t="s">
        <v>938</v>
      </c>
      <c r="C29" s="413"/>
      <c r="D29" s="417">
        <f>IF(E29="","",VLOOKUP(E29,BASE!$F$20:$H$25,2,FALSE))</f>
        <v>5</v>
      </c>
      <c r="E29" s="393" t="s">
        <v>539</v>
      </c>
      <c r="F29" s="421" t="s">
        <v>547</v>
      </c>
      <c r="G29" s="422">
        <f>IF(F29="","",VLOOKUP(F29,BASE!$B$15:$C$18,2,FALSE))</f>
        <v>3</v>
      </c>
      <c r="H29" s="355">
        <v>20</v>
      </c>
      <c r="I29" s="410">
        <v>20</v>
      </c>
      <c r="J29" s="393">
        <v>14</v>
      </c>
      <c r="K29" s="393">
        <v>3</v>
      </c>
      <c r="L29" s="393">
        <v>3</v>
      </c>
      <c r="M29" s="354"/>
      <c r="N29" s="354"/>
      <c r="O29" s="355">
        <f t="shared" si="7"/>
        <v>20</v>
      </c>
      <c r="P29" s="354"/>
      <c r="Q29" s="354"/>
      <c r="R29" s="355">
        <f t="shared" si="8"/>
        <v>0</v>
      </c>
      <c r="S29" s="354"/>
      <c r="T29" s="354"/>
      <c r="U29" s="354"/>
      <c r="V29" s="355">
        <f t="shared" si="9"/>
        <v>0</v>
      </c>
      <c r="W29" s="354"/>
      <c r="X29" s="461">
        <f t="shared" si="10"/>
        <v>20</v>
      </c>
      <c r="Y29" s="18" t="str">
        <f t="shared" si="11"/>
        <v xml:space="preserve">OK </v>
      </c>
      <c r="Z29" s="397" t="str">
        <f t="shared" si="12"/>
        <v xml:space="preserve"> </v>
      </c>
      <c r="AA29" s="462">
        <f>ROUND((IF(D29=1,(BASE!$G$51*I29),IF(D29=2,(BASE!$G$52*I29),IF(D29=3,(BASE!$G$53*I29),IF(D29=4,(BASE!$G$54*I29),IF(D29=5,(BASE!$G$55*I29),IF(D29=6,(BASE!$G$56*I29),0)))))))/1000,0)*1000</f>
        <v>1780000</v>
      </c>
      <c r="AB29" s="399">
        <v>0</v>
      </c>
      <c r="AC29" s="462">
        <f t="shared" si="13"/>
        <v>1780000</v>
      </c>
      <c r="AD29" s="462">
        <f>IF(G29=3,AC29*BASE!$I$62,IF(G29=1,AC29*(BASE!$I$61),IF(G29=2,AC29*(BASE!$I$63),AC29*BASE!$I$64)))</f>
        <v>19046000</v>
      </c>
      <c r="AE29" s="402">
        <f>IF(I29&lt;10,0,IF(AC29&lt;=BASE!$C$3*2,BASE!$C$2,0)*(AD29/AC29))</f>
        <v>0</v>
      </c>
      <c r="AF29" s="13">
        <v>0</v>
      </c>
      <c r="AG29" s="14">
        <f t="shared" si="4"/>
        <v>1058111.1111111112</v>
      </c>
      <c r="AH29" s="14">
        <f t="shared" si="14"/>
        <v>1675343</v>
      </c>
      <c r="AI29" s="14">
        <f t="shared" si="15"/>
        <v>1675342.5925925926</v>
      </c>
      <c r="AJ29" s="14">
        <f t="shared" si="5"/>
        <v>184287.6851851852</v>
      </c>
      <c r="AK29" s="14">
        <f>IF(I29=0,0,IF(G29=5,0,(AC29+AF29/12)*12*BASE!$C$5))</f>
        <v>1815600.0000000002</v>
      </c>
      <c r="AL29" s="14">
        <f>IF(I29=0,0,IF(G29=5,0,(AC29+AF29/12)*12*BASE!$C$7))</f>
        <v>2563200</v>
      </c>
      <c r="AM29" s="14">
        <f>IF(I29=0,0,IF(G29=5,0,(AC29+AF29/12)*12*BASE!$C$9))</f>
        <v>111499.2</v>
      </c>
      <c r="AN29" s="403">
        <f>IF(I29=0,0,IF(G29=5,0,(AD29+AF29+AG29)*BASE!$C$10))</f>
        <v>1809370</v>
      </c>
      <c r="AO29" s="813">
        <f t="shared" si="17"/>
        <v>29938753.588888891</v>
      </c>
      <c r="AP29" s="656">
        <f t="shared" si="16"/>
        <v>1.5719181764616661</v>
      </c>
      <c r="AQ29" s="1108"/>
      <c r="AR29" s="1105"/>
      <c r="CG29" s="179">
        <v>0</v>
      </c>
      <c r="CH29" s="181">
        <v>1</v>
      </c>
      <c r="CI29" s="182" t="s">
        <v>168</v>
      </c>
    </row>
    <row r="30" spans="1:92" ht="13.5" customHeight="1" outlineLevel="1" x14ac:dyDescent="0.2">
      <c r="A30" s="365" t="s">
        <v>561</v>
      </c>
      <c r="B30" s="461" t="s">
        <v>939</v>
      </c>
      <c r="C30" s="413"/>
      <c r="D30" s="417">
        <f>IF(E30="","",VLOOKUP(E30,BASE!$F$20:$H$25,2,FALSE))</f>
        <v>5</v>
      </c>
      <c r="E30" s="393" t="s">
        <v>539</v>
      </c>
      <c r="F30" s="421" t="s">
        <v>805</v>
      </c>
      <c r="G30" s="422">
        <f>IF(F30="","",VLOOKUP(F30,BASE!$B$15:$C$18,2,FALSE))</f>
        <v>4</v>
      </c>
      <c r="H30" s="355">
        <v>2</v>
      </c>
      <c r="I30" s="410">
        <v>0</v>
      </c>
      <c r="J30" s="354"/>
      <c r="K30" s="354"/>
      <c r="L30" s="354"/>
      <c r="M30" s="354"/>
      <c r="N30" s="354"/>
      <c r="O30" s="355">
        <f t="shared" si="7"/>
        <v>0</v>
      </c>
      <c r="P30" s="354"/>
      <c r="Q30" s="354"/>
      <c r="R30" s="355">
        <f t="shared" si="8"/>
        <v>0</v>
      </c>
      <c r="S30" s="354"/>
      <c r="T30" s="354"/>
      <c r="U30" s="354"/>
      <c r="V30" s="355">
        <f t="shared" si="9"/>
        <v>0</v>
      </c>
      <c r="W30" s="354"/>
      <c r="X30" s="461">
        <f t="shared" si="10"/>
        <v>0</v>
      </c>
      <c r="Y30" s="18" t="str">
        <f t="shared" si="11"/>
        <v xml:space="preserve">OK </v>
      </c>
      <c r="Z30" s="397" t="str">
        <f t="shared" si="12"/>
        <v>JUSTIFICAR</v>
      </c>
      <c r="AA30" s="462">
        <f>ROUND((IF(D30=1,(BASE!$G$51*I30),IF(D30=2,(BASE!$G$52*I30),IF(D30=3,(BASE!$G$53*I30),IF(D30=4,(BASE!$G$54*I30),IF(D30=5,(BASE!$G$55*I30),IF(D30=6,(BASE!$G$56*I30),0)))))))/1000,0)*1000</f>
        <v>0</v>
      </c>
      <c r="AB30" s="399">
        <v>0</v>
      </c>
      <c r="AC30" s="462">
        <f t="shared" si="13"/>
        <v>0</v>
      </c>
      <c r="AD30" s="462">
        <f>IF(G30=3,AC30*BASE!$I$62,IF(G30=1,AC30*(BASE!$I$61),IF(G30=2,AC30*(BASE!$I$63),AC30*BASE!$I$64)))</f>
        <v>0</v>
      </c>
      <c r="AE30" s="402">
        <f>IF(I30&lt;10,0,IF(AC30&lt;=BASE!$C$3*2,BASE!$C$2,0)*(AD30/AC30))</f>
        <v>0</v>
      </c>
      <c r="AF30" s="13">
        <v>0</v>
      </c>
      <c r="AG30" s="14">
        <f t="shared" si="4"/>
        <v>0</v>
      </c>
      <c r="AH30" s="14">
        <f t="shared" si="14"/>
        <v>0</v>
      </c>
      <c r="AI30" s="14">
        <f t="shared" si="15"/>
        <v>0</v>
      </c>
      <c r="AJ30" s="14">
        <f t="shared" si="5"/>
        <v>0</v>
      </c>
      <c r="AK30" s="14">
        <f>IF(I30=0,0,IF(G30=5,0,(AC30+AF30/12)*12*BASE!$C$5))</f>
        <v>0</v>
      </c>
      <c r="AL30" s="14">
        <f>IF(I30=0,0,IF(G30=5,0,(AC30+AF30/12)*12*BASE!$C$7))</f>
        <v>0</v>
      </c>
      <c r="AM30" s="14">
        <f>IF(I30=0,0,IF(G30=5,0,(AC30+AF30/12)*12*BASE!$C$9))</f>
        <v>0</v>
      </c>
      <c r="AN30" s="403">
        <f>IF(I30=0,0,IF(G30=5,0,(AD30+AF30+AG30)*BASE!$C$10))</f>
        <v>0</v>
      </c>
      <c r="AO30" s="813">
        <f t="shared" si="17"/>
        <v>0</v>
      </c>
      <c r="AP30" s="656" t="str">
        <f t="shared" si="16"/>
        <v>Sin datos</v>
      </c>
      <c r="AQ30" s="1108" t="s">
        <v>1053</v>
      </c>
      <c r="AR30" s="1105"/>
      <c r="CG30" s="179">
        <v>0</v>
      </c>
      <c r="CH30" s="181">
        <v>1</v>
      </c>
      <c r="CI30" s="182" t="s">
        <v>168</v>
      </c>
    </row>
    <row r="31" spans="1:92" ht="13.5" customHeight="1" outlineLevel="1" x14ac:dyDescent="0.2">
      <c r="A31" s="365" t="s">
        <v>561</v>
      </c>
      <c r="B31" s="461" t="s">
        <v>941</v>
      </c>
      <c r="C31" s="413"/>
      <c r="D31" s="417">
        <f>IF(E31="","",VLOOKUP(E31,BASE!$F$20:$H$25,2,FALSE))</f>
        <v>3</v>
      </c>
      <c r="E31" s="393" t="s">
        <v>541</v>
      </c>
      <c r="F31" s="421" t="s">
        <v>805</v>
      </c>
      <c r="G31" s="422">
        <f>IF(F31="","",VLOOKUP(F31,BASE!$B$15:$C$18,2,FALSE))</f>
        <v>4</v>
      </c>
      <c r="H31" s="355">
        <v>40</v>
      </c>
      <c r="I31" s="410">
        <f t="shared" si="6"/>
        <v>40</v>
      </c>
      <c r="J31" s="393">
        <v>6</v>
      </c>
      <c r="K31" s="393">
        <v>2</v>
      </c>
      <c r="L31" s="393">
        <v>2</v>
      </c>
      <c r="M31" s="354"/>
      <c r="N31" s="354"/>
      <c r="O31" s="355">
        <f t="shared" si="7"/>
        <v>10</v>
      </c>
      <c r="P31" s="354"/>
      <c r="Q31" s="354"/>
      <c r="R31" s="355">
        <f t="shared" si="8"/>
        <v>0</v>
      </c>
      <c r="S31" s="354"/>
      <c r="T31" s="354"/>
      <c r="U31" s="354"/>
      <c r="V31" s="355">
        <f t="shared" si="9"/>
        <v>0</v>
      </c>
      <c r="W31" s="354">
        <v>30</v>
      </c>
      <c r="X31" s="461">
        <f t="shared" si="10"/>
        <v>40</v>
      </c>
      <c r="Y31" s="18" t="str">
        <f t="shared" si="11"/>
        <v xml:space="preserve">OK </v>
      </c>
      <c r="Z31" s="397" t="str">
        <f t="shared" si="12"/>
        <v xml:space="preserve"> </v>
      </c>
      <c r="AA31" s="462">
        <f>ROUND((IF(D31=1,(BASE!$G$51*I31),IF(D31=2,(BASE!$G$52*I31),IF(D31=3,(BASE!$G$53*I31),IF(D31=4,(BASE!$G$54*I31),IF(D31=5,(BASE!$G$55*I31),IF(D31=6,(BASE!$G$56*I31),0)))))))/1000,0)*1000</f>
        <v>5472000</v>
      </c>
      <c r="AB31" s="399">
        <v>611000</v>
      </c>
      <c r="AC31" s="462">
        <f t="shared" si="13"/>
        <v>6083000</v>
      </c>
      <c r="AD31" s="462">
        <f>IF(G31=3,AC31*BASE!$I$62,IF(G31=1,AC31*(BASE!$I$61),IF(G31=2,AC31*(BASE!$I$63),AC31*BASE!$I$64)))</f>
        <v>69143433.333333343</v>
      </c>
      <c r="AE31" s="402">
        <f>IF(I31&lt;10,0,IF(AC31&lt;=BASE!$C$3*2,BASE!$C$2,0)*(AD31/AC31))</f>
        <v>0</v>
      </c>
      <c r="AF31" s="13">
        <v>0</v>
      </c>
      <c r="AG31" s="14">
        <f t="shared" si="4"/>
        <v>3841301.8518518526</v>
      </c>
      <c r="AH31" s="14">
        <f t="shared" si="14"/>
        <v>6082061</v>
      </c>
      <c r="AI31" s="14">
        <f t="shared" si="15"/>
        <v>6082061.2654320998</v>
      </c>
      <c r="AJ31" s="14">
        <f t="shared" si="5"/>
        <v>729847.35185185191</v>
      </c>
      <c r="AK31" s="14">
        <f>IF(I31=0,0,IF(G31=5,0,(AC31+AF31/12)*12*BASE!$C$5))</f>
        <v>6204660</v>
      </c>
      <c r="AL31" s="14">
        <f>IF(I31=0,0,IF(G31=5,0,(AC31+AF31/12)*12*BASE!$C$7))</f>
        <v>8759520</v>
      </c>
      <c r="AM31" s="14">
        <f>IF(I31=0,0,IF(G31=5,0,(AC31+AF31/12)*12*BASE!$C$9))</f>
        <v>381039.12</v>
      </c>
      <c r="AN31" s="403">
        <f>IF(I31=0,0,IF(G31=5,0,(AD31+AF31+AG31)*BASE!$C$10))</f>
        <v>6568626.166666667</v>
      </c>
      <c r="AO31" s="813">
        <f t="shared" si="17"/>
        <v>107792550.08913583</v>
      </c>
      <c r="AP31" s="656">
        <f t="shared" si="16"/>
        <v>1.5589701710280872</v>
      </c>
      <c r="AQ31" s="1104"/>
      <c r="AR31" s="1105"/>
      <c r="CG31" s="179">
        <v>0</v>
      </c>
      <c r="CH31" s="181">
        <v>1</v>
      </c>
      <c r="CI31" s="182" t="s">
        <v>168</v>
      </c>
    </row>
    <row r="32" spans="1:92" ht="13.5" customHeight="1" outlineLevel="1" x14ac:dyDescent="0.2">
      <c r="A32" s="365" t="s">
        <v>561</v>
      </c>
      <c r="B32" s="461" t="s">
        <v>942</v>
      </c>
      <c r="C32" s="413"/>
      <c r="D32" s="417">
        <f>IF(E32="","",VLOOKUP(E32,BASE!$F$20:$H$25,2,FALSE))</f>
        <v>5</v>
      </c>
      <c r="E32" s="393" t="s">
        <v>539</v>
      </c>
      <c r="F32" s="421" t="s">
        <v>547</v>
      </c>
      <c r="G32" s="422">
        <f>IF(F32="","",VLOOKUP(F32,BASE!$B$15:$C$18,2,FALSE))</f>
        <v>3</v>
      </c>
      <c r="H32" s="355">
        <v>10</v>
      </c>
      <c r="I32" s="410">
        <f t="shared" si="6"/>
        <v>10</v>
      </c>
      <c r="J32" s="393">
        <v>8</v>
      </c>
      <c r="K32" s="393">
        <v>1</v>
      </c>
      <c r="L32" s="393">
        <v>1</v>
      </c>
      <c r="M32" s="354"/>
      <c r="N32" s="354"/>
      <c r="O32" s="355">
        <f t="shared" si="7"/>
        <v>10</v>
      </c>
      <c r="P32" s="354"/>
      <c r="Q32" s="354"/>
      <c r="R32" s="355">
        <f t="shared" si="8"/>
        <v>0</v>
      </c>
      <c r="S32" s="354"/>
      <c r="T32" s="354"/>
      <c r="U32" s="354"/>
      <c r="V32" s="355">
        <f t="shared" si="9"/>
        <v>0</v>
      </c>
      <c r="W32" s="354"/>
      <c r="X32" s="461">
        <f t="shared" si="10"/>
        <v>10</v>
      </c>
      <c r="Y32" s="18" t="str">
        <f t="shared" si="11"/>
        <v xml:space="preserve">OK </v>
      </c>
      <c r="Z32" s="397" t="str">
        <f t="shared" si="12"/>
        <v xml:space="preserve"> </v>
      </c>
      <c r="AA32" s="462">
        <f>ROUND((IF(D32=1,(BASE!$G$51*I32),IF(D32=2,(BASE!$G$52*I32),IF(D32=3,(BASE!$G$53*I32),IF(D32=4,(BASE!$G$54*I32),IF(D32=5,(BASE!$G$55*I32),IF(D32=6,(BASE!$G$56*I32),0)))))))/1000,0)*1000</f>
        <v>890000</v>
      </c>
      <c r="AB32" s="399">
        <v>0</v>
      </c>
      <c r="AC32" s="462">
        <f t="shared" si="13"/>
        <v>890000</v>
      </c>
      <c r="AD32" s="462">
        <f>IF(G32=3,AC32*BASE!$I$62,IF(G32=1,AC32*(BASE!$I$61),IF(G32=2,AC32*(BASE!$I$63),AC32*BASE!$I$64)))</f>
        <v>9523000</v>
      </c>
      <c r="AE32" s="402">
        <f>IF(I32&lt;10,0,IF(AC32&lt;=BASE!$C$3*2,BASE!$C$2,0)*(AD32/AC32))</f>
        <v>943857.7</v>
      </c>
      <c r="AF32" s="13">
        <v>0</v>
      </c>
      <c r="AG32" s="14">
        <f t="shared" si="4"/>
        <v>529055.55555555562</v>
      </c>
      <c r="AH32" s="14">
        <f t="shared" si="14"/>
        <v>916326</v>
      </c>
      <c r="AI32" s="14">
        <f t="shared" si="15"/>
        <v>916326.10462962964</v>
      </c>
      <c r="AJ32" s="14">
        <f t="shared" si="5"/>
        <v>100795.87150925926</v>
      </c>
      <c r="AK32" s="14">
        <f>IF(I32=0,0,IF(G32=5,0,(AC32+AF32/12)*12*BASE!$C$5))</f>
        <v>907800.00000000012</v>
      </c>
      <c r="AL32" s="14">
        <f>IF(I32=0,0,IF(G32=5,0,(AC32+AF32/12)*12*BASE!$C$7))</f>
        <v>1281600</v>
      </c>
      <c r="AM32" s="14">
        <f>IF(I32=0,0,IF(G32=5,0,(AC32+AF32/12)*12*BASE!$C$9))</f>
        <v>55749.599999999999</v>
      </c>
      <c r="AN32" s="403">
        <f>IF(I32=0,0,IF(G32=5,0,(AD32+AF32+AG32)*BASE!$C$10))</f>
        <v>904685</v>
      </c>
      <c r="AO32" s="813">
        <f t="shared" si="17"/>
        <v>16079195.831694445</v>
      </c>
      <c r="AP32" s="656">
        <f t="shared" si="16"/>
        <v>1.6884590813498315</v>
      </c>
      <c r="AQ32" s="1104"/>
      <c r="AR32" s="1105"/>
      <c r="CG32" s="179">
        <v>0</v>
      </c>
      <c r="CH32" s="181">
        <v>1</v>
      </c>
      <c r="CI32" s="182" t="s">
        <v>168</v>
      </c>
    </row>
    <row r="33" spans="1:87" ht="13.5" customHeight="1" outlineLevel="1" x14ac:dyDescent="0.2">
      <c r="A33" s="365" t="s">
        <v>561</v>
      </c>
      <c r="B33" s="461" t="s">
        <v>943</v>
      </c>
      <c r="C33" s="413"/>
      <c r="D33" s="417">
        <f>IF(E33="","",VLOOKUP(E33,BASE!$F$20:$H$25,2,FALSE))</f>
        <v>5</v>
      </c>
      <c r="E33" s="393" t="s">
        <v>539</v>
      </c>
      <c r="F33" s="421" t="s">
        <v>805</v>
      </c>
      <c r="G33" s="422">
        <f>IF(F33="","",VLOOKUP(F33,BASE!$B$15:$C$18,2,FALSE))</f>
        <v>4</v>
      </c>
      <c r="H33" s="355">
        <v>15</v>
      </c>
      <c r="I33" s="410">
        <v>20</v>
      </c>
      <c r="J33" s="393">
        <v>12</v>
      </c>
      <c r="K33" s="393">
        <v>2</v>
      </c>
      <c r="L33" s="393">
        <v>2</v>
      </c>
      <c r="M33" s="354"/>
      <c r="N33" s="354"/>
      <c r="O33" s="355">
        <f t="shared" si="7"/>
        <v>16</v>
      </c>
      <c r="P33" s="354"/>
      <c r="Q33" s="354"/>
      <c r="R33" s="355">
        <f t="shared" si="8"/>
        <v>0</v>
      </c>
      <c r="S33" s="354"/>
      <c r="T33" s="354"/>
      <c r="U33" s="354"/>
      <c r="V33" s="355">
        <f t="shared" si="9"/>
        <v>0</v>
      </c>
      <c r="W33" s="354">
        <v>4</v>
      </c>
      <c r="X33" s="461">
        <f t="shared" si="10"/>
        <v>20</v>
      </c>
      <c r="Y33" s="18" t="str">
        <f t="shared" si="11"/>
        <v xml:space="preserve">OK </v>
      </c>
      <c r="Z33" s="397" t="str">
        <f t="shared" si="12"/>
        <v>AJUSTE</v>
      </c>
      <c r="AA33" s="462">
        <f>ROUND((IF(D33=1,(BASE!$G$51*I33),IF(D33=2,(BASE!$G$52*I33),IF(D33=3,(BASE!$G$53*I33),IF(D33=4,(BASE!$G$54*I33),IF(D33=5,(BASE!$G$55*I33),IF(D33=6,(BASE!$G$56*I33),0)))))))/1000,0)*1000</f>
        <v>1780000</v>
      </c>
      <c r="AB33" s="399">
        <v>401000</v>
      </c>
      <c r="AC33" s="462">
        <f t="shared" si="13"/>
        <v>2181000</v>
      </c>
      <c r="AD33" s="462">
        <f>IF(G33=3,AC33*BASE!$I$62,IF(G33=1,AC33*(BASE!$I$61),IF(G33=2,AC33*(BASE!$I$63),AC33*BASE!$I$64)))</f>
        <v>24790700</v>
      </c>
      <c r="AE33" s="402">
        <f>IF(I33&lt;10,0,IF(AC33&lt;=BASE!$C$3*2,BASE!$C$2,0)*(AD33/AC33))</f>
        <v>0</v>
      </c>
      <c r="AF33" s="13">
        <v>0</v>
      </c>
      <c r="AG33" s="14">
        <f t="shared" si="4"/>
        <v>1377261.1111111112</v>
      </c>
      <c r="AH33" s="14">
        <f t="shared" si="14"/>
        <v>2180663</v>
      </c>
      <c r="AI33" s="14">
        <f t="shared" si="15"/>
        <v>2180663.4259259258</v>
      </c>
      <c r="AJ33" s="14">
        <f t="shared" si="5"/>
        <v>261679.61111111109</v>
      </c>
      <c r="AK33" s="14">
        <f>IF(I33=0,0,IF(G33=5,0,(AC33+AF33/12)*12*BASE!$C$5))</f>
        <v>2224620</v>
      </c>
      <c r="AL33" s="14">
        <f>IF(I33=0,0,IF(G33=5,0,(AC33+AF33/12)*12*BASE!$C$7))</f>
        <v>3140640</v>
      </c>
      <c r="AM33" s="14">
        <f>IF(I33=0,0,IF(G33=5,0,(AC33+AF33/12)*12*BASE!$C$9))</f>
        <v>136617.84</v>
      </c>
      <c r="AN33" s="403">
        <f>IF(I33=0,0,IF(G33=5,0,(AD33+AF33+AG33)*BASE!$C$10))</f>
        <v>2355116.5</v>
      </c>
      <c r="AO33" s="813">
        <f t="shared" si="17"/>
        <v>38647961.488148153</v>
      </c>
      <c r="AP33" s="656">
        <f t="shared" si="16"/>
        <v>1.5589701576860739</v>
      </c>
      <c r="AQ33" s="1106" t="s">
        <v>1074</v>
      </c>
      <c r="AR33" s="1107"/>
      <c r="CG33" s="179">
        <v>0</v>
      </c>
      <c r="CH33" s="181">
        <v>1</v>
      </c>
      <c r="CI33" s="182" t="s">
        <v>168</v>
      </c>
    </row>
    <row r="34" spans="1:87" ht="13.5" customHeight="1" outlineLevel="1" x14ac:dyDescent="0.2">
      <c r="A34" s="365" t="s">
        <v>561</v>
      </c>
      <c r="B34" s="567" t="s">
        <v>944</v>
      </c>
      <c r="C34" s="413"/>
      <c r="D34" s="417">
        <f>IF(E34="","",VLOOKUP(E34,BASE!$F$20:$H$25,2,FALSE))</f>
        <v>3</v>
      </c>
      <c r="E34" s="393" t="s">
        <v>541</v>
      </c>
      <c r="F34" s="421" t="s">
        <v>547</v>
      </c>
      <c r="G34" s="422">
        <f>IF(F34="","",VLOOKUP(F34,BASE!$B$15:$C$18,2,FALSE))</f>
        <v>3</v>
      </c>
      <c r="H34" s="355">
        <v>40</v>
      </c>
      <c r="I34" s="410">
        <f t="shared" si="6"/>
        <v>40</v>
      </c>
      <c r="J34" s="354"/>
      <c r="K34" s="354"/>
      <c r="L34" s="354"/>
      <c r="M34" s="354"/>
      <c r="N34" s="354"/>
      <c r="O34" s="355">
        <f t="shared" si="7"/>
        <v>0</v>
      </c>
      <c r="P34" s="354"/>
      <c r="Q34" s="354"/>
      <c r="R34" s="355">
        <f t="shared" si="8"/>
        <v>0</v>
      </c>
      <c r="S34" s="354"/>
      <c r="T34" s="354"/>
      <c r="U34" s="354"/>
      <c r="V34" s="355">
        <f t="shared" si="9"/>
        <v>0</v>
      </c>
      <c r="W34" s="354">
        <v>40</v>
      </c>
      <c r="X34" s="461">
        <f t="shared" si="10"/>
        <v>40</v>
      </c>
      <c r="Y34" s="18" t="str">
        <f t="shared" si="11"/>
        <v xml:space="preserve">OK </v>
      </c>
      <c r="Z34" s="397" t="str">
        <f t="shared" si="12"/>
        <v xml:space="preserve"> </v>
      </c>
      <c r="AA34" s="462">
        <f>ROUND((IF(D34=1,(BASE!$G$51*I34),IF(D34=2,(BASE!$G$52*I34),IF(D34=3,(BASE!$G$53*I34),IF(D34=4,(BASE!$G$54*I34),IF(D34=5,(BASE!$G$55*I34),IF(D34=6,(BASE!$G$56*I34),0)))))))/1000,0)*1000</f>
        <v>5472000</v>
      </c>
      <c r="AB34" s="399">
        <v>2544000</v>
      </c>
      <c r="AC34" s="462">
        <f t="shared" si="13"/>
        <v>8016000</v>
      </c>
      <c r="AD34" s="462">
        <f>IF(G34=3,AC34*BASE!$I$62,IF(G34=1,AC34*(BASE!$I$61),IF(G34=2,AC34*(BASE!$I$63),AC34*BASE!$I$64)))</f>
        <v>85771200</v>
      </c>
      <c r="AE34" s="402">
        <f>IF(I34&lt;10,0,IF(AC34&lt;=BASE!$C$3*2,BASE!$C$2,0)*(AD34/AC34))</f>
        <v>0</v>
      </c>
      <c r="AF34" s="13">
        <v>0</v>
      </c>
      <c r="AG34" s="14">
        <f t="shared" si="4"/>
        <v>4765066.666666667</v>
      </c>
      <c r="AH34" s="14">
        <f t="shared" si="14"/>
        <v>7544689</v>
      </c>
      <c r="AI34" s="14">
        <f t="shared" si="15"/>
        <v>7544688.888888889</v>
      </c>
      <c r="AJ34" s="14">
        <f t="shared" si="5"/>
        <v>829915.77777777775</v>
      </c>
      <c r="AK34" s="14">
        <f>IF(I34=0,0,IF(G34=5,0,(AC34+AF34/12)*12*BASE!$C$5))</f>
        <v>8176320.0000000009</v>
      </c>
      <c r="AL34" s="14">
        <v>0</v>
      </c>
      <c r="AM34" s="14">
        <f>IF(I34=0,0,IF(G34=5,0,(AC34+AF34/12)*12*BASE!$C$9))</f>
        <v>502122.23999999999</v>
      </c>
      <c r="AN34" s="403">
        <f>IF(I34=0,0,IF(G34=5,0,(AD34+AF34+AG34)*BASE!$C$10))</f>
        <v>8148264</v>
      </c>
      <c r="AO34" s="813">
        <f t="shared" si="17"/>
        <v>123282266.57333334</v>
      </c>
      <c r="AP34" s="656">
        <f t="shared" si="16"/>
        <v>1.4373387171140586</v>
      </c>
      <c r="AQ34" s="1104"/>
      <c r="AR34" s="1105"/>
      <c r="CG34" s="179">
        <v>0</v>
      </c>
      <c r="CH34" s="181">
        <v>1</v>
      </c>
      <c r="CI34" s="182" t="s">
        <v>168</v>
      </c>
    </row>
    <row r="35" spans="1:87" ht="13.5" customHeight="1" outlineLevel="1" x14ac:dyDescent="0.2">
      <c r="A35" s="365" t="s">
        <v>561</v>
      </c>
      <c r="B35" s="461" t="s">
        <v>945</v>
      </c>
      <c r="C35" s="413"/>
      <c r="D35" s="417">
        <f>IF(E35="","",VLOOKUP(E35,BASE!$F$20:$H$25,2,FALSE))</f>
        <v>4</v>
      </c>
      <c r="E35" s="393" t="s">
        <v>540</v>
      </c>
      <c r="F35" s="421" t="s">
        <v>547</v>
      </c>
      <c r="G35" s="422">
        <f>IF(F35="","",VLOOKUP(F35,BASE!$B$15:$C$18,2,FALSE))</f>
        <v>3</v>
      </c>
      <c r="H35" s="355">
        <v>20</v>
      </c>
      <c r="I35" s="410">
        <f t="shared" si="6"/>
        <v>20</v>
      </c>
      <c r="J35" s="393">
        <v>16</v>
      </c>
      <c r="K35" s="393">
        <v>2</v>
      </c>
      <c r="L35" s="393">
        <v>2</v>
      </c>
      <c r="M35" s="354"/>
      <c r="N35" s="354"/>
      <c r="O35" s="355">
        <f t="shared" si="7"/>
        <v>20</v>
      </c>
      <c r="P35" s="354"/>
      <c r="Q35" s="354"/>
      <c r="R35" s="355">
        <f t="shared" si="8"/>
        <v>0</v>
      </c>
      <c r="S35" s="354"/>
      <c r="T35" s="354"/>
      <c r="U35" s="354"/>
      <c r="V35" s="355">
        <f t="shared" si="9"/>
        <v>0</v>
      </c>
      <c r="W35" s="354"/>
      <c r="X35" s="461">
        <f t="shared" si="10"/>
        <v>20</v>
      </c>
      <c r="Y35" s="18" t="str">
        <f t="shared" si="11"/>
        <v xml:space="preserve">OK </v>
      </c>
      <c r="Z35" s="397" t="str">
        <f t="shared" si="12"/>
        <v xml:space="preserve"> </v>
      </c>
      <c r="AA35" s="462">
        <f>ROUND((IF(D35=1,(BASE!$G$51*I35),IF(D35=2,(BASE!$G$52*I35),IF(D35=3,(BASE!$G$53*I35),IF(D35=4,(BASE!$G$54*I35),IF(D35=5,(BASE!$G$55*I35),IF(D35=6,(BASE!$G$56*I35),0)))))))/1000,0)*1000</f>
        <v>2228000</v>
      </c>
      <c r="AB35" s="399">
        <v>0</v>
      </c>
      <c r="AC35" s="462">
        <f t="shared" si="13"/>
        <v>2228000</v>
      </c>
      <c r="AD35" s="462">
        <f>IF(G35=3,AC35*BASE!$I$62,IF(G35=1,AC35*(BASE!$I$61),IF(G35=2,AC35*(BASE!$I$63),AC35*BASE!$I$64)))</f>
        <v>23839600</v>
      </c>
      <c r="AE35" s="402">
        <f>IF(I35&lt;10,0,IF(AC35&lt;=BASE!$C$3*2,BASE!$C$2,0)*(AD35/AC35))</f>
        <v>0</v>
      </c>
      <c r="AF35" s="13">
        <v>0</v>
      </c>
      <c r="AG35" s="14">
        <f t="shared" si="4"/>
        <v>1324422.2222222222</v>
      </c>
      <c r="AH35" s="14">
        <f t="shared" si="14"/>
        <v>2097002</v>
      </c>
      <c r="AI35" s="14">
        <f t="shared" si="15"/>
        <v>2097001.8518518517</v>
      </c>
      <c r="AJ35" s="14">
        <f t="shared" si="5"/>
        <v>230670.20370370368</v>
      </c>
      <c r="AK35" s="14">
        <f>IF(I35=0,0,IF(G35=5,0,(AC35+AF35/12)*12*BASE!$C$5))</f>
        <v>2272560</v>
      </c>
      <c r="AL35" s="14">
        <f>IF(I35=0,0,IF(G35=5,0,(AC35+AF35/12)*12*BASE!$C$7))</f>
        <v>3208320</v>
      </c>
      <c r="AM35" s="14">
        <f>IF(I35=0,0,IF(G35=5,0,(AC35+AF35/12)*12*BASE!$C$9))</f>
        <v>139561.91999999998</v>
      </c>
      <c r="AN35" s="403">
        <f>IF(I35=0,0,IF(G35=5,0,(AD35+AF35+AG35)*BASE!$C$10))</f>
        <v>2264762</v>
      </c>
      <c r="AO35" s="813">
        <f t="shared" si="17"/>
        <v>37473900.197777778</v>
      </c>
      <c r="AP35" s="656">
        <f t="shared" si="16"/>
        <v>1.571918161285331</v>
      </c>
      <c r="AQ35" s="1104"/>
      <c r="AR35" s="1105"/>
      <c r="CG35" s="179">
        <v>0</v>
      </c>
      <c r="CH35" s="181">
        <v>1</v>
      </c>
      <c r="CI35" s="182" t="s">
        <v>168</v>
      </c>
    </row>
    <row r="36" spans="1:87" ht="13.5" customHeight="1" outlineLevel="1" x14ac:dyDescent="0.2">
      <c r="A36" s="365" t="s">
        <v>561</v>
      </c>
      <c r="B36" s="461" t="s">
        <v>946</v>
      </c>
      <c r="C36" s="413"/>
      <c r="D36" s="417">
        <f>IF(E36="","",VLOOKUP(E36,BASE!$F$20:$H$25,2,FALSE))</f>
        <v>2</v>
      </c>
      <c r="E36" s="393" t="s">
        <v>542</v>
      </c>
      <c r="F36" s="421" t="s">
        <v>805</v>
      </c>
      <c r="G36" s="422">
        <f>IF(F36="","",VLOOKUP(F36,BASE!$B$15:$C$18,2,FALSE))</f>
        <v>4</v>
      </c>
      <c r="H36" s="355">
        <v>40</v>
      </c>
      <c r="I36" s="410">
        <f t="shared" si="6"/>
        <v>40</v>
      </c>
      <c r="J36" s="393">
        <v>8</v>
      </c>
      <c r="K36" s="393">
        <v>2</v>
      </c>
      <c r="L36" s="393">
        <v>2</v>
      </c>
      <c r="M36" s="354"/>
      <c r="N36" s="354">
        <v>4</v>
      </c>
      <c r="O36" s="355">
        <f t="shared" si="7"/>
        <v>16</v>
      </c>
      <c r="P36" s="354">
        <v>10</v>
      </c>
      <c r="Q36" s="354"/>
      <c r="R36" s="355">
        <f t="shared" si="8"/>
        <v>10</v>
      </c>
      <c r="S36" s="354"/>
      <c r="T36" s="354"/>
      <c r="U36" s="354"/>
      <c r="V36" s="355">
        <f t="shared" si="9"/>
        <v>0</v>
      </c>
      <c r="W36" s="393">
        <v>14</v>
      </c>
      <c r="X36" s="461">
        <f t="shared" si="10"/>
        <v>40</v>
      </c>
      <c r="Y36" s="18" t="str">
        <f t="shared" si="11"/>
        <v xml:space="preserve">OK </v>
      </c>
      <c r="Z36" s="397" t="str">
        <f t="shared" si="12"/>
        <v xml:space="preserve"> </v>
      </c>
      <c r="AA36" s="462">
        <f>ROUND((IF(D36=1,(BASE!$G$51*I36),IF(D36=2,(BASE!$G$52*I36),IF(D36=3,(BASE!$G$53*I36),IF(D36=4,(BASE!$G$54*I36),IF(D36=5,(BASE!$G$55*I36),IF(D36=6,(BASE!$G$56*I36),0)))))))/1000,0)*1000</f>
        <v>8016000</v>
      </c>
      <c r="AB36" s="399">
        <v>407000</v>
      </c>
      <c r="AC36" s="462">
        <f t="shared" si="13"/>
        <v>8423000</v>
      </c>
      <c r="AD36" s="462">
        <f>IF(G36=3,AC36*BASE!$I$62,IF(G36=1,AC36*(BASE!$I$61),IF(G36=2,AC36*(BASE!$I$63),AC36*BASE!$I$64)))</f>
        <v>95741433.333333343</v>
      </c>
      <c r="AE36" s="402">
        <f>IF(I36&lt;10,0,IF(AC36&lt;=BASE!$C$3*2,BASE!$C$2,0)*(AD36/AC36))</f>
        <v>0</v>
      </c>
      <c r="AF36" s="13">
        <v>0</v>
      </c>
      <c r="AG36" s="14">
        <f t="shared" si="4"/>
        <v>5318968.5185185196</v>
      </c>
      <c r="AH36" s="14">
        <f t="shared" si="14"/>
        <v>8421700</v>
      </c>
      <c r="AI36" s="14">
        <f t="shared" si="15"/>
        <v>8421700.1543209888</v>
      </c>
      <c r="AJ36" s="14">
        <f t="shared" si="5"/>
        <v>1010604.0185185187</v>
      </c>
      <c r="AK36" s="14">
        <f>IF(I36=0,0,IF(G36=5,0,(AC36+AF36/12)*12*BASE!$C$5))</f>
        <v>8591460</v>
      </c>
      <c r="AL36" s="14">
        <v>0</v>
      </c>
      <c r="AM36" s="14">
        <f>IF(I36=0,0,IF(G36=5,0,(AC36+AF36/12)*12*BASE!$C$9))</f>
        <v>527616.72</v>
      </c>
      <c r="AN36" s="403">
        <f>IF(I36=0,0,IF(G36=5,0,(AD36+AF36+AG36)*BASE!$C$10))</f>
        <v>9095436.1666666679</v>
      </c>
      <c r="AO36" s="813">
        <f t="shared" si="17"/>
        <v>137128918.91135803</v>
      </c>
      <c r="AP36" s="656">
        <f t="shared" si="16"/>
        <v>1.4322839562462997</v>
      </c>
      <c r="AQ36" s="1104"/>
      <c r="AR36" s="1105"/>
      <c r="CG36" s="179">
        <v>0</v>
      </c>
      <c r="CH36" s="181">
        <v>1</v>
      </c>
      <c r="CI36" s="182" t="s">
        <v>168</v>
      </c>
    </row>
    <row r="37" spans="1:87" ht="13.5" customHeight="1" outlineLevel="1" x14ac:dyDescent="0.2">
      <c r="A37" s="365" t="s">
        <v>561</v>
      </c>
      <c r="B37" s="461" t="s">
        <v>947</v>
      </c>
      <c r="C37" s="413"/>
      <c r="D37" s="417">
        <f>IF(E37="","",VLOOKUP(E37,BASE!$F$20:$H$25,2,FALSE))</f>
        <v>4</v>
      </c>
      <c r="E37" s="393" t="s">
        <v>540</v>
      </c>
      <c r="F37" s="421" t="s">
        <v>547</v>
      </c>
      <c r="G37" s="422">
        <f>IF(F37="","",VLOOKUP(F37,BASE!$B$15:$C$18,2,FALSE))</f>
        <v>3</v>
      </c>
      <c r="H37" s="355">
        <v>12</v>
      </c>
      <c r="I37" s="410">
        <f t="shared" si="6"/>
        <v>12</v>
      </c>
      <c r="J37" s="393">
        <v>8</v>
      </c>
      <c r="K37" s="393">
        <v>2</v>
      </c>
      <c r="L37" s="393">
        <v>2</v>
      </c>
      <c r="M37" s="354"/>
      <c r="N37" s="354"/>
      <c r="O37" s="355">
        <f t="shared" si="7"/>
        <v>12</v>
      </c>
      <c r="P37" s="354"/>
      <c r="Q37" s="354"/>
      <c r="R37" s="355">
        <f t="shared" si="8"/>
        <v>0</v>
      </c>
      <c r="S37" s="354"/>
      <c r="T37" s="354"/>
      <c r="U37" s="354"/>
      <c r="V37" s="355">
        <f t="shared" si="9"/>
        <v>0</v>
      </c>
      <c r="W37" s="354"/>
      <c r="X37" s="461">
        <f t="shared" si="10"/>
        <v>12</v>
      </c>
      <c r="Y37" s="18" t="str">
        <f t="shared" si="11"/>
        <v xml:space="preserve">OK </v>
      </c>
      <c r="Z37" s="397" t="str">
        <f t="shared" si="12"/>
        <v xml:space="preserve"> </v>
      </c>
      <c r="AA37" s="462">
        <f>ROUND((IF(D37=1,(BASE!$G$51*I37),IF(D37=2,(BASE!$G$52*I37),IF(D37=3,(BASE!$G$53*I37),IF(D37=4,(BASE!$G$54*I37),IF(D37=5,(BASE!$G$55*I37),IF(D37=6,(BASE!$G$56*I37),0)))))))/1000,0)*1000</f>
        <v>1337000</v>
      </c>
      <c r="AB37" s="399">
        <v>0</v>
      </c>
      <c r="AC37" s="462">
        <f t="shared" si="13"/>
        <v>1337000</v>
      </c>
      <c r="AD37" s="462">
        <f>IF(G37=3,AC37*BASE!$I$62,IF(G37=1,AC37*(BASE!$I$61),IF(G37=2,AC37*(BASE!$I$63),AC37*BASE!$I$64)))</f>
        <v>14305899.999999998</v>
      </c>
      <c r="AE37" s="402">
        <f>IF(I37&lt;10,0,IF(AC37&lt;=BASE!$C$3*2,BASE!$C$2,0)*(AD37/AC37))</f>
        <v>943857.7</v>
      </c>
      <c r="AF37" s="13">
        <v>0</v>
      </c>
      <c r="AG37" s="14">
        <f t="shared" si="4"/>
        <v>794772.22222222213</v>
      </c>
      <c r="AH37" s="14">
        <f t="shared" si="14"/>
        <v>1337044</v>
      </c>
      <c r="AI37" s="14">
        <f t="shared" si="15"/>
        <v>1337044.160185185</v>
      </c>
      <c r="AJ37" s="14">
        <f t="shared" si="5"/>
        <v>147074.85762037034</v>
      </c>
      <c r="AK37" s="14">
        <f>IF(I37=0,0,IF(G37=5,0,(AC37+AF37/12)*12*BASE!$C$5))</f>
        <v>1363740</v>
      </c>
      <c r="AL37" s="14">
        <f>IF(I37=0,0,IF(G37=5,0,(AC37+AF37/12)*12*BASE!$C$7))</f>
        <v>1925280</v>
      </c>
      <c r="AM37" s="14">
        <f>IF(I37=0,0,IF(G37=5,0,(AC37+AF37/12)*12*BASE!$C$9))</f>
        <v>83749.679999999993</v>
      </c>
      <c r="AN37" s="403">
        <f>IF(I37=0,0,IF(G37=5,0,(AD37+AF37+AG37)*BASE!$C$10))</f>
        <v>1359060.4999999998</v>
      </c>
      <c r="AO37" s="813">
        <f t="shared" si="17"/>
        <v>23597523.120027773</v>
      </c>
      <c r="AP37" s="656">
        <f t="shared" si="16"/>
        <v>1.6494958807224835</v>
      </c>
      <c r="AQ37" s="1104"/>
      <c r="AR37" s="1105"/>
      <c r="CG37" s="179">
        <v>0</v>
      </c>
      <c r="CH37" s="181">
        <v>1</v>
      </c>
      <c r="CI37" s="182" t="s">
        <v>168</v>
      </c>
    </row>
    <row r="38" spans="1:87" ht="13.5" customHeight="1" outlineLevel="1" x14ac:dyDescent="0.2">
      <c r="A38" s="365" t="s">
        <v>561</v>
      </c>
      <c r="B38" s="461" t="s">
        <v>948</v>
      </c>
      <c r="C38" s="413"/>
      <c r="D38" s="417">
        <f>IF(E38="","",VLOOKUP(E38,BASE!$F$20:$H$25,2,FALSE))</f>
        <v>3</v>
      </c>
      <c r="E38" s="393" t="s">
        <v>541</v>
      </c>
      <c r="F38" s="421" t="s">
        <v>805</v>
      </c>
      <c r="G38" s="422">
        <f>IF(F38="","",VLOOKUP(F38,BASE!$B$15:$C$18,2,FALSE))</f>
        <v>4</v>
      </c>
      <c r="H38" s="355">
        <v>14</v>
      </c>
      <c r="I38" s="410">
        <f t="shared" si="6"/>
        <v>14</v>
      </c>
      <c r="J38" s="354"/>
      <c r="K38" s="354"/>
      <c r="L38" s="354"/>
      <c r="M38" s="354"/>
      <c r="N38" s="354"/>
      <c r="O38" s="355">
        <f t="shared" si="7"/>
        <v>0</v>
      </c>
      <c r="P38" s="354"/>
      <c r="Q38" s="354"/>
      <c r="R38" s="355">
        <f t="shared" si="8"/>
        <v>0</v>
      </c>
      <c r="S38" s="354"/>
      <c r="T38" s="354"/>
      <c r="U38" s="354"/>
      <c r="V38" s="355">
        <f t="shared" si="9"/>
        <v>0</v>
      </c>
      <c r="W38" s="393">
        <v>14</v>
      </c>
      <c r="X38" s="461">
        <f t="shared" si="10"/>
        <v>14</v>
      </c>
      <c r="Y38" s="18" t="str">
        <f t="shared" si="11"/>
        <v xml:space="preserve">OK </v>
      </c>
      <c r="Z38" s="397" t="str">
        <f t="shared" si="12"/>
        <v xml:space="preserve"> </v>
      </c>
      <c r="AA38" s="462">
        <f>ROUND((IF(D38=1,(BASE!$G$51*I38),IF(D38=2,(BASE!$G$52*I38),IF(D38=3,(BASE!$G$53*I38),IF(D38=4,(BASE!$G$54*I38),IF(D38=5,(BASE!$G$55*I38),IF(D38=6,(BASE!$G$56*I38),0)))))))/1000,0)*1000</f>
        <v>1915000</v>
      </c>
      <c r="AB38" s="399">
        <v>142000</v>
      </c>
      <c r="AC38" s="462">
        <f t="shared" si="13"/>
        <v>2057000</v>
      </c>
      <c r="AD38" s="462">
        <f>IF(G38=3,AC38*BASE!$I$62,IF(G38=1,AC38*(BASE!$I$61),IF(G38=2,AC38*(BASE!$I$63),AC38*BASE!$I$64)))</f>
        <v>23381233.333333336</v>
      </c>
      <c r="AE38" s="402">
        <f>IF(I38&lt;10,0,IF(AC38&lt;=BASE!$C$3*2,BASE!$C$2,0)*(AD38/AC38))</f>
        <v>0</v>
      </c>
      <c r="AF38" s="13">
        <v>0</v>
      </c>
      <c r="AG38" s="14">
        <f t="shared" si="4"/>
        <v>1298957.4074074074</v>
      </c>
      <c r="AH38" s="14">
        <f t="shared" si="14"/>
        <v>2056683</v>
      </c>
      <c r="AI38" s="14">
        <f t="shared" si="15"/>
        <v>2056682.5617283953</v>
      </c>
      <c r="AJ38" s="14">
        <f t="shared" si="5"/>
        <v>246801.90740740742</v>
      </c>
      <c r="AK38" s="14">
        <f>IF(I38=0,0,IF(G38=5,0,(AC38+AF38/12)*12*BASE!$C$5))</f>
        <v>2098140</v>
      </c>
      <c r="AL38" s="14">
        <f>IF(I38=0,0,IF(G38=5,0,(AC38+AF38/12)*12*BASE!$C$7))</f>
        <v>2962080</v>
      </c>
      <c r="AM38" s="14">
        <f>IF(I38=0,0,IF(G38=5,0,(AC38+AF38/12)*12*BASE!$C$9))</f>
        <v>128850.48</v>
      </c>
      <c r="AN38" s="403">
        <f>IF(I38=0,0,IF(G38=5,0,(AD38+AF38+AG38)*BASE!$C$10))</f>
        <v>2221217.166666667</v>
      </c>
      <c r="AO38" s="813">
        <f t="shared" si="17"/>
        <v>36450645.856543206</v>
      </c>
      <c r="AP38" s="656">
        <f t="shared" si="16"/>
        <v>1.5589701936115374</v>
      </c>
      <c r="AQ38" s="1104"/>
      <c r="AR38" s="1105"/>
      <c r="CG38" s="179">
        <v>0</v>
      </c>
      <c r="CH38" s="181">
        <v>1</v>
      </c>
      <c r="CI38" s="182" t="s">
        <v>168</v>
      </c>
    </row>
    <row r="39" spans="1:87" ht="13.5" customHeight="1" outlineLevel="1" x14ac:dyDescent="0.2">
      <c r="A39" s="365" t="s">
        <v>561</v>
      </c>
      <c r="B39" s="461" t="s">
        <v>949</v>
      </c>
      <c r="C39" s="413"/>
      <c r="D39" s="417">
        <f>IF(E39="","",VLOOKUP(E39,BASE!$F$20:$H$25,2,FALSE))</f>
        <v>4</v>
      </c>
      <c r="E39" s="393" t="s">
        <v>540</v>
      </c>
      <c r="F39" s="421" t="s">
        <v>547</v>
      </c>
      <c r="G39" s="422">
        <f>IF(F39="","",VLOOKUP(F39,BASE!$B$15:$C$18,2,FALSE))</f>
        <v>3</v>
      </c>
      <c r="H39" s="355">
        <v>12</v>
      </c>
      <c r="I39" s="410">
        <v>30</v>
      </c>
      <c r="J39" s="354">
        <v>12</v>
      </c>
      <c r="K39" s="354">
        <v>3</v>
      </c>
      <c r="L39" s="393">
        <v>3</v>
      </c>
      <c r="M39" s="354"/>
      <c r="N39" s="354"/>
      <c r="O39" s="355">
        <f t="shared" si="7"/>
        <v>18</v>
      </c>
      <c r="P39" s="354"/>
      <c r="Q39" s="354"/>
      <c r="R39" s="355">
        <f t="shared" si="8"/>
        <v>0</v>
      </c>
      <c r="S39" s="354"/>
      <c r="T39" s="354"/>
      <c r="U39" s="354"/>
      <c r="V39" s="355">
        <f t="shared" si="9"/>
        <v>0</v>
      </c>
      <c r="W39" s="354">
        <v>12</v>
      </c>
      <c r="X39" s="461">
        <f t="shared" si="10"/>
        <v>30</v>
      </c>
      <c r="Y39" s="18" t="str">
        <f t="shared" si="11"/>
        <v xml:space="preserve">OK </v>
      </c>
      <c r="Z39" s="397" t="str">
        <f t="shared" si="12"/>
        <v>AJUSTE</v>
      </c>
      <c r="AA39" s="462">
        <f>ROUND((IF(D39=1,(BASE!$G$51*I39),IF(D39=2,(BASE!$G$52*I39),IF(D39=3,(BASE!$G$53*I39),IF(D39=4,(BASE!$G$54*I39),IF(D39=5,(BASE!$G$55*I39),IF(D39=6,(BASE!$G$56*I39),0)))))))/1000,0)*1000</f>
        <v>3342000</v>
      </c>
      <c r="AB39" s="399">
        <v>0</v>
      </c>
      <c r="AC39" s="462">
        <f t="shared" si="13"/>
        <v>3342000</v>
      </c>
      <c r="AD39" s="462">
        <f>IF(G39=3,AC39*BASE!$I$62,IF(G39=1,AC39*(BASE!$I$61),IF(G39=2,AC39*(BASE!$I$63),AC39*BASE!$I$64)))</f>
        <v>35759400</v>
      </c>
      <c r="AE39" s="402">
        <f>IF(I39&lt;10,0,IF(AC39&lt;=BASE!$C$3*2,BASE!$C$2,0)*(AD39/AC39))</f>
        <v>0</v>
      </c>
      <c r="AF39" s="13">
        <v>0</v>
      </c>
      <c r="AG39" s="14">
        <f t="shared" si="4"/>
        <v>1986633.3333333333</v>
      </c>
      <c r="AH39" s="14">
        <f t="shared" si="14"/>
        <v>3145503</v>
      </c>
      <c r="AI39" s="14">
        <f t="shared" si="15"/>
        <v>3145502.777777778</v>
      </c>
      <c r="AJ39" s="14">
        <f t="shared" si="5"/>
        <v>346005.30555555556</v>
      </c>
      <c r="AK39" s="14">
        <f>IF(I39=0,0,IF(G39=5,0,(AC39+AF39/12)*12*BASE!$C$5))</f>
        <v>3408840.0000000005</v>
      </c>
      <c r="AL39" s="14">
        <f>IF(I39=0,0,IF(G39=5,0,(AC39+AF39/12)*12*BASE!$C$7))</f>
        <v>4812480</v>
      </c>
      <c r="AM39" s="14">
        <f>IF(I39=0,0,IF(G39=5,0,(AC39+AF39/12)*12*BASE!$C$9))</f>
        <v>209342.88</v>
      </c>
      <c r="AN39" s="403">
        <f>IF(I39=0,0,IF(G39=5,0,(AD39+AF39+AG39)*BASE!$C$10))</f>
        <v>3397143</v>
      </c>
      <c r="AO39" s="813">
        <f t="shared" si="17"/>
        <v>56210850.296666667</v>
      </c>
      <c r="AP39" s="656">
        <f t="shared" si="16"/>
        <v>1.571918161285331</v>
      </c>
      <c r="AQ39" s="1108" t="s">
        <v>1058</v>
      </c>
      <c r="AR39" s="1105"/>
      <c r="CG39" s="179">
        <v>0</v>
      </c>
      <c r="CH39" s="181">
        <v>1</v>
      </c>
      <c r="CI39" s="182" t="s">
        <v>168</v>
      </c>
    </row>
    <row r="40" spans="1:87" ht="13.5" customHeight="1" outlineLevel="1" x14ac:dyDescent="0.2">
      <c r="A40" s="365" t="s">
        <v>561</v>
      </c>
      <c r="B40" s="461" t="s">
        <v>950</v>
      </c>
      <c r="C40" s="413"/>
      <c r="D40" s="417">
        <f>IF(E40="","",VLOOKUP(E40,BASE!$F$20:$H$25,2,FALSE))</f>
        <v>3</v>
      </c>
      <c r="E40" s="393" t="s">
        <v>541</v>
      </c>
      <c r="F40" s="421" t="s">
        <v>805</v>
      </c>
      <c r="G40" s="422">
        <f>IF(F40="","",VLOOKUP(F40,BASE!$B$15:$C$18,2,FALSE))</f>
        <v>4</v>
      </c>
      <c r="H40" s="355">
        <v>22</v>
      </c>
      <c r="I40" s="410">
        <f t="shared" si="6"/>
        <v>22</v>
      </c>
      <c r="J40" s="354"/>
      <c r="K40" s="354"/>
      <c r="L40" s="354"/>
      <c r="M40" s="354"/>
      <c r="N40" s="354">
        <v>5</v>
      </c>
      <c r="O40" s="355">
        <f t="shared" si="7"/>
        <v>5</v>
      </c>
      <c r="P40" s="354"/>
      <c r="Q40" s="354">
        <v>4</v>
      </c>
      <c r="R40" s="355">
        <f t="shared" si="8"/>
        <v>4</v>
      </c>
      <c r="S40" s="354"/>
      <c r="T40" s="354"/>
      <c r="U40" s="354"/>
      <c r="V40" s="355">
        <f t="shared" si="9"/>
        <v>0</v>
      </c>
      <c r="W40" s="354">
        <v>13</v>
      </c>
      <c r="X40" s="461">
        <f t="shared" si="10"/>
        <v>22</v>
      </c>
      <c r="Y40" s="18" t="str">
        <f t="shared" si="11"/>
        <v xml:space="preserve">OK </v>
      </c>
      <c r="Z40" s="397" t="str">
        <f t="shared" si="12"/>
        <v xml:space="preserve"> </v>
      </c>
      <c r="AA40" s="462">
        <f>ROUND((IF(D40=1,(BASE!$G$51*I40),IF(D40=2,(BASE!$G$52*I40),IF(D40=3,(BASE!$G$53*I40),IF(D40=4,(BASE!$G$54*I40),IF(D40=5,(BASE!$G$55*I40),IF(D40=6,(BASE!$G$56*I40),0)))))))/1000,0)*1000</f>
        <v>3010000</v>
      </c>
      <c r="AB40" s="399">
        <v>97000</v>
      </c>
      <c r="AC40" s="462">
        <f t="shared" si="13"/>
        <v>3107000</v>
      </c>
      <c r="AD40" s="462">
        <f>IF(G40=3,AC40*BASE!$I$62,IF(G40=1,AC40*(BASE!$I$61),IF(G40=2,AC40*(BASE!$I$63),AC40*BASE!$I$64)))</f>
        <v>35316233.333333336</v>
      </c>
      <c r="AE40" s="402">
        <f>IF(I40&lt;10,0,IF(AC40&lt;=BASE!$C$3*2,BASE!$C$2,0)*(AD40/AC40))</f>
        <v>0</v>
      </c>
      <c r="AF40" s="13">
        <v>0</v>
      </c>
      <c r="AG40" s="14">
        <f t="shared" si="4"/>
        <v>1962012.9629629629</v>
      </c>
      <c r="AH40" s="14">
        <f t="shared" si="14"/>
        <v>3106521</v>
      </c>
      <c r="AI40" s="14">
        <f t="shared" si="15"/>
        <v>3106520.5246913582</v>
      </c>
      <c r="AJ40" s="14">
        <f t="shared" si="5"/>
        <v>372782.46296296298</v>
      </c>
      <c r="AK40" s="14">
        <f>IF(I40=0,0,IF(G40=5,0,(AC40+AF40/12)*12*BASE!$C$5))</f>
        <v>3169140</v>
      </c>
      <c r="AL40" s="14">
        <v>0</v>
      </c>
      <c r="AM40" s="14">
        <f>IF(I40=0,0,IF(G40=5,0,(AC40+AF40/12)*12*BASE!$C$9))</f>
        <v>194622.47999999998</v>
      </c>
      <c r="AN40" s="403">
        <f>IF(I40=0,0,IF(G40=5,0,(AD40+AF40+AG40)*BASE!$C$10))</f>
        <v>3355042.1666666665</v>
      </c>
      <c r="AO40" s="813">
        <f t="shared" si="17"/>
        <v>50582874.93061728</v>
      </c>
      <c r="AP40" s="656">
        <f t="shared" si="16"/>
        <v>1.4322839713167961</v>
      </c>
      <c r="AQ40" s="1104"/>
      <c r="AR40" s="1105"/>
      <c r="CG40" s="179">
        <v>0</v>
      </c>
      <c r="CH40" s="181">
        <v>1</v>
      </c>
      <c r="CI40" s="182" t="s">
        <v>168</v>
      </c>
    </row>
    <row r="41" spans="1:87" ht="13.5" customHeight="1" outlineLevel="1" x14ac:dyDescent="0.2">
      <c r="A41" s="365" t="s">
        <v>561</v>
      </c>
      <c r="B41" s="461" t="s">
        <v>951</v>
      </c>
      <c r="C41" s="413"/>
      <c r="D41" s="417">
        <f>IF(E41="","",VLOOKUP(E41,BASE!$F$20:$H$25,2,FALSE))</f>
        <v>4</v>
      </c>
      <c r="E41" s="393" t="s">
        <v>540</v>
      </c>
      <c r="F41" s="421" t="s">
        <v>547</v>
      </c>
      <c r="G41" s="422">
        <f>IF(F41="","",VLOOKUP(F41,BASE!$B$15:$C$18,2,FALSE))</f>
        <v>3</v>
      </c>
      <c r="H41" s="355">
        <v>20</v>
      </c>
      <c r="I41" s="410">
        <v>0</v>
      </c>
      <c r="J41" s="354"/>
      <c r="K41" s="354"/>
      <c r="L41" s="354"/>
      <c r="M41" s="354"/>
      <c r="N41" s="354"/>
      <c r="O41" s="355">
        <f t="shared" si="7"/>
        <v>0</v>
      </c>
      <c r="P41" s="354"/>
      <c r="Q41" s="354"/>
      <c r="R41" s="355">
        <f t="shared" si="8"/>
        <v>0</v>
      </c>
      <c r="S41" s="354"/>
      <c r="T41" s="354"/>
      <c r="U41" s="354"/>
      <c r="V41" s="355">
        <f t="shared" si="9"/>
        <v>0</v>
      </c>
      <c r="W41" s="354"/>
      <c r="X41" s="461">
        <f t="shared" si="10"/>
        <v>0</v>
      </c>
      <c r="Y41" s="18" t="str">
        <f t="shared" si="11"/>
        <v xml:space="preserve">OK </v>
      </c>
      <c r="Z41" s="397" t="str">
        <f t="shared" si="12"/>
        <v>JUSTIFICAR</v>
      </c>
      <c r="AA41" s="462">
        <f>ROUND((IF(D41=1,(BASE!$G$51*I41),IF(D41=2,(BASE!$G$52*I41),IF(D41=3,(BASE!$G$53*I41),IF(D41=4,(BASE!$G$54*I41),IF(D41=5,(BASE!$G$55*I41),IF(D41=6,(BASE!$G$56*I41),0)))))))/1000,0)*1000</f>
        <v>0</v>
      </c>
      <c r="AB41" s="399">
        <v>0</v>
      </c>
      <c r="AC41" s="462">
        <f t="shared" si="13"/>
        <v>0</v>
      </c>
      <c r="AD41" s="462">
        <f>IF(G41=3,AC41*BASE!$I$62,IF(G41=1,AC41*(BASE!$I$61),IF(G41=2,AC41*(BASE!$I$63),AC41*BASE!$I$64)))</f>
        <v>0</v>
      </c>
      <c r="AE41" s="402">
        <f>IF(I41&lt;10,0,IF(AC41&lt;=BASE!$C$3*2,BASE!$C$2,0)*(AD41/AC41))</f>
        <v>0</v>
      </c>
      <c r="AF41" s="13">
        <v>0</v>
      </c>
      <c r="AG41" s="14">
        <f t="shared" si="4"/>
        <v>0</v>
      </c>
      <c r="AH41" s="14">
        <f t="shared" si="14"/>
        <v>0</v>
      </c>
      <c r="AI41" s="14">
        <f t="shared" si="15"/>
        <v>0</v>
      </c>
      <c r="AJ41" s="14">
        <f t="shared" si="5"/>
        <v>0</v>
      </c>
      <c r="AK41" s="14">
        <f>IF(I41=0,0,IF(G41=5,0,(AC41+AF41/12)*12*BASE!$C$5))</f>
        <v>0</v>
      </c>
      <c r="AL41" s="14">
        <f>IF(I41=0,0,IF(G41=5,0,(AC41+AF41/12)*12*BASE!$C$7))</f>
        <v>0</v>
      </c>
      <c r="AM41" s="14">
        <f>IF(I41=0,0,IF(G41=5,0,(AC41+AF41/12)*12*BASE!$C$9))</f>
        <v>0</v>
      </c>
      <c r="AN41" s="403">
        <f>IF(I41=0,0,IF(G41=5,0,(AD41+AF41+AG41)*BASE!$C$10))</f>
        <v>0</v>
      </c>
      <c r="AO41" s="813">
        <f t="shared" si="17"/>
        <v>0</v>
      </c>
      <c r="AP41" s="656" t="str">
        <f t="shared" si="16"/>
        <v>Sin datos</v>
      </c>
      <c r="AQ41" s="1108" t="s">
        <v>1051</v>
      </c>
      <c r="AR41" s="1105"/>
      <c r="CG41" s="179">
        <v>0</v>
      </c>
      <c r="CH41" s="181">
        <v>1</v>
      </c>
      <c r="CI41" s="182" t="s">
        <v>168</v>
      </c>
    </row>
    <row r="42" spans="1:87" ht="13.5" customHeight="1" outlineLevel="1" x14ac:dyDescent="0.2">
      <c r="A42" s="365" t="s">
        <v>561</v>
      </c>
      <c r="B42" s="461" t="s">
        <v>952</v>
      </c>
      <c r="C42" s="413"/>
      <c r="D42" s="417">
        <f>IF(E42="","",VLOOKUP(E42,BASE!$F$20:$H$25,2,FALSE))</f>
        <v>4</v>
      </c>
      <c r="E42" s="393" t="s">
        <v>540</v>
      </c>
      <c r="F42" s="421" t="s">
        <v>547</v>
      </c>
      <c r="G42" s="422">
        <f>IF(F42="","",VLOOKUP(F42,BASE!$B$15:$C$18,2,FALSE))</f>
        <v>3</v>
      </c>
      <c r="H42" s="355">
        <v>40</v>
      </c>
      <c r="I42" s="410">
        <f t="shared" si="6"/>
        <v>40</v>
      </c>
      <c r="J42" s="354">
        <v>12</v>
      </c>
      <c r="K42" s="354">
        <v>4</v>
      </c>
      <c r="L42" s="393">
        <v>4</v>
      </c>
      <c r="M42" s="393">
        <v>5</v>
      </c>
      <c r="N42" s="393">
        <v>5</v>
      </c>
      <c r="O42" s="355">
        <f t="shared" si="7"/>
        <v>30</v>
      </c>
      <c r="P42" s="354"/>
      <c r="Q42" s="354"/>
      <c r="R42" s="355">
        <f t="shared" si="8"/>
        <v>0</v>
      </c>
      <c r="S42" s="354"/>
      <c r="T42" s="354"/>
      <c r="U42" s="354"/>
      <c r="V42" s="355">
        <f t="shared" si="9"/>
        <v>0</v>
      </c>
      <c r="W42" s="354">
        <v>10</v>
      </c>
      <c r="X42" s="461">
        <f t="shared" si="10"/>
        <v>40</v>
      </c>
      <c r="Y42" s="18" t="str">
        <f t="shared" si="11"/>
        <v xml:space="preserve">OK </v>
      </c>
      <c r="Z42" s="397" t="str">
        <f t="shared" si="12"/>
        <v xml:space="preserve"> </v>
      </c>
      <c r="AA42" s="462">
        <f>ROUND((IF(D42=1,(BASE!$G$51*I42),IF(D42=2,(BASE!$G$52*I42),IF(D42=3,(BASE!$G$53*I42),IF(D42=4,(BASE!$G$54*I42),IF(D42=5,(BASE!$G$55*I42),IF(D42=6,(BASE!$G$56*I42),0)))))))/1000,0)*1000</f>
        <v>4456000</v>
      </c>
      <c r="AB42" s="399">
        <v>0</v>
      </c>
      <c r="AC42" s="462">
        <f t="shared" si="13"/>
        <v>4456000</v>
      </c>
      <c r="AD42" s="462">
        <f>IF(G42=3,AC42*BASE!$I$62,IF(G42=1,AC42*(BASE!$I$61),IF(G42=2,AC42*(BASE!$I$63),AC42*BASE!$I$64)))</f>
        <v>47679200</v>
      </c>
      <c r="AE42" s="402">
        <f>IF(I42&lt;10,0,IF(AC42&lt;=BASE!$C$3*2,BASE!$C$2,0)*(AD42/AC42))</f>
        <v>0</v>
      </c>
      <c r="AF42" s="13">
        <v>0</v>
      </c>
      <c r="AG42" s="14">
        <f t="shared" si="4"/>
        <v>2648844.4444444445</v>
      </c>
      <c r="AH42" s="14">
        <f t="shared" si="14"/>
        <v>4194004</v>
      </c>
      <c r="AI42" s="14">
        <f t="shared" si="15"/>
        <v>4194003.7037037034</v>
      </c>
      <c r="AJ42" s="14">
        <f t="shared" si="5"/>
        <v>461340.40740740736</v>
      </c>
      <c r="AK42" s="14">
        <f>IF(I42=0,0,IF(G42=5,0,(AC42+AF42/12)*12*BASE!$C$5))</f>
        <v>4545120</v>
      </c>
      <c r="AL42" s="14">
        <f>IF(I42=0,0,IF(G42=5,0,(AC42+AF42/12)*12*BASE!$C$7))</f>
        <v>6416640</v>
      </c>
      <c r="AM42" s="14">
        <f>IF(I42=0,0,IF(G42=5,0,(AC42+AF42/12)*12*BASE!$C$9))</f>
        <v>279123.83999999997</v>
      </c>
      <c r="AN42" s="403">
        <f>IF(I42=0,0,IF(G42=5,0,(AD42+AF42+AG42)*BASE!$C$10))</f>
        <v>4529524</v>
      </c>
      <c r="AO42" s="813">
        <f t="shared" si="17"/>
        <v>74947800.395555556</v>
      </c>
      <c r="AP42" s="656">
        <f t="shared" si="16"/>
        <v>1.571918161285331</v>
      </c>
      <c r="AQ42" s="1104"/>
      <c r="AR42" s="1105"/>
      <c r="CG42" s="179">
        <v>0</v>
      </c>
      <c r="CH42" s="181">
        <v>1</v>
      </c>
      <c r="CI42" s="182" t="s">
        <v>168</v>
      </c>
    </row>
    <row r="43" spans="1:87" ht="13.5" customHeight="1" outlineLevel="1" x14ac:dyDescent="0.2">
      <c r="A43" s="365" t="s">
        <v>561</v>
      </c>
      <c r="B43" s="461" t="s">
        <v>953</v>
      </c>
      <c r="C43" s="413"/>
      <c r="D43" s="417">
        <f>IF(E43="","",VLOOKUP(E43,BASE!$F$20:$H$25,2,FALSE))</f>
        <v>3</v>
      </c>
      <c r="E43" s="393" t="s">
        <v>541</v>
      </c>
      <c r="F43" s="421" t="s">
        <v>547</v>
      </c>
      <c r="G43" s="422">
        <f>IF(F43="","",VLOOKUP(F43,BASE!$B$15:$C$18,2,FALSE))</f>
        <v>3</v>
      </c>
      <c r="H43" s="355">
        <v>24</v>
      </c>
      <c r="I43" s="410">
        <f t="shared" si="6"/>
        <v>24</v>
      </c>
      <c r="J43" s="354">
        <v>12</v>
      </c>
      <c r="K43" s="354">
        <v>3</v>
      </c>
      <c r="L43" s="393">
        <v>3</v>
      </c>
      <c r="M43" s="393">
        <v>2</v>
      </c>
      <c r="N43" s="354"/>
      <c r="O43" s="355">
        <f t="shared" si="7"/>
        <v>20</v>
      </c>
      <c r="P43" s="354">
        <v>2</v>
      </c>
      <c r="Q43" s="354"/>
      <c r="R43" s="355">
        <f t="shared" si="8"/>
        <v>2</v>
      </c>
      <c r="S43" s="354"/>
      <c r="T43" s="354">
        <v>2</v>
      </c>
      <c r="U43" s="354"/>
      <c r="V43" s="355">
        <f t="shared" si="9"/>
        <v>2</v>
      </c>
      <c r="W43" s="354"/>
      <c r="X43" s="461">
        <f t="shared" si="10"/>
        <v>24</v>
      </c>
      <c r="Y43" s="18" t="str">
        <f t="shared" si="11"/>
        <v xml:space="preserve">OK </v>
      </c>
      <c r="Z43" s="397" t="str">
        <f t="shared" si="12"/>
        <v xml:space="preserve"> </v>
      </c>
      <c r="AA43" s="462">
        <f>ROUND((IF(D43=1,(BASE!$G$51*I43),IF(D43=2,(BASE!$G$52*I43),IF(D43=3,(BASE!$G$53*I43),IF(D43=4,(BASE!$G$54*I43),IF(D43=5,(BASE!$G$55*I43),IF(D43=6,(BASE!$G$56*I43),0)))))))/1000,0)*1000</f>
        <v>3283000</v>
      </c>
      <c r="AB43" s="399">
        <v>0</v>
      </c>
      <c r="AC43" s="462">
        <f t="shared" si="13"/>
        <v>3283000</v>
      </c>
      <c r="AD43" s="462">
        <f>IF(G43=3,AC43*BASE!$I$62,IF(G43=1,AC43*(BASE!$I$61),IF(G43=2,AC43*(BASE!$I$63),AC43*BASE!$I$64)))</f>
        <v>35128100</v>
      </c>
      <c r="AE43" s="402">
        <f>IF(I43&lt;10,0,IF(AC43&lt;=BASE!$C$3*2,BASE!$C$2,0)*(AD43/AC43))</f>
        <v>0</v>
      </c>
      <c r="AF43" s="13">
        <v>0</v>
      </c>
      <c r="AG43" s="14">
        <f t="shared" si="4"/>
        <v>1951561.111111111</v>
      </c>
      <c r="AH43" s="14">
        <f t="shared" si="14"/>
        <v>3089972</v>
      </c>
      <c r="AI43" s="14">
        <f t="shared" si="15"/>
        <v>3089971.7592592593</v>
      </c>
      <c r="AJ43" s="14">
        <f t="shared" si="5"/>
        <v>339896.89351851854</v>
      </c>
      <c r="AK43" s="14">
        <f>IF(I43=0,0,IF(G43=5,0,(AC43+AF43/12)*12*BASE!$C$5))</f>
        <v>3348660.0000000005</v>
      </c>
      <c r="AL43" s="14">
        <f>IF(I43=0,0,IF(G43=5,0,(AC43+AF43/12)*12*BASE!$C$7))</f>
        <v>4727520</v>
      </c>
      <c r="AM43" s="14">
        <f>IF(I43=0,0,IF(G43=5,0,(AC43+AF43/12)*12*BASE!$C$9))</f>
        <v>205647.12</v>
      </c>
      <c r="AN43" s="403">
        <f>IF(I43=0,0,IF(G43=5,0,(AD43+AF43+AG43)*BASE!$C$10))</f>
        <v>3337169.5</v>
      </c>
      <c r="AO43" s="813">
        <f t="shared" si="17"/>
        <v>55218498.383888885</v>
      </c>
      <c r="AP43" s="656">
        <f t="shared" si="16"/>
        <v>1.5719181619241829</v>
      </c>
      <c r="AQ43" s="1104"/>
      <c r="AR43" s="1105"/>
      <c r="CG43" s="179">
        <v>0</v>
      </c>
      <c r="CH43" s="181">
        <v>1</v>
      </c>
      <c r="CI43" s="182" t="s">
        <v>168</v>
      </c>
    </row>
    <row r="44" spans="1:87" ht="13.5" customHeight="1" outlineLevel="1" x14ac:dyDescent="0.2">
      <c r="A44" s="365" t="s">
        <v>561</v>
      </c>
      <c r="B44" s="461" t="s">
        <v>954</v>
      </c>
      <c r="C44" s="413"/>
      <c r="D44" s="417">
        <f>IF(E44="","",VLOOKUP(E44,BASE!$F$20:$H$25,2,FALSE))</f>
        <v>4</v>
      </c>
      <c r="E44" s="393" t="s">
        <v>540</v>
      </c>
      <c r="F44" s="421" t="s">
        <v>547</v>
      </c>
      <c r="G44" s="422">
        <f>IF(F44="","",VLOOKUP(F44,BASE!$B$15:$C$18,2,FALSE))</f>
        <v>3</v>
      </c>
      <c r="H44" s="355">
        <v>26</v>
      </c>
      <c r="I44" s="410">
        <f t="shared" si="6"/>
        <v>26</v>
      </c>
      <c r="J44" s="354">
        <v>12</v>
      </c>
      <c r="K44" s="354">
        <v>4</v>
      </c>
      <c r="L44" s="393">
        <v>4</v>
      </c>
      <c r="M44" s="354"/>
      <c r="N44" s="354"/>
      <c r="O44" s="355">
        <f t="shared" si="7"/>
        <v>20</v>
      </c>
      <c r="P44" s="354"/>
      <c r="Q44" s="354"/>
      <c r="R44" s="355">
        <f t="shared" si="8"/>
        <v>0</v>
      </c>
      <c r="S44" s="354"/>
      <c r="T44" s="354"/>
      <c r="U44" s="354"/>
      <c r="V44" s="355">
        <f t="shared" si="9"/>
        <v>0</v>
      </c>
      <c r="W44" s="393">
        <v>6</v>
      </c>
      <c r="X44" s="461">
        <f t="shared" si="10"/>
        <v>26</v>
      </c>
      <c r="Y44" s="18" t="str">
        <f t="shared" si="11"/>
        <v xml:space="preserve">OK </v>
      </c>
      <c r="Z44" s="397" t="str">
        <f t="shared" si="12"/>
        <v xml:space="preserve"> </v>
      </c>
      <c r="AA44" s="462">
        <f>ROUND((IF(D44=1,(BASE!$G$51*I44),IF(D44=2,(BASE!$G$52*I44),IF(D44=3,(BASE!$G$53*I44),IF(D44=4,(BASE!$G$54*I44),IF(D44=5,(BASE!$G$55*I44),IF(D44=6,(BASE!$G$56*I44),0)))))))/1000,0)*1000</f>
        <v>2896000</v>
      </c>
      <c r="AB44" s="399">
        <v>0</v>
      </c>
      <c r="AC44" s="462">
        <f t="shared" si="13"/>
        <v>2896000</v>
      </c>
      <c r="AD44" s="462">
        <f>IF(G44=3,AC44*BASE!$I$62,IF(G44=1,AC44*(BASE!$I$61),IF(G44=2,AC44*(BASE!$I$63),AC44*BASE!$I$64)))</f>
        <v>30987199.999999996</v>
      </c>
      <c r="AE44" s="402">
        <f>IF(I44&lt;10,0,IF(AC44&lt;=BASE!$C$3*2,BASE!$C$2,0)*(AD44/AC44))</f>
        <v>0</v>
      </c>
      <c r="AF44" s="13">
        <v>0</v>
      </c>
      <c r="AG44" s="14">
        <f t="shared" si="4"/>
        <v>1721511.111111111</v>
      </c>
      <c r="AH44" s="14">
        <f t="shared" si="14"/>
        <v>2725726</v>
      </c>
      <c r="AI44" s="14">
        <f t="shared" si="15"/>
        <v>2725725.9259259258</v>
      </c>
      <c r="AJ44" s="14">
        <f t="shared" si="5"/>
        <v>299829.85185185185</v>
      </c>
      <c r="AK44" s="14">
        <f>IF(I44=0,0,IF(G44=5,0,(AC44+AF44/12)*12*BASE!$C$5))</f>
        <v>2953920</v>
      </c>
      <c r="AL44" s="14">
        <f>IF(I44=0,0,IF(G44=5,0,(AC44+AF44/12)*12*BASE!$C$7))</f>
        <v>4170240</v>
      </c>
      <c r="AM44" s="14">
        <f>IF(I44=0,0,IF(G44=5,0,(AC44+AF44/12)*12*BASE!$C$9))</f>
        <v>181405.44</v>
      </c>
      <c r="AN44" s="403">
        <f>IF(I44=0,0,IF(G44=5,0,(AD44+AF44+AG44)*BASE!$C$10))</f>
        <v>2943783.9999999995</v>
      </c>
      <c r="AO44" s="813">
        <f t="shared" si="17"/>
        <v>48709342.328888878</v>
      </c>
      <c r="AP44" s="656">
        <f t="shared" si="16"/>
        <v>1.571918157461432</v>
      </c>
      <c r="AQ44" s="1104"/>
      <c r="AR44" s="1105"/>
      <c r="CG44" s="179">
        <v>0</v>
      </c>
      <c r="CH44" s="181">
        <v>1</v>
      </c>
      <c r="CI44" s="182" t="s">
        <v>168</v>
      </c>
    </row>
    <row r="45" spans="1:87" ht="13.5" customHeight="1" outlineLevel="1" x14ac:dyDescent="0.2">
      <c r="A45" s="365" t="s">
        <v>561</v>
      </c>
      <c r="B45" s="461" t="s">
        <v>955</v>
      </c>
      <c r="C45" s="413"/>
      <c r="D45" s="417">
        <f>IF(E45="","",VLOOKUP(E45,BASE!$F$20:$H$25,2,FALSE))</f>
        <v>1</v>
      </c>
      <c r="E45" s="393" t="s">
        <v>168</v>
      </c>
      <c r="F45" s="421" t="s">
        <v>258</v>
      </c>
      <c r="G45" s="422">
        <f>IF(F45="","",VLOOKUP(F45,BASE!$B$15:$C$18,2,FALSE))</f>
        <v>2</v>
      </c>
      <c r="H45" s="355">
        <v>3</v>
      </c>
      <c r="I45" s="410">
        <f t="shared" si="6"/>
        <v>3</v>
      </c>
      <c r="J45" s="354">
        <v>3</v>
      </c>
      <c r="K45" s="354"/>
      <c r="L45" s="354"/>
      <c r="M45" s="354"/>
      <c r="N45" s="354"/>
      <c r="O45" s="355">
        <f t="shared" si="7"/>
        <v>3</v>
      </c>
      <c r="P45" s="354"/>
      <c r="Q45" s="354"/>
      <c r="R45" s="355">
        <f t="shared" si="8"/>
        <v>0</v>
      </c>
      <c r="S45" s="354"/>
      <c r="T45" s="354"/>
      <c r="U45" s="354"/>
      <c r="V45" s="355">
        <f t="shared" si="9"/>
        <v>0</v>
      </c>
      <c r="W45" s="354"/>
      <c r="X45" s="461">
        <f t="shared" si="10"/>
        <v>3</v>
      </c>
      <c r="Y45" s="18" t="str">
        <f t="shared" si="11"/>
        <v xml:space="preserve">OK </v>
      </c>
      <c r="Z45" s="397" t="str">
        <f t="shared" si="12"/>
        <v xml:space="preserve"> </v>
      </c>
      <c r="AA45" s="462">
        <v>744000</v>
      </c>
      <c r="AB45" s="399">
        <v>30000</v>
      </c>
      <c r="AC45" s="462">
        <f t="shared" si="13"/>
        <v>774000</v>
      </c>
      <c r="AD45" s="462">
        <f>IF(G45=3,AC45*BASE!$I$62,IF(G45=1,AC45*(BASE!$I$61),IF(G45=2,AC45*(BASE!$I$63),AC45*BASE!$I$64)))</f>
        <v>8797800</v>
      </c>
      <c r="AE45" s="402">
        <f>IF(I45&lt;10,0,IF(AC45&lt;=BASE!$C$3*2,BASE!$C$2,0)*(AD45/AC45))</f>
        <v>0</v>
      </c>
      <c r="AF45" s="13">
        <v>0</v>
      </c>
      <c r="AG45" s="14">
        <f t="shared" si="4"/>
        <v>488766.66666666669</v>
      </c>
      <c r="AH45" s="14">
        <f t="shared" si="14"/>
        <v>773881</v>
      </c>
      <c r="AI45" s="14">
        <f t="shared" si="15"/>
        <v>773880.5555555555</v>
      </c>
      <c r="AJ45" s="14">
        <f t="shared" si="5"/>
        <v>92865.666666666657</v>
      </c>
      <c r="AK45" s="14">
        <v>0</v>
      </c>
      <c r="AL45" s="14">
        <f>IF(I45=0,0,IF(G45=5,0,(AC45+AF45/12)*12*BASE!$C$7))</f>
        <v>1114560</v>
      </c>
      <c r="AM45" s="14">
        <f>IF(I45=0,0,IF(G45=5,0,(AC45+AF45/12)*12*BASE!$C$9))</f>
        <v>48483.360000000001</v>
      </c>
      <c r="AN45" s="403">
        <f>IF(I45=0,0,IF(G45=5,0,(AD45+AF45+AG45)*BASE!$C$10))</f>
        <v>835790.99999999988</v>
      </c>
      <c r="AO45" s="813">
        <f t="shared" si="17"/>
        <v>12926028.248888887</v>
      </c>
      <c r="AP45" s="656">
        <f t="shared" si="16"/>
        <v>1.4692341550033972</v>
      </c>
      <c r="AQ45" s="1104"/>
      <c r="AR45" s="1105"/>
      <c r="CG45" s="179">
        <v>0</v>
      </c>
      <c r="CH45" s="181">
        <v>1</v>
      </c>
      <c r="CI45" s="182" t="s">
        <v>168</v>
      </c>
    </row>
    <row r="46" spans="1:87" ht="13.5" customHeight="1" outlineLevel="1" x14ac:dyDescent="0.2">
      <c r="A46" s="365" t="s">
        <v>561</v>
      </c>
      <c r="B46" s="461" t="s">
        <v>956</v>
      </c>
      <c r="C46" s="413"/>
      <c r="D46" s="417">
        <f>IF(E46="","",VLOOKUP(E46,BASE!$F$20:$H$25,2,FALSE))</f>
        <v>4</v>
      </c>
      <c r="E46" s="393" t="s">
        <v>540</v>
      </c>
      <c r="F46" s="421" t="s">
        <v>547</v>
      </c>
      <c r="G46" s="422">
        <f>IF(F46="","",VLOOKUP(F46,BASE!$B$15:$C$18,2,FALSE))</f>
        <v>3</v>
      </c>
      <c r="H46" s="355">
        <v>40</v>
      </c>
      <c r="I46" s="410">
        <f t="shared" si="6"/>
        <v>40</v>
      </c>
      <c r="J46" s="354">
        <v>12</v>
      </c>
      <c r="K46" s="354">
        <v>2</v>
      </c>
      <c r="L46" s="393">
        <v>2</v>
      </c>
      <c r="M46" s="354"/>
      <c r="N46" s="393">
        <v>2</v>
      </c>
      <c r="O46" s="355">
        <f t="shared" si="7"/>
        <v>18</v>
      </c>
      <c r="P46" s="354">
        <v>5</v>
      </c>
      <c r="Q46" s="354">
        <v>7</v>
      </c>
      <c r="R46" s="355">
        <f t="shared" si="8"/>
        <v>12</v>
      </c>
      <c r="S46" s="354"/>
      <c r="T46" s="354"/>
      <c r="U46" s="354"/>
      <c r="V46" s="355">
        <f t="shared" si="9"/>
        <v>0</v>
      </c>
      <c r="W46" s="354">
        <v>10</v>
      </c>
      <c r="X46" s="461">
        <f t="shared" si="10"/>
        <v>40</v>
      </c>
      <c r="Y46" s="18" t="str">
        <f t="shared" si="11"/>
        <v xml:space="preserve">OK </v>
      </c>
      <c r="Z46" s="397" t="str">
        <f t="shared" si="12"/>
        <v xml:space="preserve"> </v>
      </c>
      <c r="AA46" s="462">
        <f>ROUND((IF(D46=1,(BASE!$G$51*I46),IF(D46=2,(BASE!$G$52*I46),IF(D46=3,(BASE!$G$53*I46),IF(D46=4,(BASE!$G$54*I46),IF(D46=5,(BASE!$G$55*I46),IF(D46=6,(BASE!$G$56*I46),0)))))))/1000,0)*1000</f>
        <v>4456000</v>
      </c>
      <c r="AB46" s="399">
        <v>0</v>
      </c>
      <c r="AC46" s="462">
        <f t="shared" si="13"/>
        <v>4456000</v>
      </c>
      <c r="AD46" s="462">
        <f>IF(G46=3,AC46*BASE!$I$62,IF(G46=1,AC46*(BASE!$I$61),IF(G46=2,AC46*(BASE!$I$63),AC46*BASE!$I$64)))</f>
        <v>47679200</v>
      </c>
      <c r="AE46" s="402">
        <f>IF(I46&lt;10,0,IF(AC46&lt;=BASE!$C$3*2,BASE!$C$2,0)*(AD46/AC46))</f>
        <v>0</v>
      </c>
      <c r="AF46" s="13">
        <v>0</v>
      </c>
      <c r="AG46" s="14">
        <f t="shared" si="4"/>
        <v>2648844.4444444445</v>
      </c>
      <c r="AH46" s="14">
        <f t="shared" si="14"/>
        <v>4194004</v>
      </c>
      <c r="AI46" s="14">
        <f t="shared" si="15"/>
        <v>4194003.7037037034</v>
      </c>
      <c r="AJ46" s="14">
        <f t="shared" si="5"/>
        <v>461340.40740740736</v>
      </c>
      <c r="AK46" s="14">
        <f>IF(I46=0,0,IF(G46=5,0,(AC46+AF46/12)*12*BASE!$C$5))</f>
        <v>4545120</v>
      </c>
      <c r="AL46" s="14">
        <f>IF(I46=0,0,IF(G46=5,0,(AC46+AF46/12)*12*BASE!$C$7))</f>
        <v>6416640</v>
      </c>
      <c r="AM46" s="14">
        <f>IF(I46=0,0,IF(G46=5,0,(AC46+AF46/12)*12*BASE!$C$9))</f>
        <v>279123.83999999997</v>
      </c>
      <c r="AN46" s="403">
        <f>IF(I46=0,0,IF(G46=5,0,(AD46+AF46+AG46)*BASE!$C$10))</f>
        <v>4529524</v>
      </c>
      <c r="AO46" s="813">
        <f t="shared" si="17"/>
        <v>74947800.395555556</v>
      </c>
      <c r="AP46" s="656">
        <f t="shared" si="16"/>
        <v>1.571918161285331</v>
      </c>
      <c r="AQ46" s="1104"/>
      <c r="AR46" s="1105"/>
      <c r="CG46" s="179">
        <v>0</v>
      </c>
      <c r="CH46" s="181">
        <v>1</v>
      </c>
      <c r="CI46" s="182" t="s">
        <v>168</v>
      </c>
    </row>
    <row r="47" spans="1:87" ht="13.5" customHeight="1" outlineLevel="1" x14ac:dyDescent="0.2">
      <c r="A47" s="365" t="s">
        <v>561</v>
      </c>
      <c r="B47" s="461" t="s">
        <v>957</v>
      </c>
      <c r="C47" s="413"/>
      <c r="D47" s="417">
        <f>IF(E47="","",VLOOKUP(E47,BASE!$F$20:$H$25,2,FALSE))</f>
        <v>3</v>
      </c>
      <c r="E47" s="393" t="s">
        <v>541</v>
      </c>
      <c r="F47" s="421" t="s">
        <v>805</v>
      </c>
      <c r="G47" s="422">
        <f>IF(F47="","",VLOOKUP(F47,BASE!$B$15:$C$18,2,FALSE))</f>
        <v>4</v>
      </c>
      <c r="H47" s="355">
        <v>36</v>
      </c>
      <c r="I47" s="410">
        <f t="shared" si="6"/>
        <v>36</v>
      </c>
      <c r="J47" s="354"/>
      <c r="K47" s="354"/>
      <c r="L47" s="354"/>
      <c r="M47" s="354"/>
      <c r="N47" s="354"/>
      <c r="O47" s="355">
        <f t="shared" si="7"/>
        <v>0</v>
      </c>
      <c r="P47" s="354">
        <v>5</v>
      </c>
      <c r="Q47" s="354">
        <v>16</v>
      </c>
      <c r="R47" s="355">
        <f t="shared" si="8"/>
        <v>21</v>
      </c>
      <c r="S47" s="354"/>
      <c r="T47" s="354"/>
      <c r="U47" s="354"/>
      <c r="V47" s="355">
        <f t="shared" si="9"/>
        <v>0</v>
      </c>
      <c r="W47" s="393">
        <v>15</v>
      </c>
      <c r="X47" s="461">
        <f t="shared" si="10"/>
        <v>36</v>
      </c>
      <c r="Y47" s="18" t="str">
        <f t="shared" si="11"/>
        <v xml:space="preserve">OK </v>
      </c>
      <c r="Z47" s="397" t="str">
        <f t="shared" si="12"/>
        <v xml:space="preserve"> </v>
      </c>
      <c r="AA47" s="462">
        <f>ROUND((IF(D47=1,(BASE!$G$51*I47),IF(D47=2,(BASE!$G$52*I47),IF(D47=3,(BASE!$G$53*I47),IF(D47=4,(BASE!$G$54*I47),IF(D47=5,(BASE!$G$55*I47),IF(D47=6,(BASE!$G$56*I47),0)))))))/1000,0)*1000</f>
        <v>4925000</v>
      </c>
      <c r="AB47" s="399">
        <v>0</v>
      </c>
      <c r="AC47" s="462">
        <f t="shared" si="13"/>
        <v>4925000</v>
      </c>
      <c r="AD47" s="462">
        <f>IF(G47=3,AC47*BASE!$I$62,IF(G47=1,AC47*(BASE!$I$61),IF(G47=2,AC47*(BASE!$I$63),AC47*BASE!$I$64)))</f>
        <v>55980833.333333336</v>
      </c>
      <c r="AE47" s="402">
        <f>IF(I47&lt;10,0,IF(AC47&lt;=BASE!$C$3*2,BASE!$C$2,0)*(AD47/AC47))</f>
        <v>0</v>
      </c>
      <c r="AF47" s="13">
        <v>0</v>
      </c>
      <c r="AG47" s="14">
        <f t="shared" si="4"/>
        <v>3110046.2962962966</v>
      </c>
      <c r="AH47" s="14">
        <f t="shared" si="14"/>
        <v>4924240</v>
      </c>
      <c r="AI47" s="14">
        <f t="shared" si="15"/>
        <v>4924239.9691358032</v>
      </c>
      <c r="AJ47" s="14">
        <f t="shared" si="5"/>
        <v>590908.79629629641</v>
      </c>
      <c r="AK47" s="14">
        <f>IF(I47=0,0,IF(G47=5,0,(AC47+AF47/12)*12*BASE!$C$5))</f>
        <v>5023500</v>
      </c>
      <c r="AL47" s="14">
        <f>IF(I47=0,0,IF(G47=5,0,(AC47+AF47/12)*12*BASE!$C$7))</f>
        <v>7092000</v>
      </c>
      <c r="AM47" s="14">
        <f>IF(I47=0,0,IF(G47=5,0,(AC47+AF47/12)*12*BASE!$C$9))</f>
        <v>308502</v>
      </c>
      <c r="AN47" s="403">
        <f>IF(I47=0,0,IF(G47=5,0,(AD47+AF47+AG47)*BASE!$C$10))</f>
        <v>5318179.166666667</v>
      </c>
      <c r="AO47" s="813">
        <f t="shared" si="17"/>
        <v>87272449.561728403</v>
      </c>
      <c r="AP47" s="656">
        <f t="shared" si="16"/>
        <v>1.5589701754182843</v>
      </c>
      <c r="AQ47" s="1104"/>
      <c r="AR47" s="1105"/>
      <c r="CG47" s="179">
        <v>0</v>
      </c>
      <c r="CH47" s="181">
        <v>1</v>
      </c>
      <c r="CI47" s="182" t="s">
        <v>168</v>
      </c>
    </row>
    <row r="48" spans="1:87" ht="13.5" customHeight="1" outlineLevel="1" x14ac:dyDescent="0.2">
      <c r="A48" s="365" t="s">
        <v>561</v>
      </c>
      <c r="B48" s="461" t="s">
        <v>958</v>
      </c>
      <c r="C48" s="413"/>
      <c r="D48" s="417">
        <f>IF(E48="","",VLOOKUP(E48,BASE!$F$20:$H$25,2,FALSE))</f>
        <v>4</v>
      </c>
      <c r="E48" s="393" t="s">
        <v>540</v>
      </c>
      <c r="F48" s="421" t="s">
        <v>547</v>
      </c>
      <c r="G48" s="422">
        <f>IF(F48="","",VLOOKUP(F48,BASE!$B$15:$C$18,2,FALSE))</f>
        <v>3</v>
      </c>
      <c r="H48" s="355">
        <v>40</v>
      </c>
      <c r="I48" s="410">
        <v>30</v>
      </c>
      <c r="J48" s="354">
        <v>10</v>
      </c>
      <c r="K48" s="354">
        <v>2</v>
      </c>
      <c r="L48" s="393">
        <v>3</v>
      </c>
      <c r="M48" s="393">
        <v>2</v>
      </c>
      <c r="N48" s="354"/>
      <c r="O48" s="355">
        <f t="shared" si="7"/>
        <v>17</v>
      </c>
      <c r="P48" s="354"/>
      <c r="Q48" s="354"/>
      <c r="R48" s="355">
        <f t="shared" si="8"/>
        <v>0</v>
      </c>
      <c r="S48" s="354">
        <v>10</v>
      </c>
      <c r="T48" s="354"/>
      <c r="U48" s="354"/>
      <c r="V48" s="355">
        <f t="shared" si="9"/>
        <v>10</v>
      </c>
      <c r="W48" s="393">
        <v>3</v>
      </c>
      <c r="X48" s="461">
        <f t="shared" si="10"/>
        <v>30</v>
      </c>
      <c r="Y48" s="18" t="str">
        <f t="shared" si="11"/>
        <v xml:space="preserve">OK </v>
      </c>
      <c r="Z48" s="397" t="str">
        <f t="shared" si="12"/>
        <v>JUSTIFICAR</v>
      </c>
      <c r="AA48" s="462">
        <f>ROUND((IF(D48=1,(BASE!$G$51*I48),IF(D48=2,(BASE!$G$52*I48),IF(D48=3,(BASE!$G$53*I48),IF(D48=4,(BASE!$G$54*I48),IF(D48=5,(BASE!$G$55*I48),IF(D48=6,(BASE!$G$56*I48),0)))))))/1000,0)*1000</f>
        <v>3342000</v>
      </c>
      <c r="AB48" s="399">
        <v>0</v>
      </c>
      <c r="AC48" s="462">
        <f t="shared" si="13"/>
        <v>3342000</v>
      </c>
      <c r="AD48" s="462">
        <f>IF(G48=3,AC48*BASE!$I$62,IF(G48=1,AC48*(BASE!$I$61),IF(G48=2,AC48*(BASE!$I$63),AC48*BASE!$I$64)))</f>
        <v>35759400</v>
      </c>
      <c r="AE48" s="402">
        <f>IF(I48&lt;10,0,IF(AC48&lt;=BASE!$C$3*2,BASE!$C$2,0)*(AD48/AC48))</f>
        <v>0</v>
      </c>
      <c r="AF48" s="13">
        <v>0</v>
      </c>
      <c r="AG48" s="14">
        <f t="shared" si="4"/>
        <v>1986633.3333333333</v>
      </c>
      <c r="AH48" s="14">
        <f t="shared" si="14"/>
        <v>3145503</v>
      </c>
      <c r="AI48" s="14">
        <f t="shared" si="15"/>
        <v>3145502.777777778</v>
      </c>
      <c r="AJ48" s="14">
        <f t="shared" si="5"/>
        <v>346005.30555555556</v>
      </c>
      <c r="AK48" s="14">
        <f>IF(I48=0,0,IF(G48=5,0,(AC48+AF48/12)*12*BASE!$C$5))</f>
        <v>3408840.0000000005</v>
      </c>
      <c r="AL48" s="14">
        <f>IF(I48=0,0,IF(G48=5,0,(AC48+AF48/12)*12*BASE!$C$7))</f>
        <v>4812480</v>
      </c>
      <c r="AM48" s="14">
        <f>IF(I48=0,0,IF(G48=5,0,(AC48+AF48/12)*12*BASE!$C$9))</f>
        <v>209342.88</v>
      </c>
      <c r="AN48" s="403">
        <f>IF(I48=0,0,IF(G48=5,0,(AD48+AF48+AG48)*BASE!$C$10))</f>
        <v>3397143</v>
      </c>
      <c r="AO48" s="813">
        <f t="shared" si="17"/>
        <v>56210850.296666667</v>
      </c>
      <c r="AP48" s="656">
        <f t="shared" si="16"/>
        <v>1.571918161285331</v>
      </c>
      <c r="AQ48" s="1108" t="s">
        <v>1052</v>
      </c>
      <c r="AR48" s="1105"/>
      <c r="CG48" s="179">
        <v>0</v>
      </c>
      <c r="CH48" s="181">
        <v>1</v>
      </c>
      <c r="CI48" s="182" t="s">
        <v>168</v>
      </c>
    </row>
    <row r="49" spans="1:87" s="1028" customFormat="1" ht="13.5" customHeight="1" outlineLevel="1" x14ac:dyDescent="0.2">
      <c r="A49" s="1015" t="s">
        <v>561</v>
      </c>
      <c r="B49" s="1016" t="s">
        <v>959</v>
      </c>
      <c r="C49" s="1017"/>
      <c r="D49" s="1018">
        <f>IF(E49="","",VLOOKUP(E49,BASE!$F$20:$H$25,2,FALSE))</f>
        <v>3</v>
      </c>
      <c r="E49" s="1019" t="s">
        <v>541</v>
      </c>
      <c r="F49" s="1020" t="s">
        <v>805</v>
      </c>
      <c r="G49" s="1021">
        <f>IF(F49="","",VLOOKUP(F49,BASE!$B$15:$C$18,2,FALSE))</f>
        <v>4</v>
      </c>
      <c r="H49" s="1019">
        <v>25</v>
      </c>
      <c r="I49" s="1016">
        <v>0</v>
      </c>
      <c r="J49" s="1019"/>
      <c r="K49" s="1019"/>
      <c r="L49" s="1019"/>
      <c r="M49" s="1019"/>
      <c r="N49" s="1019"/>
      <c r="O49" s="1019">
        <f t="shared" si="7"/>
        <v>0</v>
      </c>
      <c r="P49" s="1019"/>
      <c r="Q49" s="1019"/>
      <c r="R49" s="1019">
        <f t="shared" si="8"/>
        <v>0</v>
      </c>
      <c r="S49" s="1019"/>
      <c r="T49" s="1019"/>
      <c r="U49" s="1019"/>
      <c r="V49" s="1019">
        <f t="shared" si="9"/>
        <v>0</v>
      </c>
      <c r="W49" s="1019"/>
      <c r="X49" s="1016">
        <f t="shared" si="10"/>
        <v>0</v>
      </c>
      <c r="Y49" s="1022" t="str">
        <f t="shared" si="11"/>
        <v xml:space="preserve">OK </v>
      </c>
      <c r="Z49" s="1022" t="str">
        <f t="shared" si="12"/>
        <v>JUSTIFICAR</v>
      </c>
      <c r="AA49" s="1023">
        <f>ROUND((IF(D49=1,(BASE!$G$51*I49),IF(D49=2,(BASE!$G$52*I49),IF(D49=3,(BASE!$G$53*I49),IF(D49=4,(BASE!$G$54*I49),IF(D49=5,(BASE!$G$55*I49),IF(D49=6,(BASE!$G$56*I49),0)))))))/1000,0)*1000</f>
        <v>0</v>
      </c>
      <c r="AB49" s="1023">
        <v>0</v>
      </c>
      <c r="AC49" s="1023">
        <f t="shared" si="13"/>
        <v>0</v>
      </c>
      <c r="AD49" s="1023">
        <f>IF(G49=3,AC49*BASE!$I$62,IF(G49=1,AC49*(BASE!$I$61),IF(G49=2,AC49*(BASE!$I$63),AC49*BASE!$I$64)))</f>
        <v>0</v>
      </c>
      <c r="AE49" s="1024">
        <f>IF(I49&lt;10,0,IF(AC49&lt;=BASE!$C$3*2,BASE!$C$2,0)*(AD49/AC49))</f>
        <v>0</v>
      </c>
      <c r="AF49" s="1022">
        <v>0</v>
      </c>
      <c r="AG49" s="1023">
        <f t="shared" si="4"/>
        <v>0</v>
      </c>
      <c r="AH49" s="1023">
        <f t="shared" si="14"/>
        <v>0</v>
      </c>
      <c r="AI49" s="1023">
        <f t="shared" si="15"/>
        <v>0</v>
      </c>
      <c r="AJ49" s="1023">
        <f t="shared" si="5"/>
        <v>0</v>
      </c>
      <c r="AK49" s="1023">
        <f>IF(I49=0,0,IF(G49=5,0,(AC49+AF49/12)*12*BASE!$C$5))</f>
        <v>0</v>
      </c>
      <c r="AL49" s="1023">
        <f>IF(I49=0,0,IF(G49=5,0,(AC49+AF49/12)*12*BASE!$C$7))</f>
        <v>0</v>
      </c>
      <c r="AM49" s="1023">
        <f>IF(I49=0,0,IF(G49=5,0,(AC49+AF49/12)*12*BASE!$C$9))</f>
        <v>0</v>
      </c>
      <c r="AN49" s="1025">
        <f>IF(I49=0,0,IF(G49=5,0,(AD49+AF49+AG49)*BASE!$C$10))</f>
        <v>0</v>
      </c>
      <c r="AO49" s="1026">
        <f t="shared" si="17"/>
        <v>0</v>
      </c>
      <c r="AP49" s="1027" t="str">
        <f t="shared" si="16"/>
        <v>Sin datos</v>
      </c>
      <c r="AQ49" s="1109" t="s">
        <v>1053</v>
      </c>
      <c r="AR49" s="1110"/>
      <c r="CG49" s="1029">
        <v>0</v>
      </c>
      <c r="CH49" s="1030">
        <v>1</v>
      </c>
      <c r="CI49" s="1031" t="s">
        <v>168</v>
      </c>
    </row>
    <row r="50" spans="1:87" ht="13.5" customHeight="1" outlineLevel="1" x14ac:dyDescent="0.2">
      <c r="A50" s="365" t="s">
        <v>561</v>
      </c>
      <c r="B50" s="461" t="s">
        <v>960</v>
      </c>
      <c r="C50" s="413"/>
      <c r="D50" s="417">
        <f>IF(E50="","",VLOOKUP(E50,BASE!$F$20:$H$25,2,FALSE))</f>
        <v>3</v>
      </c>
      <c r="E50" s="393" t="s">
        <v>541</v>
      </c>
      <c r="F50" s="421" t="s">
        <v>547</v>
      </c>
      <c r="G50" s="422">
        <f>IF(F50="","",VLOOKUP(F50,BASE!$B$15:$C$18,2,FALSE))</f>
        <v>3</v>
      </c>
      <c r="H50" s="355">
        <v>20</v>
      </c>
      <c r="I50" s="410">
        <f t="shared" si="6"/>
        <v>20</v>
      </c>
      <c r="J50" s="354">
        <v>12</v>
      </c>
      <c r="K50" s="354">
        <v>1</v>
      </c>
      <c r="L50" s="393">
        <v>2</v>
      </c>
      <c r="M50" s="354">
        <v>2</v>
      </c>
      <c r="N50" s="354"/>
      <c r="O50" s="355">
        <f t="shared" si="7"/>
        <v>17</v>
      </c>
      <c r="P50" s="354"/>
      <c r="Q50" s="354"/>
      <c r="R50" s="355">
        <f t="shared" si="8"/>
        <v>0</v>
      </c>
      <c r="S50" s="354"/>
      <c r="T50" s="354"/>
      <c r="U50" s="354"/>
      <c r="V50" s="355">
        <f t="shared" si="9"/>
        <v>0</v>
      </c>
      <c r="W50" s="393">
        <v>3</v>
      </c>
      <c r="X50" s="461">
        <f t="shared" si="10"/>
        <v>20</v>
      </c>
      <c r="Y50" s="18" t="str">
        <f t="shared" si="11"/>
        <v xml:space="preserve">OK </v>
      </c>
      <c r="Z50" s="397" t="str">
        <f t="shared" si="12"/>
        <v xml:space="preserve"> </v>
      </c>
      <c r="AA50" s="462">
        <f>ROUND((IF(D50=1,(BASE!$G$51*I50),IF(D50=2,(BASE!$G$52*I50),IF(D50=3,(BASE!$G$53*I50),IF(D50=4,(BASE!$G$54*I50),IF(D50=5,(BASE!$G$55*I50),IF(D50=6,(BASE!$G$56*I50),0)))))))/1000,0)*1000</f>
        <v>2736000</v>
      </c>
      <c r="AB50" s="399">
        <v>0</v>
      </c>
      <c r="AC50" s="462">
        <f t="shared" si="13"/>
        <v>2736000</v>
      </c>
      <c r="AD50" s="462">
        <f>IF(G50=3,AC50*BASE!$I$62,IF(G50=1,AC50*(BASE!$I$61),IF(G50=2,AC50*(BASE!$I$63),AC50*BASE!$I$64)))</f>
        <v>29275199.999999996</v>
      </c>
      <c r="AE50" s="402">
        <f>IF(I50&lt;10,0,IF(AC50&lt;=BASE!$C$3*2,BASE!$C$2,0)*(AD50/AC50))</f>
        <v>0</v>
      </c>
      <c r="AF50" s="13">
        <v>0</v>
      </c>
      <c r="AG50" s="14">
        <f t="shared" si="4"/>
        <v>1626399.9999999998</v>
      </c>
      <c r="AH50" s="14">
        <f t="shared" si="14"/>
        <v>2575133</v>
      </c>
      <c r="AI50" s="14">
        <f t="shared" si="15"/>
        <v>2575133.333333333</v>
      </c>
      <c r="AJ50" s="14">
        <f t="shared" si="5"/>
        <v>283264.66666666663</v>
      </c>
      <c r="AK50" s="14">
        <f>IF(I50=0,0,IF(G50=5,0,(AC50+AF50/12)*12*BASE!$C$5))</f>
        <v>2790720</v>
      </c>
      <c r="AL50" s="14">
        <f>IF(I50=0,0,IF(G50=5,0,(AC50+AF50/12)*12*BASE!$C$7))</f>
        <v>3939840</v>
      </c>
      <c r="AM50" s="14">
        <f>IF(I50=0,0,IF(G50=5,0,(AC50+AF50/12)*12*BASE!$C$9))</f>
        <v>171383.04000000001</v>
      </c>
      <c r="AN50" s="403">
        <f>IF(I50=0,0,IF(G50=5,0,(AD50+AF50+AG50)*BASE!$C$10))</f>
        <v>2781143.9999999995</v>
      </c>
      <c r="AO50" s="813">
        <f t="shared" si="17"/>
        <v>46018218.039999992</v>
      </c>
      <c r="AP50" s="656">
        <f t="shared" si="16"/>
        <v>1.5719181436847569</v>
      </c>
      <c r="AQ50" s="1104"/>
      <c r="AR50" s="1105"/>
      <c r="CG50" s="179">
        <v>0</v>
      </c>
      <c r="CH50" s="181">
        <v>1</v>
      </c>
      <c r="CI50" s="182" t="s">
        <v>168</v>
      </c>
    </row>
    <row r="51" spans="1:87" ht="13.5" customHeight="1" outlineLevel="1" x14ac:dyDescent="0.2">
      <c r="A51" s="365" t="s">
        <v>561</v>
      </c>
      <c r="B51" s="461" t="s">
        <v>961</v>
      </c>
      <c r="C51" s="413"/>
      <c r="D51" s="417">
        <f>IF(E51="","",VLOOKUP(E51,BASE!$F$20:$H$25,2,FALSE))</f>
        <v>4</v>
      </c>
      <c r="E51" s="393" t="s">
        <v>540</v>
      </c>
      <c r="F51" s="421" t="s">
        <v>547</v>
      </c>
      <c r="G51" s="422">
        <f>IF(F51="","",VLOOKUP(F51,BASE!$B$15:$C$18,2,FALSE))</f>
        <v>3</v>
      </c>
      <c r="H51" s="355">
        <v>40</v>
      </c>
      <c r="I51" s="410">
        <f t="shared" si="6"/>
        <v>40</v>
      </c>
      <c r="J51" s="393">
        <v>8</v>
      </c>
      <c r="K51" s="393">
        <v>3</v>
      </c>
      <c r="L51" s="393">
        <v>3</v>
      </c>
      <c r="M51" s="354">
        <v>2</v>
      </c>
      <c r="N51" s="354"/>
      <c r="O51" s="355">
        <f t="shared" si="7"/>
        <v>16</v>
      </c>
      <c r="P51" s="354"/>
      <c r="Q51" s="354">
        <v>18</v>
      </c>
      <c r="R51" s="355">
        <f t="shared" si="8"/>
        <v>18</v>
      </c>
      <c r="S51" s="354"/>
      <c r="T51" s="354"/>
      <c r="U51" s="354"/>
      <c r="V51" s="355">
        <f t="shared" si="9"/>
        <v>0</v>
      </c>
      <c r="W51" s="393">
        <v>6</v>
      </c>
      <c r="X51" s="461">
        <f t="shared" si="10"/>
        <v>40</v>
      </c>
      <c r="Y51" s="18" t="str">
        <f t="shared" si="11"/>
        <v xml:space="preserve">OK </v>
      </c>
      <c r="Z51" s="397" t="str">
        <f t="shared" si="12"/>
        <v xml:space="preserve"> </v>
      </c>
      <c r="AA51" s="462">
        <f>ROUND((IF(D51=1,(BASE!$G$51*I51),IF(D51=2,(BASE!$G$52*I51),IF(D51=3,(BASE!$G$53*I51),IF(D51=4,(BASE!$G$54*I51),IF(D51=5,(BASE!$G$55*I51),IF(D51=6,(BASE!$G$56*I51),0)))))))/1000,0)*1000</f>
        <v>4456000</v>
      </c>
      <c r="AB51" s="399">
        <v>0</v>
      </c>
      <c r="AC51" s="462">
        <f t="shared" si="13"/>
        <v>4456000</v>
      </c>
      <c r="AD51" s="462">
        <f>IF(G51=3,AC51*BASE!$I$62,IF(G51=1,AC51*(BASE!$I$61),IF(G51=2,AC51*(BASE!$I$63),AC51*BASE!$I$64)))</f>
        <v>47679200</v>
      </c>
      <c r="AE51" s="402">
        <f>IF(I51&lt;10,0,IF(AC51&lt;=BASE!$C$3*2,BASE!$C$2,0)*(AD51/AC51))</f>
        <v>0</v>
      </c>
      <c r="AF51" s="13">
        <v>0</v>
      </c>
      <c r="AG51" s="14">
        <f t="shared" si="4"/>
        <v>2648844.4444444445</v>
      </c>
      <c r="AH51" s="14">
        <f t="shared" si="14"/>
        <v>4194004</v>
      </c>
      <c r="AI51" s="14">
        <f t="shared" si="15"/>
        <v>4194003.7037037034</v>
      </c>
      <c r="AJ51" s="14">
        <f t="shared" si="5"/>
        <v>461340.40740740736</v>
      </c>
      <c r="AK51" s="14">
        <f>IF(I51=0,0,IF(G51=5,0,(AC51+AF51/12)*12*BASE!$C$5))</f>
        <v>4545120</v>
      </c>
      <c r="AL51" s="14">
        <f>IF(I51=0,0,IF(G51=5,0,(AC51+AF51/12)*12*BASE!$C$7))</f>
        <v>6416640</v>
      </c>
      <c r="AM51" s="14">
        <f>IF(I51=0,0,IF(G51=5,0,(AC51+AF51/12)*12*BASE!$C$9))</f>
        <v>279123.83999999997</v>
      </c>
      <c r="AN51" s="403">
        <f>IF(I51=0,0,IF(G51=5,0,(AD51+AF51+AG51)*BASE!$C$10))</f>
        <v>4529524</v>
      </c>
      <c r="AO51" s="813">
        <f t="shared" si="17"/>
        <v>74947800.395555556</v>
      </c>
      <c r="AP51" s="656">
        <f t="shared" si="16"/>
        <v>1.571918161285331</v>
      </c>
      <c r="AQ51" s="1104"/>
      <c r="AR51" s="1105"/>
      <c r="CG51" s="179">
        <v>0</v>
      </c>
      <c r="CH51" s="181">
        <v>1</v>
      </c>
      <c r="CI51" s="182" t="s">
        <v>168</v>
      </c>
    </row>
    <row r="52" spans="1:87" ht="13.5" customHeight="1" outlineLevel="1" x14ac:dyDescent="0.2">
      <c r="A52" s="365" t="s">
        <v>561</v>
      </c>
      <c r="B52" s="461" t="s">
        <v>962</v>
      </c>
      <c r="C52" s="413"/>
      <c r="D52" s="417">
        <f>IF(E52="","",VLOOKUP(E52,BASE!$F$20:$H$25,2,FALSE))</f>
        <v>4</v>
      </c>
      <c r="E52" s="393" t="s">
        <v>540</v>
      </c>
      <c r="F52" s="421" t="s">
        <v>261</v>
      </c>
      <c r="G52" s="422">
        <f>IF(F52="","",VLOOKUP(F52,BASE!$B$15:$C$18,2,FALSE))</f>
        <v>1</v>
      </c>
      <c r="H52" s="355">
        <v>10</v>
      </c>
      <c r="I52" s="410">
        <f t="shared" si="6"/>
        <v>10</v>
      </c>
      <c r="J52" s="393">
        <v>4</v>
      </c>
      <c r="K52" s="393">
        <v>2</v>
      </c>
      <c r="L52" s="393">
        <v>2</v>
      </c>
      <c r="M52" s="354"/>
      <c r="N52" s="354"/>
      <c r="O52" s="355">
        <f t="shared" si="7"/>
        <v>8</v>
      </c>
      <c r="P52" s="354"/>
      <c r="Q52" s="354"/>
      <c r="R52" s="355">
        <f t="shared" si="8"/>
        <v>0</v>
      </c>
      <c r="S52" s="354"/>
      <c r="T52" s="354"/>
      <c r="U52" s="354"/>
      <c r="V52" s="355">
        <f t="shared" si="9"/>
        <v>0</v>
      </c>
      <c r="W52" s="393">
        <v>2</v>
      </c>
      <c r="X52" s="461">
        <f t="shared" si="10"/>
        <v>10</v>
      </c>
      <c r="Y52" s="18" t="str">
        <f t="shared" si="11"/>
        <v xml:space="preserve">OK </v>
      </c>
      <c r="Z52" s="397" t="str">
        <f t="shared" si="12"/>
        <v xml:space="preserve"> </v>
      </c>
      <c r="AA52" s="462">
        <f>ROUND((IF(D52=1,(BASE!$G$51*I52),IF(D52=2,(BASE!$G$52*I52),IF(D52=3,(BASE!$G$53*I52),IF(D52=4,(BASE!$G$54*I52),IF(D52=5,(BASE!$G$55*I52),IF(D52=6,(BASE!$G$56*I52),0)))))))/1000,0)*1000</f>
        <v>1114000</v>
      </c>
      <c r="AB52" s="399">
        <v>0</v>
      </c>
      <c r="AC52" s="462">
        <f t="shared" si="13"/>
        <v>1114000</v>
      </c>
      <c r="AD52" s="462">
        <f>IF(G52=3,AC52*BASE!$I$62,IF(G52=1,AC52*(BASE!$I$61),IF(G52=2,AC52*(BASE!$I$63),AC52*BASE!$I$64)))</f>
        <v>10991466.666666668</v>
      </c>
      <c r="AE52" s="402">
        <f>IF(I52&lt;10,0,IF(AC52&lt;=BASE!$C$3*2,BASE!$C$2,0)*(AD52/AC52))</f>
        <v>870348.53333333333</v>
      </c>
      <c r="AF52" s="13">
        <v>0</v>
      </c>
      <c r="AG52" s="14">
        <f t="shared" si="4"/>
        <v>610637.03703703708</v>
      </c>
      <c r="AH52" s="14">
        <f t="shared" si="14"/>
        <v>1039371</v>
      </c>
      <c r="AI52" s="14">
        <f t="shared" si="15"/>
        <v>1039371.0197530865</v>
      </c>
      <c r="AJ52" s="14">
        <f t="shared" si="5"/>
        <v>103937.10197530866</v>
      </c>
      <c r="AK52" s="14">
        <f>IF(I52=0,0,IF(G52=5,0,(AC52+AF52/12)*12*BASE!$C$5))</f>
        <v>1136280</v>
      </c>
      <c r="AL52" s="14">
        <f>IF(I52=0,0,IF(G52=5,0,(AC52+AF52/12)*12*BASE!$C$7))</f>
        <v>1604160</v>
      </c>
      <c r="AM52" s="14">
        <f>IF(I52=0,0,IF(G52=5,0,(AC52+AF52/12)*12*BASE!$C$9))</f>
        <v>69780.959999999992</v>
      </c>
      <c r="AN52" s="403">
        <f>IF(I52=0,0,IF(G52=5,0,(AD52+AF52+AG52)*BASE!$C$10))</f>
        <v>1044189.3333333335</v>
      </c>
      <c r="AO52" s="813">
        <f t="shared" si="17"/>
        <v>18509541.652098767</v>
      </c>
      <c r="AP52" s="656">
        <f t="shared" si="16"/>
        <v>1.6839919742678047</v>
      </c>
      <c r="AQ52" s="1104"/>
      <c r="AR52" s="1105"/>
      <c r="CG52" s="179">
        <v>0</v>
      </c>
      <c r="CH52" s="181">
        <v>1</v>
      </c>
      <c r="CI52" s="182" t="s">
        <v>168</v>
      </c>
    </row>
    <row r="53" spans="1:87" ht="13.5" customHeight="1" outlineLevel="1" x14ac:dyDescent="0.2">
      <c r="A53" s="365" t="s">
        <v>561</v>
      </c>
      <c r="B53" s="461" t="s">
        <v>963</v>
      </c>
      <c r="C53" s="413"/>
      <c r="D53" s="417">
        <f>IF(E53="","",VLOOKUP(E53,BASE!$F$20:$H$25,2,FALSE))</f>
        <v>3</v>
      </c>
      <c r="E53" s="393" t="s">
        <v>541</v>
      </c>
      <c r="F53" s="421" t="s">
        <v>805</v>
      </c>
      <c r="G53" s="422">
        <f>IF(F53="","",VLOOKUP(F53,BASE!$B$15:$C$18,2,FALSE))</f>
        <v>4</v>
      </c>
      <c r="H53" s="355">
        <v>40</v>
      </c>
      <c r="I53" s="410">
        <f t="shared" si="6"/>
        <v>40</v>
      </c>
      <c r="J53" s="393">
        <v>6</v>
      </c>
      <c r="K53" s="393">
        <v>2</v>
      </c>
      <c r="L53" s="393">
        <v>3</v>
      </c>
      <c r="M53" s="354"/>
      <c r="N53" s="354"/>
      <c r="O53" s="355">
        <f t="shared" si="7"/>
        <v>11</v>
      </c>
      <c r="P53" s="354">
        <v>15</v>
      </c>
      <c r="Q53" s="354"/>
      <c r="R53" s="355">
        <f t="shared" si="8"/>
        <v>15</v>
      </c>
      <c r="S53" s="354"/>
      <c r="T53" s="354"/>
      <c r="U53" s="354"/>
      <c r="V53" s="355">
        <f t="shared" si="9"/>
        <v>0</v>
      </c>
      <c r="W53" s="393">
        <v>14</v>
      </c>
      <c r="X53" s="461">
        <f t="shared" si="10"/>
        <v>40</v>
      </c>
      <c r="Y53" s="18" t="str">
        <f t="shared" si="11"/>
        <v xml:space="preserve">OK </v>
      </c>
      <c r="Z53" s="397" t="str">
        <f t="shared" si="12"/>
        <v xml:space="preserve"> </v>
      </c>
      <c r="AA53" s="462">
        <f>ROUND((IF(D53=1,(BASE!$G$51*I53),IF(D53=2,(BASE!$G$52*I53),IF(D53=3,(BASE!$G$53*I53),IF(D53=4,(BASE!$G$54*I53),IF(D53=5,(BASE!$G$55*I53),IF(D53=6,(BASE!$G$56*I53),0)))))))/1000,0)*1000</f>
        <v>5472000</v>
      </c>
      <c r="AB53" s="399">
        <v>0</v>
      </c>
      <c r="AC53" s="462">
        <f t="shared" si="13"/>
        <v>5472000</v>
      </c>
      <c r="AD53" s="462">
        <f>IF(G53=3,AC53*BASE!$I$62,IF(G53=1,AC53*(BASE!$I$61),IF(G53=2,AC53*(BASE!$I$63),AC53*BASE!$I$64)))</f>
        <v>62198400</v>
      </c>
      <c r="AE53" s="402">
        <f>IF(I53&lt;10,0,IF(AC53&lt;=BASE!$C$3*2,BASE!$C$2,0)*(AD53/AC53))</f>
        <v>0</v>
      </c>
      <c r="AF53" s="13">
        <v>0</v>
      </c>
      <c r="AG53" s="14">
        <f t="shared" si="4"/>
        <v>3455466.6666666665</v>
      </c>
      <c r="AH53" s="14">
        <f t="shared" si="14"/>
        <v>5471156</v>
      </c>
      <c r="AI53" s="14">
        <f t="shared" si="15"/>
        <v>5471155.555555556</v>
      </c>
      <c r="AJ53" s="14">
        <f t="shared" si="5"/>
        <v>656538.66666666674</v>
      </c>
      <c r="AK53" s="14">
        <f>IF(I53=0,0,IF(G53=5,0,(AC53+AF53/12)*12*BASE!$C$5))</f>
        <v>5581440</v>
      </c>
      <c r="AL53" s="14">
        <f>IF(I53=0,0,IF(G53=5,0,(AC53+AF53/12)*12*BASE!$C$7))</f>
        <v>7879680</v>
      </c>
      <c r="AM53" s="14">
        <f>IF(I53=0,0,IF(G53=5,0,(AC53+AF53/12)*12*BASE!$C$9))</f>
        <v>342766.08000000002</v>
      </c>
      <c r="AN53" s="403">
        <f>IF(I53=0,0,IF(G53=5,0,(AD53+AF53+AG53)*BASE!$C$10))</f>
        <v>5908848</v>
      </c>
      <c r="AO53" s="813">
        <f t="shared" si="17"/>
        <v>96965450.968888879</v>
      </c>
      <c r="AP53" s="656">
        <f t="shared" si="16"/>
        <v>1.5589701820125417</v>
      </c>
      <c r="AQ53" s="1104"/>
      <c r="AR53" s="1105"/>
      <c r="CG53" s="179">
        <v>0</v>
      </c>
      <c r="CH53" s="181">
        <v>1</v>
      </c>
      <c r="CI53" s="182" t="s">
        <v>168</v>
      </c>
    </row>
    <row r="54" spans="1:87" ht="13.5" customHeight="1" outlineLevel="1" x14ac:dyDescent="0.2">
      <c r="A54" s="365" t="s">
        <v>561</v>
      </c>
      <c r="B54" s="461" t="s">
        <v>964</v>
      </c>
      <c r="C54" s="413"/>
      <c r="D54" s="417">
        <f>IF(E54="","",VLOOKUP(E54,BASE!$F$20:$H$25,2,FALSE))</f>
        <v>3</v>
      </c>
      <c r="E54" s="393" t="s">
        <v>541</v>
      </c>
      <c r="F54" s="421" t="s">
        <v>547</v>
      </c>
      <c r="G54" s="422">
        <f>IF(F54="","",VLOOKUP(F54,BASE!$B$15:$C$18,2,FALSE))</f>
        <v>3</v>
      </c>
      <c r="H54" s="355">
        <v>40</v>
      </c>
      <c r="I54" s="410">
        <f t="shared" si="6"/>
        <v>40</v>
      </c>
      <c r="J54" s="393">
        <v>16</v>
      </c>
      <c r="K54" s="393">
        <v>3</v>
      </c>
      <c r="L54" s="393">
        <v>3</v>
      </c>
      <c r="M54" s="354"/>
      <c r="N54" s="354"/>
      <c r="O54" s="355">
        <f t="shared" si="7"/>
        <v>22</v>
      </c>
      <c r="P54" s="354"/>
      <c r="Q54" s="354">
        <v>18</v>
      </c>
      <c r="R54" s="355">
        <f t="shared" si="8"/>
        <v>18</v>
      </c>
      <c r="S54" s="354"/>
      <c r="T54" s="354"/>
      <c r="U54" s="354"/>
      <c r="V54" s="355">
        <f t="shared" si="9"/>
        <v>0</v>
      </c>
      <c r="W54" s="354"/>
      <c r="X54" s="461">
        <f t="shared" si="10"/>
        <v>40</v>
      </c>
      <c r="Y54" s="18" t="str">
        <f t="shared" si="11"/>
        <v xml:space="preserve">OK </v>
      </c>
      <c r="Z54" s="397" t="str">
        <f t="shared" si="12"/>
        <v xml:space="preserve"> </v>
      </c>
      <c r="AA54" s="462">
        <f>ROUND((IF(D54=1,(BASE!$G$51*I54),IF(D54=2,(BASE!$G$52*I54),IF(D54=3,(BASE!$G$53*I54),IF(D54=4,(BASE!$G$54*I54),IF(D54=5,(BASE!$G$55*I54),IF(D54=6,(BASE!$G$56*I54),0)))))))/1000,0)*1000</f>
        <v>5472000</v>
      </c>
      <c r="AB54" s="399">
        <v>2544000</v>
      </c>
      <c r="AC54" s="462">
        <f t="shared" si="13"/>
        <v>8016000</v>
      </c>
      <c r="AD54" s="462">
        <f>IF(G54=3,AC54*BASE!$I$62,IF(G54=1,AC54*(BASE!$I$61),IF(G54=2,AC54*(BASE!$I$63),AC54*BASE!$I$64)))</f>
        <v>85771200</v>
      </c>
      <c r="AE54" s="402">
        <f>IF(I54&lt;10,0,IF(AC54&lt;=BASE!$C$3*2,BASE!$C$2,0)*(AD54/AC54))</f>
        <v>0</v>
      </c>
      <c r="AF54" s="13">
        <v>0</v>
      </c>
      <c r="AG54" s="14">
        <f t="shared" si="4"/>
        <v>4765066.666666667</v>
      </c>
      <c r="AH54" s="14">
        <f t="shared" si="14"/>
        <v>7544689</v>
      </c>
      <c r="AI54" s="14">
        <f t="shared" si="15"/>
        <v>7544688.888888889</v>
      </c>
      <c r="AJ54" s="14">
        <f t="shared" si="5"/>
        <v>829915.77777777775</v>
      </c>
      <c r="AK54" s="14">
        <f>IF(I54=0,0,IF(G54=5,0,(AC54+AF54/12)*12*BASE!$C$5))</f>
        <v>8176320.0000000009</v>
      </c>
      <c r="AL54" s="14">
        <f>IF(I54=0,0,IF(G54=5,0,(AC54+AF54/12)*12*BASE!$C$7))</f>
        <v>11543040</v>
      </c>
      <c r="AM54" s="14">
        <f>IF(I54=0,0,IF(G54=5,0,(AC54+AF54/12)*12*BASE!$C$9))</f>
        <v>502122.23999999999</v>
      </c>
      <c r="AN54" s="403">
        <f>IF(I54=0,0,IF(G54=5,0,(AD54+AF54+AG54)*BASE!$C$10))</f>
        <v>8148264</v>
      </c>
      <c r="AO54" s="813">
        <f t="shared" si="17"/>
        <v>134825306.57333332</v>
      </c>
      <c r="AP54" s="656">
        <f t="shared" si="16"/>
        <v>1.5719181563663949</v>
      </c>
      <c r="AQ54" s="1104"/>
      <c r="AR54" s="1105"/>
      <c r="CG54" s="179">
        <v>0</v>
      </c>
      <c r="CH54" s="181">
        <v>1</v>
      </c>
      <c r="CI54" s="182" t="s">
        <v>168</v>
      </c>
    </row>
    <row r="55" spans="1:87" ht="13.5" customHeight="1" outlineLevel="1" x14ac:dyDescent="0.2">
      <c r="A55" s="365" t="s">
        <v>561</v>
      </c>
      <c r="B55" s="461"/>
      <c r="C55" s="413"/>
      <c r="D55" s="417" t="str">
        <f>IF(E55="","",VLOOKUP(E55,BASE!$F$20:$H$25,2,FALSE))</f>
        <v/>
      </c>
      <c r="E55" s="393"/>
      <c r="F55" s="421"/>
      <c r="G55" s="422" t="str">
        <f>IF(F55="","",VLOOKUP(F55,BASE!$B$15:$C$18,2,FALSE))</f>
        <v/>
      </c>
      <c r="H55" s="355">
        <v>0</v>
      </c>
      <c r="I55" s="410">
        <f t="shared" si="6"/>
        <v>0</v>
      </c>
      <c r="J55" s="354"/>
      <c r="K55" s="354"/>
      <c r="L55" s="354"/>
      <c r="M55" s="354"/>
      <c r="N55" s="354"/>
      <c r="O55" s="355">
        <f t="shared" si="7"/>
        <v>0</v>
      </c>
      <c r="P55" s="354"/>
      <c r="Q55" s="354"/>
      <c r="R55" s="355">
        <f t="shared" si="8"/>
        <v>0</v>
      </c>
      <c r="S55" s="354"/>
      <c r="T55" s="354"/>
      <c r="U55" s="354"/>
      <c r="V55" s="355">
        <f t="shared" si="9"/>
        <v>0</v>
      </c>
      <c r="W55" s="354"/>
      <c r="X55" s="461">
        <f t="shared" si="10"/>
        <v>0</v>
      </c>
      <c r="Y55" s="18" t="str">
        <f t="shared" si="11"/>
        <v xml:space="preserve">OK </v>
      </c>
      <c r="Z55" s="397" t="str">
        <f t="shared" si="12"/>
        <v xml:space="preserve"> </v>
      </c>
      <c r="AA55" s="462">
        <f>ROUND((IF(D55=1,(BASE!$G$51*I55),IF(D55=2,(BASE!$G$52*I55),IF(D55=3,(BASE!$G$53*I55),IF(D55=4,(BASE!$G$54*I55),IF(D55=5,(BASE!$G$55*I55),IF(D55=6,(BASE!$G$56*I55),0)))))))/1000,0)*1000</f>
        <v>0</v>
      </c>
      <c r="AB55" s="399">
        <v>0</v>
      </c>
      <c r="AC55" s="462">
        <f t="shared" si="13"/>
        <v>0</v>
      </c>
      <c r="AD55" s="462">
        <f>IF(G55=3,AC55*BASE!$I$62,IF(G55=1,AC55*(BASE!$I$61),IF(G55=2,AC55*(BASE!$I$63),AC55*BASE!$I$64)))</f>
        <v>0</v>
      </c>
      <c r="AE55" s="402">
        <f>IF(I55&lt;10,0,IF(AC55&lt;=BASE!$C$3*2,BASE!$C$2,0)*(AD55/AC55))</f>
        <v>0</v>
      </c>
      <c r="AF55" s="13">
        <v>0</v>
      </c>
      <c r="AG55" s="14">
        <f t="shared" si="4"/>
        <v>0</v>
      </c>
      <c r="AH55" s="14">
        <f t="shared" si="14"/>
        <v>0</v>
      </c>
      <c r="AI55" s="14">
        <f t="shared" si="15"/>
        <v>0</v>
      </c>
      <c r="AJ55" s="14">
        <f t="shared" si="5"/>
        <v>0</v>
      </c>
      <c r="AK55" s="14">
        <f>IF(I55=0,0,IF(G55=5,0,(AC55+AF55/12)*12*BASE!$C$5))</f>
        <v>0</v>
      </c>
      <c r="AL55" s="14">
        <f>IF(I55=0,0,IF(G55=5,0,(AC55+AF55/12)*12*BASE!$C$7))</f>
        <v>0</v>
      </c>
      <c r="AM55" s="14">
        <f>IF(I55=0,0,IF(G55=5,0,(AC55+AF55/12)*12*BASE!$C$9))</f>
        <v>0</v>
      </c>
      <c r="AN55" s="403">
        <f>IF(I55=0,0,IF(G55=5,0,(AD55+AF55+AG55)*BASE!$C$10))</f>
        <v>0</v>
      </c>
      <c r="AO55" s="813">
        <f t="shared" si="17"/>
        <v>0</v>
      </c>
      <c r="AP55" s="656" t="str">
        <f t="shared" si="16"/>
        <v>Sin datos</v>
      </c>
      <c r="AQ55" s="1104"/>
      <c r="AR55" s="1105"/>
      <c r="CG55" s="179">
        <v>0</v>
      </c>
      <c r="CH55" s="181">
        <v>1</v>
      </c>
      <c r="CI55" s="182" t="s">
        <v>168</v>
      </c>
    </row>
    <row r="56" spans="1:87" ht="13.5" customHeight="1" outlineLevel="1" x14ac:dyDescent="0.2">
      <c r="A56" s="365" t="s">
        <v>561</v>
      </c>
      <c r="B56" s="461"/>
      <c r="C56" s="413"/>
      <c r="D56" s="417" t="str">
        <f>IF(E56="","",VLOOKUP(E56,BASE!$F$20:$H$25,2,FALSE))</f>
        <v/>
      </c>
      <c r="E56" s="393"/>
      <c r="F56" s="421"/>
      <c r="G56" s="422" t="str">
        <f>IF(F56="","",VLOOKUP(F56,BASE!$B$15:$C$18,2,FALSE))</f>
        <v/>
      </c>
      <c r="H56" s="355">
        <v>0</v>
      </c>
      <c r="I56" s="410">
        <f t="shared" si="6"/>
        <v>0</v>
      </c>
      <c r="J56" s="354"/>
      <c r="K56" s="354"/>
      <c r="L56" s="354"/>
      <c r="M56" s="354"/>
      <c r="N56" s="354"/>
      <c r="O56" s="355">
        <f t="shared" si="7"/>
        <v>0</v>
      </c>
      <c r="P56" s="354"/>
      <c r="Q56" s="354"/>
      <c r="R56" s="355">
        <f t="shared" si="8"/>
        <v>0</v>
      </c>
      <c r="S56" s="354"/>
      <c r="T56" s="354"/>
      <c r="U56" s="354"/>
      <c r="V56" s="355">
        <f t="shared" si="9"/>
        <v>0</v>
      </c>
      <c r="W56" s="354"/>
      <c r="X56" s="461">
        <f t="shared" si="10"/>
        <v>0</v>
      </c>
      <c r="Y56" s="18" t="str">
        <f t="shared" si="11"/>
        <v xml:space="preserve">OK </v>
      </c>
      <c r="Z56" s="397" t="str">
        <f t="shared" si="12"/>
        <v xml:space="preserve"> </v>
      </c>
      <c r="AA56" s="462">
        <f>ROUND((IF(D56=1,(BASE!$G$51*I56),IF(D56=2,(BASE!$G$52*I56),IF(D56=3,(BASE!$G$53*I56),IF(D56=4,(BASE!$G$54*I56),IF(D56=5,(BASE!$G$55*I56),IF(D56=6,(BASE!$G$56*I56),0)))))))/1000,0)*1000</f>
        <v>0</v>
      </c>
      <c r="AB56" s="399">
        <v>0</v>
      </c>
      <c r="AC56" s="462">
        <f t="shared" si="13"/>
        <v>0</v>
      </c>
      <c r="AD56" s="462">
        <f>IF(G56=3,AC56*BASE!$I$62,IF(G56=1,AC56*(BASE!$I$61),IF(G56=2,AC56*(BASE!$I$63),AC56*BASE!$I$64)))</f>
        <v>0</v>
      </c>
      <c r="AE56" s="402">
        <f>IF(I56&lt;10,0,IF(AC56&lt;=BASE!$C$3*2,BASE!$C$2,0)*(AD56/AC56))</f>
        <v>0</v>
      </c>
      <c r="AF56" s="13">
        <v>0</v>
      </c>
      <c r="AG56" s="14">
        <f t="shared" si="4"/>
        <v>0</v>
      </c>
      <c r="AH56" s="14">
        <f t="shared" si="14"/>
        <v>0</v>
      </c>
      <c r="AI56" s="14">
        <f t="shared" si="15"/>
        <v>0</v>
      </c>
      <c r="AJ56" s="14">
        <f t="shared" si="5"/>
        <v>0</v>
      </c>
      <c r="AK56" s="14">
        <f>IF(I56=0,0,IF(G56=5,0,(AC56+AF56/12)*12*BASE!$C$5))</f>
        <v>0</v>
      </c>
      <c r="AL56" s="14">
        <f>IF(I56=0,0,IF(G56=5,0,(AC56+AF56/12)*12*BASE!$C$7))</f>
        <v>0</v>
      </c>
      <c r="AM56" s="14">
        <f>IF(I56=0,0,IF(G56=5,0,(AC56+AF56/12)*12*BASE!$C$9))</f>
        <v>0</v>
      </c>
      <c r="AN56" s="403">
        <f>IF(I56=0,0,IF(G56=5,0,(AD56+AF56+AG56)*BASE!$C$10))</f>
        <v>0</v>
      </c>
      <c r="AO56" s="813">
        <f t="shared" si="17"/>
        <v>0</v>
      </c>
      <c r="AP56" s="656" t="str">
        <f t="shared" si="16"/>
        <v>Sin datos</v>
      </c>
      <c r="AQ56" s="1104"/>
      <c r="AR56" s="1105"/>
      <c r="CG56" s="179">
        <v>0</v>
      </c>
      <c r="CH56" s="181">
        <v>1</v>
      </c>
      <c r="CI56" s="182" t="s">
        <v>168</v>
      </c>
    </row>
    <row r="57" spans="1:87" ht="13.5" customHeight="1" outlineLevel="1" x14ac:dyDescent="0.2">
      <c r="A57" s="365" t="s">
        <v>561</v>
      </c>
      <c r="B57" s="461"/>
      <c r="C57" s="413"/>
      <c r="D57" s="417" t="str">
        <f>IF(E57="","",VLOOKUP(E57,BASE!$F$20:$H$25,2,FALSE))</f>
        <v/>
      </c>
      <c r="E57" s="393"/>
      <c r="F57" s="421"/>
      <c r="G57" s="422" t="str">
        <f>IF(F57="","",VLOOKUP(F57,BASE!$B$15:$C$18,2,FALSE))</f>
        <v/>
      </c>
      <c r="H57" s="355">
        <v>0</v>
      </c>
      <c r="I57" s="410">
        <f t="shared" si="6"/>
        <v>0</v>
      </c>
      <c r="J57" s="354"/>
      <c r="K57" s="354"/>
      <c r="L57" s="354"/>
      <c r="M57" s="354"/>
      <c r="N57" s="354"/>
      <c r="O57" s="355">
        <f t="shared" si="7"/>
        <v>0</v>
      </c>
      <c r="P57" s="354"/>
      <c r="Q57" s="354"/>
      <c r="R57" s="355">
        <f t="shared" si="8"/>
        <v>0</v>
      </c>
      <c r="S57" s="354"/>
      <c r="T57" s="354"/>
      <c r="U57" s="354"/>
      <c r="V57" s="355">
        <f t="shared" si="9"/>
        <v>0</v>
      </c>
      <c r="W57" s="354"/>
      <c r="X57" s="461">
        <f t="shared" si="10"/>
        <v>0</v>
      </c>
      <c r="Y57" s="18" t="str">
        <f t="shared" si="11"/>
        <v xml:space="preserve">OK </v>
      </c>
      <c r="Z57" s="397" t="str">
        <f t="shared" si="12"/>
        <v xml:space="preserve"> </v>
      </c>
      <c r="AA57" s="462">
        <f>ROUND((IF(D57=1,(BASE!$G$51*I57),IF(D57=2,(BASE!$G$52*I57),IF(D57=3,(BASE!$G$53*I57),IF(D57=4,(BASE!$G$54*I57),IF(D57=5,(BASE!$G$55*I57),IF(D57=6,(BASE!$G$56*I57),0)))))))/1000,0)*1000</f>
        <v>0</v>
      </c>
      <c r="AB57" s="399">
        <v>0</v>
      </c>
      <c r="AC57" s="462">
        <f t="shared" si="13"/>
        <v>0</v>
      </c>
      <c r="AD57" s="462">
        <f>IF(G57=3,AC57*BASE!$I$62,IF(G57=1,AC57*(BASE!$I$61),IF(G57=2,AC57*(BASE!$I$63),AC57*BASE!$I$64)))</f>
        <v>0</v>
      </c>
      <c r="AE57" s="402">
        <f>IF(I57&lt;10,0,IF(AC57&lt;=BASE!$C$3*2,BASE!$C$2,0)*(AD57/AC57))</f>
        <v>0</v>
      </c>
      <c r="AF57" s="13">
        <v>0</v>
      </c>
      <c r="AG57" s="14">
        <f t="shared" si="4"/>
        <v>0</v>
      </c>
      <c r="AH57" s="14">
        <f t="shared" si="14"/>
        <v>0</v>
      </c>
      <c r="AI57" s="14">
        <f t="shared" si="15"/>
        <v>0</v>
      </c>
      <c r="AJ57" s="14">
        <f t="shared" si="5"/>
        <v>0</v>
      </c>
      <c r="AK57" s="14">
        <f>IF(I57=0,0,IF(G57=5,0,(AC57+AF57/12)*12*BASE!$C$5))</f>
        <v>0</v>
      </c>
      <c r="AL57" s="14">
        <f>IF(I57=0,0,IF(G57=5,0,(AC57+AF57/12)*12*BASE!$C$7))</f>
        <v>0</v>
      </c>
      <c r="AM57" s="14">
        <f>IF(I57=0,0,IF(G57=5,0,(AC57+AF57/12)*12*BASE!$C$9))</f>
        <v>0</v>
      </c>
      <c r="AN57" s="403">
        <f>IF(I57=0,0,IF(G57=5,0,(AD57+AF57+AG57)*BASE!$C$10))</f>
        <v>0</v>
      </c>
      <c r="AO57" s="813">
        <f t="shared" si="17"/>
        <v>0</v>
      </c>
      <c r="AP57" s="656" t="str">
        <f t="shared" si="16"/>
        <v>Sin datos</v>
      </c>
      <c r="AQ57" s="1104"/>
      <c r="AR57" s="1105"/>
      <c r="CG57" s="179">
        <v>0</v>
      </c>
      <c r="CH57" s="181">
        <v>1</v>
      </c>
      <c r="CI57" s="182" t="s">
        <v>168</v>
      </c>
    </row>
    <row r="58" spans="1:87" ht="13.5" customHeight="1" outlineLevel="1" x14ac:dyDescent="0.2">
      <c r="A58" s="365" t="s">
        <v>561</v>
      </c>
      <c r="B58" s="461"/>
      <c r="C58" s="413"/>
      <c r="D58" s="417" t="str">
        <f>IF(E58="","",VLOOKUP(E58,BASE!$F$20:$H$25,2,FALSE))</f>
        <v/>
      </c>
      <c r="E58" s="393"/>
      <c r="F58" s="421"/>
      <c r="G58" s="422" t="str">
        <f>IF(F58="","",VLOOKUP(F58,BASE!$B$15:$C$18,2,FALSE))</f>
        <v/>
      </c>
      <c r="H58" s="355">
        <v>0</v>
      </c>
      <c r="I58" s="410">
        <f t="shared" si="6"/>
        <v>0</v>
      </c>
      <c r="J58" s="354"/>
      <c r="K58" s="354"/>
      <c r="L58" s="354"/>
      <c r="M58" s="354"/>
      <c r="N58" s="354"/>
      <c r="O58" s="355">
        <f t="shared" si="7"/>
        <v>0</v>
      </c>
      <c r="P58" s="354"/>
      <c r="Q58" s="354"/>
      <c r="R58" s="355">
        <f t="shared" si="8"/>
        <v>0</v>
      </c>
      <c r="S58" s="354"/>
      <c r="T58" s="354"/>
      <c r="U58" s="354"/>
      <c r="V58" s="355">
        <f t="shared" si="9"/>
        <v>0</v>
      </c>
      <c r="W58" s="354"/>
      <c r="X58" s="461">
        <f t="shared" si="10"/>
        <v>0</v>
      </c>
      <c r="Y58" s="18" t="str">
        <f t="shared" si="11"/>
        <v xml:space="preserve">OK </v>
      </c>
      <c r="Z58" s="397" t="str">
        <f t="shared" si="12"/>
        <v xml:space="preserve"> </v>
      </c>
      <c r="AA58" s="462">
        <f>ROUND((IF(D58=1,(BASE!$G$51*I58),IF(D58=2,(BASE!$G$52*I58),IF(D58=3,(BASE!$G$53*I58),IF(D58=4,(BASE!$G$54*I58),IF(D58=5,(BASE!$G$55*I58),IF(D58=6,(BASE!$G$56*I58),0)))))))/1000,0)*1000</f>
        <v>0</v>
      </c>
      <c r="AB58" s="399">
        <v>0</v>
      </c>
      <c r="AC58" s="462">
        <f t="shared" si="13"/>
        <v>0</v>
      </c>
      <c r="AD58" s="462">
        <f>IF(G58=3,AC58*BASE!$I$62,IF(G58=1,AC58*(BASE!$I$61),IF(G58=2,AC58*(BASE!$I$63),AC58*BASE!$I$64)))</f>
        <v>0</v>
      </c>
      <c r="AE58" s="402">
        <f>IF(I58&lt;10,0,IF(AC58&lt;=BASE!$C$3*2,BASE!$C$2,0)*(AD58/AC58))</f>
        <v>0</v>
      </c>
      <c r="AF58" s="13">
        <v>0</v>
      </c>
      <c r="AG58" s="14">
        <f t="shared" si="4"/>
        <v>0</v>
      </c>
      <c r="AH58" s="14">
        <f t="shared" si="14"/>
        <v>0</v>
      </c>
      <c r="AI58" s="14">
        <f t="shared" si="15"/>
        <v>0</v>
      </c>
      <c r="AJ58" s="14">
        <f t="shared" si="5"/>
        <v>0</v>
      </c>
      <c r="AK58" s="14">
        <f>IF(I58=0,0,IF(G58=5,0,(AC58+AF58/12)*12*BASE!$C$5))</f>
        <v>0</v>
      </c>
      <c r="AL58" s="14">
        <f>IF(I58=0,0,IF(G58=5,0,(AC58+AF58/12)*12*BASE!$C$7))</f>
        <v>0</v>
      </c>
      <c r="AM58" s="14">
        <f>IF(I58=0,0,IF(G58=5,0,(AC58+AF58/12)*12*BASE!$C$9))</f>
        <v>0</v>
      </c>
      <c r="AN58" s="403">
        <f>IF(I58=0,0,IF(G58=5,0,(AD58+AF58+AG58)*BASE!$C$10))</f>
        <v>0</v>
      </c>
      <c r="AO58" s="813">
        <f t="shared" si="17"/>
        <v>0</v>
      </c>
      <c r="AP58" s="656" t="str">
        <f t="shared" si="16"/>
        <v>Sin datos</v>
      </c>
      <c r="AQ58" s="1104"/>
      <c r="AR58" s="1105"/>
      <c r="CG58" s="179">
        <v>0</v>
      </c>
      <c r="CH58" s="181">
        <v>1</v>
      </c>
      <c r="CI58" s="182" t="s">
        <v>168</v>
      </c>
    </row>
    <row r="59" spans="1:87" ht="13.5" customHeight="1" outlineLevel="1" x14ac:dyDescent="0.2">
      <c r="A59" s="365" t="s">
        <v>561</v>
      </c>
      <c r="B59" s="461"/>
      <c r="C59" s="413"/>
      <c r="D59" s="417" t="str">
        <f>IF(E59="","",VLOOKUP(E59,BASE!$F$20:$H$25,2,FALSE))</f>
        <v/>
      </c>
      <c r="E59" s="393"/>
      <c r="F59" s="421"/>
      <c r="G59" s="422" t="str">
        <f>IF(F59="","",VLOOKUP(F59,BASE!$B$15:$C$18,2,FALSE))</f>
        <v/>
      </c>
      <c r="H59" s="355">
        <v>0</v>
      </c>
      <c r="I59" s="410">
        <f t="shared" si="6"/>
        <v>0</v>
      </c>
      <c r="J59" s="354"/>
      <c r="K59" s="354"/>
      <c r="L59" s="354"/>
      <c r="M59" s="354"/>
      <c r="N59" s="354"/>
      <c r="O59" s="355">
        <f t="shared" si="7"/>
        <v>0</v>
      </c>
      <c r="P59" s="354"/>
      <c r="Q59" s="354"/>
      <c r="R59" s="355">
        <f t="shared" si="8"/>
        <v>0</v>
      </c>
      <c r="S59" s="354"/>
      <c r="T59" s="354"/>
      <c r="U59" s="354"/>
      <c r="V59" s="355">
        <f t="shared" si="9"/>
        <v>0</v>
      </c>
      <c r="W59" s="354"/>
      <c r="X59" s="461">
        <f t="shared" si="10"/>
        <v>0</v>
      </c>
      <c r="Y59" s="18" t="str">
        <f t="shared" si="11"/>
        <v xml:space="preserve">OK </v>
      </c>
      <c r="Z59" s="397" t="str">
        <f t="shared" si="12"/>
        <v xml:space="preserve"> </v>
      </c>
      <c r="AA59" s="462">
        <f>ROUND((IF(D59=1,(BASE!$G$51*I59),IF(D59=2,(BASE!$G$52*I59),IF(D59=3,(BASE!$G$53*I59),IF(D59=4,(BASE!$G$54*I59),IF(D59=5,(BASE!$G$55*I59),IF(D59=6,(BASE!$G$56*I59),0)))))))/1000,0)*1000</f>
        <v>0</v>
      </c>
      <c r="AB59" s="399">
        <v>0</v>
      </c>
      <c r="AC59" s="462">
        <f t="shared" si="13"/>
        <v>0</v>
      </c>
      <c r="AD59" s="462">
        <f>IF(G59=3,AC59*BASE!$I$62,IF(G59=1,AC59*(BASE!$I$61),IF(G59=2,AC59*(BASE!$I$63),AC59*BASE!$I$64)))</f>
        <v>0</v>
      </c>
      <c r="AE59" s="402">
        <f>IF(I59&lt;10,0,IF(AC59&lt;=BASE!$C$3*2,BASE!$C$2,0)*(AD59/AC59))</f>
        <v>0</v>
      </c>
      <c r="AF59" s="13">
        <v>0</v>
      </c>
      <c r="AG59" s="14">
        <f t="shared" si="4"/>
        <v>0</v>
      </c>
      <c r="AH59" s="14">
        <f t="shared" si="14"/>
        <v>0</v>
      </c>
      <c r="AI59" s="14">
        <f t="shared" si="15"/>
        <v>0</v>
      </c>
      <c r="AJ59" s="14">
        <f t="shared" si="5"/>
        <v>0</v>
      </c>
      <c r="AK59" s="14">
        <f>IF(I59=0,0,IF(G59=5,0,(AC59+AF59/12)*12*BASE!$C$5))</f>
        <v>0</v>
      </c>
      <c r="AL59" s="14">
        <f>IF(I59=0,0,IF(G59=5,0,(AC59+AF59/12)*12*BASE!$C$7))</f>
        <v>0</v>
      </c>
      <c r="AM59" s="14">
        <f>IF(I59=0,0,IF(G59=5,0,(AC59+AF59/12)*12*BASE!$C$9))</f>
        <v>0</v>
      </c>
      <c r="AN59" s="403">
        <f>IF(I59=0,0,IF(G59=5,0,(AD59+AF59+AG59)*BASE!$C$10))</f>
        <v>0</v>
      </c>
      <c r="AO59" s="813">
        <f t="shared" si="17"/>
        <v>0</v>
      </c>
      <c r="AP59" s="656" t="str">
        <f t="shared" si="16"/>
        <v>Sin datos</v>
      </c>
      <c r="AQ59" s="1104"/>
      <c r="AR59" s="1105"/>
      <c r="CG59" s="179">
        <v>0</v>
      </c>
      <c r="CH59" s="181">
        <v>1</v>
      </c>
      <c r="CI59" s="182" t="s">
        <v>168</v>
      </c>
    </row>
    <row r="60" spans="1:87" ht="13.5" customHeight="1" outlineLevel="1" thickBot="1" x14ac:dyDescent="0.25">
      <c r="A60" s="365" t="s">
        <v>561</v>
      </c>
      <c r="B60" s="461"/>
      <c r="C60" s="413"/>
      <c r="D60" s="417" t="str">
        <f>IF(E60="","",VLOOKUP(E60,BASE!$F$20:$H$25,2,FALSE))</f>
        <v/>
      </c>
      <c r="E60" s="393"/>
      <c r="F60" s="421"/>
      <c r="G60" s="422" t="str">
        <f>IF(F60="","",VLOOKUP(F60,BASE!$B$15:$C$18,2,FALSE))</f>
        <v/>
      </c>
      <c r="H60" s="355">
        <v>0</v>
      </c>
      <c r="I60" s="410">
        <f t="shared" si="6"/>
        <v>0</v>
      </c>
      <c r="J60" s="354"/>
      <c r="K60" s="354"/>
      <c r="L60" s="354"/>
      <c r="M60" s="354"/>
      <c r="N60" s="354"/>
      <c r="O60" s="355">
        <f t="shared" si="7"/>
        <v>0</v>
      </c>
      <c r="P60" s="354"/>
      <c r="Q60" s="354"/>
      <c r="R60" s="355">
        <f t="shared" si="8"/>
        <v>0</v>
      </c>
      <c r="S60" s="354"/>
      <c r="T60" s="354"/>
      <c r="U60" s="354"/>
      <c r="V60" s="355">
        <f t="shared" si="9"/>
        <v>0</v>
      </c>
      <c r="W60" s="354"/>
      <c r="X60" s="461">
        <f t="shared" si="10"/>
        <v>0</v>
      </c>
      <c r="Y60" s="18" t="str">
        <f t="shared" si="11"/>
        <v xml:space="preserve">OK </v>
      </c>
      <c r="Z60" s="397" t="str">
        <f t="shared" si="12"/>
        <v xml:space="preserve"> </v>
      </c>
      <c r="AA60" s="462">
        <f>ROUND((IF(D60=1,(BASE!$G$51*I60),IF(D60=2,(BASE!$G$52*I60),IF(D60=3,(BASE!$G$53*I60),IF(D60=4,(BASE!$G$54*I60),IF(D60=5,(BASE!$G$55*I60),IF(D60=6,(BASE!$G$56*I60),0)))))))/1000,0)*1000</f>
        <v>0</v>
      </c>
      <c r="AB60" s="399">
        <v>0</v>
      </c>
      <c r="AC60" s="462">
        <f t="shared" si="13"/>
        <v>0</v>
      </c>
      <c r="AD60" s="462">
        <f>IF(G60=3,AC60*BASE!$I$62,IF(G60=1,AC60*(BASE!$I$61),IF(G60=2,AC60*(BASE!$I$63),AC60*BASE!$I$64)))</f>
        <v>0</v>
      </c>
      <c r="AE60" s="402">
        <f>IF(I60&lt;10,0,IF(AC60&lt;=BASE!$C$3*2,BASE!$C$2,0)*(AD60/AC60))</f>
        <v>0</v>
      </c>
      <c r="AF60" s="13">
        <v>0</v>
      </c>
      <c r="AG60" s="14">
        <f t="shared" si="4"/>
        <v>0</v>
      </c>
      <c r="AH60" s="14">
        <f t="shared" si="14"/>
        <v>0</v>
      </c>
      <c r="AI60" s="14">
        <f t="shared" si="15"/>
        <v>0</v>
      </c>
      <c r="AJ60" s="14">
        <f t="shared" si="5"/>
        <v>0</v>
      </c>
      <c r="AK60" s="14">
        <f>IF(I60=0,0,IF(G60=5,0,(AC60+AF60/12)*12*BASE!$C$5))</f>
        <v>0</v>
      </c>
      <c r="AL60" s="14">
        <f>IF(I60=0,0,IF(G60=5,0,(AC60+AF60/12)*12*BASE!$C$7))</f>
        <v>0</v>
      </c>
      <c r="AM60" s="14">
        <f>IF(I60=0,0,IF(G60=5,0,(AC60+AF60/12)*12*BASE!$C$9))</f>
        <v>0</v>
      </c>
      <c r="AN60" s="403">
        <f>IF(I60=0,0,IF(G60=5,0,(AD60+AF60+AG60)*BASE!$C$10))</f>
        <v>0</v>
      </c>
      <c r="AO60" s="813">
        <f t="shared" si="17"/>
        <v>0</v>
      </c>
      <c r="AP60" s="656" t="str">
        <f t="shared" si="16"/>
        <v>Sin datos</v>
      </c>
      <c r="AQ60" s="1104"/>
      <c r="AR60" s="1105"/>
      <c r="CG60" s="179">
        <v>0</v>
      </c>
      <c r="CH60" s="181">
        <v>1</v>
      </c>
      <c r="CI60" s="182" t="s">
        <v>168</v>
      </c>
    </row>
    <row r="61" spans="1:87" ht="13.5" hidden="1" customHeight="1" outlineLevel="1" thickBot="1" x14ac:dyDescent="0.25">
      <c r="A61" s="365" t="s">
        <v>561</v>
      </c>
      <c r="B61" s="461"/>
      <c r="C61" s="413"/>
      <c r="D61" s="417" t="str">
        <f>IF(E61="","",VLOOKUP(E61,BASE!$F$20:$H$25,2,FALSE))</f>
        <v/>
      </c>
      <c r="E61" s="393"/>
      <c r="F61" s="421"/>
      <c r="G61" s="422" t="str">
        <f>IF(F61="","",VLOOKUP(F61,BASE!$B$15:$C$18,2,FALSE))</f>
        <v/>
      </c>
      <c r="H61" s="355">
        <v>0</v>
      </c>
      <c r="I61" s="410">
        <f t="shared" si="6"/>
        <v>0</v>
      </c>
      <c r="J61" s="354"/>
      <c r="K61" s="354"/>
      <c r="L61" s="354"/>
      <c r="M61" s="354"/>
      <c r="N61" s="354"/>
      <c r="O61" s="355">
        <f t="shared" si="7"/>
        <v>0</v>
      </c>
      <c r="P61" s="354"/>
      <c r="Q61" s="354"/>
      <c r="R61" s="355">
        <f t="shared" si="8"/>
        <v>0</v>
      </c>
      <c r="S61" s="354"/>
      <c r="T61" s="354"/>
      <c r="U61" s="354"/>
      <c r="V61" s="355">
        <f t="shared" si="9"/>
        <v>0</v>
      </c>
      <c r="W61" s="354"/>
      <c r="X61" s="461">
        <f t="shared" si="10"/>
        <v>0</v>
      </c>
      <c r="Y61" s="18" t="str">
        <f t="shared" si="11"/>
        <v xml:space="preserve">OK </v>
      </c>
      <c r="Z61" s="397" t="str">
        <f t="shared" si="12"/>
        <v xml:space="preserve"> </v>
      </c>
      <c r="AA61" s="462">
        <f>ROUND((IF(D61=1,(BASE!$G$51*I61),IF(D61=2,(BASE!$G$52*I61),IF(D61=3,(BASE!$G$53*I61),IF(D61=4,(BASE!$G$54*I61),IF(D61=5,(BASE!$G$55*I61),IF(D61=6,(BASE!$G$56*I61),0)))))))/1000,0)*1000</f>
        <v>0</v>
      </c>
      <c r="AB61" s="399">
        <v>0</v>
      </c>
      <c r="AC61" s="462">
        <f t="shared" si="13"/>
        <v>0</v>
      </c>
      <c r="AD61" s="462">
        <f>IF(G61=3,AC61*BASE!$I$62,IF(G61=1,AC61*(BASE!$I$61),IF(G61=2,AC61*(BASE!$I$63),AC61*BASE!$I$64)))</f>
        <v>0</v>
      </c>
      <c r="AE61" s="954">
        <v>-3800000</v>
      </c>
      <c r="AF61" s="13">
        <v>0</v>
      </c>
      <c r="AG61" s="14">
        <f t="shared" si="4"/>
        <v>0</v>
      </c>
      <c r="AH61" s="14">
        <v>0</v>
      </c>
      <c r="AI61" s="14">
        <v>0</v>
      </c>
      <c r="AJ61" s="14">
        <f t="shared" si="5"/>
        <v>0</v>
      </c>
      <c r="AK61" s="14">
        <f>IF(I61=0,0,IF(G61=5,0,(AC61+AF61/12)*12*BASE!$C$5))</f>
        <v>0</v>
      </c>
      <c r="AL61" s="14">
        <f>IF(I61=0,0,IF(G61=5,0,(AC61+AF61/12)*12*BASE!$C$7))</f>
        <v>0</v>
      </c>
      <c r="AM61" s="14">
        <f>IF(I61=0,0,IF(G61=5,0,(AC61+AF61/12)*12*BASE!$C$9))</f>
        <v>0</v>
      </c>
      <c r="AN61" s="403">
        <f>IF(I61=0,0,IF(G61=5,0,(AD61+AF61+AG61)*BASE!$C$10))</f>
        <v>0</v>
      </c>
      <c r="AO61" s="955">
        <f t="shared" si="17"/>
        <v>-3800000</v>
      </c>
      <c r="AP61" s="656" t="str">
        <f t="shared" si="16"/>
        <v>Sin datos</v>
      </c>
      <c r="AQ61" s="1104"/>
      <c r="AR61" s="1105"/>
      <c r="CG61" s="179">
        <v>0</v>
      </c>
      <c r="CH61" s="181">
        <v>1</v>
      </c>
      <c r="CI61" s="182" t="s">
        <v>168</v>
      </c>
    </row>
    <row r="62" spans="1:87" ht="13.5" customHeight="1" collapsed="1" thickBot="1" x14ac:dyDescent="0.25">
      <c r="A62" s="389"/>
      <c r="B62" s="1127" t="s">
        <v>824</v>
      </c>
      <c r="C62" s="1124"/>
      <c r="D62" s="1124"/>
      <c r="E62" s="1124"/>
      <c r="F62" s="1128"/>
      <c r="G62" s="561" t="s">
        <v>167</v>
      </c>
      <c r="H62" s="562">
        <f t="shared" ref="H62:W62" si="18">SUM(H22:H61)</f>
        <v>847</v>
      </c>
      <c r="I62" s="562">
        <f t="shared" si="18"/>
        <v>755</v>
      </c>
      <c r="J62" s="562">
        <f t="shared" si="18"/>
        <v>237</v>
      </c>
      <c r="K62" s="562">
        <f t="shared" si="18"/>
        <v>54</v>
      </c>
      <c r="L62" s="562">
        <f t="shared" si="18"/>
        <v>58</v>
      </c>
      <c r="M62" s="562">
        <f t="shared" si="18"/>
        <v>21</v>
      </c>
      <c r="N62" s="562">
        <f t="shared" si="18"/>
        <v>16</v>
      </c>
      <c r="O62" s="562">
        <f t="shared" si="18"/>
        <v>386</v>
      </c>
      <c r="P62" s="562">
        <f t="shared" si="18"/>
        <v>37</v>
      </c>
      <c r="Q62" s="562">
        <f t="shared" si="18"/>
        <v>75</v>
      </c>
      <c r="R62" s="562">
        <f t="shared" si="18"/>
        <v>112</v>
      </c>
      <c r="S62" s="562">
        <f t="shared" si="18"/>
        <v>10</v>
      </c>
      <c r="T62" s="562">
        <f t="shared" si="18"/>
        <v>2</v>
      </c>
      <c r="U62" s="562">
        <f t="shared" si="18"/>
        <v>0</v>
      </c>
      <c r="V62" s="562">
        <f t="shared" si="18"/>
        <v>12</v>
      </c>
      <c r="W62" s="562">
        <f t="shared" si="18"/>
        <v>245</v>
      </c>
      <c r="X62" s="562">
        <f t="shared" ref="X62" si="19">+O62+R62+V62+W62</f>
        <v>755</v>
      </c>
      <c r="Y62" s="562"/>
      <c r="Z62" s="185"/>
      <c r="AA62" s="185"/>
      <c r="AB62" s="185"/>
      <c r="AC62" s="185"/>
      <c r="AD62" s="185">
        <f t="shared" ref="AD62:AO62" si="20">SUM(AD22:AD61)</f>
        <v>1125893900</v>
      </c>
      <c r="AE62" s="404">
        <f t="shared" si="20"/>
        <v>-98078.366666667163</v>
      </c>
      <c r="AF62" s="185">
        <f t="shared" si="20"/>
        <v>0</v>
      </c>
      <c r="AG62" s="185">
        <f t="shared" si="20"/>
        <v>62549661.111111127</v>
      </c>
      <c r="AH62" s="185">
        <f t="shared" si="20"/>
        <v>99345459</v>
      </c>
      <c r="AI62" s="185">
        <f t="shared" si="20"/>
        <v>99345456.895370364</v>
      </c>
      <c r="AJ62" s="185">
        <f t="shared" si="20"/>
        <v>11386754.137799382</v>
      </c>
      <c r="AK62" s="185">
        <f t="shared" si="20"/>
        <v>103645260</v>
      </c>
      <c r="AL62" s="185">
        <f t="shared" si="20"/>
        <v>119291040</v>
      </c>
      <c r="AM62" s="185">
        <f t="shared" si="20"/>
        <v>6413521.6799999997</v>
      </c>
      <c r="AN62" s="405">
        <f t="shared" si="20"/>
        <v>106959920.5</v>
      </c>
      <c r="AO62" s="815">
        <f t="shared" si="20"/>
        <v>1734732894.9576139</v>
      </c>
      <c r="AP62" s="657">
        <f t="shared" ref="AP62:AP78" si="21">IFERROR(AO62/AD62,"Sin datos")</f>
        <v>1.5407605414307812</v>
      </c>
      <c r="AQ62" s="425"/>
      <c r="AR62" s="397"/>
    </row>
    <row r="63" spans="1:87" ht="13.5" customHeight="1" thickBot="1" x14ac:dyDescent="0.25">
      <c r="A63" s="392"/>
      <c r="B63" s="412" t="s">
        <v>605</v>
      </c>
      <c r="C63" s="479"/>
      <c r="D63" s="480"/>
      <c r="E63" s="22"/>
      <c r="F63" s="481"/>
      <c r="G63" s="23"/>
      <c r="H63" s="22"/>
      <c r="I63" s="390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359"/>
      <c r="AA63" s="359"/>
      <c r="AB63" s="359"/>
      <c r="AC63" s="22"/>
      <c r="AD63" s="22"/>
      <c r="AE63" s="481"/>
      <c r="AF63" s="22"/>
      <c r="AG63" s="22"/>
      <c r="AH63" s="22"/>
      <c r="AI63" s="22"/>
      <c r="AJ63" s="22"/>
      <c r="AK63" s="22"/>
      <c r="AL63" s="22" t="s">
        <v>169</v>
      </c>
      <c r="AM63" s="22"/>
      <c r="AN63" s="23"/>
      <c r="AO63" s="820"/>
      <c r="AP63" s="583" t="str">
        <f t="shared" si="21"/>
        <v>Sin datos</v>
      </c>
      <c r="AQ63" s="425"/>
      <c r="AR63" s="397"/>
    </row>
    <row r="64" spans="1:87" ht="13.5" customHeight="1" outlineLevel="1" x14ac:dyDescent="0.2">
      <c r="A64" s="365" t="s">
        <v>562</v>
      </c>
      <c r="B64" s="409" t="s">
        <v>1054</v>
      </c>
      <c r="C64" s="413"/>
      <c r="D64" s="418">
        <f>IF(E64="","",VLOOKUP(E64,BASE!$F$20:$H$25,2,FALSE))</f>
        <v>4</v>
      </c>
      <c r="E64" s="393" t="s">
        <v>540</v>
      </c>
      <c r="F64" s="471" t="s">
        <v>547</v>
      </c>
      <c r="G64" s="472">
        <f>IF(F64="","",VLOOKUP(F64,BASE!$B$15:$C$18,2,FALSE))</f>
        <v>3</v>
      </c>
      <c r="H64" s="353">
        <v>0</v>
      </c>
      <c r="I64" s="414">
        <v>20</v>
      </c>
      <c r="J64" s="352">
        <v>4</v>
      </c>
      <c r="K64" s="352">
        <v>1</v>
      </c>
      <c r="L64" s="352">
        <v>1</v>
      </c>
      <c r="M64" s="352"/>
      <c r="N64" s="352"/>
      <c r="O64" s="353">
        <f t="shared" ref="O64:O78" si="22">+J64+K64+L64+M64+N64</f>
        <v>6</v>
      </c>
      <c r="P64" s="352">
        <v>14</v>
      </c>
      <c r="Q64" s="352"/>
      <c r="R64" s="353">
        <f t="shared" ref="R64:R78" si="23">+P64+Q64</f>
        <v>14</v>
      </c>
      <c r="S64" s="352"/>
      <c r="T64" s="352"/>
      <c r="U64" s="352"/>
      <c r="V64" s="353">
        <f t="shared" ref="V64:V78" si="24">+S64+T64+U64</f>
        <v>0</v>
      </c>
      <c r="W64" s="352"/>
      <c r="X64" s="353">
        <f t="shared" ref="X64:X79" si="25">+O64+R64+V64+W64</f>
        <v>20</v>
      </c>
      <c r="Y64" s="192" t="str">
        <f t="shared" ref="Y64:Y78" si="26">IF(I64-X64=0,"OK ",IF(I64-X64&gt;0,"AJUSTE",IF(I64-X64&lt;0,"AJUSTE")))</f>
        <v xml:space="preserve">OK </v>
      </c>
      <c r="Z64" s="398" t="str">
        <f t="shared" ref="Z64:Z78" si="27">IF(H64-I64=0," ",IF(H64-I64&gt;0,"JUSTIFICAR","AJUSTE"))</f>
        <v>AJUSTE</v>
      </c>
      <c r="AA64" s="193">
        <f>ROUND((IF(D64=1,(BASE!$G$51*I64),IF(D64=2,(BASE!$G$52*I64),IF(D64=3,(BASE!$G$53*I64),IF(D64=4,(BASE!$G$54*I64),IF(D64=5,(BASE!$G$55*I64),IF(D64=6,(BASE!$G$56*I64),0)))))))/1000,0)*1000</f>
        <v>2228000</v>
      </c>
      <c r="AB64" s="463">
        <v>0</v>
      </c>
      <c r="AC64" s="193">
        <f>AA64+AB64</f>
        <v>2228000</v>
      </c>
      <c r="AD64" s="473">
        <f>IF(G64=3,AC64*BASE!$I$62,IF(G64=1,AC64*(BASE!$I$61),IF(G64=2,AC64*(BASE!$I$63),AC64*BASE!$I$64)))</f>
        <v>23839600</v>
      </c>
      <c r="AE64" s="400">
        <f>IF(I64&lt;10,0,IF(AC64&lt;=BASE!$C$3*2,BASE!$C$2,0)*(AD64/AC64))</f>
        <v>0</v>
      </c>
      <c r="AF64" s="388">
        <v>0</v>
      </c>
      <c r="AG64" s="387">
        <f t="shared" ref="AG64:AG78" si="28">IF(I64=0,0,IF(G64=5,0,((AD64/12)+(AF64/12))/3*2))</f>
        <v>1324422.2222222222</v>
      </c>
      <c r="AH64" s="387">
        <f t="shared" ref="AH64:AH78" si="29">ROUND((AD64/12)+(AE64/12)+(AF64/12)+(AG64/12),0)</f>
        <v>2097002</v>
      </c>
      <c r="AI64" s="387">
        <f t="shared" ref="AI64:AI78" si="30">((AD64/12)+(AE64/12)+(AF64/12)+(AG64/12))</f>
        <v>2097001.8518518517</v>
      </c>
      <c r="AJ64" s="387">
        <f t="shared" ref="AJ64:AJ78" si="31">IF(G64=3,(AI64*11%),IF(G64=4,(AI64*12%),IF(G64=2,(AI64*12%),IF(G64=1,(AI64*10%),0))))</f>
        <v>230670.20370370368</v>
      </c>
      <c r="AK64" s="387">
        <f>IF(I64=0,0,IF(G64=5,0,(AC64+AF64/12)*12*BASE!$C$5))</f>
        <v>2272560</v>
      </c>
      <c r="AL64" s="387">
        <f>IF(I64=0,0,IF(G64=5,0,(AC64+AF64/12)*12*BASE!$C$7))</f>
        <v>3208320</v>
      </c>
      <c r="AM64" s="387">
        <f>IF(I64=0,0,IF(G64=5,0,(AC64+AF64/12)*12*BASE!$C$9))</f>
        <v>139561.91999999998</v>
      </c>
      <c r="AN64" s="401">
        <f>IF(I64=0,0,IF(G64=5,0,(AD64+AF64+AG64)*BASE!$C$10))</f>
        <v>2264762</v>
      </c>
      <c r="AO64" s="819">
        <f>+AD64+AE64+AF64+AG64+AH64+AI64+AJ64+AK64+AL64+AM64+AN64</f>
        <v>37473900.197777778</v>
      </c>
      <c r="AP64" s="580">
        <f t="shared" si="21"/>
        <v>1.571918161285331</v>
      </c>
      <c r="AQ64" s="1108" t="s">
        <v>1055</v>
      </c>
      <c r="AR64" s="1105"/>
    </row>
    <row r="65" spans="1:44" ht="13.5" customHeight="1" outlineLevel="1" x14ac:dyDescent="0.2">
      <c r="A65" s="365" t="s">
        <v>563</v>
      </c>
      <c r="B65" s="993" t="s">
        <v>1056</v>
      </c>
      <c r="C65" s="413"/>
      <c r="D65" s="419">
        <f>IF(E65="","",VLOOKUP(E65,BASE!$F$20:$H$25,2,FALSE))</f>
        <v>4</v>
      </c>
      <c r="E65" s="393" t="s">
        <v>540</v>
      </c>
      <c r="F65" s="421" t="s">
        <v>547</v>
      </c>
      <c r="G65" s="422">
        <f>IF(F65="","",VLOOKUP(F65,BASE!$B$15:$C$18,2,FALSE))</f>
        <v>3</v>
      </c>
      <c r="H65" s="500">
        <v>0</v>
      </c>
      <c r="I65" s="411">
        <v>20</v>
      </c>
      <c r="J65" s="354"/>
      <c r="K65" s="354"/>
      <c r="L65" s="354"/>
      <c r="M65" s="354"/>
      <c r="N65" s="354">
        <v>10</v>
      </c>
      <c r="O65" s="355">
        <f t="shared" ref="O65:O73" si="32">+J65+K65+L65+M65+N65</f>
        <v>10</v>
      </c>
      <c r="P65" s="354">
        <v>5</v>
      </c>
      <c r="Q65" s="354"/>
      <c r="R65" s="355">
        <f t="shared" ref="R65:R73" si="33">+P65+Q65</f>
        <v>5</v>
      </c>
      <c r="S65" s="354"/>
      <c r="T65" s="354"/>
      <c r="U65" s="354"/>
      <c r="V65" s="355">
        <f t="shared" ref="V65:V73" si="34">+S65+T65+U65</f>
        <v>0</v>
      </c>
      <c r="W65" s="354">
        <v>5</v>
      </c>
      <c r="X65" s="355">
        <f t="shared" ref="X65:X73" si="35">+O65+R65+V65+W65</f>
        <v>20</v>
      </c>
      <c r="Y65" s="18" t="str">
        <f t="shared" ref="Y65:Y73" si="36">IF(I65-X65=0,"OK ",IF(I65-X65&gt;0,"AJUSTE",IF(I65-X65&lt;0,"AJUSTE")))</f>
        <v xml:space="preserve">OK </v>
      </c>
      <c r="Z65" s="397" t="str">
        <f t="shared" ref="Z65:Z73" si="37">IF(H65-I65=0," ",IF(H65-I65&gt;0,"JUSTIFICAR","AJUSTE"))</f>
        <v>AJUSTE</v>
      </c>
      <c r="AA65" s="19">
        <f>ROUND((IF(D65=1,(BASE!$G$51*I65),IF(D65=2,(BASE!$G$52*I65),IF(D65=3,(BASE!$G$53*I65),IF(D65=4,(BASE!$G$54*I65),IF(D65=5,(BASE!$G$55*I65),IF(D65=6,(BASE!$G$56*I65),0)))))))/1000,0)*1000</f>
        <v>2228000</v>
      </c>
      <c r="AB65" s="464">
        <v>0</v>
      </c>
      <c r="AC65" s="19">
        <f t="shared" ref="AC65:AC73" si="38">AA65+AB65</f>
        <v>2228000</v>
      </c>
      <c r="AD65" s="462">
        <f>IF(G65=3,AC65*BASE!$I$62,IF(G65=1,AC65*(BASE!$I$61),IF(G65=2,AC65*(BASE!$I$63),AC65*BASE!$I$64)))</f>
        <v>23839600</v>
      </c>
      <c r="AE65" s="402">
        <f>IF(I65&lt;10,0,IF(AC65&lt;=BASE!$C$3*2,BASE!$C$2,0)*(AD65/AC65))</f>
        <v>0</v>
      </c>
      <c r="AF65" s="13">
        <v>0</v>
      </c>
      <c r="AG65" s="14">
        <f t="shared" ref="AG65:AG73" si="39">IF(I65=0,0,IF(G65=5,0,((AD65/12)+(AF65/12))/3*2))</f>
        <v>1324422.2222222222</v>
      </c>
      <c r="AH65" s="14">
        <f t="shared" ref="AH65:AH73" si="40">ROUND((AD65/12)+(AE65/12)+(AF65/12)+(AG65/12),0)</f>
        <v>2097002</v>
      </c>
      <c r="AI65" s="14">
        <f t="shared" ref="AI65:AI73" si="41">((AD65/12)+(AE65/12)+(AF65/12)+(AG65/12))</f>
        <v>2097001.8518518517</v>
      </c>
      <c r="AJ65" s="14">
        <f t="shared" ref="AJ65:AJ73" si="42">IF(G65=3,(AI65*11%),IF(G65=4,(AI65*12%),IF(G65=2,(AI65*12%),IF(G65=1,(AI65*10%),0))))</f>
        <v>230670.20370370368</v>
      </c>
      <c r="AK65" s="14">
        <f>IF(I65=0,0,IF(G65=5,0,(AC65+AF65/12)*12*BASE!$C$5))</f>
        <v>2272560</v>
      </c>
      <c r="AL65" s="14">
        <f>IF(I65=0,0,IF(G65=5,0,(AC65+AF65/12)*12*BASE!$C$7))</f>
        <v>3208320</v>
      </c>
      <c r="AM65" s="14">
        <f>IF(I65=0,0,IF(G65=5,0,(AC65+AF65/12)*12*BASE!$C$9))</f>
        <v>139561.91999999998</v>
      </c>
      <c r="AN65" s="403">
        <f>IF(I65=0,0,IF(G65=5,0,(AD65+AF65+AG65)*BASE!$C$10))</f>
        <v>2264762</v>
      </c>
      <c r="AO65" s="814">
        <f t="shared" ref="AO65:AO73" si="43">+AD65+AE65+AF65+AG65+AH65+AI65+AJ65+AK65+AL65+AM65+AN65</f>
        <v>37473900.197777778</v>
      </c>
      <c r="AP65" s="813">
        <f t="shared" ref="AP65:AP73" si="44">IFERROR(AO65/AD65,"Sin datos")</f>
        <v>1.571918161285331</v>
      </c>
      <c r="AQ65" s="1108" t="s">
        <v>1057</v>
      </c>
      <c r="AR65" s="1105"/>
    </row>
    <row r="66" spans="1:44" ht="13.5" customHeight="1" outlineLevel="1" x14ac:dyDescent="0.2">
      <c r="A66" s="365" t="s">
        <v>563</v>
      </c>
      <c r="B66" s="993" t="s">
        <v>1075</v>
      </c>
      <c r="C66" s="413"/>
      <c r="D66" s="419">
        <f>IF(E66="","",VLOOKUP(E66,BASE!$F$20:$H$25,2,FALSE))</f>
        <v>4</v>
      </c>
      <c r="E66" s="393" t="s">
        <v>540</v>
      </c>
      <c r="F66" s="421" t="s">
        <v>547</v>
      </c>
      <c r="G66" s="422">
        <f>IF(F66="","",VLOOKUP(F66,BASE!$B$15:$C$18,2,FALSE))</f>
        <v>3</v>
      </c>
      <c r="H66" s="500">
        <v>0</v>
      </c>
      <c r="I66" s="411">
        <v>10</v>
      </c>
      <c r="J66" s="354"/>
      <c r="K66" s="354"/>
      <c r="L66" s="354"/>
      <c r="M66" s="354"/>
      <c r="N66" s="354"/>
      <c r="O66" s="355">
        <f t="shared" si="32"/>
        <v>0</v>
      </c>
      <c r="P66" s="354"/>
      <c r="Q66" s="354"/>
      <c r="R66" s="355">
        <f t="shared" si="33"/>
        <v>0</v>
      </c>
      <c r="S66" s="354"/>
      <c r="T66" s="354">
        <v>10</v>
      </c>
      <c r="U66" s="354"/>
      <c r="V66" s="355">
        <f t="shared" si="34"/>
        <v>10</v>
      </c>
      <c r="W66" s="354"/>
      <c r="X66" s="355">
        <f t="shared" si="35"/>
        <v>10</v>
      </c>
      <c r="Y66" s="18" t="str">
        <f t="shared" si="36"/>
        <v xml:space="preserve">OK </v>
      </c>
      <c r="Z66" s="397" t="str">
        <f t="shared" si="37"/>
        <v>AJUSTE</v>
      </c>
      <c r="AA66" s="19">
        <f>ROUND((IF(D66=1,(BASE!$G$51*I66),IF(D66=2,(BASE!$G$52*I66),IF(D66=3,(BASE!$G$53*I66),IF(D66=4,(BASE!$G$54*I66),IF(D66=5,(BASE!$G$55*I66),IF(D66=6,(BASE!$G$56*I66),0)))))))/1000,0)*1000</f>
        <v>1114000</v>
      </c>
      <c r="AB66" s="464">
        <v>0</v>
      </c>
      <c r="AC66" s="19">
        <f t="shared" si="38"/>
        <v>1114000</v>
      </c>
      <c r="AD66" s="462">
        <f>IF(G66=3,AC66*BASE!$I$62,IF(G66=1,AC66*(BASE!$I$61),IF(G66=2,AC66*(BASE!$I$63),AC66*BASE!$I$64)))</f>
        <v>11919800</v>
      </c>
      <c r="AE66" s="402">
        <f>IF(I66&lt;10,0,IF(AC66&lt;=BASE!$C$3*2,BASE!$C$2,0)*(AD66/AC66))</f>
        <v>943857.7</v>
      </c>
      <c r="AF66" s="13">
        <v>0</v>
      </c>
      <c r="AG66" s="14">
        <f t="shared" si="39"/>
        <v>662211.11111111112</v>
      </c>
      <c r="AH66" s="14">
        <f t="shared" si="40"/>
        <v>1127156</v>
      </c>
      <c r="AI66" s="14">
        <f t="shared" si="41"/>
        <v>1127155.7342592592</v>
      </c>
      <c r="AJ66" s="14">
        <f t="shared" si="42"/>
        <v>123987.13076851852</v>
      </c>
      <c r="AK66" s="14">
        <f>IF(I66=0,0,IF(G66=5,0,(AC66+AF66/12)*12*BASE!$C$5))</f>
        <v>1136280</v>
      </c>
      <c r="AL66" s="14">
        <f>IF(I66=0,0,IF(G66=5,0,(AC66+AF66/12)*12*BASE!$C$7))</f>
        <v>1604160</v>
      </c>
      <c r="AM66" s="14">
        <f>IF(I66=0,0,IF(G66=5,0,(AC66+AF66/12)*12*BASE!$C$9))</f>
        <v>69780.959999999992</v>
      </c>
      <c r="AN66" s="403">
        <f>IF(I66=0,0,IF(G66=5,0,(AD66+AF66+AG66)*BASE!$C$10))</f>
        <v>1132381</v>
      </c>
      <c r="AO66" s="814">
        <f t="shared" si="43"/>
        <v>19846769.63613889</v>
      </c>
      <c r="AP66" s="813">
        <f t="shared" si="44"/>
        <v>1.6650253893638223</v>
      </c>
      <c r="AQ66" s="1104"/>
      <c r="AR66" s="1105"/>
    </row>
    <row r="67" spans="1:44" ht="13.5" customHeight="1" outlineLevel="1" x14ac:dyDescent="0.2">
      <c r="A67" s="365" t="s">
        <v>563</v>
      </c>
      <c r="B67" s="993" t="s">
        <v>1076</v>
      </c>
      <c r="C67" s="413"/>
      <c r="D67" s="419">
        <f>IF(E67="","",VLOOKUP(E67,BASE!$F$20:$H$25,2,FALSE))</f>
        <v>4</v>
      </c>
      <c r="E67" s="393" t="s">
        <v>540</v>
      </c>
      <c r="F67" s="421" t="s">
        <v>547</v>
      </c>
      <c r="G67" s="422">
        <f>IF(F67="","",VLOOKUP(F67,BASE!$B$15:$C$18,2,FALSE))</f>
        <v>3</v>
      </c>
      <c r="H67" s="500">
        <v>0</v>
      </c>
      <c r="I67" s="411">
        <v>10</v>
      </c>
      <c r="J67" s="354"/>
      <c r="K67" s="354"/>
      <c r="L67" s="354"/>
      <c r="M67" s="354"/>
      <c r="N67" s="354"/>
      <c r="O67" s="355">
        <f t="shared" si="32"/>
        <v>0</v>
      </c>
      <c r="P67" s="354"/>
      <c r="Q67" s="354"/>
      <c r="R67" s="355">
        <f t="shared" si="33"/>
        <v>0</v>
      </c>
      <c r="S67" s="354">
        <v>10</v>
      </c>
      <c r="T67" s="354"/>
      <c r="U67" s="354"/>
      <c r="V67" s="355">
        <f t="shared" si="34"/>
        <v>10</v>
      </c>
      <c r="W67" s="354"/>
      <c r="X67" s="355">
        <f t="shared" si="35"/>
        <v>10</v>
      </c>
      <c r="Y67" s="18" t="str">
        <f t="shared" si="36"/>
        <v xml:space="preserve">OK </v>
      </c>
      <c r="Z67" s="397" t="str">
        <f t="shared" si="37"/>
        <v>AJUSTE</v>
      </c>
      <c r="AA67" s="19">
        <f>ROUND((IF(D67=1,(BASE!$G$51*I67),IF(D67=2,(BASE!$G$52*I67),IF(D67=3,(BASE!$G$53*I67),IF(D67=4,(BASE!$G$54*I67),IF(D67=5,(BASE!$G$55*I67),IF(D67=6,(BASE!$G$56*I67),0)))))))/1000,0)*1000</f>
        <v>1114000</v>
      </c>
      <c r="AB67" s="464">
        <v>0</v>
      </c>
      <c r="AC67" s="19">
        <f t="shared" si="38"/>
        <v>1114000</v>
      </c>
      <c r="AD67" s="462">
        <f>IF(G67=3,AC67*BASE!$I$62,IF(G67=1,AC67*(BASE!$I$61),IF(G67=2,AC67*(BASE!$I$63),AC67*BASE!$I$64)))</f>
        <v>11919800</v>
      </c>
      <c r="AE67" s="402">
        <f>IF(I67&lt;10,0,IF(AC67&lt;=BASE!$C$3*2,BASE!$C$2,0)*(AD67/AC67))</f>
        <v>943857.7</v>
      </c>
      <c r="AF67" s="13">
        <v>0</v>
      </c>
      <c r="AG67" s="14">
        <f t="shared" si="39"/>
        <v>662211.11111111112</v>
      </c>
      <c r="AH67" s="14">
        <f t="shared" si="40"/>
        <v>1127156</v>
      </c>
      <c r="AI67" s="14">
        <f t="shared" si="41"/>
        <v>1127155.7342592592</v>
      </c>
      <c r="AJ67" s="14">
        <f t="shared" si="42"/>
        <v>123987.13076851852</v>
      </c>
      <c r="AK67" s="14">
        <f>IF(I67=0,0,IF(G67=5,0,(AC67+AF67/12)*12*BASE!$C$5))</f>
        <v>1136280</v>
      </c>
      <c r="AL67" s="14">
        <f>IF(I67=0,0,IF(G67=5,0,(AC67+AF67/12)*12*BASE!$C$7))</f>
        <v>1604160</v>
      </c>
      <c r="AM67" s="14">
        <f>IF(I67=0,0,IF(G67=5,0,(AC67+AF67/12)*12*BASE!$C$9))</f>
        <v>69780.959999999992</v>
      </c>
      <c r="AN67" s="403">
        <f>IF(I67=0,0,IF(G67=5,0,(AD67+AF67+AG67)*BASE!$C$10))</f>
        <v>1132381</v>
      </c>
      <c r="AO67" s="814">
        <f t="shared" si="43"/>
        <v>19846769.63613889</v>
      </c>
      <c r="AP67" s="813">
        <f t="shared" si="44"/>
        <v>1.6650253893638223</v>
      </c>
      <c r="AQ67" s="1108" t="s">
        <v>1079</v>
      </c>
      <c r="AR67" s="1105"/>
    </row>
    <row r="68" spans="1:44" ht="13.5" customHeight="1" outlineLevel="1" x14ac:dyDescent="0.2">
      <c r="A68" s="365" t="s">
        <v>563</v>
      </c>
      <c r="B68" s="993" t="s">
        <v>1077</v>
      </c>
      <c r="C68" s="413"/>
      <c r="D68" s="419">
        <f>IF(E68="","",VLOOKUP(E68,BASE!$F$20:$H$25,2,FALSE))</f>
        <v>4</v>
      </c>
      <c r="E68" s="393" t="s">
        <v>540</v>
      </c>
      <c r="F68" s="421" t="s">
        <v>547</v>
      </c>
      <c r="G68" s="422">
        <f>IF(F68="","",VLOOKUP(F68,BASE!$B$15:$C$18,2,FALSE))</f>
        <v>3</v>
      </c>
      <c r="H68" s="500">
        <v>0</v>
      </c>
      <c r="I68" s="411">
        <v>20</v>
      </c>
      <c r="J68" s="354">
        <v>8</v>
      </c>
      <c r="K68" s="354">
        <v>2</v>
      </c>
      <c r="L68" s="354">
        <v>2</v>
      </c>
      <c r="M68" s="354"/>
      <c r="N68" s="354"/>
      <c r="O68" s="355">
        <f t="shared" si="32"/>
        <v>12</v>
      </c>
      <c r="P68" s="354"/>
      <c r="Q68" s="354"/>
      <c r="R68" s="355">
        <f t="shared" si="33"/>
        <v>0</v>
      </c>
      <c r="S68" s="354"/>
      <c r="T68" s="354"/>
      <c r="U68" s="354"/>
      <c r="V68" s="355">
        <f t="shared" si="34"/>
        <v>0</v>
      </c>
      <c r="W68" s="354">
        <v>8</v>
      </c>
      <c r="X68" s="355">
        <f t="shared" si="35"/>
        <v>20</v>
      </c>
      <c r="Y68" s="18" t="str">
        <f t="shared" si="36"/>
        <v xml:space="preserve">OK </v>
      </c>
      <c r="Z68" s="397" t="str">
        <f t="shared" si="37"/>
        <v>AJUSTE</v>
      </c>
      <c r="AA68" s="19">
        <f>ROUND((IF(D68=1,(BASE!$G$51*I68),IF(D68=2,(BASE!$G$52*I68),IF(D68=3,(BASE!$G$53*I68),IF(D68=4,(BASE!$G$54*I68),IF(D68=5,(BASE!$G$55*I68),IF(D68=6,(BASE!$G$56*I68),0)))))))/1000,0)*1000</f>
        <v>2228000</v>
      </c>
      <c r="AB68" s="464">
        <v>0</v>
      </c>
      <c r="AC68" s="19">
        <f t="shared" si="38"/>
        <v>2228000</v>
      </c>
      <c r="AD68" s="462">
        <f>IF(G68=3,AC68*BASE!$I$62,IF(G68=1,AC68*(BASE!$I$61),IF(G68=2,AC68*(BASE!$I$63),AC68*BASE!$I$64)))</f>
        <v>23839600</v>
      </c>
      <c r="AE68" s="402">
        <f>IF(I68&lt;10,0,IF(AC68&lt;=BASE!$C$3*2,BASE!$C$2,0)*(AD68/AC68))</f>
        <v>0</v>
      </c>
      <c r="AF68" s="13">
        <v>0</v>
      </c>
      <c r="AG68" s="14">
        <f t="shared" si="39"/>
        <v>1324422.2222222222</v>
      </c>
      <c r="AH68" s="14">
        <f t="shared" si="40"/>
        <v>2097002</v>
      </c>
      <c r="AI68" s="14">
        <f t="shared" si="41"/>
        <v>2097001.8518518517</v>
      </c>
      <c r="AJ68" s="14">
        <f t="shared" si="42"/>
        <v>230670.20370370368</v>
      </c>
      <c r="AK68" s="14">
        <f>IF(I68=0,0,IF(G68=5,0,(AC68+AF68/12)*12*BASE!$C$5))</f>
        <v>2272560</v>
      </c>
      <c r="AL68" s="14">
        <f>IF(I68=0,0,IF(G68=5,0,(AC68+AF68/12)*12*BASE!$C$7))</f>
        <v>3208320</v>
      </c>
      <c r="AM68" s="14">
        <f>IF(I68=0,0,IF(G68=5,0,(AC68+AF68/12)*12*BASE!$C$9))</f>
        <v>139561.91999999998</v>
      </c>
      <c r="AN68" s="403">
        <f>IF(I68=0,0,IF(G68=5,0,(AD68+AF68+AG68)*BASE!$C$10))</f>
        <v>2264762</v>
      </c>
      <c r="AO68" s="814">
        <f t="shared" si="43"/>
        <v>37473900.197777778</v>
      </c>
      <c r="AP68" s="813">
        <f t="shared" si="44"/>
        <v>1.571918161285331</v>
      </c>
      <c r="AQ68" s="1108" t="s">
        <v>1078</v>
      </c>
      <c r="AR68" s="1105"/>
    </row>
    <row r="69" spans="1:44" ht="13.5" customHeight="1" outlineLevel="1" x14ac:dyDescent="0.2">
      <c r="A69" s="365" t="s">
        <v>563</v>
      </c>
      <c r="B69" s="993" t="s">
        <v>1082</v>
      </c>
      <c r="C69" s="413"/>
      <c r="D69" s="419">
        <f>IF(E69="","",VLOOKUP(E69,BASE!$F$20:$H$25,2,FALSE))</f>
        <v>4</v>
      </c>
      <c r="E69" s="393" t="s">
        <v>540</v>
      </c>
      <c r="F69" s="421" t="s">
        <v>547</v>
      </c>
      <c r="G69" s="422">
        <f>IF(F69="","",VLOOKUP(F69,BASE!$B$15:$C$18,2,FALSE))</f>
        <v>3</v>
      </c>
      <c r="H69" s="500">
        <v>0</v>
      </c>
      <c r="I69" s="411">
        <v>2</v>
      </c>
      <c r="J69" s="354"/>
      <c r="K69" s="354"/>
      <c r="L69" s="354"/>
      <c r="M69" s="354"/>
      <c r="N69" s="354"/>
      <c r="O69" s="355">
        <f t="shared" si="32"/>
        <v>0</v>
      </c>
      <c r="P69" s="354"/>
      <c r="Q69" s="354"/>
      <c r="R69" s="355">
        <f t="shared" si="33"/>
        <v>0</v>
      </c>
      <c r="S69" s="354"/>
      <c r="T69" s="354"/>
      <c r="U69" s="354"/>
      <c r="V69" s="355">
        <f t="shared" si="34"/>
        <v>0</v>
      </c>
      <c r="W69" s="354"/>
      <c r="X69" s="355">
        <f t="shared" si="35"/>
        <v>0</v>
      </c>
      <c r="Y69" s="18" t="str">
        <f t="shared" si="36"/>
        <v>AJUSTE</v>
      </c>
      <c r="Z69" s="397" t="str">
        <f t="shared" si="37"/>
        <v>AJUSTE</v>
      </c>
      <c r="AA69" s="19">
        <f>ROUND((IF(D69=1,(BASE!$G$51*I69),IF(D69=2,(BASE!$G$52*I69),IF(D69=3,(BASE!$G$53*I69),IF(D69=4,(BASE!$G$54*I69),IF(D69=5,(BASE!$G$55*I69),IF(D69=6,(BASE!$G$56*I69),0)))))))/1000,0)*1000</f>
        <v>223000</v>
      </c>
      <c r="AB69" s="464">
        <v>0</v>
      </c>
      <c r="AC69" s="19">
        <f t="shared" si="38"/>
        <v>223000</v>
      </c>
      <c r="AD69" s="462">
        <f>IF(G69=3,AC69*BASE!$I$62,IF(G69=1,AC69*(BASE!$I$61),IF(G69=2,AC69*(BASE!$I$63),AC69*BASE!$I$64)))</f>
        <v>2386100</v>
      </c>
      <c r="AE69" s="402">
        <f>IF(I69&lt;10,0,IF(AC69&lt;=BASE!$C$3*2,BASE!$C$2,0)*(AD69/AC69))</f>
        <v>0</v>
      </c>
      <c r="AF69" s="13">
        <v>0</v>
      </c>
      <c r="AG69" s="14">
        <f t="shared" si="39"/>
        <v>132561.11111111109</v>
      </c>
      <c r="AH69" s="14">
        <f t="shared" si="40"/>
        <v>209888</v>
      </c>
      <c r="AI69" s="14">
        <f t="shared" si="41"/>
        <v>209888.42592592593</v>
      </c>
      <c r="AJ69" s="14">
        <f t="shared" si="42"/>
        <v>23087.72685185185</v>
      </c>
      <c r="AK69" s="14">
        <f>IF(I69=0,0,IF(G69=5,0,(AC69+AF69/12)*12*BASE!$C$5))</f>
        <v>227460.00000000003</v>
      </c>
      <c r="AL69" s="14">
        <f>IF(I69=0,0,IF(G69=5,0,(AC69+AF69/12)*12*BASE!$C$7))</f>
        <v>321120</v>
      </c>
      <c r="AM69" s="14">
        <f>IF(I69=0,0,IF(G69=5,0,(AC69+AF69/12)*12*BASE!$C$9))</f>
        <v>13968.72</v>
      </c>
      <c r="AN69" s="403">
        <f>IF(I69=0,0,IF(G69=5,0,(AD69+AF69+AG69)*BASE!$C$10))</f>
        <v>226679.49999999997</v>
      </c>
      <c r="AO69" s="814">
        <f t="shared" si="43"/>
        <v>3750753.4838888887</v>
      </c>
      <c r="AP69" s="813">
        <f t="shared" si="44"/>
        <v>1.5719179765679934</v>
      </c>
      <c r="AQ69" s="1104"/>
      <c r="AR69" s="1105"/>
    </row>
    <row r="70" spans="1:44" ht="13.5" customHeight="1" outlineLevel="1" x14ac:dyDescent="0.2">
      <c r="A70" s="365" t="s">
        <v>563</v>
      </c>
      <c r="B70" s="993" t="s">
        <v>1083</v>
      </c>
      <c r="C70" s="413"/>
      <c r="D70" s="419">
        <f>IF(E70="","",VLOOKUP(E70,BASE!$F$20:$H$25,2,FALSE))</f>
        <v>5</v>
      </c>
      <c r="E70" s="393" t="s">
        <v>539</v>
      </c>
      <c r="F70" s="421" t="s">
        <v>547</v>
      </c>
      <c r="G70" s="422">
        <f>IF(F70="","",VLOOKUP(F70,BASE!$B$15:$C$18,2,FALSE))</f>
        <v>3</v>
      </c>
      <c r="H70" s="500">
        <v>0</v>
      </c>
      <c r="I70" s="411">
        <v>10</v>
      </c>
      <c r="J70" s="354"/>
      <c r="K70" s="354"/>
      <c r="L70" s="354"/>
      <c r="M70" s="354"/>
      <c r="N70" s="354"/>
      <c r="O70" s="355">
        <f t="shared" si="32"/>
        <v>0</v>
      </c>
      <c r="P70" s="354"/>
      <c r="Q70" s="354"/>
      <c r="R70" s="355">
        <f t="shared" si="33"/>
        <v>0</v>
      </c>
      <c r="S70" s="354"/>
      <c r="T70" s="354"/>
      <c r="U70" s="354"/>
      <c r="V70" s="355">
        <f t="shared" si="34"/>
        <v>0</v>
      </c>
      <c r="W70" s="354"/>
      <c r="X70" s="355">
        <f t="shared" si="35"/>
        <v>0</v>
      </c>
      <c r="Y70" s="18" t="str">
        <f t="shared" si="36"/>
        <v>AJUSTE</v>
      </c>
      <c r="Z70" s="397" t="str">
        <f t="shared" si="37"/>
        <v>AJUSTE</v>
      </c>
      <c r="AA70" s="19">
        <f>ROUND((IF(D70=1,(BASE!$G$51*I70),IF(D70=2,(BASE!$G$52*I70),IF(D70=3,(BASE!$G$53*I70),IF(D70=4,(BASE!$G$54*I70),IF(D70=5,(BASE!$G$55*I70),IF(D70=6,(BASE!$G$56*I70),0)))))))/1000,0)*1000</f>
        <v>890000</v>
      </c>
      <c r="AB70" s="464">
        <v>0</v>
      </c>
      <c r="AC70" s="19">
        <f t="shared" si="38"/>
        <v>890000</v>
      </c>
      <c r="AD70" s="462">
        <f>IF(G70=3,AC70*BASE!$I$62,IF(G70=1,AC70*(BASE!$I$61),IF(G70=2,AC70*(BASE!$I$63),AC70*BASE!$I$64)))</f>
        <v>9523000</v>
      </c>
      <c r="AE70" s="402">
        <f>IF(I70&lt;10,0,IF(AC70&lt;=BASE!$C$3*2,BASE!$C$2,0)*(AD70/AC70))</f>
        <v>943857.7</v>
      </c>
      <c r="AF70" s="13">
        <v>0</v>
      </c>
      <c r="AG70" s="14">
        <f t="shared" si="39"/>
        <v>529055.55555555562</v>
      </c>
      <c r="AH70" s="14">
        <f t="shared" si="40"/>
        <v>916326</v>
      </c>
      <c r="AI70" s="14">
        <f t="shared" si="41"/>
        <v>916326.10462962964</v>
      </c>
      <c r="AJ70" s="14">
        <f t="shared" si="42"/>
        <v>100795.87150925926</v>
      </c>
      <c r="AK70" s="14">
        <f>IF(I70=0,0,IF(G70=5,0,(AC70+AF70/12)*12*BASE!$C$5))</f>
        <v>907800.00000000012</v>
      </c>
      <c r="AL70" s="14">
        <f>IF(I70=0,0,IF(G70=5,0,(AC70+AF70/12)*12*BASE!$C$7))</f>
        <v>1281600</v>
      </c>
      <c r="AM70" s="14">
        <f>IF(I70=0,0,IF(G70=5,0,(AC70+AF70/12)*12*BASE!$C$9))</f>
        <v>55749.599999999999</v>
      </c>
      <c r="AN70" s="403">
        <f>IF(I70=0,0,IF(G70=5,0,(AD70+AF70+AG70)*BASE!$C$10))</f>
        <v>904685</v>
      </c>
      <c r="AO70" s="814">
        <f t="shared" si="43"/>
        <v>16079195.831694445</v>
      </c>
      <c r="AP70" s="813">
        <f t="shared" si="44"/>
        <v>1.6884590813498315</v>
      </c>
      <c r="AQ70" s="1104"/>
      <c r="AR70" s="1105"/>
    </row>
    <row r="71" spans="1:44" ht="13.5" customHeight="1" outlineLevel="1" x14ac:dyDescent="0.2">
      <c r="A71" s="365" t="s">
        <v>563</v>
      </c>
      <c r="B71" s="411"/>
      <c r="C71" s="413"/>
      <c r="D71" s="419" t="str">
        <f>IF(E71="","",VLOOKUP(E71,BASE!$F$20:$H$25,2,FALSE))</f>
        <v/>
      </c>
      <c r="E71" s="393"/>
      <c r="F71" s="421"/>
      <c r="G71" s="422" t="str">
        <f>IF(F71="","",VLOOKUP(F71,BASE!$B$15:$C$18,2,FALSE))</f>
        <v/>
      </c>
      <c r="H71" s="500">
        <v>0</v>
      </c>
      <c r="I71" s="411">
        <v>0</v>
      </c>
      <c r="J71" s="354"/>
      <c r="K71" s="354"/>
      <c r="L71" s="354"/>
      <c r="M71" s="354"/>
      <c r="N71" s="354"/>
      <c r="O71" s="355">
        <f t="shared" si="32"/>
        <v>0</v>
      </c>
      <c r="P71" s="354"/>
      <c r="Q71" s="354"/>
      <c r="R71" s="355">
        <f t="shared" si="33"/>
        <v>0</v>
      </c>
      <c r="S71" s="354"/>
      <c r="T71" s="354"/>
      <c r="U71" s="354"/>
      <c r="V71" s="355">
        <f t="shared" si="34"/>
        <v>0</v>
      </c>
      <c r="W71" s="354"/>
      <c r="X71" s="355">
        <f t="shared" si="35"/>
        <v>0</v>
      </c>
      <c r="Y71" s="18" t="str">
        <f t="shared" si="36"/>
        <v xml:space="preserve">OK </v>
      </c>
      <c r="Z71" s="397" t="str">
        <f t="shared" si="37"/>
        <v xml:space="preserve"> </v>
      </c>
      <c r="AA71" s="19">
        <f>ROUND((IF(D71=1,(BASE!$G$51*I71),IF(D71=2,(BASE!$G$52*I71),IF(D71=3,(BASE!$G$53*I71),IF(D71=4,(BASE!$G$54*I71),IF(D71=5,(BASE!$G$55*I71),IF(D71=6,(BASE!$G$56*I71),0)))))))/1000,0)*1000</f>
        <v>0</v>
      </c>
      <c r="AB71" s="464">
        <v>0</v>
      </c>
      <c r="AC71" s="19">
        <f t="shared" si="38"/>
        <v>0</v>
      </c>
      <c r="AD71" s="462">
        <f>IF(G71=3,AC71*BASE!$I$62,IF(G71=1,AC71*(BASE!$I$61),IF(G71=2,AC71*(BASE!$I$63),AC71*BASE!$I$64)))</f>
        <v>0</v>
      </c>
      <c r="AE71" s="402">
        <f>IF(I71&lt;10,0,IF(AC71&lt;=BASE!$C$3*2,BASE!$C$2,0)*(AD71/AC71))</f>
        <v>0</v>
      </c>
      <c r="AF71" s="13">
        <v>0</v>
      </c>
      <c r="AG71" s="14">
        <f t="shared" si="39"/>
        <v>0</v>
      </c>
      <c r="AH71" s="14">
        <f t="shared" si="40"/>
        <v>0</v>
      </c>
      <c r="AI71" s="14">
        <f t="shared" si="41"/>
        <v>0</v>
      </c>
      <c r="AJ71" s="14">
        <f t="shared" si="42"/>
        <v>0</v>
      </c>
      <c r="AK71" s="14">
        <f>IF(I71=0,0,IF(G71=5,0,(AC71+AF71/12)*12*BASE!$C$5))</f>
        <v>0</v>
      </c>
      <c r="AL71" s="14">
        <f>IF(I71=0,0,IF(G71=5,0,(AC71+AF71/12)*12*BASE!$C$7))</f>
        <v>0</v>
      </c>
      <c r="AM71" s="14">
        <f>IF(I71=0,0,IF(G71=5,0,(AC71+AF71/12)*12*BASE!$C$9))</f>
        <v>0</v>
      </c>
      <c r="AN71" s="403">
        <f>IF(I71=0,0,IF(G71=5,0,(AD71+AF71+AG71)*BASE!$C$10))</f>
        <v>0</v>
      </c>
      <c r="AO71" s="814">
        <f t="shared" si="43"/>
        <v>0</v>
      </c>
      <c r="AP71" s="813" t="str">
        <f t="shared" si="44"/>
        <v>Sin datos</v>
      </c>
      <c r="AQ71" s="1104"/>
      <c r="AR71" s="1105"/>
    </row>
    <row r="72" spans="1:44" ht="13.5" customHeight="1" outlineLevel="1" x14ac:dyDescent="0.2">
      <c r="A72" s="365" t="s">
        <v>563</v>
      </c>
      <c r="B72" s="411"/>
      <c r="C72" s="413"/>
      <c r="D72" s="419" t="str">
        <f>IF(E72="","",VLOOKUP(E72,BASE!$F$20:$H$25,2,FALSE))</f>
        <v/>
      </c>
      <c r="E72" s="393"/>
      <c r="F72" s="421"/>
      <c r="G72" s="422" t="str">
        <f>IF(F72="","",VLOOKUP(F72,BASE!$B$15:$C$18,2,FALSE))</f>
        <v/>
      </c>
      <c r="H72" s="500">
        <v>0</v>
      </c>
      <c r="I72" s="411">
        <v>0</v>
      </c>
      <c r="J72" s="354"/>
      <c r="K72" s="354"/>
      <c r="L72" s="354"/>
      <c r="M72" s="354"/>
      <c r="N72" s="354"/>
      <c r="O72" s="355">
        <f t="shared" si="32"/>
        <v>0</v>
      </c>
      <c r="P72" s="354"/>
      <c r="Q72" s="354"/>
      <c r="R72" s="355">
        <f t="shared" si="33"/>
        <v>0</v>
      </c>
      <c r="S72" s="354"/>
      <c r="T72" s="354"/>
      <c r="U72" s="354"/>
      <c r="V72" s="355">
        <f t="shared" si="34"/>
        <v>0</v>
      </c>
      <c r="W72" s="354"/>
      <c r="X72" s="355">
        <f t="shared" si="35"/>
        <v>0</v>
      </c>
      <c r="Y72" s="18" t="str">
        <f t="shared" si="36"/>
        <v xml:space="preserve">OK </v>
      </c>
      <c r="Z72" s="397" t="str">
        <f t="shared" si="37"/>
        <v xml:space="preserve"> </v>
      </c>
      <c r="AA72" s="19">
        <f>ROUND((IF(D72=1,(BASE!$G$51*I72),IF(D72=2,(BASE!$G$52*I72),IF(D72=3,(BASE!$G$53*I72),IF(D72=4,(BASE!$G$54*I72),IF(D72=5,(BASE!$G$55*I72),IF(D72=6,(BASE!$G$56*I72),0)))))))/1000,0)*1000</f>
        <v>0</v>
      </c>
      <c r="AB72" s="464">
        <v>0</v>
      </c>
      <c r="AC72" s="19">
        <f t="shared" si="38"/>
        <v>0</v>
      </c>
      <c r="AD72" s="462">
        <f>IF(G72=3,AC72*BASE!$I$62,IF(G72=1,AC72*(BASE!$I$61),IF(G72=2,AC72*(BASE!$I$63),AC72*BASE!$I$64)))</f>
        <v>0</v>
      </c>
      <c r="AE72" s="402">
        <f>IF(I72&lt;10,0,IF(AC72&lt;=BASE!$C$3*2,BASE!$C$2,0)*(AD72/AC72))</f>
        <v>0</v>
      </c>
      <c r="AF72" s="13">
        <v>0</v>
      </c>
      <c r="AG72" s="14">
        <f t="shared" si="39"/>
        <v>0</v>
      </c>
      <c r="AH72" s="14">
        <f t="shared" si="40"/>
        <v>0</v>
      </c>
      <c r="AI72" s="14">
        <f t="shared" si="41"/>
        <v>0</v>
      </c>
      <c r="AJ72" s="14">
        <f t="shared" si="42"/>
        <v>0</v>
      </c>
      <c r="AK72" s="14">
        <f>IF(I72=0,0,IF(G72=5,0,(AC72+AF72/12)*12*BASE!$C$5))</f>
        <v>0</v>
      </c>
      <c r="AL72" s="14">
        <f>IF(I72=0,0,IF(G72=5,0,(AC72+AF72/12)*12*BASE!$C$7))</f>
        <v>0</v>
      </c>
      <c r="AM72" s="14">
        <f>IF(I72=0,0,IF(G72=5,0,(AC72+AF72/12)*12*BASE!$C$9))</f>
        <v>0</v>
      </c>
      <c r="AN72" s="403">
        <f>IF(I72=0,0,IF(G72=5,0,(AD72+AF72+AG72)*BASE!$C$10))</f>
        <v>0</v>
      </c>
      <c r="AO72" s="814">
        <f t="shared" si="43"/>
        <v>0</v>
      </c>
      <c r="AP72" s="813" t="str">
        <f t="shared" si="44"/>
        <v>Sin datos</v>
      </c>
      <c r="AQ72" s="1104"/>
      <c r="AR72" s="1105"/>
    </row>
    <row r="73" spans="1:44" ht="13.5" customHeight="1" outlineLevel="1" x14ac:dyDescent="0.2">
      <c r="A73" s="365" t="s">
        <v>563</v>
      </c>
      <c r="B73" s="411"/>
      <c r="C73" s="413"/>
      <c r="D73" s="419" t="str">
        <f>IF(E73="","",VLOOKUP(E73,BASE!$F$20:$H$25,2,FALSE))</f>
        <v/>
      </c>
      <c r="E73" s="393"/>
      <c r="F73" s="421"/>
      <c r="G73" s="422" t="str">
        <f>IF(F73="","",VLOOKUP(F73,BASE!$B$15:$C$18,2,FALSE))</f>
        <v/>
      </c>
      <c r="H73" s="500">
        <v>0</v>
      </c>
      <c r="I73" s="411">
        <v>0</v>
      </c>
      <c r="J73" s="354"/>
      <c r="K73" s="354"/>
      <c r="L73" s="354"/>
      <c r="M73" s="354"/>
      <c r="N73" s="354"/>
      <c r="O73" s="355">
        <f t="shared" si="32"/>
        <v>0</v>
      </c>
      <c r="P73" s="354"/>
      <c r="Q73" s="354"/>
      <c r="R73" s="355">
        <f t="shared" si="33"/>
        <v>0</v>
      </c>
      <c r="S73" s="354"/>
      <c r="T73" s="354"/>
      <c r="U73" s="354"/>
      <c r="V73" s="355">
        <f t="shared" si="34"/>
        <v>0</v>
      </c>
      <c r="W73" s="354"/>
      <c r="X73" s="355">
        <f t="shared" si="35"/>
        <v>0</v>
      </c>
      <c r="Y73" s="18" t="str">
        <f t="shared" si="36"/>
        <v xml:space="preserve">OK </v>
      </c>
      <c r="Z73" s="397" t="str">
        <f t="shared" si="37"/>
        <v xml:space="preserve"> </v>
      </c>
      <c r="AA73" s="19">
        <f>ROUND((IF(D73=1,(BASE!$G$51*I73),IF(D73=2,(BASE!$G$52*I73),IF(D73=3,(BASE!$G$53*I73),IF(D73=4,(BASE!$G$54*I73),IF(D73=5,(BASE!$G$55*I73),IF(D73=6,(BASE!$G$56*I73),0)))))))/1000,0)*1000</f>
        <v>0</v>
      </c>
      <c r="AB73" s="464">
        <v>0</v>
      </c>
      <c r="AC73" s="19">
        <f t="shared" si="38"/>
        <v>0</v>
      </c>
      <c r="AD73" s="462">
        <f>IF(G73=3,AC73*BASE!$I$62,IF(G73=1,AC73*(BASE!$I$61),IF(G73=2,AC73*(BASE!$I$63),AC73*BASE!$I$64)))</f>
        <v>0</v>
      </c>
      <c r="AE73" s="402">
        <f>IF(I73&lt;10,0,IF(AC73&lt;=BASE!$C$3*2,BASE!$C$2,0)*(AD73/AC73))</f>
        <v>0</v>
      </c>
      <c r="AF73" s="13">
        <v>0</v>
      </c>
      <c r="AG73" s="14">
        <f t="shared" si="39"/>
        <v>0</v>
      </c>
      <c r="AH73" s="14">
        <f t="shared" si="40"/>
        <v>0</v>
      </c>
      <c r="AI73" s="14">
        <f t="shared" si="41"/>
        <v>0</v>
      </c>
      <c r="AJ73" s="14">
        <f t="shared" si="42"/>
        <v>0</v>
      </c>
      <c r="AK73" s="14">
        <f>IF(I73=0,0,IF(G73=5,0,(AC73+AF73/12)*12*BASE!$C$5))</f>
        <v>0</v>
      </c>
      <c r="AL73" s="14">
        <f>IF(I73=0,0,IF(G73=5,0,(AC73+AF73/12)*12*BASE!$C$7))</f>
        <v>0</v>
      </c>
      <c r="AM73" s="14">
        <f>IF(I73=0,0,IF(G73=5,0,(AC73+AF73/12)*12*BASE!$C$9))</f>
        <v>0</v>
      </c>
      <c r="AN73" s="403">
        <f>IF(I73=0,0,IF(G73=5,0,(AD73+AF73+AG73)*BASE!$C$10))</f>
        <v>0</v>
      </c>
      <c r="AO73" s="814">
        <f t="shared" si="43"/>
        <v>0</v>
      </c>
      <c r="AP73" s="813" t="str">
        <f t="shared" si="44"/>
        <v>Sin datos</v>
      </c>
      <c r="AQ73" s="1104"/>
      <c r="AR73" s="1105"/>
    </row>
    <row r="74" spans="1:44" ht="13.5" customHeight="1" outlineLevel="1" x14ac:dyDescent="0.2">
      <c r="A74" s="365" t="s">
        <v>563</v>
      </c>
      <c r="B74" s="411"/>
      <c r="C74" s="413"/>
      <c r="D74" s="419" t="str">
        <f>IF(E74="","",VLOOKUP(E74,BASE!$F$20:$H$25,2,FALSE))</f>
        <v/>
      </c>
      <c r="E74" s="393"/>
      <c r="F74" s="421"/>
      <c r="G74" s="422" t="str">
        <f>IF(F74="","",VLOOKUP(F74,BASE!$B$15:$C$18,2,FALSE))</f>
        <v/>
      </c>
      <c r="H74" s="500">
        <v>0</v>
      </c>
      <c r="I74" s="411">
        <v>0</v>
      </c>
      <c r="J74" s="354"/>
      <c r="K74" s="354"/>
      <c r="L74" s="354"/>
      <c r="M74" s="354"/>
      <c r="N74" s="354"/>
      <c r="O74" s="355">
        <f t="shared" si="22"/>
        <v>0</v>
      </c>
      <c r="P74" s="354"/>
      <c r="Q74" s="354"/>
      <c r="R74" s="355">
        <f t="shared" si="23"/>
        <v>0</v>
      </c>
      <c r="S74" s="354"/>
      <c r="T74" s="354"/>
      <c r="U74" s="354"/>
      <c r="V74" s="355">
        <f t="shared" si="24"/>
        <v>0</v>
      </c>
      <c r="W74" s="354"/>
      <c r="X74" s="355">
        <f t="shared" si="25"/>
        <v>0</v>
      </c>
      <c r="Y74" s="18" t="str">
        <f t="shared" si="26"/>
        <v xml:space="preserve">OK </v>
      </c>
      <c r="Z74" s="397" t="str">
        <f t="shared" si="27"/>
        <v xml:space="preserve"> </v>
      </c>
      <c r="AA74" s="19">
        <f>ROUND((IF(D74=1,(BASE!$G$51*I74),IF(D74=2,(BASE!$G$52*I74),IF(D74=3,(BASE!$G$53*I74),IF(D74=4,(BASE!$G$54*I74),IF(D74=5,(BASE!$G$55*I74),IF(D74=6,(BASE!$G$56*I74),0)))))))/1000,0)*1000</f>
        <v>0</v>
      </c>
      <c r="AB74" s="464">
        <v>0</v>
      </c>
      <c r="AC74" s="19">
        <f>AA74+AB74</f>
        <v>0</v>
      </c>
      <c r="AD74" s="462">
        <f>IF(G74=3,AC74*BASE!$I$62,IF(G74=1,AC74*(BASE!$I$61),IF(G74=2,AC74*(BASE!$I$63),AC74*BASE!$I$64)))</f>
        <v>0</v>
      </c>
      <c r="AE74" s="402">
        <f>IF(I74&lt;10,0,IF(AC74&lt;=BASE!$C$3*2,BASE!$C$2,0)*(AD74/AC74))</f>
        <v>0</v>
      </c>
      <c r="AF74" s="13">
        <v>0</v>
      </c>
      <c r="AG74" s="14">
        <f t="shared" si="28"/>
        <v>0</v>
      </c>
      <c r="AH74" s="14">
        <f t="shared" si="29"/>
        <v>0</v>
      </c>
      <c r="AI74" s="14">
        <f t="shared" si="30"/>
        <v>0</v>
      </c>
      <c r="AJ74" s="14">
        <f t="shared" si="31"/>
        <v>0</v>
      </c>
      <c r="AK74" s="14">
        <f>IF(I74=0,0,IF(G74=5,0,(AC74+AF74/12)*12*BASE!$C$5))</f>
        <v>0</v>
      </c>
      <c r="AL74" s="14">
        <f>IF(I74=0,0,IF(G74=5,0,(AC74+AF74/12)*12*BASE!$C$7))</f>
        <v>0</v>
      </c>
      <c r="AM74" s="14">
        <f>IF(I74=0,0,IF(G74=5,0,(AC74+AF74/12)*12*BASE!$C$9))</f>
        <v>0</v>
      </c>
      <c r="AN74" s="403">
        <f>IF(I74=0,0,IF(G74=5,0,(AD74+AF74+AG74)*BASE!$C$10))</f>
        <v>0</v>
      </c>
      <c r="AO74" s="814">
        <f t="shared" ref="AO74" si="45">+AD74+AE74+AF74+AG74+AH74+AI74+AJ74+AK74+AL74+AM74+AN74</f>
        <v>0</v>
      </c>
      <c r="AP74" s="580" t="str">
        <f t="shared" si="21"/>
        <v>Sin datos</v>
      </c>
      <c r="AQ74" s="1104"/>
      <c r="AR74" s="1105"/>
    </row>
    <row r="75" spans="1:44" ht="13.5" customHeight="1" outlineLevel="1" x14ac:dyDescent="0.2">
      <c r="A75" s="365" t="s">
        <v>563</v>
      </c>
      <c r="B75" s="411"/>
      <c r="C75" s="413"/>
      <c r="D75" s="419" t="str">
        <f>IF(E75="","",VLOOKUP(E75,BASE!$F$20:$H$25,2,FALSE))</f>
        <v/>
      </c>
      <c r="E75" s="393"/>
      <c r="F75" s="421"/>
      <c r="G75" s="422" t="str">
        <f>IF(F75="","",VLOOKUP(F75,BASE!$B$15:$C$18,2,FALSE))</f>
        <v/>
      </c>
      <c r="H75" s="500">
        <v>0</v>
      </c>
      <c r="I75" s="411">
        <v>0</v>
      </c>
      <c r="J75" s="354"/>
      <c r="K75" s="354"/>
      <c r="L75" s="354"/>
      <c r="M75" s="354"/>
      <c r="N75" s="354"/>
      <c r="O75" s="355">
        <f t="shared" si="22"/>
        <v>0</v>
      </c>
      <c r="P75" s="354"/>
      <c r="Q75" s="354"/>
      <c r="R75" s="355">
        <f t="shared" si="23"/>
        <v>0</v>
      </c>
      <c r="S75" s="354"/>
      <c r="T75" s="354"/>
      <c r="U75" s="354"/>
      <c r="V75" s="355">
        <f t="shared" si="24"/>
        <v>0</v>
      </c>
      <c r="W75" s="354"/>
      <c r="X75" s="355">
        <f t="shared" si="25"/>
        <v>0</v>
      </c>
      <c r="Y75" s="18" t="str">
        <f t="shared" si="26"/>
        <v xml:space="preserve">OK </v>
      </c>
      <c r="Z75" s="397" t="str">
        <f t="shared" si="27"/>
        <v xml:space="preserve"> </v>
      </c>
      <c r="AA75" s="19">
        <f>ROUND((IF(D75=1,(BASE!$G$51*I75),IF(D75=2,(BASE!$G$52*I75),IF(D75=3,(BASE!$G$53*I75),IF(D75=4,(BASE!$G$54*I75),IF(D75=5,(BASE!$G$55*I75),IF(D75=6,(BASE!$G$56*I75),0)))))))/1000,0)*1000</f>
        <v>0</v>
      </c>
      <c r="AB75" s="464">
        <v>0</v>
      </c>
      <c r="AC75" s="19">
        <f t="shared" ref="AC75:AC78" si="46">AA75+AB75</f>
        <v>0</v>
      </c>
      <c r="AD75" s="462">
        <f>IF(G75=3,AC75*BASE!$I$62,IF(G75=1,AC75*(BASE!$I$61),IF(G75=2,AC75*(BASE!$I$63),AC75*BASE!$I$64)))</f>
        <v>0</v>
      </c>
      <c r="AE75" s="402">
        <f>IF(I75&lt;10,0,IF(AC75&lt;=BASE!$C$3*2,BASE!$C$2,0)*(AD75/AC75))</f>
        <v>0</v>
      </c>
      <c r="AF75" s="13">
        <v>0</v>
      </c>
      <c r="AG75" s="14">
        <f t="shared" si="28"/>
        <v>0</v>
      </c>
      <c r="AH75" s="14">
        <f t="shared" si="29"/>
        <v>0</v>
      </c>
      <c r="AI75" s="14">
        <f t="shared" si="30"/>
        <v>0</v>
      </c>
      <c r="AJ75" s="14">
        <f t="shared" si="31"/>
        <v>0</v>
      </c>
      <c r="AK75" s="14">
        <f>IF(I75=0,0,IF(G75=5,0,(AC75+AF75/12)*12*BASE!$C$5))</f>
        <v>0</v>
      </c>
      <c r="AL75" s="14">
        <f>IF(I75=0,0,IF(G75=5,0,(AC75+AF75/12)*12*BASE!$C$7))</f>
        <v>0</v>
      </c>
      <c r="AM75" s="14">
        <f>IF(I75=0,0,IF(G75=5,0,(AC75+AF75/12)*12*BASE!$C$9))</f>
        <v>0</v>
      </c>
      <c r="AN75" s="403">
        <f>IF(I75=0,0,IF(G75=5,0,(AD75+AF75+AG75)*BASE!$C$10))</f>
        <v>0</v>
      </c>
      <c r="AO75" s="814">
        <f t="shared" ref="AO75:AO78" si="47">+AD75+AE75+AF75+AG75+AH75+AI75+AJ75+AK75+AL75+AM75+AN75</f>
        <v>0</v>
      </c>
      <c r="AP75" s="580" t="str">
        <f t="shared" si="21"/>
        <v>Sin datos</v>
      </c>
      <c r="AQ75" s="1104"/>
      <c r="AR75" s="1105"/>
    </row>
    <row r="76" spans="1:44" ht="13.5" customHeight="1" outlineLevel="1" x14ac:dyDescent="0.2">
      <c r="A76" s="365" t="s">
        <v>563</v>
      </c>
      <c r="B76" s="411"/>
      <c r="C76" s="413"/>
      <c r="D76" s="419" t="str">
        <f>IF(E76="","",VLOOKUP(E76,BASE!$F$20:$H$25,2,FALSE))</f>
        <v/>
      </c>
      <c r="E76" s="393"/>
      <c r="F76" s="421"/>
      <c r="G76" s="422" t="str">
        <f>IF(F76="","",VLOOKUP(F76,BASE!$B$15:$C$18,2,FALSE))</f>
        <v/>
      </c>
      <c r="H76" s="500">
        <v>0</v>
      </c>
      <c r="I76" s="411">
        <v>0</v>
      </c>
      <c r="J76" s="354"/>
      <c r="K76" s="354"/>
      <c r="L76" s="354"/>
      <c r="M76" s="354"/>
      <c r="N76" s="354"/>
      <c r="O76" s="355">
        <f t="shared" si="22"/>
        <v>0</v>
      </c>
      <c r="P76" s="354"/>
      <c r="Q76" s="354"/>
      <c r="R76" s="355">
        <f t="shared" si="23"/>
        <v>0</v>
      </c>
      <c r="S76" s="354"/>
      <c r="T76" s="354"/>
      <c r="U76" s="354"/>
      <c r="V76" s="355">
        <f t="shared" si="24"/>
        <v>0</v>
      </c>
      <c r="W76" s="354"/>
      <c r="X76" s="355">
        <f t="shared" si="25"/>
        <v>0</v>
      </c>
      <c r="Y76" s="18" t="str">
        <f t="shared" si="26"/>
        <v xml:space="preserve">OK </v>
      </c>
      <c r="Z76" s="397" t="str">
        <f t="shared" si="27"/>
        <v xml:space="preserve"> </v>
      </c>
      <c r="AA76" s="19">
        <f>ROUND((IF(D76=1,(BASE!$G$51*I76),IF(D76=2,(BASE!$G$52*I76),IF(D76=3,(BASE!$G$53*I76),IF(D76=4,(BASE!$G$54*I76),IF(D76=5,(BASE!$G$55*I76),IF(D76=6,(BASE!$G$56*I76),0)))))))/1000,0)*1000</f>
        <v>0</v>
      </c>
      <c r="AB76" s="464">
        <v>0</v>
      </c>
      <c r="AC76" s="19">
        <f t="shared" si="46"/>
        <v>0</v>
      </c>
      <c r="AD76" s="462">
        <f>IF(G76=3,AC76*BASE!$I$62,IF(G76=1,AC76*(BASE!$I$61),IF(G76=2,AC76*(BASE!$I$63),AC76*BASE!$I$64)))</f>
        <v>0</v>
      </c>
      <c r="AE76" s="402">
        <f>IF(I76&lt;10,0,IF(AC76&lt;=BASE!$C$3*2,BASE!$C$2,0)*(AD76/AC76))</f>
        <v>0</v>
      </c>
      <c r="AF76" s="13">
        <v>0</v>
      </c>
      <c r="AG76" s="14">
        <f t="shared" si="28"/>
        <v>0</v>
      </c>
      <c r="AH76" s="14">
        <f t="shared" si="29"/>
        <v>0</v>
      </c>
      <c r="AI76" s="14">
        <f t="shared" si="30"/>
        <v>0</v>
      </c>
      <c r="AJ76" s="14">
        <f t="shared" si="31"/>
        <v>0</v>
      </c>
      <c r="AK76" s="14">
        <f>IF(I76=0,0,IF(G76=5,0,(AC76+AF76/12)*12*BASE!$C$5))</f>
        <v>0</v>
      </c>
      <c r="AL76" s="14">
        <f>IF(I76=0,0,IF(G76=5,0,(AC76+AF76/12)*12*BASE!$C$7))</f>
        <v>0</v>
      </c>
      <c r="AM76" s="14">
        <f>IF(I76=0,0,IF(G76=5,0,(AC76+AF76/12)*12*BASE!$C$9))</f>
        <v>0</v>
      </c>
      <c r="AN76" s="403">
        <f>IF(I76=0,0,IF(G76=5,0,(AD76+AF76+AG76)*BASE!$C$10))</f>
        <v>0</v>
      </c>
      <c r="AO76" s="814">
        <f t="shared" si="47"/>
        <v>0</v>
      </c>
      <c r="AP76" s="580" t="str">
        <f t="shared" si="21"/>
        <v>Sin datos</v>
      </c>
      <c r="AQ76" s="1104"/>
      <c r="AR76" s="1105"/>
    </row>
    <row r="77" spans="1:44" ht="13.5" customHeight="1" outlineLevel="1" x14ac:dyDescent="0.2">
      <c r="A77" s="365" t="s">
        <v>563</v>
      </c>
      <c r="B77" s="411"/>
      <c r="C77" s="413"/>
      <c r="D77" s="419" t="str">
        <f>IF(E77="","",VLOOKUP(E77,BASE!$F$20:$H$25,2,FALSE))</f>
        <v/>
      </c>
      <c r="E77" s="393"/>
      <c r="F77" s="421"/>
      <c r="G77" s="422" t="str">
        <f>IF(F77="","",VLOOKUP(F77,BASE!$B$15:$C$18,2,FALSE))</f>
        <v/>
      </c>
      <c r="H77" s="500">
        <v>0</v>
      </c>
      <c r="I77" s="411">
        <v>0</v>
      </c>
      <c r="J77" s="354"/>
      <c r="K77" s="354"/>
      <c r="L77" s="354"/>
      <c r="M77" s="354"/>
      <c r="N77" s="354"/>
      <c r="O77" s="355">
        <f t="shared" si="22"/>
        <v>0</v>
      </c>
      <c r="P77" s="354"/>
      <c r="Q77" s="354"/>
      <c r="R77" s="355">
        <f t="shared" si="23"/>
        <v>0</v>
      </c>
      <c r="S77" s="354"/>
      <c r="T77" s="354"/>
      <c r="U77" s="354"/>
      <c r="V77" s="355">
        <f t="shared" si="24"/>
        <v>0</v>
      </c>
      <c r="W77" s="354"/>
      <c r="X77" s="355">
        <f t="shared" si="25"/>
        <v>0</v>
      </c>
      <c r="Y77" s="18" t="str">
        <f t="shared" si="26"/>
        <v xml:space="preserve">OK </v>
      </c>
      <c r="Z77" s="397" t="str">
        <f t="shared" si="27"/>
        <v xml:space="preserve"> </v>
      </c>
      <c r="AA77" s="19">
        <f>ROUND((IF(D77=1,(BASE!$G$51*I77),IF(D77=2,(BASE!$G$52*I77),IF(D77=3,(BASE!$G$53*I77),IF(D77=4,(BASE!$G$54*I77),IF(D77=5,(BASE!$G$55*I77),IF(D77=6,(BASE!$G$56*I77),0)))))))/1000,0)*1000</f>
        <v>0</v>
      </c>
      <c r="AB77" s="464">
        <v>0</v>
      </c>
      <c r="AC77" s="19">
        <f t="shared" si="46"/>
        <v>0</v>
      </c>
      <c r="AD77" s="462">
        <f>IF(G77=3,AC77*BASE!$I$62,IF(G77=1,AC77*(BASE!$I$61),IF(G77=2,AC77*(BASE!$I$63),AC77*BASE!$I$64)))</f>
        <v>0</v>
      </c>
      <c r="AE77" s="402">
        <f>IF(I77&lt;10,0,IF(AC77&lt;=BASE!$C$3*2,BASE!$C$2,0)*(AD77/AC77))</f>
        <v>0</v>
      </c>
      <c r="AF77" s="13">
        <v>0</v>
      </c>
      <c r="AG77" s="14">
        <f t="shared" si="28"/>
        <v>0</v>
      </c>
      <c r="AH77" s="14">
        <f t="shared" si="29"/>
        <v>0</v>
      </c>
      <c r="AI77" s="14">
        <f t="shared" si="30"/>
        <v>0</v>
      </c>
      <c r="AJ77" s="14">
        <f t="shared" si="31"/>
        <v>0</v>
      </c>
      <c r="AK77" s="14">
        <f>IF(I77=0,0,IF(G77=5,0,(AC77+AF77/12)*12*BASE!$C$5))</f>
        <v>0</v>
      </c>
      <c r="AL77" s="14">
        <f>IF(I77=0,0,IF(G77=5,0,(AC77+AF77/12)*12*BASE!$C$7))</f>
        <v>0</v>
      </c>
      <c r="AM77" s="14">
        <f>IF(I77=0,0,IF(G77=5,0,(AC77+AF77/12)*12*BASE!$C$9))</f>
        <v>0</v>
      </c>
      <c r="AN77" s="403">
        <f>IF(I77=0,0,IF(G77=5,0,(AD77+AF77+AG77)*BASE!$C$10))</f>
        <v>0</v>
      </c>
      <c r="AO77" s="814">
        <f t="shared" si="47"/>
        <v>0</v>
      </c>
      <c r="AP77" s="580" t="str">
        <f t="shared" si="21"/>
        <v>Sin datos</v>
      </c>
      <c r="AQ77" s="1104"/>
      <c r="AR77" s="1105"/>
    </row>
    <row r="78" spans="1:44" ht="13.5" customHeight="1" outlineLevel="1" thickBot="1" x14ac:dyDescent="0.25">
      <c r="A78" s="365" t="s">
        <v>563</v>
      </c>
      <c r="B78" s="411"/>
      <c r="C78" s="413"/>
      <c r="D78" s="419" t="str">
        <f>IF(E78="","",VLOOKUP(E78,BASE!$F$20:$H$25,2,FALSE))</f>
        <v/>
      </c>
      <c r="E78" s="393"/>
      <c r="F78" s="421"/>
      <c r="G78" s="422" t="str">
        <f>IF(F78="","",VLOOKUP(F78,BASE!$B$15:$C$18,2,FALSE))</f>
        <v/>
      </c>
      <c r="H78" s="500">
        <v>0</v>
      </c>
      <c r="I78" s="411">
        <v>0</v>
      </c>
      <c r="J78" s="354"/>
      <c r="K78" s="354"/>
      <c r="L78" s="354"/>
      <c r="M78" s="354"/>
      <c r="N78" s="354"/>
      <c r="O78" s="355">
        <f t="shared" si="22"/>
        <v>0</v>
      </c>
      <c r="P78" s="354"/>
      <c r="Q78" s="354"/>
      <c r="R78" s="355">
        <f t="shared" si="23"/>
        <v>0</v>
      </c>
      <c r="S78" s="354"/>
      <c r="T78" s="354"/>
      <c r="U78" s="354"/>
      <c r="V78" s="355">
        <f t="shared" si="24"/>
        <v>0</v>
      </c>
      <c r="W78" s="354"/>
      <c r="X78" s="355">
        <f t="shared" si="25"/>
        <v>0</v>
      </c>
      <c r="Y78" s="18" t="str">
        <f t="shared" si="26"/>
        <v xml:space="preserve">OK </v>
      </c>
      <c r="Z78" s="397" t="str">
        <f t="shared" si="27"/>
        <v xml:space="preserve"> </v>
      </c>
      <c r="AA78" s="19">
        <f>ROUND((IF(D78=1,(BASE!$G$51*I78),IF(D78=2,(BASE!$G$52*I78),IF(D78=3,(BASE!$G$53*I78),IF(D78=4,(BASE!$G$54*I78),IF(D78=5,(BASE!$G$55*I78),IF(D78=6,(BASE!$G$56*I78),0)))))))/1000,0)*1000</f>
        <v>0</v>
      </c>
      <c r="AB78" s="464">
        <v>0</v>
      </c>
      <c r="AC78" s="19">
        <f t="shared" si="46"/>
        <v>0</v>
      </c>
      <c r="AD78" s="462">
        <f>IF(G78=3,AC78*BASE!$I$62,IF(G78=1,AC78*(BASE!$I$61),IF(G78=2,AC78*(BASE!$I$63),AC78*BASE!$I$64)))</f>
        <v>0</v>
      </c>
      <c r="AE78" s="402">
        <f>IF(I78&lt;10,0,IF(AC78&lt;=BASE!$C$3*2,BASE!$C$2,0)*(AD78/AC78))</f>
        <v>0</v>
      </c>
      <c r="AF78" s="13">
        <v>0</v>
      </c>
      <c r="AG78" s="14">
        <f t="shared" si="28"/>
        <v>0</v>
      </c>
      <c r="AH78" s="14">
        <f t="shared" si="29"/>
        <v>0</v>
      </c>
      <c r="AI78" s="14">
        <f t="shared" si="30"/>
        <v>0</v>
      </c>
      <c r="AJ78" s="14">
        <f t="shared" si="31"/>
        <v>0</v>
      </c>
      <c r="AK78" s="14">
        <f>IF(I78=0,0,IF(G78=5,0,(AC78+AF78/12)*12*BASE!$C$5))</f>
        <v>0</v>
      </c>
      <c r="AL78" s="14">
        <f>IF(I78=0,0,IF(G78=5,0,(AC78+AF78/12)*12*BASE!$C$7))</f>
        <v>0</v>
      </c>
      <c r="AM78" s="14">
        <f>IF(I78=0,0,IF(G78=5,0,(AC78+AF78/12)*12*BASE!$C$9))</f>
        <v>0</v>
      </c>
      <c r="AN78" s="403">
        <f>IF(I78=0,0,IF(G78=5,0,(AD78+AF78+AG78)*BASE!$C$10))</f>
        <v>0</v>
      </c>
      <c r="AO78" s="814">
        <f t="shared" si="47"/>
        <v>0</v>
      </c>
      <c r="AP78" s="580" t="str">
        <f t="shared" si="21"/>
        <v>Sin datos</v>
      </c>
      <c r="AQ78" s="1104"/>
      <c r="AR78" s="1105"/>
    </row>
    <row r="79" spans="1:44" ht="13.5" thickBot="1" x14ac:dyDescent="0.25">
      <c r="A79" s="424"/>
      <c r="B79" s="1127" t="s">
        <v>825</v>
      </c>
      <c r="C79" s="1124"/>
      <c r="D79" s="1124"/>
      <c r="E79" s="1124"/>
      <c r="F79" s="1128"/>
      <c r="G79" s="468" t="s">
        <v>167</v>
      </c>
      <c r="H79" s="475">
        <f t="shared" ref="H79:W79" si="48">SUM(H64:H78)</f>
        <v>0</v>
      </c>
      <c r="I79" s="475">
        <f t="shared" si="48"/>
        <v>92</v>
      </c>
      <c r="J79" s="475">
        <f t="shared" si="48"/>
        <v>12</v>
      </c>
      <c r="K79" s="475">
        <f t="shared" si="48"/>
        <v>3</v>
      </c>
      <c r="L79" s="475">
        <f t="shared" si="48"/>
        <v>3</v>
      </c>
      <c r="M79" s="475">
        <f t="shared" si="48"/>
        <v>0</v>
      </c>
      <c r="N79" s="475">
        <f t="shared" si="48"/>
        <v>10</v>
      </c>
      <c r="O79" s="475">
        <f t="shared" si="48"/>
        <v>28</v>
      </c>
      <c r="P79" s="475">
        <f t="shared" si="48"/>
        <v>19</v>
      </c>
      <c r="Q79" s="475">
        <f t="shared" si="48"/>
        <v>0</v>
      </c>
      <c r="R79" s="475">
        <f t="shared" si="48"/>
        <v>19</v>
      </c>
      <c r="S79" s="475">
        <f t="shared" si="48"/>
        <v>10</v>
      </c>
      <c r="T79" s="475">
        <f t="shared" si="48"/>
        <v>10</v>
      </c>
      <c r="U79" s="475">
        <f t="shared" si="48"/>
        <v>0</v>
      </c>
      <c r="V79" s="475">
        <f t="shared" si="48"/>
        <v>20</v>
      </c>
      <c r="W79" s="475">
        <f t="shared" si="48"/>
        <v>13</v>
      </c>
      <c r="X79" s="475">
        <f t="shared" si="25"/>
        <v>80</v>
      </c>
      <c r="Y79" s="475"/>
      <c r="Z79" s="476"/>
      <c r="AA79" s="476"/>
      <c r="AB79" s="476"/>
      <c r="AC79" s="482"/>
      <c r="AD79" s="476">
        <f t="shared" ref="AD79:AO79" si="49">SUM(AD64:AD78)</f>
        <v>107267500</v>
      </c>
      <c r="AE79" s="477">
        <f t="shared" si="49"/>
        <v>2831573.0999999996</v>
      </c>
      <c r="AF79" s="476">
        <f t="shared" si="49"/>
        <v>0</v>
      </c>
      <c r="AG79" s="476">
        <f t="shared" si="49"/>
        <v>5959305.555555556</v>
      </c>
      <c r="AH79" s="476">
        <f t="shared" si="49"/>
        <v>9671532</v>
      </c>
      <c r="AI79" s="476">
        <f t="shared" si="49"/>
        <v>9671531.5546296295</v>
      </c>
      <c r="AJ79" s="476">
        <f t="shared" si="49"/>
        <v>1063868.4710092591</v>
      </c>
      <c r="AK79" s="476">
        <f t="shared" si="49"/>
        <v>10225500</v>
      </c>
      <c r="AL79" s="476">
        <f t="shared" si="49"/>
        <v>14436000</v>
      </c>
      <c r="AM79" s="476">
        <f t="shared" si="49"/>
        <v>627965.99999999988</v>
      </c>
      <c r="AN79" s="478">
        <f t="shared" si="49"/>
        <v>10190412.5</v>
      </c>
      <c r="AO79" s="821">
        <f t="shared" si="49"/>
        <v>171945189.18119445</v>
      </c>
      <c r="AP79" s="581">
        <f t="shared" ref="AP79:AP98" si="50">IFERROR(AO79/AD79,"Sin datos")</f>
        <v>1.6029569923900011</v>
      </c>
      <c r="AQ79" s="386"/>
      <c r="AR79" s="386"/>
    </row>
    <row r="80" spans="1:44" ht="13.5" customHeight="1" thickBot="1" x14ac:dyDescent="0.25">
      <c r="A80" s="390"/>
      <c r="B80" s="412" t="s">
        <v>606</v>
      </c>
      <c r="C80" s="479"/>
      <c r="D80" s="480"/>
      <c r="E80" s="22"/>
      <c r="F80" s="481"/>
      <c r="G80" s="23"/>
      <c r="H80" s="22"/>
      <c r="I80" s="39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359"/>
      <c r="AA80" s="359"/>
      <c r="AB80" s="359"/>
      <c r="AC80" s="22"/>
      <c r="AD80" s="22"/>
      <c r="AE80" s="481"/>
      <c r="AF80" s="22"/>
      <c r="AG80" s="22"/>
      <c r="AH80" s="22"/>
      <c r="AI80" s="22"/>
      <c r="AJ80" s="22"/>
      <c r="AK80" s="22"/>
      <c r="AL80" s="22"/>
      <c r="AM80" s="22"/>
      <c r="AN80" s="23"/>
      <c r="AO80" s="820"/>
      <c r="AP80" s="583" t="str">
        <f t="shared" si="50"/>
        <v>Sin datos</v>
      </c>
      <c r="AQ80" s="386"/>
      <c r="AR80" s="386"/>
    </row>
    <row r="81" spans="1:87" ht="13.5" customHeight="1" outlineLevel="1" x14ac:dyDescent="0.2">
      <c r="A81" s="365" t="s">
        <v>564</v>
      </c>
      <c r="B81" s="409"/>
      <c r="C81" s="413"/>
      <c r="D81" s="416" t="str">
        <f>IF(E81="","",VLOOKUP(E81,BASE!$F$20:$H$25,2,FALSE))</f>
        <v/>
      </c>
      <c r="E81" s="393"/>
      <c r="F81" s="471"/>
      <c r="G81" s="472" t="str">
        <f>IF(F81="","",VLOOKUP(F81,BASE!$B$15:$C$18,2,FALSE))</f>
        <v/>
      </c>
      <c r="H81" s="353">
        <v>0</v>
      </c>
      <c r="I81" s="414">
        <v>0</v>
      </c>
      <c r="J81" s="352"/>
      <c r="K81" s="352"/>
      <c r="L81" s="352"/>
      <c r="M81" s="352"/>
      <c r="N81" s="352"/>
      <c r="O81" s="353">
        <f t="shared" ref="O81:O88" si="51">+J81+K81+L81+M81+N81</f>
        <v>0</v>
      </c>
      <c r="P81" s="352"/>
      <c r="Q81" s="352"/>
      <c r="R81" s="353">
        <f t="shared" ref="R81:R88" si="52">+P81+Q81</f>
        <v>0</v>
      </c>
      <c r="S81" s="352"/>
      <c r="T81" s="352"/>
      <c r="U81" s="352"/>
      <c r="V81" s="353">
        <f t="shared" ref="V81:V88" si="53">+S81+T81+U81</f>
        <v>0</v>
      </c>
      <c r="W81" s="352"/>
      <c r="X81" s="353">
        <f t="shared" ref="X81:X89" si="54">+O81+R81+V81+W81</f>
        <v>0</v>
      </c>
      <c r="Y81" s="192" t="str">
        <f t="shared" ref="Y81:Y88" si="55">IF(I81-X81=0,"OK ",IF(I81-X81&gt;0,"AJUSTE",IF(I81-X81&lt;0,"AJUSTE")))</f>
        <v xml:space="preserve">OK </v>
      </c>
      <c r="Z81" s="398" t="str">
        <f t="shared" ref="Z81:Z88" si="56">IF(H81-I81=0," ",IF(H81-I81&gt;0,"JUSTIFICAR","AJUSTE"))</f>
        <v xml:space="preserve"> </v>
      </c>
      <c r="AA81" s="193">
        <f>ROUND((IF(D81=1,(BASE!$G$51*I81),IF(D81=2,(BASE!$G$52*I81),IF(D81=3,(BASE!$G$53*I81),IF(D81=4,(BASE!$G$54*I81),IF(D81=5,(BASE!$G$55*I81),IF(D81=6,(BASE!$G$56*I81),0)))))))/1000,0)*1000</f>
        <v>0</v>
      </c>
      <c r="AB81" s="463">
        <v>0</v>
      </c>
      <c r="AC81" s="193">
        <f t="shared" ref="AC81:AC88" si="57">AA81+AB81</f>
        <v>0</v>
      </c>
      <c r="AD81" s="473">
        <f>IF(G81=3,AC81*BASE!$I$62,IF(G81=1,AC81*(BASE!$I$61),IF(G81=2,AC81*(BASE!$I$63),AC81*BASE!$I$64)))/2</f>
        <v>0</v>
      </c>
      <c r="AE81" s="400">
        <f>IF(I81&lt;10,0,IF(AC81&lt;=BASE!$C$3*2,BASE!$C$2,0)*(AD81/AC81))</f>
        <v>0</v>
      </c>
      <c r="AF81" s="388">
        <v>0</v>
      </c>
      <c r="AG81" s="387">
        <f t="shared" ref="AG81:AG88" si="58">IF(I81=0,0,IF(G81=5,0,((AD81/12)+(AF81/12))/3*2))</f>
        <v>0</v>
      </c>
      <c r="AH81" s="387">
        <f>ROUND((AD81/12)+(AE81/12)+(AF81/12)+(AG81/12),0)</f>
        <v>0</v>
      </c>
      <c r="AI81" s="387">
        <f>((AD81/12)+(AE81/12)+(AF81/12)+(AG81/12))</f>
        <v>0</v>
      </c>
      <c r="AJ81" s="387">
        <f t="shared" ref="AJ81:AJ88" si="59">IF(G81=3,(AI81*11%),IF(G81=4,(AI81*12%),IF(G81=2,(AI81*12%),IF(G81=1,(AI81*10%),0))))</f>
        <v>0</v>
      </c>
      <c r="AK81" s="387">
        <f>IF(I81=0,0,IF(G81=5,0,(AC81+AF81/12)*12*BASE!$C$5))/2</f>
        <v>0</v>
      </c>
      <c r="AL81" s="387">
        <f>IF(I81=0,0,IF(G81=5,0,(AC81+AE81/12+AF81/12)*12*BASE!$C$7))/2</f>
        <v>0</v>
      </c>
      <c r="AM81" s="387">
        <f>IF(I81=0,0,IF(G81=5,0,(AC81+AF81/12)*12*BASE!$C$9))/2</f>
        <v>0</v>
      </c>
      <c r="AN81" s="401">
        <f>IF(I81=0,0,IF(G81=5,0,(AD81+AF81+AG81)*BASE!$C$10))/2</f>
        <v>0</v>
      </c>
      <c r="AO81" s="818">
        <f>+AD81+AE81+AF81+AG81+AH81+AI81+AJ81+AK81+AL81+AM81+AN81</f>
        <v>0</v>
      </c>
      <c r="AP81" s="580" t="str">
        <f t="shared" si="50"/>
        <v>Sin datos</v>
      </c>
      <c r="AQ81" s="1104"/>
      <c r="AR81" s="1105"/>
    </row>
    <row r="82" spans="1:87" ht="13.5" customHeight="1" outlineLevel="1" x14ac:dyDescent="0.2">
      <c r="A82" s="365" t="s">
        <v>565</v>
      </c>
      <c r="B82" s="411"/>
      <c r="C82" s="413"/>
      <c r="D82" s="417" t="str">
        <f>IF(E82="","",VLOOKUP(E82,BASE!$F$20:$H$25,2,FALSE))</f>
        <v/>
      </c>
      <c r="E82" s="393"/>
      <c r="F82" s="421"/>
      <c r="G82" s="422" t="str">
        <f>IF(F82="","",VLOOKUP(F82,BASE!$B$15:$C$18,2,FALSE))</f>
        <v/>
      </c>
      <c r="H82" s="500">
        <v>0</v>
      </c>
      <c r="I82" s="411">
        <v>0</v>
      </c>
      <c r="J82" s="354"/>
      <c r="K82" s="354"/>
      <c r="L82" s="354"/>
      <c r="M82" s="354"/>
      <c r="N82" s="354"/>
      <c r="O82" s="355">
        <f t="shared" ref="O82:O84" si="60">+J82+K82+L82+M82+N82</f>
        <v>0</v>
      </c>
      <c r="P82" s="354"/>
      <c r="Q82" s="354"/>
      <c r="R82" s="355">
        <f t="shared" ref="R82:R84" si="61">+P82+Q82</f>
        <v>0</v>
      </c>
      <c r="S82" s="354"/>
      <c r="T82" s="354"/>
      <c r="U82" s="354"/>
      <c r="V82" s="355">
        <f t="shared" ref="V82:V84" si="62">+S82+T82+U82</f>
        <v>0</v>
      </c>
      <c r="W82" s="354"/>
      <c r="X82" s="355">
        <f t="shared" ref="X82:X84" si="63">+O82+R82+V82+W82</f>
        <v>0</v>
      </c>
      <c r="Y82" s="18" t="str">
        <f t="shared" ref="Y82:Y84" si="64">IF(I82-X82=0,"OK ",IF(I82-X82&gt;0,"AJUSTE",IF(I82-X82&lt;0,"AJUSTE")))</f>
        <v xml:space="preserve">OK </v>
      </c>
      <c r="Z82" s="397" t="str">
        <f t="shared" ref="Z82:Z84" si="65">IF(H82-I82=0," ",IF(H82-I82&gt;0,"JUSTIFICAR","AJUSTE"))</f>
        <v xml:space="preserve"> </v>
      </c>
      <c r="AA82" s="19">
        <f>ROUND((IF(D82=1,(BASE!$G$51*I82),IF(D82=2,(BASE!$G$52*I82),IF(D82=3,(BASE!$G$53*I82),IF(D82=4,(BASE!$G$54*I82),IF(D82=5,(BASE!$G$55*I82),IF(D82=6,(BASE!$G$56*I82),0)))))))/1000,0)*1000</f>
        <v>0</v>
      </c>
      <c r="AB82" s="464">
        <v>0</v>
      </c>
      <c r="AC82" s="19">
        <f t="shared" ref="AC82:AC84" si="66">AA82+AB82</f>
        <v>0</v>
      </c>
      <c r="AD82" s="462">
        <f>IF(G82=3,AC82*BASE!$I$62,IF(G82=1,AC82*(BASE!$I$61),IF(G82=2,AC82*(BASE!$I$63),AC82*BASE!$I$64)))/2</f>
        <v>0</v>
      </c>
      <c r="AE82" s="402">
        <f>IF(I82&lt;10,0,IF(AC82&lt;=BASE!$C$3*2,BASE!$C$2,0)*(AD82/AC82))</f>
        <v>0</v>
      </c>
      <c r="AF82" s="13">
        <v>0</v>
      </c>
      <c r="AG82" s="14">
        <f t="shared" ref="AG82:AG84" si="67">IF(I82=0,0,IF(G82=5,0,((AD82/12)+(AF82/12))/3*2))</f>
        <v>0</v>
      </c>
      <c r="AH82" s="14">
        <f t="shared" ref="AH82:AH84" si="68">ROUND((AD82/12)+(AE82/12)+(AF82/12)+(AG82/12),0)</f>
        <v>0</v>
      </c>
      <c r="AI82" s="14">
        <f t="shared" ref="AI82:AI84" si="69">((AD82/12)+(AE82/12)+(AF82/12)+(AG82/12))</f>
        <v>0</v>
      </c>
      <c r="AJ82" s="14">
        <f t="shared" ref="AJ82:AJ84" si="70">IF(G82=3,(AI82*11%),IF(G82=4,(AI82*12%),IF(G82=2,(AI82*12%),IF(G82=1,(AI82*10%),0))))</f>
        <v>0</v>
      </c>
      <c r="AK82" s="14">
        <f>IF(I82=0,0,IF(G82=5,0,(AC82+AF82/12)*12*BASE!$C$5))/2</f>
        <v>0</v>
      </c>
      <c r="AL82" s="14">
        <f>IF(I82=0,0,IF(G82=5,0,(AC82+AE82/12+AF82/12)*12*BASE!$C$7))/2</f>
        <v>0</v>
      </c>
      <c r="AM82" s="14">
        <f>IF(I82=0,0,IF(G82=5,0,(AC82+AF82/12)*12*BASE!$C$9))/2</f>
        <v>0</v>
      </c>
      <c r="AN82" s="403">
        <f>IF(I82=0,0,IF(G82=5,0,(AD82+AF82+AG82)*BASE!$C$10))/2</f>
        <v>0</v>
      </c>
      <c r="AO82" s="813">
        <f t="shared" ref="AO82:AO84" si="71">+AD82+AE82+AF82+AG82+AH82+AI82+AJ82+AK82+AL82+AM82+AN82</f>
        <v>0</v>
      </c>
      <c r="AP82" s="813" t="str">
        <f t="shared" ref="AP82:AP84" si="72">IFERROR(AO82/AD82,"Sin datos")</f>
        <v>Sin datos</v>
      </c>
      <c r="AQ82" s="1104"/>
      <c r="AR82" s="1105"/>
    </row>
    <row r="83" spans="1:87" ht="13.5" customHeight="1" outlineLevel="1" x14ac:dyDescent="0.2">
      <c r="A83" s="365" t="s">
        <v>565</v>
      </c>
      <c r="B83" s="411"/>
      <c r="C83" s="413"/>
      <c r="D83" s="417" t="str">
        <f>IF(E83="","",VLOOKUP(E83,BASE!$F$20:$H$25,2,FALSE))</f>
        <v/>
      </c>
      <c r="E83" s="393"/>
      <c r="F83" s="421"/>
      <c r="G83" s="422" t="str">
        <f>IF(F83="","",VLOOKUP(F83,BASE!$B$15:$C$18,2,FALSE))</f>
        <v/>
      </c>
      <c r="H83" s="500">
        <v>0</v>
      </c>
      <c r="I83" s="411">
        <v>0</v>
      </c>
      <c r="J83" s="354"/>
      <c r="K83" s="354"/>
      <c r="L83" s="354"/>
      <c r="M83" s="354"/>
      <c r="N83" s="354"/>
      <c r="O83" s="355">
        <f t="shared" si="60"/>
        <v>0</v>
      </c>
      <c r="P83" s="354"/>
      <c r="Q83" s="354"/>
      <c r="R83" s="355">
        <f t="shared" si="61"/>
        <v>0</v>
      </c>
      <c r="S83" s="354"/>
      <c r="T83" s="354"/>
      <c r="U83" s="354"/>
      <c r="V83" s="355">
        <f t="shared" si="62"/>
        <v>0</v>
      </c>
      <c r="W83" s="354"/>
      <c r="X83" s="355">
        <f t="shared" si="63"/>
        <v>0</v>
      </c>
      <c r="Y83" s="18" t="str">
        <f t="shared" si="64"/>
        <v xml:space="preserve">OK </v>
      </c>
      <c r="Z83" s="397" t="str">
        <f t="shared" si="65"/>
        <v xml:space="preserve"> </v>
      </c>
      <c r="AA83" s="19">
        <f>ROUND((IF(D83=1,(BASE!$G$51*I83),IF(D83=2,(BASE!$G$52*I83),IF(D83=3,(BASE!$G$53*I83),IF(D83=4,(BASE!$G$54*I83),IF(D83=5,(BASE!$G$55*I83),IF(D83=6,(BASE!$G$56*I83),0)))))))/1000,0)*1000</f>
        <v>0</v>
      </c>
      <c r="AB83" s="464">
        <v>0</v>
      </c>
      <c r="AC83" s="19">
        <f t="shared" si="66"/>
        <v>0</v>
      </c>
      <c r="AD83" s="462">
        <f>IF(G83=3,AC83*BASE!$I$62,IF(G83=1,AC83*(BASE!$I$61),IF(G83=2,AC83*(BASE!$I$63),AC83*BASE!$I$64)))/2</f>
        <v>0</v>
      </c>
      <c r="AE83" s="402">
        <f>IF(I83&lt;10,0,IF(AC83&lt;=BASE!$C$3*2,BASE!$C$2,0)*(AD83/AC83))</f>
        <v>0</v>
      </c>
      <c r="AF83" s="13">
        <v>0</v>
      </c>
      <c r="AG83" s="14">
        <f t="shared" si="67"/>
        <v>0</v>
      </c>
      <c r="AH83" s="14">
        <f t="shared" si="68"/>
        <v>0</v>
      </c>
      <c r="AI83" s="14">
        <f t="shared" si="69"/>
        <v>0</v>
      </c>
      <c r="AJ83" s="14">
        <f t="shared" si="70"/>
        <v>0</v>
      </c>
      <c r="AK83" s="14">
        <f>IF(I83=0,0,IF(G83=5,0,(AC83+AF83/12)*12*BASE!$C$5))/2</f>
        <v>0</v>
      </c>
      <c r="AL83" s="14">
        <f>IF(I83=0,0,IF(G83=5,0,(AC83+AE83/12+AF83/12)*12*BASE!$C$7))/2</f>
        <v>0</v>
      </c>
      <c r="AM83" s="14">
        <f>IF(I83=0,0,IF(G83=5,0,(AC83+AF83/12)*12*BASE!$C$9))/2</f>
        <v>0</v>
      </c>
      <c r="AN83" s="403">
        <f>IF(I83=0,0,IF(G83=5,0,(AD83+AF83+AG83)*BASE!$C$10))/2</f>
        <v>0</v>
      </c>
      <c r="AO83" s="813">
        <f t="shared" si="71"/>
        <v>0</v>
      </c>
      <c r="AP83" s="813" t="str">
        <f t="shared" si="72"/>
        <v>Sin datos</v>
      </c>
      <c r="AQ83" s="1104"/>
      <c r="AR83" s="1105"/>
    </row>
    <row r="84" spans="1:87" ht="13.5" customHeight="1" outlineLevel="1" x14ac:dyDescent="0.2">
      <c r="A84" s="365" t="s">
        <v>565</v>
      </c>
      <c r="B84" s="411"/>
      <c r="C84" s="413"/>
      <c r="D84" s="417" t="str">
        <f>IF(E84="","",VLOOKUP(E84,BASE!$F$20:$H$25,2,FALSE))</f>
        <v/>
      </c>
      <c r="E84" s="393"/>
      <c r="F84" s="421"/>
      <c r="G84" s="422" t="str">
        <f>IF(F84="","",VLOOKUP(F84,BASE!$B$15:$C$18,2,FALSE))</f>
        <v/>
      </c>
      <c r="H84" s="500">
        <v>0</v>
      </c>
      <c r="I84" s="411">
        <v>0</v>
      </c>
      <c r="J84" s="354"/>
      <c r="K84" s="354"/>
      <c r="L84" s="354"/>
      <c r="M84" s="354"/>
      <c r="N84" s="354"/>
      <c r="O84" s="355">
        <f t="shared" si="60"/>
        <v>0</v>
      </c>
      <c r="P84" s="354"/>
      <c r="Q84" s="354"/>
      <c r="R84" s="355">
        <f t="shared" si="61"/>
        <v>0</v>
      </c>
      <c r="S84" s="354"/>
      <c r="T84" s="354"/>
      <c r="U84" s="354"/>
      <c r="V84" s="355">
        <f t="shared" si="62"/>
        <v>0</v>
      </c>
      <c r="W84" s="354"/>
      <c r="X84" s="355">
        <f t="shared" si="63"/>
        <v>0</v>
      </c>
      <c r="Y84" s="18" t="str">
        <f t="shared" si="64"/>
        <v xml:space="preserve">OK </v>
      </c>
      <c r="Z84" s="397" t="str">
        <f t="shared" si="65"/>
        <v xml:space="preserve"> </v>
      </c>
      <c r="AA84" s="19">
        <f>ROUND((IF(D84=1,(BASE!$G$51*I84),IF(D84=2,(BASE!$G$52*I84),IF(D84=3,(BASE!$G$53*I84),IF(D84=4,(BASE!$G$54*I84),IF(D84=5,(BASE!$G$55*I84),IF(D84=6,(BASE!$G$56*I84),0)))))))/1000,0)*1000</f>
        <v>0</v>
      </c>
      <c r="AB84" s="464">
        <v>0</v>
      </c>
      <c r="AC84" s="19">
        <f t="shared" si="66"/>
        <v>0</v>
      </c>
      <c r="AD84" s="462">
        <f>IF(G84=3,AC84*BASE!$I$62,IF(G84=1,AC84*(BASE!$I$61),IF(G84=2,AC84*(BASE!$I$63),AC84*BASE!$I$64)))/2</f>
        <v>0</v>
      </c>
      <c r="AE84" s="402">
        <f>IF(I84&lt;10,0,IF(AC84&lt;=BASE!$C$3*2,BASE!$C$2,0)*(AD84/AC84))</f>
        <v>0</v>
      </c>
      <c r="AF84" s="13">
        <v>0</v>
      </c>
      <c r="AG84" s="14">
        <f t="shared" si="67"/>
        <v>0</v>
      </c>
      <c r="AH84" s="14">
        <f t="shared" si="68"/>
        <v>0</v>
      </c>
      <c r="AI84" s="14">
        <f t="shared" si="69"/>
        <v>0</v>
      </c>
      <c r="AJ84" s="14">
        <f t="shared" si="70"/>
        <v>0</v>
      </c>
      <c r="AK84" s="14">
        <f>IF(I84=0,0,IF(G84=5,0,(AC84+AF84/12)*12*BASE!$C$5))/2</f>
        <v>0</v>
      </c>
      <c r="AL84" s="14">
        <f>IF(I84=0,0,IF(G84=5,0,(AC84+AE84/12+AF84/12)*12*BASE!$C$7))/2</f>
        <v>0</v>
      </c>
      <c r="AM84" s="14">
        <f>IF(I84=0,0,IF(G84=5,0,(AC84+AF84/12)*12*BASE!$C$9))/2</f>
        <v>0</v>
      </c>
      <c r="AN84" s="403">
        <f>IF(I84=0,0,IF(G84=5,0,(AD84+AF84+AG84)*BASE!$C$10))/2</f>
        <v>0</v>
      </c>
      <c r="AO84" s="813">
        <f t="shared" si="71"/>
        <v>0</v>
      </c>
      <c r="AP84" s="813" t="str">
        <f t="shared" si="72"/>
        <v>Sin datos</v>
      </c>
      <c r="AQ84" s="1104"/>
      <c r="AR84" s="1105"/>
    </row>
    <row r="85" spans="1:87" ht="13.5" customHeight="1" outlineLevel="1" x14ac:dyDescent="0.2">
      <c r="A85" s="365" t="s">
        <v>565</v>
      </c>
      <c r="B85" s="411"/>
      <c r="C85" s="413"/>
      <c r="D85" s="417" t="str">
        <f>IF(E85="","",VLOOKUP(E85,BASE!$F$20:$H$25,2,FALSE))</f>
        <v/>
      </c>
      <c r="E85" s="393"/>
      <c r="F85" s="421"/>
      <c r="G85" s="422" t="str">
        <f>IF(F85="","",VLOOKUP(F85,BASE!$B$15:$C$18,2,FALSE))</f>
        <v/>
      </c>
      <c r="H85" s="500">
        <v>0</v>
      </c>
      <c r="I85" s="411">
        <v>0</v>
      </c>
      <c r="J85" s="354"/>
      <c r="K85" s="354"/>
      <c r="L85" s="354"/>
      <c r="M85" s="354"/>
      <c r="N85" s="354"/>
      <c r="O85" s="355">
        <f t="shared" si="51"/>
        <v>0</v>
      </c>
      <c r="P85" s="354"/>
      <c r="Q85" s="354"/>
      <c r="R85" s="355">
        <f t="shared" si="52"/>
        <v>0</v>
      </c>
      <c r="S85" s="354"/>
      <c r="T85" s="354"/>
      <c r="U85" s="354"/>
      <c r="V85" s="355">
        <f t="shared" si="53"/>
        <v>0</v>
      </c>
      <c r="W85" s="354"/>
      <c r="X85" s="355">
        <f t="shared" si="54"/>
        <v>0</v>
      </c>
      <c r="Y85" s="18" t="str">
        <f t="shared" si="55"/>
        <v xml:space="preserve">OK </v>
      </c>
      <c r="Z85" s="397" t="str">
        <f t="shared" si="56"/>
        <v xml:space="preserve"> </v>
      </c>
      <c r="AA85" s="19">
        <f>ROUND((IF(D85=1,(BASE!$G$51*I85),IF(D85=2,(BASE!$G$52*I85),IF(D85=3,(BASE!$G$53*I85),IF(D85=4,(BASE!$G$54*I85),IF(D85=5,(BASE!$G$55*I85),IF(D85=6,(BASE!$G$56*I85),0)))))))/1000,0)*1000</f>
        <v>0</v>
      </c>
      <c r="AB85" s="464">
        <v>0</v>
      </c>
      <c r="AC85" s="19">
        <f t="shared" si="57"/>
        <v>0</v>
      </c>
      <c r="AD85" s="462">
        <f>IF(G85=3,AC85*BASE!$I$62,IF(G85=1,AC85*(BASE!$I$61),IF(G85=2,AC85*(BASE!$I$63),AC85*BASE!$I$64)))/2</f>
        <v>0</v>
      </c>
      <c r="AE85" s="402">
        <f>IF(I85&lt;10,0,IF(AC85&lt;=BASE!$C$3*2,BASE!$C$2,0)*(AD85/AC85))</f>
        <v>0</v>
      </c>
      <c r="AF85" s="13">
        <v>0</v>
      </c>
      <c r="AG85" s="14">
        <f t="shared" si="58"/>
        <v>0</v>
      </c>
      <c r="AH85" s="14">
        <f t="shared" ref="AH85:AH88" si="73">ROUND((AD85/12)+(AE85/12)+(AF85/12)+(AG85/12),0)</f>
        <v>0</v>
      </c>
      <c r="AI85" s="14">
        <f t="shared" ref="AI85:AI88" si="74">((AD85/12)+(AE85/12)+(AF85/12)+(AG85/12))</f>
        <v>0</v>
      </c>
      <c r="AJ85" s="14">
        <f t="shared" si="59"/>
        <v>0</v>
      </c>
      <c r="AK85" s="14">
        <f>IF(I85=0,0,IF(G85=5,0,(AC85+AF85/12)*12*BASE!$C$5))/2</f>
        <v>0</v>
      </c>
      <c r="AL85" s="14">
        <f>IF(I85=0,0,IF(G85=5,0,(AC85+AE85/12+AF85/12)*12*BASE!$C$7))/2</f>
        <v>0</v>
      </c>
      <c r="AM85" s="14">
        <f>IF(I85=0,0,IF(G85=5,0,(AC85+AF85/12)*12*BASE!$C$9))/2</f>
        <v>0</v>
      </c>
      <c r="AN85" s="403">
        <f>IF(I85=0,0,IF(G85=5,0,(AD85+AF85+AG85)*BASE!$C$10))/2</f>
        <v>0</v>
      </c>
      <c r="AO85" s="813">
        <f t="shared" ref="AO85:AO88" si="75">+AD85+AE85+AF85+AG85+AH85+AI85+AJ85+AK85+AL85+AM85+AN85</f>
        <v>0</v>
      </c>
      <c r="AP85" s="580" t="str">
        <f t="shared" si="50"/>
        <v>Sin datos</v>
      </c>
      <c r="AQ85" s="1104"/>
      <c r="AR85" s="1105"/>
    </row>
    <row r="86" spans="1:87" ht="13.5" customHeight="1" outlineLevel="1" x14ac:dyDescent="0.2">
      <c r="A86" s="365" t="s">
        <v>566</v>
      </c>
      <c r="B86" s="411"/>
      <c r="C86" s="413"/>
      <c r="D86" s="417" t="str">
        <f>IF(E86="","",VLOOKUP(E86,BASE!$F$20:$H$25,2,FALSE))</f>
        <v/>
      </c>
      <c r="E86" s="393"/>
      <c r="F86" s="421"/>
      <c r="G86" s="422" t="str">
        <f>IF(F86="","",VLOOKUP(F86,BASE!$B$15:$C$18,2,FALSE))</f>
        <v/>
      </c>
      <c r="H86" s="500">
        <v>0</v>
      </c>
      <c r="I86" s="411">
        <v>0</v>
      </c>
      <c r="J86" s="354"/>
      <c r="K86" s="354"/>
      <c r="L86" s="354"/>
      <c r="M86" s="354"/>
      <c r="N86" s="354"/>
      <c r="O86" s="355">
        <f t="shared" si="51"/>
        <v>0</v>
      </c>
      <c r="P86" s="354"/>
      <c r="Q86" s="354"/>
      <c r="R86" s="355">
        <f t="shared" si="52"/>
        <v>0</v>
      </c>
      <c r="S86" s="354"/>
      <c r="T86" s="354"/>
      <c r="U86" s="354"/>
      <c r="V86" s="355">
        <f t="shared" si="53"/>
        <v>0</v>
      </c>
      <c r="W86" s="354"/>
      <c r="X86" s="355">
        <f t="shared" si="54"/>
        <v>0</v>
      </c>
      <c r="Y86" s="18" t="str">
        <f t="shared" si="55"/>
        <v xml:space="preserve">OK </v>
      </c>
      <c r="Z86" s="397" t="str">
        <f t="shared" si="56"/>
        <v xml:space="preserve"> </v>
      </c>
      <c r="AA86" s="19">
        <f>ROUND((IF(D86=1,(BASE!$G$51*I86),IF(D86=2,(BASE!$G$52*I86),IF(D86=3,(BASE!$G$53*I86),IF(D86=4,(BASE!$G$54*I86),IF(D86=5,(BASE!$G$55*I86),IF(D86=6,(BASE!$G$56*I86),0)))))))/1000,0)*1000</f>
        <v>0</v>
      </c>
      <c r="AB86" s="464">
        <v>0</v>
      </c>
      <c r="AC86" s="19">
        <f t="shared" si="57"/>
        <v>0</v>
      </c>
      <c r="AD86" s="462">
        <f>IF(G86=3,AC86*BASE!$I$62,IF(G86=1,AC86*(BASE!$I$61),IF(G86=2,AC86*(BASE!$I$63),AC86*BASE!$I$64)))/2</f>
        <v>0</v>
      </c>
      <c r="AE86" s="402">
        <f>IF(I86&lt;10,0,IF(AC86&lt;=BASE!$C$3*2,BASE!$C$2,0)*(AD86/AC86))</f>
        <v>0</v>
      </c>
      <c r="AF86" s="13">
        <v>0</v>
      </c>
      <c r="AG86" s="14">
        <f t="shared" si="58"/>
        <v>0</v>
      </c>
      <c r="AH86" s="14">
        <f t="shared" si="73"/>
        <v>0</v>
      </c>
      <c r="AI86" s="14">
        <f t="shared" si="74"/>
        <v>0</v>
      </c>
      <c r="AJ86" s="14">
        <f t="shared" si="59"/>
        <v>0</v>
      </c>
      <c r="AK86" s="14">
        <f>IF(I86=0,0,IF(G86=5,0,(AC86+AF86/12)*12*BASE!$C$5))/2</f>
        <v>0</v>
      </c>
      <c r="AL86" s="14">
        <f>IF(I86=0,0,IF(G86=5,0,(AC86+AE86/12+AF86/12)*12*BASE!$C$7))/2</f>
        <v>0</v>
      </c>
      <c r="AM86" s="14">
        <f>IF(I86=0,0,IF(G86=5,0,(AC86+AF86/12)*12*BASE!$C$9))/2</f>
        <v>0</v>
      </c>
      <c r="AN86" s="403">
        <f>IF(I86=0,0,IF(G86=5,0,(AD86+AF86+AG86)*BASE!$C$10))/2</f>
        <v>0</v>
      </c>
      <c r="AO86" s="813">
        <f t="shared" si="75"/>
        <v>0</v>
      </c>
      <c r="AP86" s="580" t="str">
        <f t="shared" si="50"/>
        <v>Sin datos</v>
      </c>
      <c r="AQ86" s="1104"/>
      <c r="AR86" s="1105"/>
    </row>
    <row r="87" spans="1:87" ht="13.5" customHeight="1" outlineLevel="1" x14ac:dyDescent="0.2">
      <c r="A87" s="365" t="s">
        <v>567</v>
      </c>
      <c r="B87" s="411"/>
      <c r="C87" s="413"/>
      <c r="D87" s="417" t="str">
        <f>IF(E87="","",VLOOKUP(E87,BASE!$F$20:$H$25,2,FALSE))</f>
        <v/>
      </c>
      <c r="E87" s="393"/>
      <c r="F87" s="421"/>
      <c r="G87" s="422" t="str">
        <f>IF(F87="","",VLOOKUP(F87,BASE!$B$15:$C$18,2,FALSE))</f>
        <v/>
      </c>
      <c r="H87" s="500">
        <v>0</v>
      </c>
      <c r="I87" s="411">
        <v>0</v>
      </c>
      <c r="J87" s="354"/>
      <c r="K87" s="354"/>
      <c r="L87" s="354"/>
      <c r="M87" s="354"/>
      <c r="N87" s="354"/>
      <c r="O87" s="355">
        <f t="shared" si="51"/>
        <v>0</v>
      </c>
      <c r="P87" s="354"/>
      <c r="Q87" s="354"/>
      <c r="R87" s="355">
        <f t="shared" si="52"/>
        <v>0</v>
      </c>
      <c r="S87" s="354"/>
      <c r="T87" s="354"/>
      <c r="U87" s="354"/>
      <c r="V87" s="355">
        <f t="shared" si="53"/>
        <v>0</v>
      </c>
      <c r="W87" s="354"/>
      <c r="X87" s="355">
        <f t="shared" si="54"/>
        <v>0</v>
      </c>
      <c r="Y87" s="18" t="str">
        <f t="shared" si="55"/>
        <v xml:space="preserve">OK </v>
      </c>
      <c r="Z87" s="397" t="str">
        <f t="shared" si="56"/>
        <v xml:space="preserve"> </v>
      </c>
      <c r="AA87" s="19">
        <f>ROUND((IF(D87=1,(BASE!$G$51*I87),IF(D87=2,(BASE!$G$52*I87),IF(D87=3,(BASE!$G$53*I87),IF(D87=4,(BASE!$G$54*I87),IF(D87=5,(BASE!$G$55*I87),IF(D87=6,(BASE!$G$56*I87),0)))))))/1000,0)*1000</f>
        <v>0</v>
      </c>
      <c r="AB87" s="464">
        <v>0</v>
      </c>
      <c r="AC87" s="19">
        <f t="shared" si="57"/>
        <v>0</v>
      </c>
      <c r="AD87" s="462">
        <f>IF(G87=3,AC87*BASE!$I$62,IF(G87=1,AC87*(BASE!$I$61),IF(G87=2,AC87*(BASE!$I$63),AC87*BASE!$I$64)))/2</f>
        <v>0</v>
      </c>
      <c r="AE87" s="402">
        <f>IF(I87&lt;10,0,IF(AC87&lt;=BASE!$C$3*2,BASE!$C$2,0)*(AD87/AC87))</f>
        <v>0</v>
      </c>
      <c r="AF87" s="13">
        <v>0</v>
      </c>
      <c r="AG87" s="14">
        <f t="shared" si="58"/>
        <v>0</v>
      </c>
      <c r="AH87" s="14">
        <f t="shared" si="73"/>
        <v>0</v>
      </c>
      <c r="AI87" s="14">
        <f t="shared" si="74"/>
        <v>0</v>
      </c>
      <c r="AJ87" s="14">
        <f t="shared" si="59"/>
        <v>0</v>
      </c>
      <c r="AK87" s="14">
        <f>IF(I87=0,0,IF(G87=5,0,(AC87+AF87/12)*12*BASE!$C$5))/2</f>
        <v>0</v>
      </c>
      <c r="AL87" s="14">
        <f>IF(I87=0,0,IF(G87=5,0,(AC87+AE87/12+AF87/12)*12*BASE!$C$7))/2</f>
        <v>0</v>
      </c>
      <c r="AM87" s="14">
        <f>IF(I87=0,0,IF(G87=5,0,(AC87+AF87/12)*12*BASE!$C$9))/2</f>
        <v>0</v>
      </c>
      <c r="AN87" s="403">
        <f>IF(I87=0,0,IF(G87=5,0,(AD87+AF87+AG87)*BASE!$C$10))/2</f>
        <v>0</v>
      </c>
      <c r="AO87" s="813">
        <f t="shared" si="75"/>
        <v>0</v>
      </c>
      <c r="AP87" s="580" t="str">
        <f t="shared" si="50"/>
        <v>Sin datos</v>
      </c>
      <c r="AQ87" s="1104"/>
      <c r="AR87" s="1105"/>
    </row>
    <row r="88" spans="1:87" ht="13.5" customHeight="1" outlineLevel="1" thickBot="1" x14ac:dyDescent="0.25">
      <c r="A88" s="365" t="s">
        <v>568</v>
      </c>
      <c r="B88" s="411"/>
      <c r="C88" s="413"/>
      <c r="D88" s="417" t="str">
        <f>IF(E88="","",VLOOKUP(E88,BASE!$F$20:$H$25,2,FALSE))</f>
        <v/>
      </c>
      <c r="E88" s="393"/>
      <c r="F88" s="421"/>
      <c r="G88" s="422" t="str">
        <f>IF(F88="","",VLOOKUP(F88,BASE!$B$15:$C$18,2,FALSE))</f>
        <v/>
      </c>
      <c r="H88" s="500">
        <v>0</v>
      </c>
      <c r="I88" s="411">
        <v>0</v>
      </c>
      <c r="J88" s="354"/>
      <c r="K88" s="354"/>
      <c r="L88" s="354"/>
      <c r="M88" s="354"/>
      <c r="N88" s="354"/>
      <c r="O88" s="355">
        <f t="shared" si="51"/>
        <v>0</v>
      </c>
      <c r="P88" s="354"/>
      <c r="Q88" s="354"/>
      <c r="R88" s="355">
        <f t="shared" si="52"/>
        <v>0</v>
      </c>
      <c r="S88" s="354"/>
      <c r="T88" s="354"/>
      <c r="U88" s="354"/>
      <c r="V88" s="355">
        <f t="shared" si="53"/>
        <v>0</v>
      </c>
      <c r="W88" s="354"/>
      <c r="X88" s="355">
        <f t="shared" si="54"/>
        <v>0</v>
      </c>
      <c r="Y88" s="18" t="str">
        <f t="shared" si="55"/>
        <v xml:space="preserve">OK </v>
      </c>
      <c r="Z88" s="397" t="str">
        <f t="shared" si="56"/>
        <v xml:space="preserve"> </v>
      </c>
      <c r="AA88" s="19">
        <f>ROUND((IF(D88=1,(BASE!$G$51*I88),IF(D88=2,(BASE!$G$52*I88),IF(D88=3,(BASE!$G$53*I88),IF(D88=4,(BASE!$G$54*I88),IF(D88=5,(BASE!$G$55*I88),IF(D88=6,(BASE!$G$56*I88),0)))))))/1000,0)*1000</f>
        <v>0</v>
      </c>
      <c r="AB88" s="464">
        <v>0</v>
      </c>
      <c r="AC88" s="19">
        <f t="shared" si="57"/>
        <v>0</v>
      </c>
      <c r="AD88" s="462">
        <f>IF(G88=3,AC88*BASE!$I$62,IF(G88=1,AC88*(BASE!$I$61),IF(G88=2,AC88*(BASE!$I$63),AC88*BASE!$I$64)))/2</f>
        <v>0</v>
      </c>
      <c r="AE88" s="402">
        <f>IF(I88&lt;10,0,IF(AC88&lt;=BASE!$C$3*2,BASE!$C$2,0)*(AD88/AC88))</f>
        <v>0</v>
      </c>
      <c r="AF88" s="13">
        <v>0</v>
      </c>
      <c r="AG88" s="14">
        <f t="shared" si="58"/>
        <v>0</v>
      </c>
      <c r="AH88" s="14">
        <f t="shared" si="73"/>
        <v>0</v>
      </c>
      <c r="AI88" s="14">
        <f t="shared" si="74"/>
        <v>0</v>
      </c>
      <c r="AJ88" s="14">
        <f t="shared" si="59"/>
        <v>0</v>
      </c>
      <c r="AK88" s="14">
        <f>IF(I88=0,0,IF(G88=5,0,(AC88+AF88/12)*12*BASE!$C$5))/2</f>
        <v>0</v>
      </c>
      <c r="AL88" s="14">
        <f>IF(I88=0,0,IF(G88=5,0,(AC88+AE88/12+AF88/12)*12*BASE!$C$7))/2</f>
        <v>0</v>
      </c>
      <c r="AM88" s="14">
        <f>IF(I88=0,0,IF(G88=5,0,(AC88+AF88/12)*12*BASE!$C$9))/2</f>
        <v>0</v>
      </c>
      <c r="AN88" s="403">
        <f>IF(I88=0,0,IF(G88=5,0,(AD88+AF88+AG88)*BASE!$C$10))/2</f>
        <v>0</v>
      </c>
      <c r="AO88" s="813">
        <f t="shared" si="75"/>
        <v>0</v>
      </c>
      <c r="AP88" s="580" t="str">
        <f t="shared" si="50"/>
        <v>Sin datos</v>
      </c>
      <c r="AQ88" s="1104"/>
      <c r="AR88" s="1105"/>
    </row>
    <row r="89" spans="1:87" ht="13.5" customHeight="1" thickBot="1" x14ac:dyDescent="0.25">
      <c r="A89" s="424"/>
      <c r="B89" s="1127" t="s">
        <v>826</v>
      </c>
      <c r="C89" s="1124"/>
      <c r="D89" s="1124"/>
      <c r="E89" s="1124"/>
      <c r="F89" s="1128"/>
      <c r="G89" s="423" t="s">
        <v>167</v>
      </c>
      <c r="H89" s="483">
        <f t="shared" ref="H89:W89" si="76">SUM(H81:H88)</f>
        <v>0</v>
      </c>
      <c r="I89" s="483">
        <f t="shared" si="76"/>
        <v>0</v>
      </c>
      <c r="J89" s="483">
        <f t="shared" si="76"/>
        <v>0</v>
      </c>
      <c r="K89" s="483">
        <f t="shared" si="76"/>
        <v>0</v>
      </c>
      <c r="L89" s="483">
        <f t="shared" si="76"/>
        <v>0</v>
      </c>
      <c r="M89" s="483">
        <f t="shared" si="76"/>
        <v>0</v>
      </c>
      <c r="N89" s="483">
        <f t="shared" si="76"/>
        <v>0</v>
      </c>
      <c r="O89" s="483">
        <f t="shared" si="76"/>
        <v>0</v>
      </c>
      <c r="P89" s="483">
        <f t="shared" si="76"/>
        <v>0</v>
      </c>
      <c r="Q89" s="483">
        <f t="shared" si="76"/>
        <v>0</v>
      </c>
      <c r="R89" s="483">
        <f t="shared" si="76"/>
        <v>0</v>
      </c>
      <c r="S89" s="483">
        <f t="shared" si="76"/>
        <v>0</v>
      </c>
      <c r="T89" s="483">
        <f t="shared" si="76"/>
        <v>0</v>
      </c>
      <c r="U89" s="483">
        <f t="shared" si="76"/>
        <v>0</v>
      </c>
      <c r="V89" s="483">
        <f t="shared" si="76"/>
        <v>0</v>
      </c>
      <c r="W89" s="483">
        <f t="shared" si="76"/>
        <v>0</v>
      </c>
      <c r="X89" s="475">
        <f t="shared" si="54"/>
        <v>0</v>
      </c>
      <c r="Y89" s="484"/>
      <c r="Z89" s="485"/>
      <c r="AA89" s="485"/>
      <c r="AB89" s="485"/>
      <c r="AC89" s="486"/>
      <c r="AD89" s="485">
        <f t="shared" ref="AD89:AO89" si="77">SUM(AD81:AD88)</f>
        <v>0</v>
      </c>
      <c r="AE89" s="487">
        <f t="shared" si="77"/>
        <v>0</v>
      </c>
      <c r="AF89" s="485">
        <f t="shared" si="77"/>
        <v>0</v>
      </c>
      <c r="AG89" s="485">
        <f t="shared" si="77"/>
        <v>0</v>
      </c>
      <c r="AH89" s="485">
        <f t="shared" si="77"/>
        <v>0</v>
      </c>
      <c r="AI89" s="485">
        <f t="shared" si="77"/>
        <v>0</v>
      </c>
      <c r="AJ89" s="485">
        <f t="shared" si="77"/>
        <v>0</v>
      </c>
      <c r="AK89" s="485">
        <f t="shared" si="77"/>
        <v>0</v>
      </c>
      <c r="AL89" s="485">
        <f t="shared" si="77"/>
        <v>0</v>
      </c>
      <c r="AM89" s="485">
        <f t="shared" si="77"/>
        <v>0</v>
      </c>
      <c r="AN89" s="488">
        <f t="shared" si="77"/>
        <v>0</v>
      </c>
      <c r="AO89" s="816">
        <f t="shared" si="77"/>
        <v>0</v>
      </c>
      <c r="AP89" s="582" t="str">
        <f t="shared" si="50"/>
        <v>Sin datos</v>
      </c>
      <c r="AQ89" s="425"/>
      <c r="AR89" s="397"/>
    </row>
    <row r="90" spans="1:87" s="906" customFormat="1" ht="13.5" collapsed="1" thickBot="1" x14ac:dyDescent="0.25">
      <c r="A90" s="907"/>
      <c r="B90" s="1129" t="s">
        <v>827</v>
      </c>
      <c r="C90" s="1130"/>
      <c r="D90" s="1130"/>
      <c r="E90" s="1130"/>
      <c r="F90" s="1131"/>
      <c r="G90" s="908" t="s">
        <v>167</v>
      </c>
      <c r="H90" s="909">
        <f t="shared" ref="H90:X90" si="78">+H62+H79+H89</f>
        <v>847</v>
      </c>
      <c r="I90" s="909">
        <f t="shared" si="78"/>
        <v>847</v>
      </c>
      <c r="J90" s="909">
        <f t="shared" si="78"/>
        <v>249</v>
      </c>
      <c r="K90" s="909">
        <f t="shared" si="78"/>
        <v>57</v>
      </c>
      <c r="L90" s="909">
        <f t="shared" si="78"/>
        <v>61</v>
      </c>
      <c r="M90" s="909">
        <f t="shared" si="78"/>
        <v>21</v>
      </c>
      <c r="N90" s="909">
        <f t="shared" si="78"/>
        <v>26</v>
      </c>
      <c r="O90" s="909">
        <f t="shared" si="78"/>
        <v>414</v>
      </c>
      <c r="P90" s="909">
        <f t="shared" si="78"/>
        <v>56</v>
      </c>
      <c r="Q90" s="909">
        <f t="shared" si="78"/>
        <v>75</v>
      </c>
      <c r="R90" s="909">
        <f t="shared" si="78"/>
        <v>131</v>
      </c>
      <c r="S90" s="909">
        <f t="shared" si="78"/>
        <v>20</v>
      </c>
      <c r="T90" s="909">
        <f t="shared" si="78"/>
        <v>12</v>
      </c>
      <c r="U90" s="909">
        <f t="shared" si="78"/>
        <v>0</v>
      </c>
      <c r="V90" s="909">
        <f t="shared" si="78"/>
        <v>32</v>
      </c>
      <c r="W90" s="909">
        <f t="shared" si="78"/>
        <v>258</v>
      </c>
      <c r="X90" s="909">
        <f t="shared" si="78"/>
        <v>835</v>
      </c>
      <c r="Y90" s="909"/>
      <c r="Z90" s="910"/>
      <c r="AA90" s="910"/>
      <c r="AB90" s="910"/>
      <c r="AC90" s="911"/>
      <c r="AD90" s="912">
        <f t="shared" ref="AD90:AO90" si="79">+AD62+AD79+AD89</f>
        <v>1233161400</v>
      </c>
      <c r="AE90" s="912">
        <f t="shared" si="79"/>
        <v>2733494.7333333325</v>
      </c>
      <c r="AF90" s="912">
        <f t="shared" si="79"/>
        <v>0</v>
      </c>
      <c r="AG90" s="912">
        <f t="shared" si="79"/>
        <v>68508966.666666687</v>
      </c>
      <c r="AH90" s="912">
        <f t="shared" si="79"/>
        <v>109016991</v>
      </c>
      <c r="AI90" s="912">
        <f t="shared" si="79"/>
        <v>109016988.44999999</v>
      </c>
      <c r="AJ90" s="912">
        <f t="shared" si="79"/>
        <v>12450622.60880864</v>
      </c>
      <c r="AK90" s="912">
        <f t="shared" si="79"/>
        <v>113870760</v>
      </c>
      <c r="AL90" s="912">
        <f t="shared" si="79"/>
        <v>133727040</v>
      </c>
      <c r="AM90" s="912">
        <f t="shared" si="79"/>
        <v>7041487.6799999997</v>
      </c>
      <c r="AN90" s="912">
        <f t="shared" si="79"/>
        <v>117150333</v>
      </c>
      <c r="AO90" s="912">
        <f t="shared" si="79"/>
        <v>1906678084.1388085</v>
      </c>
      <c r="AP90" s="913">
        <f t="shared" si="50"/>
        <v>1.5461707479157298</v>
      </c>
      <c r="AQ90" s="904"/>
      <c r="AR90" s="905"/>
    </row>
    <row r="91" spans="1:87" s="356" customFormat="1" ht="16.5" thickBot="1" x14ac:dyDescent="0.25">
      <c r="A91" s="391"/>
      <c r="B91" s="489" t="s">
        <v>412</v>
      </c>
      <c r="C91" s="415"/>
      <c r="D91" s="420"/>
      <c r="E91" s="357"/>
      <c r="F91" s="490"/>
      <c r="G91" s="491"/>
      <c r="H91" s="357"/>
      <c r="I91" s="391"/>
      <c r="J91" s="357"/>
      <c r="K91" s="357"/>
      <c r="L91" s="357"/>
      <c r="M91" s="357"/>
      <c r="N91" s="357"/>
      <c r="O91" s="357"/>
      <c r="P91" s="357"/>
      <c r="Q91" s="357"/>
      <c r="R91" s="357"/>
      <c r="S91" s="357"/>
      <c r="T91" s="357"/>
      <c r="U91" s="357"/>
      <c r="V91" s="357"/>
      <c r="W91" s="357"/>
      <c r="X91" s="357"/>
      <c r="Y91" s="357"/>
      <c r="Z91" s="394"/>
      <c r="AA91" s="394"/>
      <c r="AB91" s="394"/>
      <c r="AC91" s="357"/>
      <c r="AD91" s="357"/>
      <c r="AE91" s="492"/>
      <c r="AF91" s="493"/>
      <c r="AG91" s="494"/>
      <c r="AH91" s="494"/>
      <c r="AI91" s="494"/>
      <c r="AJ91" s="494"/>
      <c r="AK91" s="494"/>
      <c r="AL91" s="494"/>
      <c r="AM91" s="494"/>
      <c r="AN91" s="495"/>
      <c r="AO91" s="817"/>
      <c r="AP91" s="584" t="str">
        <f t="shared" si="50"/>
        <v>Sin datos</v>
      </c>
      <c r="AQ91" s="425"/>
      <c r="AR91" s="397"/>
    </row>
    <row r="92" spans="1:87" ht="13.5" customHeight="1" outlineLevel="1" x14ac:dyDescent="0.2">
      <c r="A92" s="365" t="s">
        <v>569</v>
      </c>
      <c r="B92" s="406" t="s">
        <v>965</v>
      </c>
      <c r="C92" s="413"/>
      <c r="D92" s="416">
        <f>IF(E92="","",VLOOKUP(E92,BASE!$F$20:$H$25,2,FALSE))</f>
        <v>3</v>
      </c>
      <c r="E92" s="393" t="s">
        <v>541</v>
      </c>
      <c r="F92" s="471" t="s">
        <v>805</v>
      </c>
      <c r="G92" s="422">
        <f>IF(F92="","",VLOOKUP(F92,BASE!$B$15:$C$18,2,FALSE))</f>
        <v>4</v>
      </c>
      <c r="H92" s="499">
        <v>25</v>
      </c>
      <c r="I92" s="411">
        <v>25</v>
      </c>
      <c r="J92" s="354">
        <v>4</v>
      </c>
      <c r="K92" s="354">
        <v>1</v>
      </c>
      <c r="L92" s="354">
        <v>1</v>
      </c>
      <c r="M92" s="354"/>
      <c r="N92" s="354"/>
      <c r="O92" s="355">
        <f t="shared" ref="O92" si="80">+J92+K92+L92+M92+N92</f>
        <v>6</v>
      </c>
      <c r="P92" s="354"/>
      <c r="Q92" s="354"/>
      <c r="R92" s="355">
        <f t="shared" ref="R92" si="81">+P92+Q92</f>
        <v>0</v>
      </c>
      <c r="S92" s="354"/>
      <c r="T92" s="354"/>
      <c r="U92" s="354"/>
      <c r="V92" s="355">
        <f t="shared" ref="V92" si="82">+S92+T92+U92</f>
        <v>0</v>
      </c>
      <c r="W92" s="354">
        <v>19</v>
      </c>
      <c r="X92" s="355">
        <f t="shared" ref="X92:X98" si="83">+O92+R92+V92+W92</f>
        <v>25</v>
      </c>
      <c r="Y92" s="192" t="str">
        <f t="shared" ref="Y92" si="84">IF(I92-X92=0,"OK ",IF(I92-X92&gt;0,"AJUSTE",IF(I92-X92&lt;0,"AJUSTE")))</f>
        <v xml:space="preserve">OK </v>
      </c>
      <c r="Z92" s="398" t="str">
        <f t="shared" ref="Z92" si="85">IF(H92-I92=0," ",IF(H92-I92&gt;0,"JUSTIFICAR","AJUSTE"))</f>
        <v xml:space="preserve"> </v>
      </c>
      <c r="AA92" s="994">
        <v>3172000</v>
      </c>
      <c r="AB92" s="193">
        <v>3539000</v>
      </c>
      <c r="AC92" s="193">
        <f t="shared" ref="AC92" si="86">AA92+AB92</f>
        <v>6711000</v>
      </c>
      <c r="AD92" s="193">
        <f>IF(G92=3,AC92*BASE!$I$62,IF(G92=1,AC92*(BASE!$I$61),IF(G92=3,AC92*(BASE!$I$63*2),IF(G92=2,AC92*BASE!$I$63,IF(G92=4,AC92*BASE!$I$63,0)))))</f>
        <v>76281700</v>
      </c>
      <c r="AE92" s="400">
        <f>IF(I92&lt;10,0,IF(AC92&lt;=BASE!$C$3*2,BASE!$C$2,0)*(AD92/AC92))</f>
        <v>0</v>
      </c>
      <c r="AF92" s="388">
        <v>0</v>
      </c>
      <c r="AG92" s="387">
        <f t="shared" ref="AG92:AG97" si="87">IF(I92=0,0,IF(G92=5,0,((AD92/12)+(AF92/12))/3*2))</f>
        <v>4237872.222222222</v>
      </c>
      <c r="AH92" s="387">
        <f>ROUND((AD92/12)+(AE92/12)+(AF92/12)+(AG92/12),0)</f>
        <v>6709964</v>
      </c>
      <c r="AI92" s="387">
        <f>((AD92/12)+(AE92/12)+(AF92/12)+(AG92/12))</f>
        <v>6709964.3518518517</v>
      </c>
      <c r="AJ92" s="387">
        <f t="shared" ref="AJ92:AJ97" si="88">IF(G92=3,(AI92*11%),IF(G92=4,(AI92*12%),IF(G92=2,(AI92*12%),IF(G92=1,(AI92*10%),0))))</f>
        <v>805195.72222222213</v>
      </c>
      <c r="AK92" s="387">
        <f>IF(I92=0,0,IF(G92=5,0,(AD92+AG92+AF92)*BASE!$C$5))</f>
        <v>6844163.6388888899</v>
      </c>
      <c r="AL92" s="387">
        <f>IF(I92=0,0,IF(G92=5,0,(AD92+AG92+AF92)*BASE!$C$7))</f>
        <v>9662348.666666666</v>
      </c>
      <c r="AM92" s="387">
        <f>IF(I92=0,0,IF(G92=5,0,(AD92+AF92)*BASE!$C$9))</f>
        <v>398190.47399999999</v>
      </c>
      <c r="AN92" s="401">
        <f>IF(I92=0,0,IF(G92=5,0,(AD92+AF92+AG92)*BASE!$C$10))</f>
        <v>7246761.5</v>
      </c>
      <c r="AO92" s="818">
        <f>+AD92+AE92+AF92+AG92+AH92+AI92+AJ92+AK92+AL92+AM92+AN92</f>
        <v>118896160.57585187</v>
      </c>
      <c r="AP92" s="585">
        <f t="shared" si="50"/>
        <v>1.5586459213133932</v>
      </c>
      <c r="AQ92" s="1104"/>
      <c r="AR92" s="1105"/>
    </row>
    <row r="93" spans="1:87" ht="13.5" customHeight="1" outlineLevel="1" x14ac:dyDescent="0.2">
      <c r="A93" s="365" t="s">
        <v>570</v>
      </c>
      <c r="B93" s="506" t="s">
        <v>966</v>
      </c>
      <c r="C93" s="413"/>
      <c r="D93" s="417">
        <f>IF(E93="","",VLOOKUP(E93,BASE!$F$20:$H$25,2,FALSE))</f>
        <v>1</v>
      </c>
      <c r="E93" s="393" t="s">
        <v>168</v>
      </c>
      <c r="F93" s="568" t="s">
        <v>547</v>
      </c>
      <c r="G93" s="422">
        <f>IF(F93="","",VLOOKUP(F93,BASE!$B$15:$C$18,2,FALSE))</f>
        <v>3</v>
      </c>
      <c r="H93" s="500">
        <v>24</v>
      </c>
      <c r="I93" s="411">
        <v>24</v>
      </c>
      <c r="J93" s="354"/>
      <c r="K93" s="354"/>
      <c r="L93" s="354"/>
      <c r="M93" s="354"/>
      <c r="N93" s="354"/>
      <c r="O93" s="355">
        <f t="shared" ref="O93:O97" si="89">+J93+K93+L93+M93+N93</f>
        <v>0</v>
      </c>
      <c r="P93" s="354"/>
      <c r="Q93" s="354"/>
      <c r="R93" s="355">
        <f t="shared" ref="R93:R97" si="90">+P93+Q93</f>
        <v>0</v>
      </c>
      <c r="S93" s="354"/>
      <c r="T93" s="354"/>
      <c r="U93" s="354"/>
      <c r="V93" s="355">
        <f t="shared" ref="V93:V97" si="91">+S93+T93+U93</f>
        <v>0</v>
      </c>
      <c r="W93" s="354">
        <v>24</v>
      </c>
      <c r="X93" s="355">
        <f t="shared" ref="X93:X97" si="92">+O93+R93+V93+W93</f>
        <v>24</v>
      </c>
      <c r="Y93" s="18" t="str">
        <f t="shared" ref="Y93:Y97" si="93">IF(I93-X93=0,"OK ",IF(I93-X93&gt;0,"AJUSTE",IF(I93-X93&lt;0,"AJUSTE")))</f>
        <v xml:space="preserve">OK </v>
      </c>
      <c r="Z93" s="397" t="str">
        <f t="shared" ref="Z93:Z97" si="94">IF(H93-I93=0," ",IF(H93-I93&gt;0,"JUSTIFICAR","AJUSTE"))</f>
        <v xml:space="preserve"> </v>
      </c>
      <c r="AA93" s="995">
        <v>696000</v>
      </c>
      <c r="AB93" s="19">
        <v>0</v>
      </c>
      <c r="AC93" s="19">
        <f t="shared" ref="AC93:AC97" si="95">AA93+AB93</f>
        <v>696000</v>
      </c>
      <c r="AD93" s="19">
        <f>IF(G93=3,AC93*BASE!$I$62,IF(G93=1,AC93*(BASE!$I$61),IF(G93=3,AC93*(BASE!$I$63*2),IF(G93=2,AC93*BASE!$I$63,IF(G93=4,AC93*BASE!$I$63,0)))))</f>
        <v>7447199.9999999991</v>
      </c>
      <c r="AE93" s="402">
        <f>IF(I93&lt;10,0,IF(AC93&lt;=BASE!$C$3*2,BASE!$C$2,0)*(AD93/AC93))</f>
        <v>943857.7</v>
      </c>
      <c r="AF93" s="13">
        <v>0</v>
      </c>
      <c r="AG93" s="14">
        <f t="shared" si="87"/>
        <v>413733.33333333326</v>
      </c>
      <c r="AH93" s="14">
        <f t="shared" ref="AH93:AH97" si="96">ROUND((AD93/12)+(AE93/12)+(AF93/12)+(AG93/12),0)</f>
        <v>733733</v>
      </c>
      <c r="AI93" s="14">
        <f t="shared" ref="AI93:AI97" si="97">((AD93/12)+(AE93/12)+(AF93/12)+(AG93/12))</f>
        <v>733732.58611111098</v>
      </c>
      <c r="AJ93" s="14">
        <f t="shared" si="88"/>
        <v>80710.58447222221</v>
      </c>
      <c r="AK93" s="14">
        <f>IF(I93=0,0,IF(G93=5,0,(AD93+AG93+AF93)*BASE!$C$5))</f>
        <v>668179.33333333326</v>
      </c>
      <c r="AL93" s="14">
        <f>IF(I93=0,0,IF(G93=5,0,(AD93+AG93+AF93)*BASE!$C$7))</f>
        <v>943311.99999999977</v>
      </c>
      <c r="AM93" s="14">
        <f>IF(I93=0,0,IF(G93=5,0,(AD93+AF93)*BASE!$C$9))</f>
        <v>38874.383999999991</v>
      </c>
      <c r="AN93" s="403">
        <f>IF(I93=0,0,IF(G93=5,0,(AD93+AF93+AG93)*BASE!$C$10))</f>
        <v>707483.99999999988</v>
      </c>
      <c r="AO93" s="813">
        <f t="shared" ref="AO93:AO94" si="98">+AD93+AE93+AF93+AG93+AH93+AI93+AJ93+AK93+AL93+AM93+AN93</f>
        <v>12710816.921250001</v>
      </c>
      <c r="AP93" s="656">
        <f t="shared" si="50"/>
        <v>1.7067914009627783</v>
      </c>
      <c r="AQ93" s="1104"/>
      <c r="AR93" s="1105"/>
    </row>
    <row r="94" spans="1:87" ht="13.5" customHeight="1" outlineLevel="1" x14ac:dyDescent="0.2">
      <c r="A94" s="365" t="s">
        <v>571</v>
      </c>
      <c r="B94" s="407" t="s">
        <v>967</v>
      </c>
      <c r="C94" s="413"/>
      <c r="D94" s="417">
        <f>IF(E94="","",VLOOKUP(E94,BASE!$F$20:$H$25,2,FALSE))</f>
        <v>1</v>
      </c>
      <c r="E94" s="393" t="s">
        <v>168</v>
      </c>
      <c r="F94" s="568" t="s">
        <v>547</v>
      </c>
      <c r="G94" s="422">
        <f>IF(F94="","",VLOOKUP(F94,BASE!$B$15:$C$18,2,FALSE))</f>
        <v>3</v>
      </c>
      <c r="H94" s="500">
        <v>24</v>
      </c>
      <c r="I94" s="411">
        <v>24</v>
      </c>
      <c r="J94" s="354"/>
      <c r="K94" s="354"/>
      <c r="L94" s="354"/>
      <c r="M94" s="354"/>
      <c r="N94" s="354"/>
      <c r="O94" s="355">
        <f t="shared" si="89"/>
        <v>0</v>
      </c>
      <c r="P94" s="354"/>
      <c r="Q94" s="354"/>
      <c r="R94" s="355">
        <f t="shared" si="90"/>
        <v>0</v>
      </c>
      <c r="S94" s="354"/>
      <c r="T94" s="354"/>
      <c r="U94" s="354"/>
      <c r="V94" s="355">
        <f t="shared" si="91"/>
        <v>0</v>
      </c>
      <c r="W94" s="354">
        <v>24</v>
      </c>
      <c r="X94" s="355">
        <f t="shared" si="92"/>
        <v>24</v>
      </c>
      <c r="Y94" s="18" t="str">
        <f t="shared" si="93"/>
        <v xml:space="preserve">OK </v>
      </c>
      <c r="Z94" s="397" t="str">
        <f t="shared" si="94"/>
        <v xml:space="preserve"> </v>
      </c>
      <c r="AA94" s="462">
        <v>696000</v>
      </c>
      <c r="AB94" s="19">
        <v>0</v>
      </c>
      <c r="AC94" s="19">
        <f t="shared" si="95"/>
        <v>696000</v>
      </c>
      <c r="AD94" s="19">
        <f>IF(G94=3,AC94*BASE!$I$62,IF(G94=1,AC94*(BASE!$I$61),IF(G94=3,AC94*(BASE!$I$63*2),IF(G94=2,AC94*BASE!$I$63,IF(G94=4,AC94*BASE!$I$63,0)))))</f>
        <v>7447199.9999999991</v>
      </c>
      <c r="AE94" s="402">
        <f>IF(I94&lt;10,0,IF(AC94&lt;=BASE!$C$3*2,BASE!$C$2,0)*(AD94/AC94))</f>
        <v>943857.7</v>
      </c>
      <c r="AF94" s="13">
        <v>0</v>
      </c>
      <c r="AG94" s="14">
        <f t="shared" si="87"/>
        <v>413733.33333333326</v>
      </c>
      <c r="AH94" s="14">
        <f t="shared" si="96"/>
        <v>733733</v>
      </c>
      <c r="AI94" s="14">
        <f t="shared" si="97"/>
        <v>733732.58611111098</v>
      </c>
      <c r="AJ94" s="14">
        <f t="shared" si="88"/>
        <v>80710.58447222221</v>
      </c>
      <c r="AK94" s="14">
        <f>IF(I94=0,0,IF(G94=5,0,(AD94+AG94+AF94)*BASE!$C$5))</f>
        <v>668179.33333333326</v>
      </c>
      <c r="AL94" s="14">
        <f>IF(I94=0,0,IF(G94=5,0,(AD94+AG94+AF94)*BASE!$C$7))</f>
        <v>943311.99999999977</v>
      </c>
      <c r="AM94" s="14">
        <f>IF(I94=0,0,IF(G94=5,0,(AD94+AF94)*BASE!$C$9))</f>
        <v>38874.383999999991</v>
      </c>
      <c r="AN94" s="403">
        <f>IF(I94=0,0,IF(G94=5,0,(AD94+AF94+AG94)*BASE!$C$10))</f>
        <v>707483.99999999988</v>
      </c>
      <c r="AO94" s="813">
        <f t="shared" si="98"/>
        <v>12710816.921250001</v>
      </c>
      <c r="AP94" s="656">
        <f t="shared" si="50"/>
        <v>1.7067914009627783</v>
      </c>
      <c r="AQ94" s="1104"/>
      <c r="AR94" s="1105"/>
    </row>
    <row r="95" spans="1:87" ht="13.5" customHeight="1" outlineLevel="1" x14ac:dyDescent="0.2">
      <c r="A95" s="365" t="s">
        <v>561</v>
      </c>
      <c r="B95" s="1013" t="s">
        <v>940</v>
      </c>
      <c r="C95" s="413"/>
      <c r="D95" s="417">
        <f>IF(E95="","",VLOOKUP(E95,BASE!$F$20:$H$25,2,FALSE))</f>
        <v>6</v>
      </c>
      <c r="E95" s="393" t="s">
        <v>538</v>
      </c>
      <c r="F95" s="421" t="s">
        <v>547</v>
      </c>
      <c r="G95" s="422">
        <f>IF(F95="","",VLOOKUP(F95,BASE!$B$15:$C$18,2,FALSE))</f>
        <v>3</v>
      </c>
      <c r="H95" s="355">
        <v>25</v>
      </c>
      <c r="I95" s="410">
        <v>25</v>
      </c>
      <c r="J95" s="354"/>
      <c r="K95" s="354"/>
      <c r="L95" s="354"/>
      <c r="M95" s="354"/>
      <c r="N95" s="354"/>
      <c r="O95" s="355">
        <f>+J95+K95+L95+M95+N95</f>
        <v>0</v>
      </c>
      <c r="P95" s="354"/>
      <c r="Q95" s="354"/>
      <c r="R95" s="355">
        <f>+P95+Q95</f>
        <v>0</v>
      </c>
      <c r="S95" s="354"/>
      <c r="T95" s="354"/>
      <c r="U95" s="354"/>
      <c r="V95" s="355">
        <f>+S95+T95+U95</f>
        <v>0</v>
      </c>
      <c r="W95" s="393">
        <v>25</v>
      </c>
      <c r="X95" s="461">
        <f>+O95+R95+V95+W95</f>
        <v>25</v>
      </c>
      <c r="Y95" s="18" t="str">
        <f>IF(I95-X95=0,"OK ",IF(I95-X95&gt;0,"AJUSTE",IF(I95-X95&lt;0,"AJUSTE")))</f>
        <v xml:space="preserve">OK </v>
      </c>
      <c r="Z95" s="397" t="str">
        <f>IF(H95-I95=0," ",IF(H95-I95&gt;0,"JUSTIFICAR","AJUSTE"))</f>
        <v xml:space="preserve"> </v>
      </c>
      <c r="AA95" s="462">
        <f>ROUND((IF(D95=1,(BASE!$G$51*I95),IF(D95=2,(BASE!$G$52*I95),IF(D95=3,(BASE!$G$53*I95),IF(D95=4,(BASE!$G$54*I95),IF(D95=5,(BASE!$G$55*I95),IF(D95=6,(BASE!$G$56*I95),0)))))))/1000,0)*1000</f>
        <v>1750000</v>
      </c>
      <c r="AB95" s="399">
        <v>1366000</v>
      </c>
      <c r="AC95" s="462">
        <f>AA95+AB95</f>
        <v>3116000</v>
      </c>
      <c r="AD95" s="462">
        <f>IF(G95=3,AC95*BASE!$I$62,IF(G95=1,AC95*(BASE!$I$61),IF(G95=2,AC95*(BASE!$I$63),AC95*BASE!$I$64)))</f>
        <v>33341199.999999996</v>
      </c>
      <c r="AE95" s="402">
        <f>IF(I95&lt;10,0,IF(AC95&lt;=BASE!$C$3*2,BASE!$C$2,0)*(AD95/AC95))</f>
        <v>0</v>
      </c>
      <c r="AF95" s="13">
        <v>0</v>
      </c>
      <c r="AG95" s="14">
        <f>IF(I95=0,0,IF(G95=5,0,((AD95/12)+(AF95/12))/3*2))</f>
        <v>1852288.8888888888</v>
      </c>
      <c r="AH95" s="14">
        <f>ROUND((AD95/12)+(AE95/12)+(AF95/12)+(AG95/12),0)</f>
        <v>2932791</v>
      </c>
      <c r="AI95" s="14">
        <f>((AD95/12)+(AE95/12)+(AF95/12)+(AG95/12))</f>
        <v>2932790.7407407402</v>
      </c>
      <c r="AJ95" s="14">
        <f>IF(G95=3,(AI95*11%),IF(G95=4,(AI95*12%),IF(G95=2,(AI95*12%),IF(G95=1,(AI95*10%),0))))</f>
        <v>322606.9814814814</v>
      </c>
      <c r="AK95" s="14">
        <f>IF(I95=0,0,IF(G95=5,0,(AC95+AF95/12)*12*BASE!$C$5))</f>
        <v>3178320</v>
      </c>
      <c r="AL95" s="14">
        <f>IF(I95=0,0,IF(G95=5,0,(AC95+AF95/12)*12*BASE!$C$7))</f>
        <v>4487040</v>
      </c>
      <c r="AM95" s="14">
        <f>IF(I95=0,0,IF(G95=5,0,(AC95+AF95/12)*12*BASE!$C$9))</f>
        <v>195186.24</v>
      </c>
      <c r="AN95" s="403">
        <f>IF(I95=0,0,IF(G95=5,0,(AD95+AF95+AG95)*BASE!$C$10))</f>
        <v>3167414</v>
      </c>
      <c r="AO95" s="813">
        <f>+AD95+AE95+AF95+AG95+AH95+AI95+AJ95+AK95+AL95+AM95+AN95</f>
        <v>52409637.851111114</v>
      </c>
      <c r="AP95" s="656">
        <f>IFERROR(AO95/AD95,"Sin datos")</f>
        <v>1.5719181628469017</v>
      </c>
      <c r="AQ95" s="1104"/>
      <c r="AR95" s="1105"/>
      <c r="CG95" s="179">
        <v>0</v>
      </c>
      <c r="CH95" s="181">
        <v>1</v>
      </c>
      <c r="CI95" s="182" t="s">
        <v>168</v>
      </c>
    </row>
    <row r="96" spans="1:87" ht="13.5" customHeight="1" outlineLevel="1" x14ac:dyDescent="0.2">
      <c r="A96" s="365" t="s">
        <v>571</v>
      </c>
      <c r="B96" s="407"/>
      <c r="C96" s="413"/>
      <c r="D96" s="417" t="str">
        <f>IF(E96="","",VLOOKUP(E96,BASE!$F$20:$H$25,2,FALSE))</f>
        <v/>
      </c>
      <c r="E96" s="393"/>
      <c r="F96" s="568"/>
      <c r="G96" s="422" t="str">
        <f>IF(F96="","",VLOOKUP(F96,BASE!$B$15:$C$18,2,FALSE))</f>
        <v/>
      </c>
      <c r="H96" s="500">
        <v>0</v>
      </c>
      <c r="I96" s="411">
        <f t="shared" ref="I96:I97" si="99">+H96</f>
        <v>0</v>
      </c>
      <c r="J96" s="354"/>
      <c r="K96" s="354"/>
      <c r="L96" s="354"/>
      <c r="M96" s="354"/>
      <c r="N96" s="354"/>
      <c r="O96" s="355">
        <f t="shared" si="89"/>
        <v>0</v>
      </c>
      <c r="P96" s="354"/>
      <c r="Q96" s="354"/>
      <c r="R96" s="355">
        <f t="shared" si="90"/>
        <v>0</v>
      </c>
      <c r="S96" s="354"/>
      <c r="T96" s="354"/>
      <c r="U96" s="354"/>
      <c r="V96" s="355">
        <f t="shared" si="91"/>
        <v>0</v>
      </c>
      <c r="W96" s="354"/>
      <c r="X96" s="355">
        <f t="shared" si="92"/>
        <v>0</v>
      </c>
      <c r="Y96" s="18" t="str">
        <f t="shared" si="93"/>
        <v xml:space="preserve">OK </v>
      </c>
      <c r="Z96" s="397" t="str">
        <f t="shared" si="94"/>
        <v xml:space="preserve"> </v>
      </c>
      <c r="AA96" s="462">
        <v>0</v>
      </c>
      <c r="AB96" s="19">
        <v>0</v>
      </c>
      <c r="AC96" s="19">
        <f t="shared" si="95"/>
        <v>0</v>
      </c>
      <c r="AD96" s="19">
        <f>IF(G96=3,AC96*BASE!$I$62,IF(G96=1,AC96*(BASE!$I$61),IF(G96=3,AC96*(BASE!$I$63*2),IF(G96=2,AC96*BASE!$I$63,IF(G96=4,AC96*BASE!$I$63,0)))))</f>
        <v>0</v>
      </c>
      <c r="AE96" s="402">
        <f>IF(I96&lt;10,0,IF(AC96&lt;=BASE!$C$3*2,BASE!$C$2,0)*(AD96/AC96))</f>
        <v>0</v>
      </c>
      <c r="AF96" s="13">
        <v>0</v>
      </c>
      <c r="AG96" s="14">
        <f t="shared" si="87"/>
        <v>0</v>
      </c>
      <c r="AH96" s="14">
        <f t="shared" si="96"/>
        <v>0</v>
      </c>
      <c r="AI96" s="14">
        <f t="shared" si="97"/>
        <v>0</v>
      </c>
      <c r="AJ96" s="14">
        <f t="shared" si="88"/>
        <v>0</v>
      </c>
      <c r="AK96" s="14">
        <f>IF(I96=0,0,IF(G96=5,0,(AD96+AG96+AF96)*BASE!$C$5))</f>
        <v>0</v>
      </c>
      <c r="AL96" s="14">
        <f>IF(I96=0,0,IF(G96=5,0,(AD96+AG96+AF96)*BASE!$C$7))</f>
        <v>0</v>
      </c>
      <c r="AM96" s="14">
        <f>IF(I96=0,0,IF(G96=5,0,(AD96+AF96)*BASE!$C$9))</f>
        <v>0</v>
      </c>
      <c r="AN96" s="403">
        <f>IF(I96=0,0,IF(G96=5,0,(AD96+AF96+AG96)*BASE!$C$10))</f>
        <v>0</v>
      </c>
      <c r="AO96" s="813">
        <f>+AD96+AE96+AF96+AG96+AH96+AI96+AJ96+AK96+AL96+AM96+AN96</f>
        <v>0</v>
      </c>
      <c r="AP96" s="656" t="str">
        <f t="shared" si="50"/>
        <v>Sin datos</v>
      </c>
      <c r="AQ96" s="1104"/>
      <c r="AR96" s="1105"/>
    </row>
    <row r="97" spans="1:87" ht="13.5" customHeight="1" outlineLevel="1" thickBot="1" x14ac:dyDescent="0.25">
      <c r="A97" s="365" t="s">
        <v>571</v>
      </c>
      <c r="B97" s="407"/>
      <c r="C97" s="413"/>
      <c r="D97" s="417" t="str">
        <f>IF(E97="","",VLOOKUP(E97,BASE!$F$20:$H$25,2,FALSE))</f>
        <v/>
      </c>
      <c r="E97" s="393"/>
      <c r="F97" s="568"/>
      <c r="G97" s="422" t="str">
        <f>IF(F97="","",VLOOKUP(F97,BASE!$B$15:$C$18,2,FALSE))</f>
        <v/>
      </c>
      <c r="H97" s="500">
        <v>0</v>
      </c>
      <c r="I97" s="411">
        <f t="shared" si="99"/>
        <v>0</v>
      </c>
      <c r="J97" s="354"/>
      <c r="K97" s="354"/>
      <c r="L97" s="354"/>
      <c r="M97" s="354"/>
      <c r="N97" s="354"/>
      <c r="O97" s="355">
        <f t="shared" si="89"/>
        <v>0</v>
      </c>
      <c r="P97" s="354"/>
      <c r="Q97" s="354"/>
      <c r="R97" s="355">
        <f t="shared" si="90"/>
        <v>0</v>
      </c>
      <c r="S97" s="354"/>
      <c r="T97" s="354"/>
      <c r="U97" s="354"/>
      <c r="V97" s="355">
        <f t="shared" si="91"/>
        <v>0</v>
      </c>
      <c r="W97" s="354"/>
      <c r="X97" s="355">
        <f t="shared" si="92"/>
        <v>0</v>
      </c>
      <c r="Y97" s="18" t="str">
        <f t="shared" si="93"/>
        <v xml:space="preserve">OK </v>
      </c>
      <c r="Z97" s="397" t="str">
        <f t="shared" si="94"/>
        <v xml:space="preserve"> </v>
      </c>
      <c r="AA97" s="462">
        <v>0</v>
      </c>
      <c r="AB97" s="19">
        <v>0</v>
      </c>
      <c r="AC97" s="19">
        <f t="shared" si="95"/>
        <v>0</v>
      </c>
      <c r="AD97" s="19">
        <f>IF(G97=3,AC97*BASE!$I$62,IF(G97=1,AC97*(BASE!$I$61),IF(G97=3,AC97*(BASE!$I$63*2),IF(G97=2,AC97*BASE!$I$63,IF(G97=4,AC97*BASE!$I$63,0)))))</f>
        <v>0</v>
      </c>
      <c r="AE97" s="402">
        <f>IF(I97&lt;10,0,IF(AC97&lt;=BASE!$C$3*2,BASE!$C$2,0)*(AD97/AC97))</f>
        <v>0</v>
      </c>
      <c r="AF97" s="13">
        <v>0</v>
      </c>
      <c r="AG97" s="14">
        <f t="shared" si="87"/>
        <v>0</v>
      </c>
      <c r="AH97" s="14">
        <f t="shared" si="96"/>
        <v>0</v>
      </c>
      <c r="AI97" s="14">
        <f t="shared" si="97"/>
        <v>0</v>
      </c>
      <c r="AJ97" s="14">
        <f t="shared" si="88"/>
        <v>0</v>
      </c>
      <c r="AK97" s="14">
        <f>IF(I97=0,0,IF(G97=5,0,(AD97+AG97+AF97)*BASE!$C$5))</f>
        <v>0</v>
      </c>
      <c r="AL97" s="14">
        <f>IF(I97=0,0,IF(G97=5,0,(AD97+AG97+AF97)*BASE!$C$7))</f>
        <v>0</v>
      </c>
      <c r="AM97" s="14">
        <f>IF(I97=0,0,IF(G97=5,0,(AD97+AF97)*BASE!$C$9))</f>
        <v>0</v>
      </c>
      <c r="AN97" s="403">
        <f>IF(I97=0,0,IF(G97=5,0,(AD97+AF97+AG97)*BASE!$C$10))</f>
        <v>0</v>
      </c>
      <c r="AO97" s="813">
        <f>+AD97+AE97+AF97+AG97+AH97+AI97+AJ97+AK97+AL97+AM97+AN97</f>
        <v>0</v>
      </c>
      <c r="AP97" s="656" t="str">
        <f t="shared" si="50"/>
        <v>Sin datos</v>
      </c>
      <c r="AQ97" s="1104"/>
      <c r="AR97" s="1105"/>
    </row>
    <row r="98" spans="1:87" ht="13.5" customHeight="1" thickBot="1" x14ac:dyDescent="0.25">
      <c r="A98" s="191"/>
      <c r="B98" s="1124" t="s">
        <v>828</v>
      </c>
      <c r="C98" s="1124"/>
      <c r="D98" s="1124"/>
      <c r="E98" s="1124"/>
      <c r="F98" s="1124"/>
      <c r="G98" s="1124"/>
      <c r="H98" s="496">
        <f t="shared" ref="H98:W98" si="100">SUM(H92:H97)</f>
        <v>98</v>
      </c>
      <c r="I98" s="496">
        <f t="shared" si="100"/>
        <v>98</v>
      </c>
      <c r="J98" s="496">
        <f t="shared" si="100"/>
        <v>4</v>
      </c>
      <c r="K98" s="496">
        <f t="shared" si="100"/>
        <v>1</v>
      </c>
      <c r="L98" s="496">
        <f t="shared" si="100"/>
        <v>1</v>
      </c>
      <c r="M98" s="496">
        <f t="shared" si="100"/>
        <v>0</v>
      </c>
      <c r="N98" s="496">
        <f t="shared" si="100"/>
        <v>0</v>
      </c>
      <c r="O98" s="496">
        <f t="shared" si="100"/>
        <v>6</v>
      </c>
      <c r="P98" s="496">
        <f t="shared" si="100"/>
        <v>0</v>
      </c>
      <c r="Q98" s="496">
        <f t="shared" si="100"/>
        <v>0</v>
      </c>
      <c r="R98" s="496">
        <f t="shared" si="100"/>
        <v>0</v>
      </c>
      <c r="S98" s="496">
        <f t="shared" si="100"/>
        <v>0</v>
      </c>
      <c r="T98" s="496">
        <f t="shared" si="100"/>
        <v>0</v>
      </c>
      <c r="U98" s="496">
        <f t="shared" si="100"/>
        <v>0</v>
      </c>
      <c r="V98" s="496">
        <f t="shared" si="100"/>
        <v>0</v>
      </c>
      <c r="W98" s="496">
        <f t="shared" si="100"/>
        <v>92</v>
      </c>
      <c r="X98" s="184">
        <f t="shared" si="83"/>
        <v>98</v>
      </c>
      <c r="Y98" s="184"/>
      <c r="Z98" s="184"/>
      <c r="AA98" s="185"/>
      <c r="AB98" s="185"/>
      <c r="AC98" s="184"/>
      <c r="AD98" s="185">
        <f t="shared" ref="AD98:AO98" si="101">SUM(AD92:AD97)</f>
        <v>124517300</v>
      </c>
      <c r="AE98" s="404">
        <f t="shared" si="101"/>
        <v>1887715.4</v>
      </c>
      <c r="AF98" s="185">
        <f t="shared" si="101"/>
        <v>0</v>
      </c>
      <c r="AG98" s="185">
        <f t="shared" si="101"/>
        <v>6917627.7777777771</v>
      </c>
      <c r="AH98" s="185">
        <f t="shared" si="101"/>
        <v>11110221</v>
      </c>
      <c r="AI98" s="185">
        <f t="shared" si="101"/>
        <v>11110220.264814813</v>
      </c>
      <c r="AJ98" s="185">
        <f t="shared" si="101"/>
        <v>1289223.8726481481</v>
      </c>
      <c r="AK98" s="185">
        <f t="shared" si="101"/>
        <v>11358842.305555556</v>
      </c>
      <c r="AL98" s="185">
        <f t="shared" si="101"/>
        <v>16036012.666666666</v>
      </c>
      <c r="AM98" s="185">
        <f t="shared" si="101"/>
        <v>671125.48199999996</v>
      </c>
      <c r="AN98" s="405">
        <f t="shared" si="101"/>
        <v>11829143.5</v>
      </c>
      <c r="AO98" s="815">
        <f t="shared" si="101"/>
        <v>196727432.269463</v>
      </c>
      <c r="AP98" s="658">
        <f t="shared" si="50"/>
        <v>1.5799204790777106</v>
      </c>
      <c r="AQ98" s="425"/>
      <c r="AR98" s="397"/>
      <c r="CG98" s="179">
        <v>42</v>
      </c>
      <c r="CH98" s="181">
        <v>6</v>
      </c>
      <c r="CI98" s="183" t="s">
        <v>173</v>
      </c>
    </row>
    <row r="99" spans="1:87" ht="23.25" thickBot="1" x14ac:dyDescent="0.25">
      <c r="B99" s="936" t="s">
        <v>199</v>
      </c>
      <c r="C99" s="920" t="s">
        <v>186</v>
      </c>
      <c r="CG99" s="179">
        <v>43</v>
      </c>
      <c r="CH99" s="181">
        <v>7</v>
      </c>
      <c r="CI99" s="183" t="s">
        <v>174</v>
      </c>
    </row>
    <row r="100" spans="1:87" x14ac:dyDescent="0.2">
      <c r="B100" s="937">
        <f>Hoja2!E24</f>
        <v>2.5000000000000001E-2</v>
      </c>
      <c r="C100" s="921" t="s">
        <v>261</v>
      </c>
      <c r="CG100" s="179"/>
      <c r="CH100" s="181"/>
      <c r="CI100" s="183"/>
    </row>
    <row r="101" spans="1:87" ht="13.5" thickBot="1" x14ac:dyDescent="0.25">
      <c r="B101" s="938">
        <f>Hoja2!E25</f>
        <v>2.5000000000000001E-2</v>
      </c>
      <c r="C101" s="922" t="s">
        <v>258</v>
      </c>
      <c r="H101" s="370"/>
      <c r="CG101" s="179"/>
      <c r="CH101" s="181"/>
      <c r="CI101" s="183"/>
    </row>
    <row r="102" spans="1:87" ht="13.5" thickBot="1" x14ac:dyDescent="0.25">
      <c r="B102" s="938">
        <f>Hoja2!E26</f>
        <v>0.6</v>
      </c>
      <c r="C102" s="922" t="s">
        <v>547</v>
      </c>
      <c r="E102" s="929" t="s">
        <v>154</v>
      </c>
      <c r="F102" s="929" t="s">
        <v>572</v>
      </c>
      <c r="H102" s="370"/>
      <c r="CG102" s="179"/>
      <c r="CH102" s="181"/>
      <c r="CI102" s="183"/>
    </row>
    <row r="103" spans="1:87" ht="12.75" customHeight="1" thickBot="1" x14ac:dyDescent="0.25">
      <c r="B103" s="939">
        <f>Hoja2!E27</f>
        <v>0.35</v>
      </c>
      <c r="C103" s="923" t="s">
        <v>805</v>
      </c>
      <c r="E103" s="930" t="s">
        <v>538</v>
      </c>
      <c r="F103" s="933">
        <f>Hoja2!E8</f>
        <v>0</v>
      </c>
      <c r="H103" s="370"/>
      <c r="J103" s="1112" t="s">
        <v>499</v>
      </c>
      <c r="K103" s="1113"/>
      <c r="L103" s="1113"/>
      <c r="M103" s="1113"/>
      <c r="N103" s="1113"/>
      <c r="O103" s="1113"/>
      <c r="P103" s="1113"/>
      <c r="Q103" s="1114"/>
      <c r="CG103" s="179"/>
      <c r="CH103" s="181"/>
      <c r="CI103" s="183"/>
    </row>
    <row r="104" spans="1:87" ht="13.5" thickBot="1" x14ac:dyDescent="0.25">
      <c r="B104" s="371"/>
      <c r="C104" s="924"/>
      <c r="E104" s="931" t="s">
        <v>539</v>
      </c>
      <c r="F104" s="934">
        <f>Hoja2!E9</f>
        <v>0.15</v>
      </c>
      <c r="H104" s="370"/>
      <c r="J104" s="1115"/>
      <c r="K104" s="1116"/>
      <c r="L104" s="1116"/>
      <c r="M104" s="1116"/>
      <c r="N104" s="1116"/>
      <c r="O104" s="1116"/>
      <c r="P104" s="1116"/>
      <c r="Q104" s="1117"/>
      <c r="CG104" s="179"/>
      <c r="CH104" s="181"/>
      <c r="CI104" s="183"/>
    </row>
    <row r="105" spans="1:87" ht="13.5" thickBot="1" x14ac:dyDescent="0.25">
      <c r="B105" s="940" t="s">
        <v>199</v>
      </c>
      <c r="C105" s="925" t="s">
        <v>558</v>
      </c>
      <c r="E105" s="931" t="s">
        <v>540</v>
      </c>
      <c r="F105" s="934">
        <f>Hoja2!E10</f>
        <v>0.52500000000000002</v>
      </c>
      <c r="H105" s="370"/>
    </row>
    <row r="106" spans="1:87" x14ac:dyDescent="0.2">
      <c r="B106" s="941">
        <f>+Hoja2!E15</f>
        <v>0</v>
      </c>
      <c r="C106" s="926" t="s">
        <v>532</v>
      </c>
      <c r="E106" s="931" t="s">
        <v>541</v>
      </c>
      <c r="F106" s="934">
        <f>Hoja2!E11</f>
        <v>0.27500000000000002</v>
      </c>
      <c r="H106" s="372"/>
    </row>
    <row r="107" spans="1:87" x14ac:dyDescent="0.2">
      <c r="B107" s="942">
        <f>Hoja2!E16</f>
        <v>0</v>
      </c>
      <c r="C107" s="927" t="s">
        <v>533</v>
      </c>
      <c r="E107" s="931" t="s">
        <v>542</v>
      </c>
      <c r="F107" s="934">
        <f>Hoja2!E12</f>
        <v>2.5000000000000001E-2</v>
      </c>
    </row>
    <row r="108" spans="1:87" ht="15" customHeight="1" thickBot="1" x14ac:dyDescent="0.25">
      <c r="B108" s="942">
        <f>Hoja2!E17</f>
        <v>0</v>
      </c>
      <c r="C108" s="927" t="s">
        <v>534</v>
      </c>
      <c r="E108" s="932" t="s">
        <v>168</v>
      </c>
      <c r="F108" s="935">
        <f>Hoja2!E13</f>
        <v>2.5000000000000001E-2</v>
      </c>
    </row>
    <row r="109" spans="1:87" ht="13.5" customHeight="1" x14ac:dyDescent="0.2">
      <c r="B109" s="942">
        <f>Hoja2!E18</f>
        <v>0</v>
      </c>
      <c r="C109" s="927" t="s">
        <v>535</v>
      </c>
      <c r="E109" s="368"/>
    </row>
    <row r="110" spans="1:87" ht="13.5" customHeight="1" x14ac:dyDescent="0.2">
      <c r="B110" s="942">
        <f>Hoja2!E19</f>
        <v>0</v>
      </c>
      <c r="C110" s="927" t="s">
        <v>536</v>
      </c>
      <c r="E110" s="368"/>
    </row>
    <row r="111" spans="1:87" ht="15" customHeight="1" x14ac:dyDescent="0.2">
      <c r="B111" s="942">
        <f>Hoja2!E20</f>
        <v>0</v>
      </c>
      <c r="C111" s="927" t="s">
        <v>537</v>
      </c>
      <c r="E111" s="373"/>
    </row>
    <row r="112" spans="1:87" ht="13.5" thickBot="1" x14ac:dyDescent="0.25">
      <c r="B112" s="943">
        <f>Hoja2!E21</f>
        <v>0</v>
      </c>
      <c r="C112" s="928" t="s">
        <v>543</v>
      </c>
      <c r="E112" s="373"/>
    </row>
    <row r="113" spans="1:87" x14ac:dyDescent="0.2">
      <c r="C113" s="370"/>
      <c r="E113" s="373"/>
    </row>
    <row r="114" spans="1:87" x14ac:dyDescent="0.2">
      <c r="C114" s="370"/>
      <c r="E114" s="373"/>
    </row>
    <row r="115" spans="1:87" x14ac:dyDescent="0.2">
      <c r="C115" s="370"/>
      <c r="E115" s="373"/>
    </row>
    <row r="116" spans="1:87" x14ac:dyDescent="0.2">
      <c r="C116" s="372"/>
    </row>
    <row r="117" spans="1:87" ht="9" customHeight="1" x14ac:dyDescent="0.2">
      <c r="B117" s="371"/>
      <c r="C117" s="372"/>
    </row>
    <row r="118" spans="1:87" ht="13.5" thickBot="1" x14ac:dyDescent="0.25"/>
    <row r="119" spans="1:87" s="28" customFormat="1" ht="15.75" thickBot="1" x14ac:dyDescent="0.25">
      <c r="A119" s="367"/>
      <c r="B119" s="563" t="s">
        <v>634</v>
      </c>
      <c r="C119" s="4"/>
      <c r="D119" s="4"/>
      <c r="E119" s="4"/>
      <c r="F119" s="4"/>
      <c r="G119" s="4"/>
      <c r="H119" s="12">
        <f t="shared" ref="H119:W119" si="102">+H62+H79+H89+H98</f>
        <v>945</v>
      </c>
      <c r="I119" s="12">
        <f t="shared" si="102"/>
        <v>945</v>
      </c>
      <c r="J119" s="12">
        <f t="shared" si="102"/>
        <v>253</v>
      </c>
      <c r="K119" s="12">
        <f t="shared" si="102"/>
        <v>58</v>
      </c>
      <c r="L119" s="12">
        <f t="shared" si="102"/>
        <v>62</v>
      </c>
      <c r="M119" s="12">
        <f t="shared" si="102"/>
        <v>21</v>
      </c>
      <c r="N119" s="12">
        <f t="shared" si="102"/>
        <v>26</v>
      </c>
      <c r="O119" s="12">
        <f t="shared" si="102"/>
        <v>420</v>
      </c>
      <c r="P119" s="12">
        <f t="shared" si="102"/>
        <v>56</v>
      </c>
      <c r="Q119" s="12">
        <f t="shared" si="102"/>
        <v>75</v>
      </c>
      <c r="R119" s="12">
        <f t="shared" si="102"/>
        <v>131</v>
      </c>
      <c r="S119" s="12">
        <f t="shared" si="102"/>
        <v>20</v>
      </c>
      <c r="T119" s="12">
        <f t="shared" si="102"/>
        <v>12</v>
      </c>
      <c r="U119" s="12">
        <f t="shared" si="102"/>
        <v>0</v>
      </c>
      <c r="V119" s="12">
        <f t="shared" si="102"/>
        <v>32</v>
      </c>
      <c r="W119" s="12">
        <f t="shared" si="102"/>
        <v>350</v>
      </c>
      <c r="X119" s="4">
        <f>+O119+R119+V119+W119</f>
        <v>933</v>
      </c>
      <c r="Y119" s="4"/>
      <c r="Z119" s="4"/>
      <c r="AA119" s="360"/>
      <c r="AB119" s="360"/>
      <c r="AC119" s="4"/>
      <c r="AD119" s="12">
        <f t="shared" ref="AD119:AO119" si="103">+AD62+AD79+AD89+AD98</f>
        <v>1357678700</v>
      </c>
      <c r="AE119" s="12">
        <f t="shared" si="103"/>
        <v>4621210.1333333328</v>
      </c>
      <c r="AF119" s="12">
        <f t="shared" si="103"/>
        <v>0</v>
      </c>
      <c r="AG119" s="12">
        <f t="shared" si="103"/>
        <v>75426594.444444463</v>
      </c>
      <c r="AH119" s="12">
        <f t="shared" si="103"/>
        <v>120127212</v>
      </c>
      <c r="AI119" s="12">
        <f t="shared" si="103"/>
        <v>120127208.7148148</v>
      </c>
      <c r="AJ119" s="12">
        <f t="shared" si="103"/>
        <v>13739846.481456788</v>
      </c>
      <c r="AK119" s="12">
        <f t="shared" si="103"/>
        <v>125229602.30555555</v>
      </c>
      <c r="AL119" s="12">
        <f t="shared" si="103"/>
        <v>149763052.66666666</v>
      </c>
      <c r="AM119" s="12">
        <f t="shared" si="103"/>
        <v>7712613.1619999995</v>
      </c>
      <c r="AN119" s="12">
        <f t="shared" si="103"/>
        <v>128979476.5</v>
      </c>
      <c r="AO119" s="12">
        <f t="shared" si="103"/>
        <v>2103405516.4082716</v>
      </c>
      <c r="AP119" s="10"/>
      <c r="AQ119" s="10"/>
      <c r="AR119" s="10"/>
      <c r="CG119" s="25"/>
      <c r="CH119" s="25"/>
      <c r="CI119" s="25"/>
    </row>
    <row r="122" spans="1:87" ht="12.75" customHeight="1" x14ac:dyDescent="0.2"/>
    <row r="285" spans="85:87" x14ac:dyDescent="0.2">
      <c r="CG285" s="28"/>
      <c r="CH285" s="28"/>
      <c r="CI285" s="28"/>
    </row>
  </sheetData>
  <protectedRanges>
    <protectedRange sqref="B81:W88 AA96:AB97 AB81:AB88 AB95 AB64:AB78 B22:F60 I22:W60 AB22:AB60 AQ22:AR97 AA92:AB94 I92:W97 B92:F97 B64:W78" name="Rango1"/>
  </protectedRanges>
  <mergeCells count="91">
    <mergeCell ref="A18:A20"/>
    <mergeCell ref="D18:D20"/>
    <mergeCell ref="I19:I20"/>
    <mergeCell ref="Z19:Z20"/>
    <mergeCell ref="P19:Q19"/>
    <mergeCell ref="J19:M19"/>
    <mergeCell ref="S19:U19"/>
    <mergeCell ref="E18:E20"/>
    <mergeCell ref="F18:F20"/>
    <mergeCell ref="C18:C20"/>
    <mergeCell ref="J103:Q104"/>
    <mergeCell ref="AQ18:AR20"/>
    <mergeCell ref="AP18:AP20"/>
    <mergeCell ref="AO18:AO20"/>
    <mergeCell ref="G18:G20"/>
    <mergeCell ref="B98:G98"/>
    <mergeCell ref="J18:W18"/>
    <mergeCell ref="H19:H20"/>
    <mergeCell ref="B62:F62"/>
    <mergeCell ref="B89:F89"/>
    <mergeCell ref="B79:F79"/>
    <mergeCell ref="B90:F90"/>
    <mergeCell ref="AQ65:AR65"/>
    <mergeCell ref="AQ66:AR66"/>
    <mergeCell ref="AQ94:AR94"/>
    <mergeCell ref="AQ93:AR93"/>
    <mergeCell ref="AQ96:AR96"/>
    <mergeCell ref="AQ97:AR97"/>
    <mergeCell ref="AQ78:AR78"/>
    <mergeCell ref="AQ64:AR64"/>
    <mergeCell ref="AQ74:AR74"/>
    <mergeCell ref="AQ75:AR75"/>
    <mergeCell ref="AQ76:AR76"/>
    <mergeCell ref="AQ77:AR77"/>
    <mergeCell ref="AQ67:AR67"/>
    <mergeCell ref="AQ68:AR68"/>
    <mergeCell ref="AQ69:AR69"/>
    <mergeCell ref="AQ70:AR70"/>
    <mergeCell ref="AQ71:AR71"/>
    <mergeCell ref="AQ72:AR72"/>
    <mergeCell ref="AQ73:AR73"/>
    <mergeCell ref="AQ92:AR92"/>
    <mergeCell ref="AQ81:AR81"/>
    <mergeCell ref="AQ85:AR85"/>
    <mergeCell ref="AQ87:AR87"/>
    <mergeCell ref="AQ88:AR88"/>
    <mergeCell ref="AQ86:AR86"/>
    <mergeCell ref="AQ82:AR82"/>
    <mergeCell ref="AQ83:AR83"/>
    <mergeCell ref="AQ84:AR84"/>
    <mergeCell ref="AQ50:AR50"/>
    <mergeCell ref="AQ51:AR51"/>
    <mergeCell ref="AQ22:AR22"/>
    <mergeCell ref="AQ23:AR23"/>
    <mergeCell ref="AQ24:AR24"/>
    <mergeCell ref="AQ25:AR25"/>
    <mergeCell ref="AQ26:AR26"/>
    <mergeCell ref="AQ27:AR27"/>
    <mergeCell ref="AQ28:AR28"/>
    <mergeCell ref="AQ29:AR29"/>
    <mergeCell ref="AQ30:AR30"/>
    <mergeCell ref="AQ35:AR35"/>
    <mergeCell ref="AQ36:AR36"/>
    <mergeCell ref="AQ37:AR37"/>
    <mergeCell ref="AQ38:AR38"/>
    <mergeCell ref="AQ39:AR39"/>
    <mergeCell ref="AQ95:AR95"/>
    <mergeCell ref="AQ31:AR31"/>
    <mergeCell ref="AQ32:AR32"/>
    <mergeCell ref="AQ33:AR33"/>
    <mergeCell ref="AQ34:AR34"/>
    <mergeCell ref="AQ45:AR45"/>
    <mergeCell ref="AQ46:AR46"/>
    <mergeCell ref="AQ47:AR47"/>
    <mergeCell ref="AQ48:AR48"/>
    <mergeCell ref="AQ49:AR49"/>
    <mergeCell ref="AQ40:AR40"/>
    <mergeCell ref="AQ41:AR41"/>
    <mergeCell ref="AQ42:AR42"/>
    <mergeCell ref="AQ43:AR43"/>
    <mergeCell ref="AQ44:AR44"/>
    <mergeCell ref="AQ60:AR60"/>
    <mergeCell ref="AQ61:AR61"/>
    <mergeCell ref="AQ52:AR52"/>
    <mergeCell ref="AQ53:AR53"/>
    <mergeCell ref="AQ57:AR57"/>
    <mergeCell ref="AQ58:AR58"/>
    <mergeCell ref="AQ59:AR59"/>
    <mergeCell ref="AQ54:AR54"/>
    <mergeCell ref="AQ55:AR55"/>
    <mergeCell ref="AQ56:AR56"/>
  </mergeCells>
  <phoneticPr fontId="27" type="noConversion"/>
  <conditionalFormatting sqref="AQ92 AQ81 AQ85:AQ88 AQ34:AQ61 AQ64:AQ78 AQ23:AQ32 AQ94:AQ97">
    <cfRule type="expression" dxfId="12" priority="62" stopIfTrue="1">
      <formula>Z23="JUSTIFICAR"</formula>
    </cfRule>
    <cfRule type="expression" dxfId="11" priority="63" stopIfTrue="1">
      <formula>Z23="AJUSTE"</formula>
    </cfRule>
  </conditionalFormatting>
  <conditionalFormatting sqref="AQ93">
    <cfRule type="expression" dxfId="10" priority="15" stopIfTrue="1">
      <formula>Z93="JUSTIFICAR"</formula>
    </cfRule>
    <cfRule type="expression" dxfId="9" priority="16" stopIfTrue="1">
      <formula>Z93="AJUSTE"</formula>
    </cfRule>
  </conditionalFormatting>
  <conditionalFormatting sqref="AQ82:AQ84">
    <cfRule type="expression" dxfId="8" priority="7" stopIfTrue="1">
      <formula>Z82="JUSTIFICAR"</formula>
    </cfRule>
    <cfRule type="expression" dxfId="7" priority="8" stopIfTrue="1">
      <formula>Z82="AJUSTE"</formula>
    </cfRule>
  </conditionalFormatting>
  <conditionalFormatting sqref="AQ22">
    <cfRule type="expression" dxfId="6" priority="5" stopIfTrue="1">
      <formula>Z22="JUSTIFICAR"</formula>
    </cfRule>
    <cfRule type="expression" dxfId="5" priority="6" stopIfTrue="1">
      <formula>Z22="AJUSTE"</formula>
    </cfRule>
  </conditionalFormatting>
  <conditionalFormatting sqref="AQ33">
    <cfRule type="expression" dxfId="4" priority="1" stopIfTrue="1">
      <formula>Z33="JUSTIFICAR"</formula>
    </cfRule>
    <cfRule type="expression" dxfId="3" priority="2" stopIfTrue="1">
      <formula>Z33="AJUSTE"</formula>
    </cfRule>
  </conditionalFormatting>
  <dataValidations count="1">
    <dataValidation type="list" allowBlank="1" showInputMessage="1" showErrorMessage="1" sqref="G120:G65542 G99:G118 G2:G17 G91">
      <formula1>$CG$2:$CG$20</formula1>
    </dataValidation>
  </dataValidations>
  <pageMargins left="0.15748031496062992" right="0.23622047244094491" top="0.35" bottom="0.16" header="0" footer="0"/>
  <pageSetup scale="60" orientation="landscape" horizontalDpi="300" r:id="rId1"/>
  <headerFooter alignWithMargins="0"/>
  <ignoredErrors>
    <ignoredError sqref="V79" formula="1"/>
    <ignoredError sqref="AE92:AE94 AE96:AE97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BASE!$F$20:$F$25</xm:f>
          </x14:formula1>
          <xm:sqref>E92:E94 E96:E97</xm:sqref>
        </x14:dataValidation>
        <x14:dataValidation type="list" allowBlank="1" showInputMessage="1" showErrorMessage="1">
          <x14:formula1>
            <xm:f>BASE!$B$15:$B$18</xm:f>
          </x14:formula1>
          <xm:sqref>F92:F94 F96:F97</xm:sqref>
        </x14:dataValidation>
        <x14:dataValidation type="list" allowBlank="1" showInputMessage="1" showErrorMessage="1">
          <x14:formula1>
            <xm:f>BASE!$F$8:$F$15</xm:f>
          </x14:formula1>
          <xm:sqref>C81:C88 C64:C78 C95 C22:C61</xm:sqref>
        </x14:dataValidation>
        <x14:dataValidation type="list" allowBlank="1" showInputMessage="1" showErrorMessage="1">
          <x14:formula1>
            <xm:f>BASE!$F$20:$F$26</xm:f>
          </x14:formula1>
          <xm:sqref>E81:E88 E64:E78 E95 E22:E61</xm:sqref>
        </x14:dataValidation>
        <x14:dataValidation type="list" allowBlank="1" showInputMessage="1" showErrorMessage="1">
          <x14:formula1>
            <xm:f>BASE!$B$15:$B$19</xm:f>
          </x14:formula1>
          <xm:sqref>F81:F88 F64:F78 F95 F22:F61</xm:sqref>
        </x14:dataValidation>
        <x14:dataValidation type="list" allowBlank="1" showInputMessage="1" showErrorMessage="1">
          <x14:formula1>
            <xm:f>BASE!$F$8:$F$14</xm:f>
          </x14:formula1>
          <xm:sqref>C92:C94 C96:C97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showGridLines="0" topLeftCell="A37" workbookViewId="0">
      <selection activeCell="G57" sqref="G57"/>
    </sheetView>
  </sheetViews>
  <sheetFormatPr baseColWidth="10" defaultRowHeight="12.75" x14ac:dyDescent="0.2"/>
  <cols>
    <col min="1" max="1" width="23.140625" customWidth="1"/>
    <col min="2" max="2" width="15.140625" bestFit="1" customWidth="1"/>
    <col min="6" max="6" width="17" bestFit="1" customWidth="1"/>
    <col min="7" max="7" width="12.7109375" bestFit="1" customWidth="1"/>
  </cols>
  <sheetData>
    <row r="1" spans="1:9" x14ac:dyDescent="0.2">
      <c r="A1" s="624" t="s">
        <v>762</v>
      </c>
      <c r="B1" s="625">
        <v>2017</v>
      </c>
      <c r="C1" s="625">
        <v>2018</v>
      </c>
      <c r="D1" s="331" t="s">
        <v>175</v>
      </c>
      <c r="E1" s="326"/>
      <c r="F1" s="326"/>
      <c r="G1" s="326"/>
      <c r="H1" s="326"/>
      <c r="I1" s="326"/>
    </row>
    <row r="2" spans="1:9" x14ac:dyDescent="0.2">
      <c r="A2" s="332" t="s">
        <v>176</v>
      </c>
      <c r="B2" s="509">
        <v>83140</v>
      </c>
      <c r="C2" s="509">
        <v>88211</v>
      </c>
      <c r="D2" s="333">
        <v>0</v>
      </c>
      <c r="E2" s="326"/>
      <c r="F2" s="328"/>
      <c r="G2" s="326"/>
      <c r="H2" s="326"/>
      <c r="I2" s="326"/>
    </row>
    <row r="3" spans="1:9" x14ac:dyDescent="0.2">
      <c r="A3" s="332" t="s">
        <v>177</v>
      </c>
      <c r="B3" s="509">
        <v>737717</v>
      </c>
      <c r="C3" s="509">
        <v>781242</v>
      </c>
      <c r="D3" s="333"/>
      <c r="E3" s="326"/>
      <c r="F3" s="623"/>
      <c r="G3" s="326"/>
      <c r="H3" s="326"/>
      <c r="I3" s="326"/>
    </row>
    <row r="4" spans="1:9" x14ac:dyDescent="0.2">
      <c r="A4" s="332" t="s">
        <v>178</v>
      </c>
      <c r="B4" s="330">
        <f>+B3*25</f>
        <v>18442925</v>
      </c>
      <c r="C4" s="330">
        <f>C3*25</f>
        <v>19531050</v>
      </c>
      <c r="D4" s="333"/>
      <c r="E4" s="326"/>
      <c r="F4" s="623"/>
      <c r="G4" s="326"/>
      <c r="H4" s="326"/>
      <c r="I4" s="326"/>
    </row>
    <row r="5" spans="1:9" x14ac:dyDescent="0.2">
      <c r="A5" s="332" t="s">
        <v>179</v>
      </c>
      <c r="B5" s="328">
        <v>8.5000000000000006E-2</v>
      </c>
      <c r="C5" s="328">
        <v>8.5000000000000006E-2</v>
      </c>
      <c r="D5" s="333"/>
      <c r="E5" s="326"/>
      <c r="F5" s="623"/>
      <c r="G5" s="326"/>
      <c r="H5" s="326"/>
      <c r="I5" s="326"/>
    </row>
    <row r="6" spans="1:9" x14ac:dyDescent="0.2">
      <c r="A6" s="332" t="s">
        <v>180</v>
      </c>
      <c r="B6" s="623">
        <v>0.125</v>
      </c>
      <c r="C6" s="623">
        <v>0.125</v>
      </c>
      <c r="D6" s="333"/>
      <c r="E6" s="326"/>
      <c r="F6" s="227"/>
      <c r="G6" s="326"/>
      <c r="H6" s="326"/>
      <c r="I6" s="326"/>
    </row>
    <row r="7" spans="1:9" x14ac:dyDescent="0.2">
      <c r="A7" s="332" t="s">
        <v>181</v>
      </c>
      <c r="B7" s="328">
        <v>0.12</v>
      </c>
      <c r="C7" s="328">
        <v>0.12</v>
      </c>
      <c r="D7" s="333"/>
      <c r="E7" s="326"/>
      <c r="F7" s="227"/>
      <c r="G7" s="326"/>
      <c r="H7" s="326"/>
      <c r="I7" s="326"/>
    </row>
    <row r="8" spans="1:9" x14ac:dyDescent="0.2">
      <c r="A8" s="332" t="s">
        <v>182</v>
      </c>
      <c r="B8" s="328">
        <v>0.16</v>
      </c>
      <c r="C8" s="328">
        <v>0.16</v>
      </c>
      <c r="D8" s="333"/>
      <c r="E8" s="326"/>
      <c r="F8" s="573" t="s">
        <v>532</v>
      </c>
      <c r="G8" s="326"/>
      <c r="H8" s="326"/>
      <c r="I8" s="326"/>
    </row>
    <row r="9" spans="1:9" x14ac:dyDescent="0.2">
      <c r="A9" s="332" t="s">
        <v>183</v>
      </c>
      <c r="B9" s="328">
        <v>5.2199999999999998E-3</v>
      </c>
      <c r="C9" s="328">
        <v>5.2199999999999998E-3</v>
      </c>
      <c r="D9" s="333"/>
      <c r="E9" s="326"/>
      <c r="F9" s="574" t="s">
        <v>533</v>
      </c>
      <c r="G9" s="326"/>
      <c r="H9" s="326"/>
      <c r="I9" s="326"/>
    </row>
    <row r="10" spans="1:9" x14ac:dyDescent="0.2">
      <c r="A10" s="332" t="s">
        <v>166</v>
      </c>
      <c r="B10" s="328">
        <v>0.09</v>
      </c>
      <c r="C10" s="328">
        <v>0.09</v>
      </c>
      <c r="D10" s="333"/>
      <c r="E10" s="326"/>
      <c r="F10" s="574" t="s">
        <v>534</v>
      </c>
      <c r="G10" s="326"/>
      <c r="H10" s="326"/>
      <c r="I10" s="326"/>
    </row>
    <row r="11" spans="1:9" x14ac:dyDescent="0.2">
      <c r="A11" s="332" t="s">
        <v>184</v>
      </c>
      <c r="B11" s="328">
        <v>360</v>
      </c>
      <c r="C11" s="328">
        <v>360</v>
      </c>
      <c r="D11" s="333"/>
      <c r="E11" s="326"/>
      <c r="F11" s="574" t="s">
        <v>535</v>
      </c>
      <c r="G11" s="326"/>
      <c r="H11" s="326"/>
      <c r="I11" s="326"/>
    </row>
    <row r="12" spans="1:9" ht="13.5" thickBot="1" x14ac:dyDescent="0.25">
      <c r="A12" s="334" t="s">
        <v>185</v>
      </c>
      <c r="B12" s="626">
        <v>331</v>
      </c>
      <c r="C12" s="626">
        <v>331</v>
      </c>
      <c r="D12" s="627"/>
      <c r="E12" s="326"/>
      <c r="F12" s="574" t="s">
        <v>536</v>
      </c>
      <c r="G12" s="326"/>
      <c r="H12" s="326"/>
      <c r="I12" s="326"/>
    </row>
    <row r="13" spans="1:9" x14ac:dyDescent="0.2">
      <c r="A13" s="326"/>
      <c r="B13" s="326"/>
      <c r="C13" s="326"/>
      <c r="D13" s="326"/>
      <c r="E13" s="326"/>
      <c r="F13" s="574" t="s">
        <v>537</v>
      </c>
      <c r="G13" s="326"/>
      <c r="H13" s="326"/>
      <c r="I13" s="326"/>
    </row>
    <row r="14" spans="1:9" ht="13.5" thickBot="1" x14ac:dyDescent="0.25">
      <c r="A14" s="328"/>
      <c r="B14" s="328"/>
      <c r="C14" s="328"/>
      <c r="D14" s="328"/>
      <c r="E14" s="326"/>
      <c r="F14" s="575" t="s">
        <v>543</v>
      </c>
      <c r="G14" s="326"/>
      <c r="H14" s="326"/>
      <c r="I14" s="326"/>
    </row>
    <row r="15" spans="1:9" x14ac:dyDescent="0.2">
      <c r="A15" s="624" t="s">
        <v>186</v>
      </c>
      <c r="B15" s="327" t="s">
        <v>261</v>
      </c>
      <c r="C15" s="331">
        <v>1</v>
      </c>
      <c r="D15" s="326"/>
      <c r="E15" s="227"/>
      <c r="F15" s="326"/>
      <c r="G15" s="326"/>
      <c r="H15" s="326"/>
    </row>
    <row r="16" spans="1:9" x14ac:dyDescent="0.2">
      <c r="A16" s="332"/>
      <c r="B16" s="328" t="s">
        <v>258</v>
      </c>
      <c r="C16" s="333">
        <v>2</v>
      </c>
      <c r="D16" s="326"/>
      <c r="E16" s="227"/>
      <c r="F16" s="326"/>
      <c r="G16" s="326"/>
      <c r="H16" s="326"/>
    </row>
    <row r="17" spans="1:9" x14ac:dyDescent="0.2">
      <c r="A17" s="332"/>
      <c r="B17" s="328" t="s">
        <v>547</v>
      </c>
      <c r="C17" s="333">
        <v>3</v>
      </c>
      <c r="D17" s="326"/>
      <c r="E17" s="227"/>
      <c r="F17" s="326"/>
      <c r="G17" s="326"/>
      <c r="H17" s="326"/>
    </row>
    <row r="18" spans="1:9" ht="13.5" thickBot="1" x14ac:dyDescent="0.25">
      <c r="A18" s="334"/>
      <c r="B18" s="841" t="s">
        <v>805</v>
      </c>
      <c r="C18" s="627">
        <v>4</v>
      </c>
      <c r="D18" s="326"/>
      <c r="E18" s="227"/>
      <c r="F18" s="326"/>
      <c r="G18" s="326"/>
      <c r="H18" s="326"/>
    </row>
    <row r="19" spans="1:9" ht="13.5" thickBot="1" x14ac:dyDescent="0.25">
      <c r="A19" s="326"/>
      <c r="B19" s="326"/>
      <c r="C19" s="326"/>
      <c r="D19" s="326"/>
      <c r="E19" s="326"/>
      <c r="F19" s="227"/>
      <c r="G19" s="326"/>
      <c r="H19" s="326"/>
      <c r="I19" s="326"/>
    </row>
    <row r="20" spans="1:9" x14ac:dyDescent="0.2">
      <c r="A20" s="624" t="s">
        <v>187</v>
      </c>
      <c r="B20" s="327">
        <v>0</v>
      </c>
      <c r="C20" s="335">
        <v>1</v>
      </c>
      <c r="D20" s="336" t="s">
        <v>168</v>
      </c>
      <c r="E20" s="326"/>
      <c r="F20" s="350" t="s">
        <v>538</v>
      </c>
      <c r="G20" s="351">
        <v>6</v>
      </c>
      <c r="H20" s="326"/>
      <c r="I20" s="326"/>
    </row>
    <row r="21" spans="1:9" ht="22.5" x14ac:dyDescent="0.2">
      <c r="A21" s="332"/>
      <c r="B21" s="328">
        <v>38</v>
      </c>
      <c r="C21" s="330">
        <v>2</v>
      </c>
      <c r="D21" s="337" t="s">
        <v>188</v>
      </c>
      <c r="E21" s="326"/>
      <c r="F21" s="350" t="s">
        <v>539</v>
      </c>
      <c r="G21" s="351">
        <v>5</v>
      </c>
      <c r="H21" s="326"/>
      <c r="I21" s="326"/>
    </row>
    <row r="22" spans="1:9" ht="22.5" x14ac:dyDescent="0.2">
      <c r="A22" s="332"/>
      <c r="B22" s="328">
        <v>39</v>
      </c>
      <c r="C22" s="330">
        <v>3</v>
      </c>
      <c r="D22" s="337" t="s">
        <v>170</v>
      </c>
      <c r="E22" s="326"/>
      <c r="F22" s="350" t="s">
        <v>540</v>
      </c>
      <c r="G22" s="351">
        <v>4</v>
      </c>
      <c r="H22" s="326"/>
      <c r="I22" s="326"/>
    </row>
    <row r="23" spans="1:9" ht="22.5" x14ac:dyDescent="0.2">
      <c r="A23" s="332"/>
      <c r="B23" s="328">
        <v>40</v>
      </c>
      <c r="C23" s="330">
        <v>4</v>
      </c>
      <c r="D23" s="337" t="s">
        <v>171</v>
      </c>
      <c r="E23" s="326"/>
      <c r="F23" s="350" t="s">
        <v>541</v>
      </c>
      <c r="G23" s="351">
        <v>3</v>
      </c>
      <c r="H23" s="326"/>
      <c r="I23" s="326"/>
    </row>
    <row r="24" spans="1:9" ht="22.5" x14ac:dyDescent="0.2">
      <c r="A24" s="332"/>
      <c r="B24" s="328">
        <v>41</v>
      </c>
      <c r="C24" s="330">
        <v>5</v>
      </c>
      <c r="D24" s="337" t="s">
        <v>172</v>
      </c>
      <c r="E24" s="326"/>
      <c r="F24" s="350" t="s">
        <v>542</v>
      </c>
      <c r="G24" s="351">
        <v>2</v>
      </c>
      <c r="H24" s="326"/>
      <c r="I24" s="326"/>
    </row>
    <row r="25" spans="1:9" ht="22.5" x14ac:dyDescent="0.2">
      <c r="A25" s="332"/>
      <c r="B25" s="328">
        <v>42</v>
      </c>
      <c r="C25" s="330">
        <v>6</v>
      </c>
      <c r="D25" s="337" t="s">
        <v>173</v>
      </c>
      <c r="E25" s="326"/>
      <c r="F25" s="350" t="s">
        <v>168</v>
      </c>
      <c r="G25" s="351">
        <v>1</v>
      </c>
      <c r="H25" s="326"/>
      <c r="I25" s="326"/>
    </row>
    <row r="26" spans="1:9" ht="22.5" x14ac:dyDescent="0.2">
      <c r="A26" s="332"/>
      <c r="B26" s="328">
        <v>43</v>
      </c>
      <c r="C26" s="330">
        <v>7</v>
      </c>
      <c r="D26" s="337" t="s">
        <v>174</v>
      </c>
      <c r="E26" s="326"/>
      <c r="F26" s="326"/>
      <c r="G26" s="326"/>
      <c r="H26" s="326"/>
      <c r="I26" s="326"/>
    </row>
    <row r="27" spans="1:9" ht="33.75" x14ac:dyDescent="0.2">
      <c r="A27" s="332"/>
      <c r="B27" s="328">
        <v>36</v>
      </c>
      <c r="C27" s="330"/>
      <c r="D27" s="337" t="s">
        <v>189</v>
      </c>
      <c r="E27" s="326"/>
      <c r="F27" s="326" t="s">
        <v>533</v>
      </c>
      <c r="G27" s="326"/>
      <c r="H27" s="326"/>
      <c r="I27" s="326"/>
    </row>
    <row r="28" spans="1:9" ht="33.75" x14ac:dyDescent="0.2">
      <c r="A28" s="332"/>
      <c r="B28" s="328">
        <v>45</v>
      </c>
      <c r="C28" s="330"/>
      <c r="D28" s="337" t="s">
        <v>190</v>
      </c>
      <c r="E28" s="326"/>
      <c r="F28" s="347" t="s">
        <v>534</v>
      </c>
      <c r="G28" s="326"/>
      <c r="H28" s="326"/>
      <c r="I28" s="326"/>
    </row>
    <row r="29" spans="1:9" x14ac:dyDescent="0.2">
      <c r="A29" s="332"/>
      <c r="B29" s="328">
        <v>46</v>
      </c>
      <c r="C29" s="330"/>
      <c r="D29" s="337" t="s">
        <v>191</v>
      </c>
      <c r="E29" s="326"/>
      <c r="F29" s="326" t="s">
        <v>535</v>
      </c>
      <c r="G29" s="326"/>
      <c r="H29" s="326"/>
      <c r="I29" s="326"/>
    </row>
    <row r="30" spans="1:9" x14ac:dyDescent="0.2">
      <c r="A30" s="332"/>
      <c r="B30" s="328">
        <v>49</v>
      </c>
      <c r="C30" s="330"/>
      <c r="D30" s="337" t="s">
        <v>192</v>
      </c>
      <c r="E30" s="326"/>
      <c r="F30" s="326" t="s">
        <v>536</v>
      </c>
      <c r="G30" s="326"/>
      <c r="H30" s="326"/>
      <c r="I30" s="326"/>
    </row>
    <row r="31" spans="1:9" x14ac:dyDescent="0.2">
      <c r="A31" s="332"/>
      <c r="B31" s="328">
        <v>50</v>
      </c>
      <c r="C31" s="330"/>
      <c r="D31" s="337" t="s">
        <v>193</v>
      </c>
      <c r="E31" s="326"/>
      <c r="F31" s="326" t="s">
        <v>543</v>
      </c>
      <c r="G31" s="326"/>
      <c r="H31" s="326"/>
      <c r="I31" s="326"/>
    </row>
    <row r="32" spans="1:9" x14ac:dyDescent="0.2">
      <c r="A32" s="332"/>
      <c r="B32" s="328">
        <v>51</v>
      </c>
      <c r="C32" s="330"/>
      <c r="D32" s="337" t="s">
        <v>194</v>
      </c>
      <c r="E32" s="326"/>
      <c r="F32" s="326" t="s">
        <v>544</v>
      </c>
      <c r="G32" s="326"/>
      <c r="H32" s="326"/>
      <c r="I32" s="326"/>
    </row>
    <row r="33" spans="1:9" ht="33.75" x14ac:dyDescent="0.2">
      <c r="A33" s="332"/>
      <c r="B33" s="328">
        <v>72</v>
      </c>
      <c r="C33" s="330"/>
      <c r="D33" s="337" t="s">
        <v>195</v>
      </c>
      <c r="E33" s="326"/>
      <c r="F33" s="326"/>
      <c r="G33" s="326"/>
      <c r="H33" s="326"/>
      <c r="I33" s="326"/>
    </row>
    <row r="34" spans="1:9" ht="22.5" x14ac:dyDescent="0.2">
      <c r="A34" s="332"/>
      <c r="B34" s="328">
        <v>78</v>
      </c>
      <c r="C34" s="330"/>
      <c r="D34" s="337" t="s">
        <v>196</v>
      </c>
      <c r="E34" s="326"/>
      <c r="F34" s="326"/>
      <c r="G34" s="326"/>
      <c r="H34" s="326"/>
      <c r="I34" s="326"/>
    </row>
    <row r="35" spans="1:9" ht="23.25" thickBot="1" x14ac:dyDescent="0.25">
      <c r="A35" s="334"/>
      <c r="B35" s="329">
        <v>80</v>
      </c>
      <c r="C35" s="338"/>
      <c r="D35" s="339" t="s">
        <v>197</v>
      </c>
      <c r="E35" s="326"/>
      <c r="F35" s="326"/>
      <c r="G35" s="326"/>
      <c r="H35" s="326"/>
      <c r="I35" s="326"/>
    </row>
    <row r="36" spans="1:9" x14ac:dyDescent="0.2">
      <c r="A36" s="326"/>
      <c r="B36" s="326"/>
      <c r="C36" s="326"/>
      <c r="D36" s="326"/>
      <c r="E36" s="326"/>
      <c r="F36" s="326"/>
      <c r="G36" s="326"/>
      <c r="H36" s="326"/>
      <c r="I36" s="326"/>
    </row>
    <row r="37" spans="1:9" x14ac:dyDescent="0.2">
      <c r="A37" s="326"/>
      <c r="B37" s="326"/>
      <c r="C37" s="326"/>
      <c r="D37" s="326"/>
      <c r="E37" s="326"/>
      <c r="F37" s="326"/>
      <c r="G37" s="326"/>
      <c r="H37" s="326"/>
      <c r="I37" s="326"/>
    </row>
    <row r="38" spans="1:9" x14ac:dyDescent="0.2">
      <c r="A38" s="326"/>
      <c r="B38" s="326"/>
      <c r="C38" s="326"/>
      <c r="D38" s="326"/>
      <c r="E38" s="326"/>
      <c r="F38" s="326"/>
      <c r="G38" s="326"/>
      <c r="H38" s="326"/>
      <c r="I38" s="326"/>
    </row>
    <row r="39" spans="1:9" ht="22.5" hidden="1" x14ac:dyDescent="0.2">
      <c r="A39" s="340" t="s">
        <v>198</v>
      </c>
      <c r="B39" s="341" t="s">
        <v>188</v>
      </c>
      <c r="C39" s="341" t="s">
        <v>170</v>
      </c>
      <c r="D39" s="341" t="s">
        <v>171</v>
      </c>
      <c r="E39" s="341" t="s">
        <v>172</v>
      </c>
      <c r="F39" s="341" t="s">
        <v>173</v>
      </c>
      <c r="G39" s="341" t="s">
        <v>174</v>
      </c>
      <c r="H39" s="327"/>
      <c r="I39" s="327"/>
    </row>
    <row r="40" spans="1:9" hidden="1" x14ac:dyDescent="0.2">
      <c r="A40" s="332">
        <v>1</v>
      </c>
      <c r="B40" s="328">
        <v>2</v>
      </c>
      <c r="C40" s="328">
        <v>3</v>
      </c>
      <c r="D40" s="328">
        <v>4</v>
      </c>
      <c r="E40" s="328">
        <v>5</v>
      </c>
      <c r="F40" s="328">
        <v>6</v>
      </c>
      <c r="G40" s="328">
        <v>7</v>
      </c>
      <c r="H40" s="328">
        <v>8</v>
      </c>
      <c r="I40" s="342"/>
    </row>
    <row r="41" spans="1:9" hidden="1" x14ac:dyDescent="0.2">
      <c r="A41" s="343">
        <v>0</v>
      </c>
      <c r="B41" s="330">
        <v>0</v>
      </c>
      <c r="C41" s="330">
        <v>0</v>
      </c>
      <c r="D41" s="330">
        <v>0</v>
      </c>
      <c r="E41" s="330">
        <v>0</v>
      </c>
      <c r="F41" s="330">
        <v>0</v>
      </c>
      <c r="G41" s="330">
        <v>0</v>
      </c>
      <c r="H41" s="330">
        <v>0</v>
      </c>
      <c r="I41" s="328"/>
    </row>
    <row r="42" spans="1:9" hidden="1" x14ac:dyDescent="0.2">
      <c r="A42" s="343">
        <v>1</v>
      </c>
      <c r="B42" s="330">
        <v>1077000</v>
      </c>
      <c r="C42" s="330">
        <v>0</v>
      </c>
      <c r="D42" s="330">
        <v>772000</v>
      </c>
      <c r="E42" s="330">
        <v>627000</v>
      </c>
      <c r="F42" s="330">
        <v>539000</v>
      </c>
      <c r="G42" s="330">
        <v>431000</v>
      </c>
      <c r="H42" s="328">
        <v>10</v>
      </c>
      <c r="I42" s="328"/>
    </row>
    <row r="43" spans="1:9" hidden="1" x14ac:dyDescent="0.2">
      <c r="A43" s="343">
        <v>10</v>
      </c>
      <c r="B43" s="330">
        <v>1077000</v>
      </c>
      <c r="C43" s="330">
        <v>0</v>
      </c>
      <c r="D43" s="330">
        <v>772000</v>
      </c>
      <c r="E43" s="330">
        <v>627000</v>
      </c>
      <c r="F43" s="330">
        <v>539000</v>
      </c>
      <c r="G43" s="330">
        <v>431000</v>
      </c>
      <c r="H43" s="328">
        <v>10</v>
      </c>
      <c r="I43" s="328"/>
    </row>
    <row r="44" spans="1:9" hidden="1" x14ac:dyDescent="0.2">
      <c r="A44" s="343">
        <v>16</v>
      </c>
      <c r="B44" s="330">
        <v>2154000</v>
      </c>
      <c r="C44" s="330">
        <v>0</v>
      </c>
      <c r="D44" s="330">
        <v>1544000</v>
      </c>
      <c r="E44" s="330">
        <v>1254000</v>
      </c>
      <c r="F44" s="330">
        <v>1078000</v>
      </c>
      <c r="G44" s="330">
        <v>862000</v>
      </c>
      <c r="H44" s="328">
        <v>20</v>
      </c>
      <c r="I44" s="328"/>
    </row>
    <row r="45" spans="1:9" hidden="1" x14ac:dyDescent="0.2">
      <c r="A45" s="343">
        <v>21</v>
      </c>
      <c r="B45" s="330">
        <v>3231000</v>
      </c>
      <c r="C45" s="330">
        <v>0</v>
      </c>
      <c r="D45" s="330">
        <v>2316000</v>
      </c>
      <c r="E45" s="330">
        <v>1881000</v>
      </c>
      <c r="F45" s="330">
        <v>1617000</v>
      </c>
      <c r="G45" s="330">
        <v>1293000</v>
      </c>
      <c r="H45" s="328">
        <v>30</v>
      </c>
      <c r="I45" s="328"/>
    </row>
    <row r="46" spans="1:9" hidden="1" x14ac:dyDescent="0.2">
      <c r="A46" s="343">
        <v>31</v>
      </c>
      <c r="B46" s="330">
        <v>4308000</v>
      </c>
      <c r="C46" s="330">
        <v>6407000</v>
      </c>
      <c r="D46" s="330">
        <v>3088000</v>
      </c>
      <c r="E46" s="330">
        <v>2508000</v>
      </c>
      <c r="F46" s="330">
        <v>2156000</v>
      </c>
      <c r="G46" s="330">
        <v>1724000</v>
      </c>
      <c r="H46" s="328">
        <v>40</v>
      </c>
      <c r="I46" s="328"/>
    </row>
    <row r="47" spans="1:9" ht="13.5" hidden="1" thickBot="1" x14ac:dyDescent="0.25">
      <c r="A47" s="334"/>
      <c r="B47" s="329"/>
      <c r="C47" s="329"/>
      <c r="D47" s="329"/>
      <c r="E47" s="329"/>
      <c r="F47" s="329"/>
      <c r="G47" s="329"/>
      <c r="H47" s="329"/>
      <c r="I47" s="329"/>
    </row>
    <row r="48" spans="1:9" x14ac:dyDescent="0.2">
      <c r="A48" s="326"/>
      <c r="B48" s="326"/>
      <c r="C48" s="326"/>
      <c r="D48" s="326"/>
      <c r="E48" s="326"/>
      <c r="F48" s="326"/>
      <c r="G48" s="326"/>
      <c r="H48" s="326"/>
      <c r="I48" s="326"/>
    </row>
    <row r="49" spans="1:10" ht="13.5" thickBot="1" x14ac:dyDescent="0.25">
      <c r="A49" s="326"/>
      <c r="B49" s="326"/>
      <c r="C49" s="326"/>
      <c r="D49" s="326"/>
      <c r="E49" s="326"/>
      <c r="F49" s="326"/>
      <c r="G49" s="326"/>
      <c r="H49" s="326"/>
      <c r="I49" s="326"/>
    </row>
    <row r="50" spans="1:10" x14ac:dyDescent="0.2">
      <c r="A50" s="640" t="s">
        <v>199</v>
      </c>
      <c r="B50" s="641">
        <v>2017</v>
      </c>
      <c r="C50" s="625">
        <v>2018</v>
      </c>
      <c r="D50" s="625"/>
      <c r="E50" s="625"/>
      <c r="F50" s="625"/>
      <c r="G50" s="641">
        <f>+C50</f>
        <v>2018</v>
      </c>
      <c r="H50" s="326"/>
      <c r="I50" s="326"/>
    </row>
    <row r="51" spans="1:10" x14ac:dyDescent="0.2">
      <c r="B51" s="642">
        <v>1.06</v>
      </c>
      <c r="C51" s="842"/>
      <c r="D51" s="328"/>
      <c r="E51" s="328">
        <v>1</v>
      </c>
      <c r="F51" s="639" t="s">
        <v>168</v>
      </c>
      <c r="G51" s="333"/>
      <c r="H51" s="326"/>
      <c r="I51" s="326"/>
    </row>
    <row r="52" spans="1:10" x14ac:dyDescent="0.2">
      <c r="A52" s="332"/>
      <c r="B52" s="507">
        <v>189000</v>
      </c>
      <c r="C52" s="330">
        <f>CEILING(B52*$B$51,10)</f>
        <v>200340</v>
      </c>
      <c r="D52" s="509" t="s">
        <v>169</v>
      </c>
      <c r="E52" s="328">
        <v>2</v>
      </c>
      <c r="F52" s="344" t="s">
        <v>188</v>
      </c>
      <c r="G52" s="559">
        <v>200400</v>
      </c>
      <c r="H52" s="326"/>
      <c r="I52" s="326"/>
    </row>
    <row r="53" spans="1:10" ht="22.5" x14ac:dyDescent="0.2">
      <c r="A53" s="332"/>
      <c r="B53" s="507">
        <v>129000</v>
      </c>
      <c r="C53" s="330">
        <f t="shared" ref="C53:C56" si="0">CEILING(B53*$B$51,10)</f>
        <v>136740</v>
      </c>
      <c r="D53" s="328"/>
      <c r="E53" s="328">
        <v>3</v>
      </c>
      <c r="F53" s="344" t="s">
        <v>171</v>
      </c>
      <c r="G53" s="559">
        <v>136800</v>
      </c>
      <c r="H53" s="326"/>
      <c r="I53" s="326"/>
    </row>
    <row r="54" spans="1:10" ht="22.5" x14ac:dyDescent="0.2">
      <c r="A54" s="332"/>
      <c r="B54" s="507">
        <v>105040</v>
      </c>
      <c r="C54" s="330">
        <f t="shared" si="0"/>
        <v>111350</v>
      </c>
      <c r="D54" s="328"/>
      <c r="E54" s="328">
        <v>4</v>
      </c>
      <c r="F54" s="344" t="s">
        <v>172</v>
      </c>
      <c r="G54" s="559">
        <v>111400</v>
      </c>
      <c r="H54" s="326"/>
      <c r="I54" s="326"/>
    </row>
    <row r="55" spans="1:10" ht="22.5" x14ac:dyDescent="0.2">
      <c r="A55" s="332"/>
      <c r="B55" s="507">
        <v>84000</v>
      </c>
      <c r="C55" s="330">
        <f t="shared" si="0"/>
        <v>89040</v>
      </c>
      <c r="D55" s="328"/>
      <c r="E55" s="328">
        <v>5</v>
      </c>
      <c r="F55" s="344" t="s">
        <v>173</v>
      </c>
      <c r="G55" s="559">
        <v>89000</v>
      </c>
      <c r="H55" s="326"/>
      <c r="I55" s="326"/>
    </row>
    <row r="56" spans="1:10" ht="23.25" thickBot="1" x14ac:dyDescent="0.25">
      <c r="A56" s="334"/>
      <c r="B56" s="508">
        <v>66000</v>
      </c>
      <c r="C56" s="338">
        <f t="shared" si="0"/>
        <v>69960</v>
      </c>
      <c r="D56" s="329"/>
      <c r="E56" s="329">
        <v>6</v>
      </c>
      <c r="F56" s="345" t="s">
        <v>174</v>
      </c>
      <c r="G56" s="560">
        <v>70000</v>
      </c>
      <c r="H56" s="326"/>
      <c r="I56" s="326"/>
    </row>
    <row r="57" spans="1:10" x14ac:dyDescent="0.2">
      <c r="A57" s="326"/>
      <c r="H57" s="326"/>
      <c r="I57" s="326"/>
    </row>
    <row r="58" spans="1:10" x14ac:dyDescent="0.2">
      <c r="A58" s="326"/>
      <c r="B58" s="326"/>
      <c r="C58" s="326"/>
      <c r="D58" s="326"/>
      <c r="E58" s="326"/>
      <c r="F58" s="326"/>
      <c r="G58" s="326"/>
      <c r="H58" s="326"/>
      <c r="I58" s="326"/>
    </row>
    <row r="59" spans="1:10" ht="13.5" thickBot="1" x14ac:dyDescent="0.25">
      <c r="A59" s="326"/>
      <c r="B59" s="326"/>
      <c r="C59" s="326"/>
      <c r="D59" s="326"/>
      <c r="E59" s="326"/>
      <c r="F59" s="326"/>
      <c r="G59" s="326"/>
      <c r="H59" s="326"/>
      <c r="I59" s="326"/>
    </row>
    <row r="60" spans="1:10" x14ac:dyDescent="0.2">
      <c r="A60" s="326"/>
      <c r="B60" s="326"/>
      <c r="C60" s="326"/>
      <c r="D60" s="326"/>
      <c r="E60" s="1149" t="s">
        <v>764</v>
      </c>
      <c r="F60" s="1150"/>
      <c r="G60" s="647"/>
      <c r="H60" s="647"/>
      <c r="I60" s="648"/>
    </row>
    <row r="61" spans="1:10" x14ac:dyDescent="0.2">
      <c r="A61" s="326"/>
      <c r="B61" s="326"/>
      <c r="C61" s="326"/>
      <c r="D61" s="326"/>
      <c r="E61" s="348" t="s">
        <v>545</v>
      </c>
      <c r="F61" s="844">
        <v>43122</v>
      </c>
      <c r="G61" s="844">
        <v>43268</v>
      </c>
      <c r="H61" s="577">
        <v>148</v>
      </c>
      <c r="I61" s="333">
        <f>(H61/30)*2</f>
        <v>9.8666666666666671</v>
      </c>
    </row>
    <row r="62" spans="1:10" x14ac:dyDescent="0.2">
      <c r="A62" s="326"/>
      <c r="B62" s="326"/>
      <c r="C62" s="326"/>
      <c r="D62" s="326"/>
      <c r="E62" s="348" t="s">
        <v>546</v>
      </c>
      <c r="F62" s="346"/>
      <c r="G62" s="346"/>
      <c r="H62" s="577">
        <v>321</v>
      </c>
      <c r="I62" s="333">
        <f>H62/30</f>
        <v>10.7</v>
      </c>
    </row>
    <row r="63" spans="1:10" x14ac:dyDescent="0.2">
      <c r="A63" s="326"/>
      <c r="B63" s="326"/>
      <c r="C63" s="326"/>
      <c r="D63" s="326"/>
      <c r="E63" s="348" t="s">
        <v>415</v>
      </c>
      <c r="F63" s="328"/>
      <c r="G63" s="328"/>
      <c r="H63" s="328">
        <v>341</v>
      </c>
      <c r="I63" s="333">
        <f>H63/30</f>
        <v>11.366666666666667</v>
      </c>
      <c r="J63">
        <v>11.2666667</v>
      </c>
    </row>
    <row r="64" spans="1:10" x14ac:dyDescent="0.2">
      <c r="A64" s="326"/>
      <c r="B64" s="326"/>
      <c r="C64" s="326"/>
      <c r="D64" s="326"/>
      <c r="E64" s="843" t="s">
        <v>806</v>
      </c>
      <c r="F64" s="346"/>
      <c r="G64" s="346"/>
      <c r="H64" s="328">
        <v>341</v>
      </c>
      <c r="I64" s="333">
        <f>H64/30</f>
        <v>11.366666666666667</v>
      </c>
    </row>
    <row r="65" spans="1:9" ht="13.5" thickBot="1" x14ac:dyDescent="0.25">
      <c r="C65" s="579" t="s">
        <v>640</v>
      </c>
      <c r="E65" s="349"/>
      <c r="F65" s="649"/>
      <c r="G65" s="649"/>
      <c r="H65" s="626"/>
      <c r="I65" s="627"/>
    </row>
    <row r="66" spans="1:9" x14ac:dyDescent="0.2">
      <c r="A66" s="624" t="s">
        <v>763</v>
      </c>
      <c r="B66" s="637">
        <v>2017</v>
      </c>
      <c r="C66" s="637"/>
      <c r="D66" s="638">
        <v>2018</v>
      </c>
    </row>
    <row r="67" spans="1:9" x14ac:dyDescent="0.2">
      <c r="A67" s="628"/>
      <c r="B67" s="354"/>
      <c r="C67" s="646">
        <v>1.06</v>
      </c>
      <c r="D67" s="629"/>
    </row>
    <row r="68" spans="1:9" x14ac:dyDescent="0.2">
      <c r="A68" s="630" t="s">
        <v>637</v>
      </c>
      <c r="B68" s="631">
        <v>192000</v>
      </c>
      <c r="C68" s="643"/>
      <c r="D68" s="632">
        <f>CEILING(+B68*$C$67,1000)</f>
        <v>204000</v>
      </c>
    </row>
    <row r="69" spans="1:9" x14ac:dyDescent="0.2">
      <c r="A69" s="630" t="s">
        <v>638</v>
      </c>
      <c r="B69" s="631">
        <f>+B68*2</f>
        <v>384000</v>
      </c>
      <c r="C69" s="644"/>
      <c r="D69" s="633">
        <f>+D68*2</f>
        <v>408000</v>
      </c>
    </row>
    <row r="70" spans="1:9" ht="13.5" thickBot="1" x14ac:dyDescent="0.25">
      <c r="A70" s="634" t="s">
        <v>639</v>
      </c>
      <c r="B70" s="635">
        <f>+B68*3</f>
        <v>576000</v>
      </c>
      <c r="C70" s="645"/>
      <c r="D70" s="636">
        <f>+D68*3</f>
        <v>612000</v>
      </c>
    </row>
  </sheetData>
  <mergeCells count="1">
    <mergeCell ref="E60:F6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30" sqref="I30:L52"/>
    </sheetView>
  </sheetViews>
  <sheetFormatPr baseColWidth="10" defaultRowHeight="12.75" x14ac:dyDescent="0.2"/>
  <cols>
    <col min="1" max="1" width="59.85546875" style="7" bestFit="1" customWidth="1"/>
    <col min="2" max="2" width="15.42578125" style="845" bestFit="1" customWidth="1"/>
    <col min="3" max="16384" width="11.42578125" style="7"/>
  </cols>
  <sheetData>
    <row r="1" spans="1:8" x14ac:dyDescent="0.2">
      <c r="A1" s="7" t="s">
        <v>439</v>
      </c>
    </row>
    <row r="3" spans="1:8" ht="13.5" thickBot="1" x14ac:dyDescent="0.25">
      <c r="A3" s="7" t="s">
        <v>275</v>
      </c>
    </row>
    <row r="4" spans="1:8" ht="13.5" thickBot="1" x14ac:dyDescent="0.25">
      <c r="A4" s="1151" t="s">
        <v>807</v>
      </c>
      <c r="B4" s="1152"/>
    </row>
    <row r="5" spans="1:8" ht="13.5" thickBot="1" x14ac:dyDescent="0.25">
      <c r="A5" s="7" t="s">
        <v>290</v>
      </c>
      <c r="B5" s="846">
        <f>+PRESUPUESTO!G29+PRESUPUESTO!G305</f>
        <v>5863501.0699999984</v>
      </c>
    </row>
    <row r="6" spans="1:8" x14ac:dyDescent="0.2">
      <c r="A6" s="426" t="s">
        <v>264</v>
      </c>
      <c r="B6" s="847">
        <f ca="1">ABS(+PRESUPUESTO!G251+PRESUPUESTO!G329)</f>
        <v>4167859.7228287952</v>
      </c>
    </row>
    <row r="7" spans="1:8" x14ac:dyDescent="0.2">
      <c r="A7" s="427" t="s">
        <v>265</v>
      </c>
      <c r="B7" s="848">
        <f ca="1">ABS(+PRESUPUESTO!G61+PRESUPUESTO!G73)</f>
        <v>2128010.6041537952</v>
      </c>
    </row>
    <row r="8" spans="1:8" x14ac:dyDescent="0.2">
      <c r="A8" s="427" t="s">
        <v>266</v>
      </c>
      <c r="B8" s="849">
        <f ca="1">IFERROR(B7/B6,0)</f>
        <v>0.51057634989439593</v>
      </c>
    </row>
    <row r="9" spans="1:8" x14ac:dyDescent="0.2">
      <c r="A9" s="427" t="s">
        <v>267</v>
      </c>
      <c r="B9" s="850">
        <f ca="1">IF(PRESUPUESTO!G331&gt;0,PRESUPUESTO!G331," ")</f>
        <v>1695641.3471712032</v>
      </c>
    </row>
    <row r="10" spans="1:8" x14ac:dyDescent="0.2">
      <c r="A10" s="427" t="s">
        <v>268</v>
      </c>
      <c r="B10" s="850" t="str">
        <f ca="1">IF(PRESUPUESTO!G331&lt;0,PRESUPUESTO!G331," ")</f>
        <v xml:space="preserve"> </v>
      </c>
    </row>
    <row r="11" spans="1:8" x14ac:dyDescent="0.2">
      <c r="A11" s="427" t="s">
        <v>269</v>
      </c>
      <c r="B11" s="851">
        <f ca="1">ABS(PRESUPUESTO!G61-PRESUPUESTO!G34)</f>
        <v>767331.90415379521</v>
      </c>
    </row>
    <row r="12" spans="1:8" x14ac:dyDescent="0.2">
      <c r="A12" s="427" t="s">
        <v>83</v>
      </c>
      <c r="B12" s="851">
        <f ca="1">ABS(PRESUPUESTO!G73)</f>
        <v>3000</v>
      </c>
    </row>
    <row r="13" spans="1:8" x14ac:dyDescent="0.2">
      <c r="A13" s="427" t="s">
        <v>20</v>
      </c>
      <c r="B13" s="851">
        <f>ABS(PRESUPUESTO!G34)</f>
        <v>1357678.7</v>
      </c>
      <c r="H13" s="547"/>
    </row>
    <row r="14" spans="1:8" x14ac:dyDescent="0.2">
      <c r="A14" s="427" t="s">
        <v>270</v>
      </c>
      <c r="B14" s="851">
        <f ca="1">SUM(B11:B13)</f>
        <v>2128010.6041537952</v>
      </c>
    </row>
    <row r="15" spans="1:8" x14ac:dyDescent="0.2">
      <c r="A15" s="427"/>
      <c r="B15" s="852"/>
    </row>
    <row r="16" spans="1:8" x14ac:dyDescent="0.2">
      <c r="A16" s="427" t="s">
        <v>271</v>
      </c>
      <c r="B16" s="849">
        <f ca="1">IFERROR(B15/B14,0)</f>
        <v>0</v>
      </c>
    </row>
    <row r="17" spans="1:2" ht="13.5" thickBot="1" x14ac:dyDescent="0.25">
      <c r="A17" s="428"/>
      <c r="B17" s="853"/>
    </row>
    <row r="18" spans="1:2" x14ac:dyDescent="0.2">
      <c r="A18" s="426" t="s">
        <v>39</v>
      </c>
      <c r="B18" s="854">
        <f>HONORARIOS!$G$104</f>
        <v>0</v>
      </c>
    </row>
    <row r="19" spans="1:2" x14ac:dyDescent="0.2">
      <c r="A19" s="427" t="s">
        <v>280</v>
      </c>
      <c r="B19" s="850">
        <f>CONVENIOS!D62</f>
        <v>0</v>
      </c>
    </row>
    <row r="20" spans="1:2" ht="13.5" thickBot="1" x14ac:dyDescent="0.25">
      <c r="A20" s="428" t="s">
        <v>42</v>
      </c>
      <c r="B20" s="855">
        <f>HONORARIOS!$G$131</f>
        <v>0</v>
      </c>
    </row>
  </sheetData>
  <mergeCells count="1">
    <mergeCell ref="A4:B4"/>
  </mergeCells>
  <phoneticPr fontId="27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31</vt:i4>
      </vt:variant>
    </vt:vector>
  </HeadingPairs>
  <TitlesOfParts>
    <vt:vector size="61" baseType="lpstr">
      <vt:lpstr>MENU</vt:lpstr>
      <vt:lpstr>PRESUPUESTO</vt:lpstr>
      <vt:lpstr>PTO - PDI</vt:lpstr>
      <vt:lpstr>PTO + EC</vt:lpstr>
      <vt:lpstr>ALUMNOS</vt:lpstr>
      <vt:lpstr>MAT.</vt:lpstr>
      <vt:lpstr>NOMINA</vt:lpstr>
      <vt:lpstr>BASE</vt:lpstr>
      <vt:lpstr>Base 3</vt:lpstr>
      <vt:lpstr>HONORARIOS</vt:lpstr>
      <vt:lpstr>CONVENIOS</vt:lpstr>
      <vt:lpstr>ASESOR.Y.CONSULT.</vt:lpstr>
      <vt:lpstr>PROY INVEST.</vt:lpstr>
      <vt:lpstr>P.PROY.SOCIAL</vt:lpstr>
      <vt:lpstr>GEST.REC.HUM.</vt:lpstr>
      <vt:lpstr>OTRAS ACTIV.</vt:lpstr>
      <vt:lpstr>ADICIONALES PD</vt:lpstr>
      <vt:lpstr>SALIDAS</vt:lpstr>
      <vt:lpstr>BIBLIOTECA</vt:lpstr>
      <vt:lpstr>AFILIACIONES</vt:lpstr>
      <vt:lpstr>IMPRESOS.PUBLIC</vt:lpstr>
      <vt:lpstr>MANTEN.EQUIP.</vt:lpstr>
      <vt:lpstr>INVER.EQUIPO.COMP</vt:lpstr>
      <vt:lpstr>INVER.OTROS.EQUIPOS</vt:lpstr>
      <vt:lpstr>INVER.MUEBLES</vt:lpstr>
      <vt:lpstr>ADECUAC.LOCATIVAS</vt:lpstr>
      <vt:lpstr>Hoja2</vt:lpstr>
      <vt:lpstr>EDUC.CONT.</vt:lpstr>
      <vt:lpstr>PPTO 2017</vt:lpstr>
      <vt:lpstr>EJEC</vt:lpstr>
      <vt:lpstr>ADECUAC.LOCATIVAS!Área_de_impresión</vt:lpstr>
      <vt:lpstr>'ADICIONALES PD'!Área_de_impresión</vt:lpstr>
      <vt:lpstr>AFILIACIONES!Área_de_impresión</vt:lpstr>
      <vt:lpstr>ALUMNOS!Área_de_impresión</vt:lpstr>
      <vt:lpstr>ASESOR.Y.CONSULT.!Área_de_impresión</vt:lpstr>
      <vt:lpstr>BIBLIOTECA!Área_de_impresión</vt:lpstr>
      <vt:lpstr>CONVENIOS!Área_de_impresión</vt:lpstr>
      <vt:lpstr>EDUC.CONT.!Área_de_impresión</vt:lpstr>
      <vt:lpstr>GEST.REC.HUM.!Área_de_impresión</vt:lpstr>
      <vt:lpstr>HONORARIOS!Área_de_impresión</vt:lpstr>
      <vt:lpstr>IMPRESOS.PUBLIC!Área_de_impresión</vt:lpstr>
      <vt:lpstr>INVER.EQUIPO.COMP!Área_de_impresión</vt:lpstr>
      <vt:lpstr>INVER.MUEBLES!Área_de_impresión</vt:lpstr>
      <vt:lpstr>INVER.OTROS.EQUIPOS!Área_de_impresión</vt:lpstr>
      <vt:lpstr>MANTEN.EQUIP.!Área_de_impresión</vt:lpstr>
      <vt:lpstr>MAT.!Área_de_impresión</vt:lpstr>
      <vt:lpstr>MENU!Área_de_impresión</vt:lpstr>
      <vt:lpstr>NOMINA!Área_de_impresión</vt:lpstr>
      <vt:lpstr>'OTRAS ACTIV.'!Área_de_impresión</vt:lpstr>
      <vt:lpstr>P.PROY.SOCIAL!Área_de_impresión</vt:lpstr>
      <vt:lpstr>PRESUPUESTO!Área_de_impresión</vt:lpstr>
      <vt:lpstr>'PROY INVEST.'!Área_de_impresión</vt:lpstr>
      <vt:lpstr>'PTO - PDI'!Área_de_impresión</vt:lpstr>
      <vt:lpstr>CodCategoria</vt:lpstr>
      <vt:lpstr>CodContrato</vt:lpstr>
      <vt:lpstr>NivelEstudio</vt:lpstr>
      <vt:lpstr>NOMINATABLA</vt:lpstr>
      <vt:lpstr>OTROS_GASTOS_NOMINA_PDI</vt:lpstr>
      <vt:lpstr>OTROS_GASTOS_PDI</vt:lpstr>
      <vt:lpstr>HONORARIOS!Títulos_a_imprimir</vt:lpstr>
      <vt:lpstr>PRESUPUESTO!Títulos_a_imprimir</vt:lpstr>
    </vt:vector>
  </TitlesOfParts>
  <Company>Universidad El Bosque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A00119</dc:creator>
  <cp:lastModifiedBy>Jorge Orlando Castaño Garzon</cp:lastModifiedBy>
  <cp:lastPrinted>2017-10-24T14:47:55Z</cp:lastPrinted>
  <dcterms:created xsi:type="dcterms:W3CDTF">2007-10-19T23:12:33Z</dcterms:created>
  <dcterms:modified xsi:type="dcterms:W3CDTF">2018-02-21T16:49:20Z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