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stañojorge\Documents\informacion\ACREDITACION 2018-2019\EVIDENCIAS\"/>
    </mc:Choice>
  </mc:AlternateContent>
  <bookViews>
    <workbookView xWindow="0" yWindow="0" windowWidth="19200" windowHeight="8445" activeTab="3"/>
  </bookViews>
  <sheets>
    <sheet name="PRESUPUESTO Proy 2016-021 $MM" sheetId="19" r:id="rId1"/>
    <sheet name="EDUCACIÓN CONTINUAD CONSOLIDADO" sheetId="17" state="hidden" r:id="rId2"/>
    <sheet name="Detalle" sheetId="1" r:id="rId3"/>
    <sheet name="PDI 2016-2021" sheetId="21" r:id="rId4"/>
    <sheet name="CIMIENTOS" sheetId="2" state="hidden" r:id="rId5"/>
    <sheet name="Detalle_Proyectos" sheetId="3"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2" hidden="1">Detalle!$A$4:$Q$154</definedName>
    <definedName name="_xlnm._FilterDatabase" localSheetId="0" hidden="1">'PRESUPUESTO Proy 2016-021 $MM'!$A$4:$W$378</definedName>
    <definedName name="_Regression_Out" hidden="1">'[1]regresion eq'!$I$30:$K$38</definedName>
    <definedName name="_Regression_X" hidden="1">'[1]regresion eq'!$A$39:$A$45</definedName>
    <definedName name="_Regression_Y" hidden="1">'[1]regresion eq'!$B$39:$B$45</definedName>
    <definedName name="_xlnm.Print_Area" localSheetId="2">Detalle!$B$4:$E$145</definedName>
    <definedName name="AS2DocOpenMode" hidden="1">"AS2DocumentEdit"</definedName>
    <definedName name="CargoValorado">[2]Hoja2!$A$1:$A$23</definedName>
    <definedName name="catego2" localSheetId="0">'[3]Base 1'!$B$19:$D$34</definedName>
    <definedName name="catego2">'[4]Base 1'!$B$19:$D$34</definedName>
    <definedName name="CBE" localSheetId="0">[5]CBE!$A$1:$B$241</definedName>
    <definedName name="CBE">[5]CBE!$A$1:$B$241</definedName>
    <definedName name="CodCategoria" localSheetId="0">[6]NOMINA!$E$21:$E$37</definedName>
    <definedName name="CodCategoria">[7]NOMINA!$E$21:$E$37</definedName>
    <definedName name="CodContrato" localSheetId="0">[6]NOMINA!$H$21:$H$37</definedName>
    <definedName name="CodContrato">[7]NOMINA!$H$21:$H$37</definedName>
    <definedName name="codigo" localSheetId="0">'[3]Base 1'!$B$19:$B$25</definedName>
    <definedName name="codigo">'[4]Base 1'!$B$19:$B$25</definedName>
    <definedName name="D">'[8]Anestesia y Ream'!$E$3:$E$66</definedName>
    <definedName name="DATA1">#REF!</definedName>
    <definedName name="DATA2">#REF!</definedName>
    <definedName name="DATA3">#REF!</definedName>
    <definedName name="DATA4" localSheetId="1">[9]Hoja1!#REF!</definedName>
    <definedName name="DATA4" localSheetId="0">[10]Hoja1!#REF!</definedName>
    <definedName name="DATA4">[9]Hoja1!#REF!</definedName>
    <definedName name="DATA5" localSheetId="0">'[11]EJE JULIO NOV'!$F$3:$F$78</definedName>
    <definedName name="DATA5">'[12]EJE JULIO NOV'!$F$3:$F$78</definedName>
    <definedName name="DATA6">#REF!</definedName>
    <definedName name="DATA7">#REF!</definedName>
    <definedName name="DATA8">#REF!</definedName>
    <definedName name="MESES" localSheetId="0">'[13]CONSOLIDADO (2)'!$E$406:$E$410</definedName>
    <definedName name="MESES">'[13]CONSOLIDADO (2)'!$E$406:$E$410</definedName>
    <definedName name="NivelEstudio" localSheetId="0">[6]NOMINA!$D$21:$D$36</definedName>
    <definedName name="NivelEstudio">[7]NOMINA!$D$21:$D$36</definedName>
    <definedName name="NvsASD">"V2014-12-31"</definedName>
    <definedName name="NvsAutoDrillOk">"VN"</definedName>
    <definedName name="NvsElapsedTime">0.000173611115314998</definedName>
    <definedName name="NvsEndTime">42052.5636342593</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PanelBusUnit">"VUBQ00"</definedName>
    <definedName name="NvsPanelEffdt">"V1900-01-01"</definedName>
    <definedName name="NvsPanelSetid">"VUBQ00"</definedName>
    <definedName name="NvsReqBU">"VUBQ00"</definedName>
    <definedName name="NvsReqBUOnly">"VY"</definedName>
    <definedName name="NvsTransLed">"VN"</definedName>
    <definedName name="NvsTreeASD">"V2014-12-31"</definedName>
    <definedName name="PORCENTAJE" localSheetId="0">'[13]CONSOLIDADO (2)'!$E$420:$E$424</definedName>
    <definedName name="PORCENTAJE">'[13]CONSOLIDADO (2)'!$E$420:$E$424</definedName>
    <definedName name="razon" localSheetId="0">'[3]Base 2'!$G$3:$G$5</definedName>
    <definedName name="razon">'[4]Base 2'!$G$3:$G$5</definedName>
    <definedName name="TECNO" localSheetId="0">'[13]CONSOLIDADO (2)'!$E$413:$E$417</definedName>
    <definedName name="TECNO">'[13]CONSOLIDADO (2)'!$E$413:$E$417</definedName>
    <definedName name="TEST0">#REF!</definedName>
    <definedName name="TESTHKEY">#REF!</definedName>
    <definedName name="TESTKEYS">#REF!</definedName>
    <definedName name="TESTVKEY">#REF!</definedName>
    <definedName name="TextRefCopyRangeCount" hidden="1">2</definedName>
    <definedName name="tipo" localSheetId="0">'[3]Base 2'!$B$15:$C$17</definedName>
    <definedName name="tipo">'[4]Base 2'!$B$15:$C$17</definedName>
    <definedName name="TipoOD" localSheetId="0">[6]NOMINA!$B$21:$B$37</definedName>
    <definedName name="TipoOD">[7]NOMINA!$B$21:$B$37</definedName>
    <definedName name="_xlnm.Print_Titles" localSheetId="2">Detalle!$4:$4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63" i="19" l="1"/>
  <c r="X362" i="19"/>
  <c r="G49" i="21" l="1"/>
  <c r="D49" i="21"/>
  <c r="N348" i="19"/>
  <c r="R348" i="19"/>
  <c r="M48" i="21" l="1"/>
  <c r="M47" i="21"/>
  <c r="J48" i="21"/>
  <c r="J47" i="21"/>
  <c r="G47" i="21"/>
  <c r="D48" i="21"/>
  <c r="D47" i="21"/>
  <c r="X347" i="19"/>
  <c r="S26" i="21"/>
  <c r="S37" i="21" s="1"/>
  <c r="P26" i="21"/>
  <c r="P37" i="21" s="1"/>
  <c r="M26" i="21"/>
  <c r="M37" i="21" s="1"/>
  <c r="D50" i="21" l="1"/>
  <c r="D24" i="21" s="1"/>
  <c r="F151" i="1"/>
  <c r="F116" i="1"/>
  <c r="G25" i="21" l="1"/>
  <c r="D25" i="21"/>
  <c r="J28" i="21" l="1"/>
  <c r="J26" i="21"/>
  <c r="J37" i="21" s="1"/>
  <c r="G26" i="21"/>
  <c r="G37" i="21" s="1"/>
  <c r="V25" i="21"/>
  <c r="D42" i="21"/>
  <c r="G41" i="21" l="1"/>
  <c r="J41" i="21" s="1"/>
  <c r="M41" i="21" s="1"/>
  <c r="P41" i="21" s="1"/>
  <c r="S41" i="21" s="1"/>
  <c r="G40" i="21"/>
  <c r="J40" i="21" s="1"/>
  <c r="M40" i="21" s="1"/>
  <c r="P40" i="21" s="1"/>
  <c r="S40" i="21" s="1"/>
  <c r="G39" i="21"/>
  <c r="J39" i="21" s="1"/>
  <c r="M39" i="21" s="1"/>
  <c r="P39" i="21" s="1"/>
  <c r="S39" i="21" s="1"/>
  <c r="G38" i="21"/>
  <c r="J36" i="21"/>
  <c r="M28" i="21"/>
  <c r="D43" i="21"/>
  <c r="D16" i="21"/>
  <c r="G16" i="21" s="1"/>
  <c r="J16" i="21" s="1"/>
  <c r="M16" i="21" s="1"/>
  <c r="P16" i="21" s="1"/>
  <c r="S16" i="21" s="1"/>
  <c r="D11" i="21"/>
  <c r="G11" i="21" s="1"/>
  <c r="J11" i="21" s="1"/>
  <c r="M11" i="21" s="1"/>
  <c r="P11" i="21" s="1"/>
  <c r="S11" i="21" s="1"/>
  <c r="J38" i="21" l="1"/>
  <c r="G42" i="21"/>
  <c r="G43" i="21" s="1"/>
  <c r="M36" i="21"/>
  <c r="P28" i="21"/>
  <c r="R8" i="21"/>
  <c r="O8" i="21"/>
  <c r="L8" i="21"/>
  <c r="I8" i="21"/>
  <c r="F8" i="21"/>
  <c r="C8" i="21"/>
  <c r="R17" i="21"/>
  <c r="O17" i="21"/>
  <c r="L17" i="21"/>
  <c r="I17" i="21"/>
  <c r="F17" i="21"/>
  <c r="R14" i="21"/>
  <c r="O14" i="21"/>
  <c r="L14" i="21"/>
  <c r="I14" i="21"/>
  <c r="F14" i="21"/>
  <c r="C17" i="21"/>
  <c r="C14" i="21"/>
  <c r="R24" i="21"/>
  <c r="O24" i="21"/>
  <c r="L24" i="21"/>
  <c r="I24" i="21"/>
  <c r="F24" i="21"/>
  <c r="C24" i="21"/>
  <c r="P36" i="21" l="1"/>
  <c r="S28" i="21"/>
  <c r="S36" i="21" s="1"/>
  <c r="J42" i="21"/>
  <c r="J43" i="21" s="1"/>
  <c r="M38" i="21"/>
  <c r="U24" i="21"/>
  <c r="I52" i="1"/>
  <c r="K52" i="1" s="1"/>
  <c r="M52" i="1" s="1"/>
  <c r="O52" i="1" s="1"/>
  <c r="Q52" i="1" s="1"/>
  <c r="I38" i="1"/>
  <c r="I31" i="1"/>
  <c r="Q30" i="1"/>
  <c r="O30" i="1"/>
  <c r="M30" i="1"/>
  <c r="K30" i="1"/>
  <c r="I30" i="1"/>
  <c r="M42" i="21" l="1"/>
  <c r="P38" i="21"/>
  <c r="L35" i="21"/>
  <c r="M43" i="21"/>
  <c r="I137" i="1"/>
  <c r="I93" i="1"/>
  <c r="Q64" i="1"/>
  <c r="I33" i="1"/>
  <c r="K26" i="1"/>
  <c r="M26" i="1" s="1"/>
  <c r="O26" i="1" s="1"/>
  <c r="Q26" i="1" s="1"/>
  <c r="K27" i="1"/>
  <c r="M27" i="1" s="1"/>
  <c r="O27" i="1" s="1"/>
  <c r="Q27" i="1" s="1"/>
  <c r="Q16" i="1"/>
  <c r="Q17" i="1" s="1"/>
  <c r="O16" i="1"/>
  <c r="M16" i="1"/>
  <c r="K16" i="1"/>
  <c r="I16" i="1"/>
  <c r="Q33" i="1"/>
  <c r="O33" i="1"/>
  <c r="M33" i="1"/>
  <c r="K33" i="1"/>
  <c r="G77" i="1"/>
  <c r="G68" i="1"/>
  <c r="G23" i="1"/>
  <c r="G21" i="1"/>
  <c r="G13" i="1"/>
  <c r="G12" i="1"/>
  <c r="G10" i="1"/>
  <c r="I5" i="1"/>
  <c r="K5" i="1" s="1"/>
  <c r="M5" i="1" s="1"/>
  <c r="O5" i="1" s="1"/>
  <c r="Q5" i="1" s="1"/>
  <c r="I7" i="1"/>
  <c r="K7" i="1" s="1"/>
  <c r="M7" i="1" s="1"/>
  <c r="O7" i="1" s="1"/>
  <c r="Q7" i="1" s="1"/>
  <c r="Q152" i="1"/>
  <c r="O152" i="1"/>
  <c r="M152" i="1"/>
  <c r="K152" i="1"/>
  <c r="I152" i="1"/>
  <c r="G152" i="1"/>
  <c r="Q148" i="1"/>
  <c r="O148" i="1"/>
  <c r="M148" i="1"/>
  <c r="K148" i="1"/>
  <c r="I148" i="1"/>
  <c r="G148" i="1"/>
  <c r="P42" i="21" l="1"/>
  <c r="P43" i="21" s="1"/>
  <c r="S38" i="21"/>
  <c r="S42" i="21" s="1"/>
  <c r="I40" i="1"/>
  <c r="S43" i="21" l="1"/>
  <c r="K40" i="1"/>
  <c r="I143" i="1"/>
  <c r="I141" i="1"/>
  <c r="K141" i="1" s="1"/>
  <c r="I139" i="1"/>
  <c r="I135" i="1"/>
  <c r="I136" i="1" s="1"/>
  <c r="I133" i="1"/>
  <c r="I132" i="1"/>
  <c r="I129" i="1"/>
  <c r="I128" i="1"/>
  <c r="I127" i="1"/>
  <c r="I125" i="1"/>
  <c r="I124" i="1"/>
  <c r="I122" i="1"/>
  <c r="I121" i="1"/>
  <c r="I120" i="1"/>
  <c r="I119" i="1"/>
  <c r="K119" i="1" s="1"/>
  <c r="I118" i="1"/>
  <c r="I116" i="1"/>
  <c r="I114" i="1"/>
  <c r="I113" i="1"/>
  <c r="I111" i="1"/>
  <c r="I110" i="1"/>
  <c r="I109" i="1"/>
  <c r="I108" i="1"/>
  <c r="I106" i="1"/>
  <c r="I105" i="1"/>
  <c r="I103" i="1"/>
  <c r="I102" i="1"/>
  <c r="I101" i="1"/>
  <c r="I99" i="1"/>
  <c r="I98" i="1"/>
  <c r="I97" i="1"/>
  <c r="I96" i="1"/>
  <c r="I95" i="1"/>
  <c r="I92" i="1"/>
  <c r="I91" i="1"/>
  <c r="I90" i="1"/>
  <c r="I88" i="1"/>
  <c r="I87" i="1"/>
  <c r="I86" i="1"/>
  <c r="I85" i="1"/>
  <c r="I83" i="1"/>
  <c r="I82" i="1"/>
  <c r="I80" i="1"/>
  <c r="I78" i="1"/>
  <c r="I75" i="1"/>
  <c r="I74" i="1"/>
  <c r="I73" i="1"/>
  <c r="I72" i="1"/>
  <c r="I71" i="1"/>
  <c r="I70" i="1"/>
  <c r="I69" i="1"/>
  <c r="I67" i="1"/>
  <c r="I66" i="1"/>
  <c r="I65" i="1"/>
  <c r="I60" i="1"/>
  <c r="I59" i="1"/>
  <c r="I57" i="1"/>
  <c r="I56" i="1"/>
  <c r="I55" i="1"/>
  <c r="I54" i="1"/>
  <c r="I53" i="1"/>
  <c r="I50" i="1"/>
  <c r="I41" i="1"/>
  <c r="I39" i="1"/>
  <c r="I36" i="1"/>
  <c r="I35" i="1"/>
  <c r="I34" i="1"/>
  <c r="I32" i="1"/>
  <c r="I23" i="1"/>
  <c r="I21" i="1"/>
  <c r="I20" i="1"/>
  <c r="I18" i="1"/>
  <c r="O17" i="1"/>
  <c r="M17" i="1"/>
  <c r="K17" i="1"/>
  <c r="I17" i="1"/>
  <c r="I15" i="1"/>
  <c r="I13" i="1"/>
  <c r="I12" i="1"/>
  <c r="I10" i="1"/>
  <c r="I8" i="1"/>
  <c r="G6" i="1"/>
  <c r="G8" i="1"/>
  <c r="G11" i="1"/>
  <c r="G14" i="1"/>
  <c r="G17" i="1"/>
  <c r="G19" i="1"/>
  <c r="G22" i="1"/>
  <c r="G24" i="1"/>
  <c r="G28" i="1"/>
  <c r="I28" i="1"/>
  <c r="G37" i="1"/>
  <c r="G42" i="1"/>
  <c r="G49" i="1"/>
  <c r="I49" i="1"/>
  <c r="K49" i="1"/>
  <c r="M49" i="1"/>
  <c r="O49" i="1"/>
  <c r="Q49" i="1"/>
  <c r="G51" i="1"/>
  <c r="G58" i="1"/>
  <c r="G61" i="1"/>
  <c r="G64" i="1"/>
  <c r="I64" i="1"/>
  <c r="K64" i="1"/>
  <c r="M64" i="1"/>
  <c r="O64" i="1"/>
  <c r="I68" i="1"/>
  <c r="G79" i="1"/>
  <c r="G81" i="1"/>
  <c r="G84" i="1"/>
  <c r="G89" i="1"/>
  <c r="G94" i="1"/>
  <c r="D12" i="21" s="1"/>
  <c r="G104" i="1"/>
  <c r="G107" i="1"/>
  <c r="G112" i="1"/>
  <c r="G115" i="1"/>
  <c r="G117" i="1"/>
  <c r="G123" i="1"/>
  <c r="G126" i="1"/>
  <c r="G130" i="1"/>
  <c r="G134" i="1"/>
  <c r="G136" i="1"/>
  <c r="G138" i="1"/>
  <c r="G140" i="1"/>
  <c r="G142" i="1"/>
  <c r="D7" i="21" l="1"/>
  <c r="D5" i="21"/>
  <c r="D6" i="21"/>
  <c r="D17" i="21"/>
  <c r="D14" i="21"/>
  <c r="D9" i="21"/>
  <c r="K13" i="1"/>
  <c r="K53" i="1"/>
  <c r="M53" i="1" s="1"/>
  <c r="I11" i="1"/>
  <c r="K23" i="1"/>
  <c r="M23" i="1" s="1"/>
  <c r="K31" i="1"/>
  <c r="K35" i="1"/>
  <c r="K41" i="1"/>
  <c r="K55" i="1"/>
  <c r="K69" i="1"/>
  <c r="K73" i="1"/>
  <c r="K80" i="1"/>
  <c r="K86" i="1"/>
  <c r="K91" i="1"/>
  <c r="K96" i="1"/>
  <c r="K101" i="1"/>
  <c r="K106" i="1"/>
  <c r="K111" i="1"/>
  <c r="K118" i="1"/>
  <c r="K121" i="1"/>
  <c r="K127" i="1"/>
  <c r="I130" i="1"/>
  <c r="K133" i="1"/>
  <c r="M141" i="1"/>
  <c r="K68" i="1"/>
  <c r="K12" i="1"/>
  <c r="I14" i="1"/>
  <c r="K18" i="1"/>
  <c r="M18" i="1" s="1"/>
  <c r="K28" i="1"/>
  <c r="K32" i="1"/>
  <c r="K36" i="1"/>
  <c r="I51" i="1"/>
  <c r="K56" i="1"/>
  <c r="K65" i="1"/>
  <c r="K70" i="1"/>
  <c r="K74" i="1"/>
  <c r="K82" i="1"/>
  <c r="I84" i="1"/>
  <c r="K87" i="1"/>
  <c r="K92" i="1"/>
  <c r="K97" i="1"/>
  <c r="K102" i="1"/>
  <c r="M102" i="1" s="1"/>
  <c r="I104" i="1"/>
  <c r="K113" i="1"/>
  <c r="I115" i="1"/>
  <c r="K122" i="1"/>
  <c r="K135" i="1"/>
  <c r="K136" i="1" s="1"/>
  <c r="K143" i="1"/>
  <c r="K20" i="1"/>
  <c r="K38" i="1"/>
  <c r="K57" i="1"/>
  <c r="K66" i="1"/>
  <c r="K71" i="1"/>
  <c r="K75" i="1"/>
  <c r="K83" i="1"/>
  <c r="K88" i="1"/>
  <c r="K93" i="1"/>
  <c r="K98" i="1"/>
  <c r="K103" i="1"/>
  <c r="K109" i="1"/>
  <c r="K114" i="1"/>
  <c r="M119" i="1"/>
  <c r="K124" i="1"/>
  <c r="I126" i="1"/>
  <c r="K129" i="1"/>
  <c r="K137" i="1"/>
  <c r="M137" i="1" s="1"/>
  <c r="K15" i="1"/>
  <c r="K21" i="1"/>
  <c r="K34" i="1"/>
  <c r="K39" i="1"/>
  <c r="K54" i="1"/>
  <c r="K59" i="1"/>
  <c r="I61" i="1"/>
  <c r="K67" i="1"/>
  <c r="K72" i="1"/>
  <c r="K78" i="1"/>
  <c r="K85" i="1"/>
  <c r="K90" i="1"/>
  <c r="K95" i="1"/>
  <c r="K99" i="1"/>
  <c r="K105" i="1"/>
  <c r="I107" i="1"/>
  <c r="K110" i="1"/>
  <c r="K116" i="1"/>
  <c r="M116" i="1" s="1"/>
  <c r="K120" i="1"/>
  <c r="K125" i="1"/>
  <c r="K132" i="1"/>
  <c r="I134" i="1"/>
  <c r="K139" i="1"/>
  <c r="M139" i="1" s="1"/>
  <c r="O139" i="1" s="1"/>
  <c r="M40" i="1"/>
  <c r="I138" i="1"/>
  <c r="I24" i="1"/>
  <c r="I22" i="1"/>
  <c r="I140" i="1"/>
  <c r="G76" i="1"/>
  <c r="I6" i="1"/>
  <c r="G5" i="21" s="1"/>
  <c r="I77" i="1"/>
  <c r="K50" i="1"/>
  <c r="I81" i="1"/>
  <c r="I117" i="1"/>
  <c r="I19" i="1"/>
  <c r="I142" i="1"/>
  <c r="K128" i="1"/>
  <c r="K108" i="1"/>
  <c r="K60" i="1"/>
  <c r="K10" i="1"/>
  <c r="D18" i="21" l="1"/>
  <c r="D8" i="21"/>
  <c r="G17" i="21"/>
  <c r="G6" i="21"/>
  <c r="G154" i="1"/>
  <c r="K104" i="1"/>
  <c r="I42" i="1"/>
  <c r="M133" i="1"/>
  <c r="O133" i="1" s="1"/>
  <c r="I76" i="1"/>
  <c r="K81" i="1"/>
  <c r="I123" i="1"/>
  <c r="M85" i="1"/>
  <c r="M113" i="1"/>
  <c r="O113" i="1" s="1"/>
  <c r="M21" i="1"/>
  <c r="I112" i="1"/>
  <c r="G14" i="21" s="1"/>
  <c r="I37" i="1"/>
  <c r="I89" i="1"/>
  <c r="I58" i="1"/>
  <c r="G9" i="21" s="1"/>
  <c r="K22" i="1"/>
  <c r="M80" i="1"/>
  <c r="M10" i="1"/>
  <c r="M11" i="1" s="1"/>
  <c r="O40" i="1"/>
  <c r="M132" i="1"/>
  <c r="K134" i="1"/>
  <c r="M120" i="1"/>
  <c r="M110" i="1"/>
  <c r="M99" i="1"/>
  <c r="M90" i="1"/>
  <c r="M78" i="1"/>
  <c r="M67" i="1"/>
  <c r="M54" i="1"/>
  <c r="K58" i="1"/>
  <c r="M34" i="1"/>
  <c r="M15" i="1"/>
  <c r="K138" i="1"/>
  <c r="M124" i="1"/>
  <c r="K126" i="1"/>
  <c r="M114" i="1"/>
  <c r="M103" i="1"/>
  <c r="M104" i="1" s="1"/>
  <c r="M71" i="1"/>
  <c r="M57" i="1"/>
  <c r="M143" i="1"/>
  <c r="M122" i="1"/>
  <c r="M92" i="1"/>
  <c r="K94" i="1"/>
  <c r="J12" i="21" s="1"/>
  <c r="M82" i="1"/>
  <c r="K84" i="1"/>
  <c r="M70" i="1"/>
  <c r="M56" i="1"/>
  <c r="M36" i="1"/>
  <c r="M28" i="1"/>
  <c r="M127" i="1"/>
  <c r="M106" i="1"/>
  <c r="M96" i="1"/>
  <c r="M86" i="1"/>
  <c r="M73" i="1"/>
  <c r="M55" i="1"/>
  <c r="M35" i="1"/>
  <c r="K24" i="1"/>
  <c r="M12" i="1"/>
  <c r="K14" i="1"/>
  <c r="M60" i="1"/>
  <c r="M65" i="1"/>
  <c r="M83" i="1"/>
  <c r="M93" i="1"/>
  <c r="K115" i="1"/>
  <c r="M118" i="1"/>
  <c r="K142" i="1"/>
  <c r="K77" i="1"/>
  <c r="I79" i="1"/>
  <c r="M128" i="1"/>
  <c r="K140" i="1"/>
  <c r="M125" i="1"/>
  <c r="K117" i="1"/>
  <c r="M105" i="1"/>
  <c r="K107" i="1"/>
  <c r="M95" i="1"/>
  <c r="M72" i="1"/>
  <c r="M59" i="1"/>
  <c r="K61" i="1"/>
  <c r="M39" i="1"/>
  <c r="K8" i="1"/>
  <c r="M129" i="1"/>
  <c r="O119" i="1"/>
  <c r="M109" i="1"/>
  <c r="M98" i="1"/>
  <c r="M88" i="1"/>
  <c r="M75" i="1"/>
  <c r="M66" i="1"/>
  <c r="M38" i="1"/>
  <c r="M20" i="1"/>
  <c r="M135" i="1"/>
  <c r="M97" i="1"/>
  <c r="M87" i="1"/>
  <c r="M74" i="1"/>
  <c r="M32" i="1"/>
  <c r="K19" i="1"/>
  <c r="M68" i="1"/>
  <c r="M121" i="1"/>
  <c r="M111" i="1"/>
  <c r="M101" i="1"/>
  <c r="M91" i="1"/>
  <c r="M69" i="1"/>
  <c r="M41" i="1"/>
  <c r="M31" i="1"/>
  <c r="M13" i="1"/>
  <c r="K6" i="1"/>
  <c r="M50" i="1"/>
  <c r="K51" i="1"/>
  <c r="O141" i="1"/>
  <c r="Q141" i="1" s="1"/>
  <c r="M142" i="1"/>
  <c r="M140" i="1"/>
  <c r="O137" i="1"/>
  <c r="M138" i="1"/>
  <c r="M117" i="1"/>
  <c r="O116" i="1"/>
  <c r="M108" i="1"/>
  <c r="O102" i="1"/>
  <c r="O53" i="1"/>
  <c r="K11" i="1"/>
  <c r="O23" i="1"/>
  <c r="M24" i="1"/>
  <c r="O18" i="1"/>
  <c r="M19" i="1"/>
  <c r="M8" i="1"/>
  <c r="M6" i="1"/>
  <c r="D13" i="21" l="1"/>
  <c r="D22" i="21" s="1"/>
  <c r="G7" i="21"/>
  <c r="G8" i="21" s="1"/>
  <c r="J9" i="21"/>
  <c r="J6" i="21"/>
  <c r="M5" i="21"/>
  <c r="M17" i="21"/>
  <c r="J5" i="21"/>
  <c r="J17" i="21"/>
  <c r="M115" i="1"/>
  <c r="O80" i="1"/>
  <c r="O81" i="1" s="1"/>
  <c r="O85" i="1"/>
  <c r="Q85" i="1" s="1"/>
  <c r="K112" i="1"/>
  <c r="J14" i="21" s="1"/>
  <c r="O21" i="1"/>
  <c r="Q21" i="1" s="1"/>
  <c r="Q22" i="1" s="1"/>
  <c r="M81" i="1"/>
  <c r="O118" i="1"/>
  <c r="Q118" i="1" s="1"/>
  <c r="M22" i="1"/>
  <c r="K130" i="1"/>
  <c r="K123" i="1"/>
  <c r="K42" i="1"/>
  <c r="M14" i="1"/>
  <c r="M6" i="21" s="1"/>
  <c r="O31" i="1"/>
  <c r="O69" i="1"/>
  <c r="O101" i="1"/>
  <c r="O121" i="1"/>
  <c r="O74" i="1"/>
  <c r="O20" i="1"/>
  <c r="O88" i="1"/>
  <c r="O129" i="1"/>
  <c r="O72" i="1"/>
  <c r="O83" i="1"/>
  <c r="O73" i="1"/>
  <c r="O96" i="1"/>
  <c r="O36" i="1"/>
  <c r="O143" i="1"/>
  <c r="O103" i="1"/>
  <c r="O104" i="1" s="1"/>
  <c r="O15" i="1"/>
  <c r="O78" i="1"/>
  <c r="O120" i="1"/>
  <c r="M123" i="1"/>
  <c r="O41" i="1"/>
  <c r="O68" i="1"/>
  <c r="M136" i="1"/>
  <c r="O135" i="1"/>
  <c r="O98" i="1"/>
  <c r="M61" i="1"/>
  <c r="O59" i="1"/>
  <c r="K89" i="1"/>
  <c r="Q133" i="1"/>
  <c r="O10" i="1"/>
  <c r="O97" i="1"/>
  <c r="O66" i="1"/>
  <c r="O109" i="1"/>
  <c r="O39" i="1"/>
  <c r="M107" i="1"/>
  <c r="O105" i="1"/>
  <c r="O125" i="1"/>
  <c r="O128" i="1"/>
  <c r="O35" i="1"/>
  <c r="M130" i="1"/>
  <c r="O127" i="1"/>
  <c r="O70" i="1"/>
  <c r="M94" i="1"/>
  <c r="M12" i="21" s="1"/>
  <c r="O92" i="1"/>
  <c r="O57" i="1"/>
  <c r="O124" i="1"/>
  <c r="M126" i="1"/>
  <c r="O54" i="1"/>
  <c r="O99" i="1"/>
  <c r="Q40" i="1"/>
  <c r="O12" i="1"/>
  <c r="O65" i="1"/>
  <c r="O13" i="1"/>
  <c r="O91" i="1"/>
  <c r="O111" i="1"/>
  <c r="O32" i="1"/>
  <c r="O87" i="1"/>
  <c r="O38" i="1"/>
  <c r="O75" i="1"/>
  <c r="Q119" i="1"/>
  <c r="O95" i="1"/>
  <c r="K37" i="1"/>
  <c r="K76" i="1"/>
  <c r="M77" i="1"/>
  <c r="K79" i="1"/>
  <c r="O93" i="1"/>
  <c r="O60" i="1"/>
  <c r="O55" i="1"/>
  <c r="O86" i="1"/>
  <c r="O106" i="1"/>
  <c r="O28" i="1"/>
  <c r="O56" i="1"/>
  <c r="M84" i="1"/>
  <c r="O82" i="1"/>
  <c r="O122" i="1"/>
  <c r="O71" i="1"/>
  <c r="O114" i="1"/>
  <c r="O34" i="1"/>
  <c r="O67" i="1"/>
  <c r="O90" i="1"/>
  <c r="O110" i="1"/>
  <c r="M134" i="1"/>
  <c r="O132" i="1"/>
  <c r="O50" i="1"/>
  <c r="M51" i="1"/>
  <c r="O142" i="1"/>
  <c r="Q139" i="1"/>
  <c r="O140" i="1"/>
  <c r="Q137" i="1"/>
  <c r="O138" i="1"/>
  <c r="Q116" i="1"/>
  <c r="O117" i="1"/>
  <c r="Q113" i="1"/>
  <c r="O108" i="1"/>
  <c r="Q102" i="1"/>
  <c r="Q53" i="1"/>
  <c r="Q23" i="1"/>
  <c r="O24" i="1"/>
  <c r="Q18" i="1"/>
  <c r="O19" i="1"/>
  <c r="O8" i="1"/>
  <c r="O6" i="1"/>
  <c r="P5" i="21" l="1"/>
  <c r="P17" i="21"/>
  <c r="J7" i="21"/>
  <c r="J8" i="21" s="1"/>
  <c r="K154" i="1"/>
  <c r="O42" i="1"/>
  <c r="Q80" i="1"/>
  <c r="Q81" i="1" s="1"/>
  <c r="M76" i="1"/>
  <c r="M42" i="1"/>
  <c r="Q65" i="1"/>
  <c r="M58" i="1"/>
  <c r="M9" i="21" s="1"/>
  <c r="Q12" i="1"/>
  <c r="O22" i="1"/>
  <c r="M89" i="1"/>
  <c r="M37" i="1"/>
  <c r="O14" i="1"/>
  <c r="M112" i="1"/>
  <c r="Q67" i="1"/>
  <c r="Q114" i="1"/>
  <c r="Q115" i="1" s="1"/>
  <c r="Q87" i="1"/>
  <c r="Q13" i="1"/>
  <c r="Q124" i="1"/>
  <c r="O126" i="1"/>
  <c r="Q128" i="1"/>
  <c r="O107" i="1"/>
  <c r="Q105" i="1"/>
  <c r="O61" i="1"/>
  <c r="Q59" i="1"/>
  <c r="Q68" i="1"/>
  <c r="Q15" i="1"/>
  <c r="Q96" i="1"/>
  <c r="Q129" i="1"/>
  <c r="Q121" i="1"/>
  <c r="O134" i="1"/>
  <c r="Q132" i="1"/>
  <c r="Q60" i="1"/>
  <c r="M79" i="1"/>
  <c r="O77" i="1"/>
  <c r="Q38" i="1"/>
  <c r="Q109" i="1"/>
  <c r="O112" i="1"/>
  <c r="Q140" i="1"/>
  <c r="Q34" i="1"/>
  <c r="Q32" i="1"/>
  <c r="Q91" i="1"/>
  <c r="Q57" i="1"/>
  <c r="Q70" i="1"/>
  <c r="Q35" i="1"/>
  <c r="Q125" i="1"/>
  <c r="Q41" i="1"/>
  <c r="Q78" i="1"/>
  <c r="Q103" i="1"/>
  <c r="Q36" i="1"/>
  <c r="Q73" i="1"/>
  <c r="Q72" i="1"/>
  <c r="Q88" i="1"/>
  <c r="Q74" i="1"/>
  <c r="Q101" i="1"/>
  <c r="Q31" i="1"/>
  <c r="Q117" i="1"/>
  <c r="Q138" i="1"/>
  <c r="Q110" i="1"/>
  <c r="Q28" i="1"/>
  <c r="Q111" i="1"/>
  <c r="Q135" i="1"/>
  <c r="O136" i="1"/>
  <c r="Q120" i="1"/>
  <c r="Q143" i="1"/>
  <c r="Q83" i="1"/>
  <c r="Q20" i="1"/>
  <c r="Q69" i="1"/>
  <c r="Q24" i="1"/>
  <c r="Q86" i="1"/>
  <c r="Q54" i="1"/>
  <c r="Q97" i="1"/>
  <c r="O115" i="1"/>
  <c r="Q90" i="1"/>
  <c r="Q71" i="1"/>
  <c r="Q122" i="1"/>
  <c r="Q56" i="1"/>
  <c r="Q8" i="1"/>
  <c r="Q19" i="1"/>
  <c r="Q142" i="1"/>
  <c r="O84" i="1"/>
  <c r="Q82" i="1"/>
  <c r="Q106" i="1"/>
  <c r="Q55" i="1"/>
  <c r="Q93" i="1"/>
  <c r="Q95" i="1"/>
  <c r="Q75" i="1"/>
  <c r="Q99" i="1"/>
  <c r="O94" i="1"/>
  <c r="P12" i="21" s="1"/>
  <c r="Q92" i="1"/>
  <c r="Q127" i="1"/>
  <c r="Q39" i="1"/>
  <c r="Q66" i="1"/>
  <c r="O11" i="1"/>
  <c r="P6" i="21" s="1"/>
  <c r="Q10" i="1"/>
  <c r="Q98" i="1"/>
  <c r="Q6" i="1"/>
  <c r="O51" i="1"/>
  <c r="Q50" i="1"/>
  <c r="Q108" i="1"/>
  <c r="M7" i="21" l="1"/>
  <c r="M8" i="21" s="1"/>
  <c r="P14" i="21"/>
  <c r="M14" i="21"/>
  <c r="S17" i="21"/>
  <c r="S5" i="21"/>
  <c r="M154" i="1"/>
  <c r="Q58" i="1"/>
  <c r="O130" i="1"/>
  <c r="O37" i="1"/>
  <c r="P7" i="21" s="1"/>
  <c r="P8" i="21" s="1"/>
  <c r="Q104" i="1"/>
  <c r="O58" i="1"/>
  <c r="P9" i="21" s="1"/>
  <c r="Q14" i="1"/>
  <c r="Q123" i="1"/>
  <c r="Q89" i="1"/>
  <c r="O123" i="1"/>
  <c r="O89" i="1"/>
  <c r="Q76" i="1"/>
  <c r="Q112" i="1"/>
  <c r="O76" i="1"/>
  <c r="Q11" i="1"/>
  <c r="S6" i="21" s="1"/>
  <c r="Q94" i="1"/>
  <c r="S12" i="21" s="1"/>
  <c r="Q51" i="1"/>
  <c r="Q130" i="1"/>
  <c r="Q136" i="1"/>
  <c r="Q126" i="1"/>
  <c r="Q42" i="1"/>
  <c r="O79" i="1"/>
  <c r="Q77" i="1"/>
  <c r="Q134" i="1"/>
  <c r="Q107" i="1"/>
  <c r="Q84" i="1"/>
  <c r="Q37" i="1"/>
  <c r="Q61" i="1"/>
  <c r="F152" i="1"/>
  <c r="F63" i="1"/>
  <c r="C10" i="21" s="1"/>
  <c r="K28" i="17"/>
  <c r="S7" i="21" l="1"/>
  <c r="S8" i="21" s="1"/>
  <c r="S9" i="21"/>
  <c r="S14" i="21"/>
  <c r="C15" i="21"/>
  <c r="C18" i="21" s="1"/>
  <c r="O154" i="1"/>
  <c r="Q79" i="1"/>
  <c r="Q154" i="1" s="1"/>
  <c r="V374" i="19"/>
  <c r="T374" i="19"/>
  <c r="R374" i="19"/>
  <c r="P374" i="19"/>
  <c r="N374" i="19"/>
  <c r="L374" i="19"/>
  <c r="J374" i="19"/>
  <c r="H374" i="19"/>
  <c r="F374" i="19"/>
  <c r="V356" i="19"/>
  <c r="T356" i="19"/>
  <c r="R356" i="19"/>
  <c r="P356" i="19"/>
  <c r="N356" i="19"/>
  <c r="O356" i="19" s="1"/>
  <c r="M356" i="19"/>
  <c r="K356" i="19"/>
  <c r="I356" i="19"/>
  <c r="G356" i="19"/>
  <c r="N355" i="19"/>
  <c r="P355" i="19" s="1"/>
  <c r="R355" i="19" s="1"/>
  <c r="M355" i="19"/>
  <c r="K355" i="19"/>
  <c r="I355" i="19"/>
  <c r="G355" i="19"/>
  <c r="N354" i="19"/>
  <c r="M354" i="19"/>
  <c r="K354" i="19"/>
  <c r="I354" i="19"/>
  <c r="G354" i="19"/>
  <c r="L351" i="19"/>
  <c r="J351" i="19"/>
  <c r="H351" i="19"/>
  <c r="F351" i="19"/>
  <c r="E351" i="19"/>
  <c r="T350" i="19"/>
  <c r="S350" i="19"/>
  <c r="N350" i="19"/>
  <c r="G48" i="21" s="1"/>
  <c r="G50" i="21" s="1"/>
  <c r="G24" i="21" s="1"/>
  <c r="M350" i="19"/>
  <c r="K350" i="19"/>
  <c r="I350" i="19"/>
  <c r="G350" i="19"/>
  <c r="M349" i="19"/>
  <c r="K349" i="19"/>
  <c r="I349" i="19"/>
  <c r="G349" i="19"/>
  <c r="O348" i="19"/>
  <c r="R346" i="19"/>
  <c r="Q346" i="19"/>
  <c r="O346" i="19"/>
  <c r="M346" i="19"/>
  <c r="K346" i="19"/>
  <c r="I346" i="19"/>
  <c r="G346" i="19"/>
  <c r="M345" i="19"/>
  <c r="K345" i="19"/>
  <c r="I345" i="19"/>
  <c r="G345" i="19"/>
  <c r="M344" i="19"/>
  <c r="K344" i="19"/>
  <c r="I344" i="19"/>
  <c r="G344" i="19"/>
  <c r="O343" i="19"/>
  <c r="M343" i="19"/>
  <c r="K343" i="19"/>
  <c r="I343" i="19"/>
  <c r="G343" i="19"/>
  <c r="M342" i="19"/>
  <c r="K342" i="19"/>
  <c r="I342" i="19"/>
  <c r="G342" i="19"/>
  <c r="O341" i="19"/>
  <c r="M341" i="19"/>
  <c r="K341" i="19"/>
  <c r="I341" i="19"/>
  <c r="G341" i="19"/>
  <c r="L340" i="19"/>
  <c r="J340" i="19"/>
  <c r="H340" i="19"/>
  <c r="F340" i="19"/>
  <c r="E340" i="19"/>
  <c r="N339" i="19"/>
  <c r="P339" i="19" s="1"/>
  <c r="R339" i="19" s="1"/>
  <c r="M339" i="19"/>
  <c r="K339" i="19"/>
  <c r="I339" i="19"/>
  <c r="G339" i="19"/>
  <c r="N338" i="19"/>
  <c r="P338" i="19" s="1"/>
  <c r="R338" i="19" s="1"/>
  <c r="S338" i="19" s="1"/>
  <c r="M338" i="19"/>
  <c r="K338" i="19"/>
  <c r="I338" i="19"/>
  <c r="G338" i="19"/>
  <c r="N337" i="19"/>
  <c r="P337" i="19" s="1"/>
  <c r="M337" i="19"/>
  <c r="K337" i="19"/>
  <c r="I337" i="19"/>
  <c r="G337" i="19"/>
  <c r="N335" i="19"/>
  <c r="O335" i="19" s="1"/>
  <c r="M335" i="19"/>
  <c r="K335" i="19"/>
  <c r="I335" i="19"/>
  <c r="G335" i="19"/>
  <c r="L332" i="19"/>
  <c r="J332" i="19"/>
  <c r="H332" i="19"/>
  <c r="F332" i="19"/>
  <c r="E332" i="19"/>
  <c r="N331" i="19"/>
  <c r="P331" i="19" s="1"/>
  <c r="M331" i="19"/>
  <c r="K331" i="19"/>
  <c r="I331" i="19"/>
  <c r="G331" i="19"/>
  <c r="N330" i="19"/>
  <c r="M330" i="19"/>
  <c r="K330" i="19"/>
  <c r="I330" i="19"/>
  <c r="G330" i="19"/>
  <c r="N329" i="19"/>
  <c r="P329" i="19" s="1"/>
  <c r="R329" i="19" s="1"/>
  <c r="M329" i="19"/>
  <c r="K329" i="19"/>
  <c r="I329" i="19"/>
  <c r="G329" i="19"/>
  <c r="N328" i="19"/>
  <c r="P328" i="19" s="1"/>
  <c r="R328" i="19" s="1"/>
  <c r="T328" i="19" s="1"/>
  <c r="V328" i="19" s="1"/>
  <c r="N327" i="19"/>
  <c r="P327" i="19" s="1"/>
  <c r="Q327" i="19" s="1"/>
  <c r="M327" i="19"/>
  <c r="K327" i="19"/>
  <c r="I327" i="19"/>
  <c r="G327" i="19"/>
  <c r="N326" i="19"/>
  <c r="P326" i="19" s="1"/>
  <c r="R326" i="19" s="1"/>
  <c r="T326" i="19" s="1"/>
  <c r="M326" i="19"/>
  <c r="K326" i="19"/>
  <c r="I326" i="19"/>
  <c r="G326" i="19"/>
  <c r="N325" i="19"/>
  <c r="M325" i="19"/>
  <c r="K325" i="19"/>
  <c r="I325" i="19"/>
  <c r="G325" i="19"/>
  <c r="N324" i="19"/>
  <c r="O324" i="19" s="1"/>
  <c r="M324" i="19"/>
  <c r="K324" i="19"/>
  <c r="I324" i="19"/>
  <c r="G324" i="19"/>
  <c r="N323" i="19"/>
  <c r="P323" i="19" s="1"/>
  <c r="M323" i="19"/>
  <c r="K323" i="19"/>
  <c r="I323" i="19"/>
  <c r="G323" i="19"/>
  <c r="N322" i="19"/>
  <c r="P322" i="19" s="1"/>
  <c r="M322" i="19"/>
  <c r="K322" i="19"/>
  <c r="I322" i="19"/>
  <c r="G322" i="19"/>
  <c r="N321" i="19"/>
  <c r="M321" i="19"/>
  <c r="K321" i="19"/>
  <c r="I321" i="19"/>
  <c r="G321" i="19"/>
  <c r="N320" i="19"/>
  <c r="M320" i="19"/>
  <c r="K320" i="19"/>
  <c r="I320" i="19"/>
  <c r="G320" i="19"/>
  <c r="N319" i="19"/>
  <c r="M319" i="19"/>
  <c r="K319" i="19"/>
  <c r="I319" i="19"/>
  <c r="G319" i="19"/>
  <c r="N318" i="19"/>
  <c r="M318" i="19"/>
  <c r="K318" i="19"/>
  <c r="I318" i="19"/>
  <c r="G318" i="19"/>
  <c r="N317" i="19"/>
  <c r="M317" i="19"/>
  <c r="K317" i="19"/>
  <c r="I317" i="19"/>
  <c r="G317" i="19"/>
  <c r="N316" i="19"/>
  <c r="P316" i="19" s="1"/>
  <c r="R316" i="19" s="1"/>
  <c r="T316" i="19" s="1"/>
  <c r="M316" i="19"/>
  <c r="K316" i="19"/>
  <c r="I316" i="19"/>
  <c r="G316" i="19"/>
  <c r="N315" i="19"/>
  <c r="M315" i="19"/>
  <c r="K315" i="19"/>
  <c r="I315" i="19"/>
  <c r="G315" i="19"/>
  <c r="N314" i="19"/>
  <c r="O314" i="19" s="1"/>
  <c r="M314" i="19"/>
  <c r="K314" i="19"/>
  <c r="I314" i="19"/>
  <c r="G314" i="19"/>
  <c r="N313" i="19"/>
  <c r="P313" i="19" s="1"/>
  <c r="Q313" i="19" s="1"/>
  <c r="M313" i="19"/>
  <c r="K313" i="19"/>
  <c r="I313" i="19"/>
  <c r="G313" i="19"/>
  <c r="N312" i="19"/>
  <c r="P312" i="19" s="1"/>
  <c r="R312" i="19" s="1"/>
  <c r="T312" i="19" s="1"/>
  <c r="M312" i="19"/>
  <c r="K312" i="19"/>
  <c r="I312" i="19"/>
  <c r="G312" i="19"/>
  <c r="N311" i="19"/>
  <c r="P311" i="19" s="1"/>
  <c r="M311" i="19"/>
  <c r="K311" i="19"/>
  <c r="I311" i="19"/>
  <c r="G311" i="19"/>
  <c r="N310" i="19"/>
  <c r="O310" i="19" s="1"/>
  <c r="M310" i="19"/>
  <c r="K310" i="19"/>
  <c r="I310" i="19"/>
  <c r="G310" i="19"/>
  <c r="N309" i="19"/>
  <c r="M309" i="19"/>
  <c r="K309" i="19"/>
  <c r="I309" i="19"/>
  <c r="G309" i="19"/>
  <c r="N308" i="19"/>
  <c r="P308" i="19" s="1"/>
  <c r="M308" i="19"/>
  <c r="K308" i="19"/>
  <c r="I308" i="19"/>
  <c r="G308" i="19"/>
  <c r="N307" i="19"/>
  <c r="M307" i="19"/>
  <c r="K307" i="19"/>
  <c r="I307" i="19"/>
  <c r="G307" i="19"/>
  <c r="N306" i="19"/>
  <c r="P306" i="19" s="1"/>
  <c r="M306" i="19"/>
  <c r="K306" i="19"/>
  <c r="I306" i="19"/>
  <c r="G306" i="19"/>
  <c r="N305" i="19"/>
  <c r="P305" i="19" s="1"/>
  <c r="M305" i="19"/>
  <c r="K305" i="19"/>
  <c r="I305" i="19"/>
  <c r="G305" i="19"/>
  <c r="N304" i="19"/>
  <c r="P304" i="19" s="1"/>
  <c r="M304" i="19"/>
  <c r="K304" i="19"/>
  <c r="I304" i="19"/>
  <c r="G304" i="19"/>
  <c r="N303" i="19"/>
  <c r="P303" i="19" s="1"/>
  <c r="M303" i="19"/>
  <c r="K303" i="19"/>
  <c r="I303" i="19"/>
  <c r="G303" i="19"/>
  <c r="N302" i="19"/>
  <c r="O302" i="19" s="1"/>
  <c r="M302" i="19"/>
  <c r="K302" i="19"/>
  <c r="I302" i="19"/>
  <c r="G302" i="19"/>
  <c r="N301" i="19"/>
  <c r="M301" i="19"/>
  <c r="K301" i="19"/>
  <c r="I301" i="19"/>
  <c r="G301" i="19"/>
  <c r="N300" i="19"/>
  <c r="O300" i="19" s="1"/>
  <c r="M300" i="19"/>
  <c r="K300" i="19"/>
  <c r="I300" i="19"/>
  <c r="G300" i="19"/>
  <c r="N299" i="19"/>
  <c r="P299" i="19" s="1"/>
  <c r="M299" i="19"/>
  <c r="K299" i="19"/>
  <c r="I299" i="19"/>
  <c r="G299" i="19"/>
  <c r="N298" i="19"/>
  <c r="O298" i="19" s="1"/>
  <c r="M298" i="19"/>
  <c r="K298" i="19"/>
  <c r="I298" i="19"/>
  <c r="G298" i="19"/>
  <c r="N297" i="19"/>
  <c r="P297" i="19" s="1"/>
  <c r="M297" i="19"/>
  <c r="K297" i="19"/>
  <c r="I297" i="19"/>
  <c r="G297" i="19"/>
  <c r="N296" i="19"/>
  <c r="O296" i="19" s="1"/>
  <c r="M296" i="19"/>
  <c r="K296" i="19"/>
  <c r="I296" i="19"/>
  <c r="G296" i="19"/>
  <c r="N295" i="19"/>
  <c r="P295" i="19" s="1"/>
  <c r="Q295" i="19" s="1"/>
  <c r="M295" i="19"/>
  <c r="K295" i="19"/>
  <c r="I295" i="19"/>
  <c r="G295" i="19"/>
  <c r="N294" i="19"/>
  <c r="P294" i="19" s="1"/>
  <c r="M294" i="19"/>
  <c r="K294" i="19"/>
  <c r="I294" i="19"/>
  <c r="G294" i="19"/>
  <c r="N293" i="19"/>
  <c r="P293" i="19" s="1"/>
  <c r="R293" i="19" s="1"/>
  <c r="T293" i="19" s="1"/>
  <c r="V293" i="19" s="1"/>
  <c r="N292" i="19"/>
  <c r="P292" i="19" s="1"/>
  <c r="M292" i="19"/>
  <c r="K292" i="19"/>
  <c r="I292" i="19"/>
  <c r="G292" i="19"/>
  <c r="N291" i="19"/>
  <c r="M291" i="19"/>
  <c r="K291" i="19"/>
  <c r="I291" i="19"/>
  <c r="G291" i="19"/>
  <c r="N290" i="19"/>
  <c r="O290" i="19" s="1"/>
  <c r="M290" i="19"/>
  <c r="K290" i="19"/>
  <c r="I290" i="19"/>
  <c r="G290" i="19"/>
  <c r="V289" i="19"/>
  <c r="T289" i="19"/>
  <c r="R289" i="19"/>
  <c r="P289" i="19"/>
  <c r="N289" i="19"/>
  <c r="O289" i="19" s="1"/>
  <c r="M289" i="19"/>
  <c r="K289" i="19"/>
  <c r="I289" i="19"/>
  <c r="G289" i="19"/>
  <c r="N288" i="19"/>
  <c r="P288" i="19" s="1"/>
  <c r="Q288" i="19" s="1"/>
  <c r="M288" i="19"/>
  <c r="K288" i="19"/>
  <c r="I288" i="19"/>
  <c r="G288" i="19"/>
  <c r="N287" i="19"/>
  <c r="O287" i="19" s="1"/>
  <c r="M287" i="19"/>
  <c r="K287" i="19"/>
  <c r="I287" i="19"/>
  <c r="G287" i="19"/>
  <c r="N286" i="19"/>
  <c r="M286" i="19"/>
  <c r="K286" i="19"/>
  <c r="I286" i="19"/>
  <c r="G286" i="19"/>
  <c r="N285" i="19"/>
  <c r="O285" i="19" s="1"/>
  <c r="M285" i="19"/>
  <c r="K285" i="19"/>
  <c r="I285" i="19"/>
  <c r="G285" i="19"/>
  <c r="N284" i="19"/>
  <c r="M284" i="19"/>
  <c r="K284" i="19"/>
  <c r="I284" i="19"/>
  <c r="G284" i="19"/>
  <c r="N283" i="19"/>
  <c r="M283" i="19"/>
  <c r="K283" i="19"/>
  <c r="I283" i="19"/>
  <c r="G283" i="19"/>
  <c r="W280" i="19"/>
  <c r="U280" i="19"/>
  <c r="S280" i="19"/>
  <c r="Q280" i="19"/>
  <c r="O280" i="19"/>
  <c r="M280" i="19"/>
  <c r="K280" i="19"/>
  <c r="I280" i="19"/>
  <c r="G280" i="19"/>
  <c r="W279" i="19"/>
  <c r="U279" i="19"/>
  <c r="S279" i="19"/>
  <c r="Q279" i="19"/>
  <c r="O279" i="19"/>
  <c r="M279" i="19"/>
  <c r="K279" i="19"/>
  <c r="I279" i="19"/>
  <c r="G279" i="19"/>
  <c r="W278" i="19"/>
  <c r="U278" i="19"/>
  <c r="S278" i="19"/>
  <c r="Q278" i="19"/>
  <c r="O278" i="19"/>
  <c r="M278" i="19"/>
  <c r="K278" i="19"/>
  <c r="I278" i="19"/>
  <c r="G278" i="19"/>
  <c r="W277" i="19"/>
  <c r="U277" i="19"/>
  <c r="S277" i="19"/>
  <c r="Q277" i="19"/>
  <c r="O277" i="19"/>
  <c r="M277" i="19"/>
  <c r="K277" i="19"/>
  <c r="I277" i="19"/>
  <c r="G277" i="19"/>
  <c r="L275" i="19"/>
  <c r="J275" i="19"/>
  <c r="H275" i="19"/>
  <c r="F275" i="19"/>
  <c r="E275" i="19"/>
  <c r="N274" i="19"/>
  <c r="O274" i="19" s="1"/>
  <c r="M274" i="19"/>
  <c r="K274" i="19"/>
  <c r="I274" i="19"/>
  <c r="G274" i="19"/>
  <c r="L273" i="19"/>
  <c r="J273" i="19"/>
  <c r="H273" i="19"/>
  <c r="F273" i="19"/>
  <c r="E273" i="19"/>
  <c r="N272" i="19"/>
  <c r="M272" i="19"/>
  <c r="K272" i="19"/>
  <c r="I272" i="19"/>
  <c r="G272" i="19"/>
  <c r="W270" i="19"/>
  <c r="U270" i="19"/>
  <c r="S270" i="19"/>
  <c r="Q270" i="19"/>
  <c r="O270" i="19"/>
  <c r="N269" i="19"/>
  <c r="M269" i="19"/>
  <c r="K269" i="19"/>
  <c r="I269" i="19"/>
  <c r="G269" i="19"/>
  <c r="N268" i="19"/>
  <c r="M268" i="19"/>
  <c r="K268" i="19"/>
  <c r="I268" i="19"/>
  <c r="G268" i="19"/>
  <c r="N267" i="19"/>
  <c r="O267" i="19" s="1"/>
  <c r="M267" i="19"/>
  <c r="K267" i="19"/>
  <c r="I267" i="19"/>
  <c r="G267" i="19"/>
  <c r="N266" i="19"/>
  <c r="P266" i="19" s="1"/>
  <c r="M266" i="19"/>
  <c r="K266" i="19"/>
  <c r="I266" i="19"/>
  <c r="G266" i="19"/>
  <c r="N265" i="19"/>
  <c r="M265" i="19"/>
  <c r="K265" i="19"/>
  <c r="I265" i="19"/>
  <c r="G265" i="19"/>
  <c r="N264" i="19"/>
  <c r="P264" i="19" s="1"/>
  <c r="M264" i="19"/>
  <c r="K264" i="19"/>
  <c r="I264" i="19"/>
  <c r="G264" i="19"/>
  <c r="N263" i="19"/>
  <c r="M263" i="19"/>
  <c r="K263" i="19"/>
  <c r="I263" i="19"/>
  <c r="G263" i="19"/>
  <c r="N262" i="19"/>
  <c r="P262" i="19" s="1"/>
  <c r="M262" i="19"/>
  <c r="K262" i="19"/>
  <c r="I262" i="19"/>
  <c r="G262" i="19"/>
  <c r="N261" i="19"/>
  <c r="M261" i="19"/>
  <c r="K261" i="19"/>
  <c r="I261" i="19"/>
  <c r="G261" i="19"/>
  <c r="N260" i="19"/>
  <c r="M260" i="19"/>
  <c r="K260" i="19"/>
  <c r="I260" i="19"/>
  <c r="G260" i="19"/>
  <c r="N259" i="19"/>
  <c r="M259" i="19"/>
  <c r="K259" i="19"/>
  <c r="I259" i="19"/>
  <c r="G259" i="19"/>
  <c r="N258" i="19"/>
  <c r="P258" i="19" s="1"/>
  <c r="M258" i="19"/>
  <c r="K258" i="19"/>
  <c r="I258" i="19"/>
  <c r="G258" i="19"/>
  <c r="N257" i="19"/>
  <c r="M257" i="19"/>
  <c r="K257" i="19"/>
  <c r="I257" i="19"/>
  <c r="G257" i="19"/>
  <c r="N256" i="19"/>
  <c r="O256" i="19" s="1"/>
  <c r="M256" i="19"/>
  <c r="K256" i="19"/>
  <c r="I256" i="19"/>
  <c r="G256" i="19"/>
  <c r="N255" i="19"/>
  <c r="M255" i="19"/>
  <c r="K255" i="19"/>
  <c r="I255" i="19"/>
  <c r="G255" i="19"/>
  <c r="N254" i="19"/>
  <c r="P254" i="19" s="1"/>
  <c r="M254" i="19"/>
  <c r="K254" i="19"/>
  <c r="I254" i="19"/>
  <c r="G254" i="19"/>
  <c r="N253" i="19"/>
  <c r="M253" i="19"/>
  <c r="K253" i="19"/>
  <c r="I253" i="19"/>
  <c r="G253" i="19"/>
  <c r="N252" i="19"/>
  <c r="M252" i="19"/>
  <c r="K252" i="19"/>
  <c r="I252" i="19"/>
  <c r="G252" i="19"/>
  <c r="N251" i="19"/>
  <c r="O251" i="19" s="1"/>
  <c r="M251" i="19"/>
  <c r="K251" i="19"/>
  <c r="I251" i="19"/>
  <c r="G251" i="19"/>
  <c r="N250" i="19"/>
  <c r="M250" i="19"/>
  <c r="K250" i="19"/>
  <c r="I250" i="19"/>
  <c r="G250" i="19"/>
  <c r="N249" i="19"/>
  <c r="O249" i="19" s="1"/>
  <c r="M249" i="19"/>
  <c r="K249" i="19"/>
  <c r="I249" i="19"/>
  <c r="G249" i="19"/>
  <c r="N248" i="19"/>
  <c r="M248" i="19"/>
  <c r="K248" i="19"/>
  <c r="I248" i="19"/>
  <c r="G248" i="19"/>
  <c r="N247" i="19"/>
  <c r="M247" i="19"/>
  <c r="K247" i="19"/>
  <c r="I247" i="19"/>
  <c r="G247" i="19"/>
  <c r="N246" i="19"/>
  <c r="M246" i="19"/>
  <c r="K246" i="19"/>
  <c r="I246" i="19"/>
  <c r="G246" i="19"/>
  <c r="N245" i="19"/>
  <c r="M245" i="19"/>
  <c r="K245" i="19"/>
  <c r="I245" i="19"/>
  <c r="G245" i="19"/>
  <c r="N244" i="19"/>
  <c r="M244" i="19"/>
  <c r="K244" i="19"/>
  <c r="I244" i="19"/>
  <c r="G244" i="19"/>
  <c r="N243" i="19"/>
  <c r="O243" i="19" s="1"/>
  <c r="M243" i="19"/>
  <c r="K243" i="19"/>
  <c r="I243" i="19"/>
  <c r="G243" i="19"/>
  <c r="N242" i="19"/>
  <c r="P242" i="19" s="1"/>
  <c r="M242" i="19"/>
  <c r="K242" i="19"/>
  <c r="I242" i="19"/>
  <c r="G242" i="19"/>
  <c r="N241" i="19"/>
  <c r="O241" i="19" s="1"/>
  <c r="M241" i="19"/>
  <c r="K241" i="19"/>
  <c r="I241" i="19"/>
  <c r="G241" i="19"/>
  <c r="N240" i="19"/>
  <c r="P240" i="19" s="1"/>
  <c r="M240" i="19"/>
  <c r="K240" i="19"/>
  <c r="I240" i="19"/>
  <c r="G240" i="19"/>
  <c r="N238" i="19"/>
  <c r="O238" i="19" s="1"/>
  <c r="M238" i="19"/>
  <c r="K238" i="19"/>
  <c r="I238" i="19"/>
  <c r="G238" i="19"/>
  <c r="N236" i="19"/>
  <c r="P236" i="19" s="1"/>
  <c r="M236" i="19"/>
  <c r="K236" i="19"/>
  <c r="I236" i="19"/>
  <c r="G236" i="19"/>
  <c r="N235" i="19"/>
  <c r="M235" i="19"/>
  <c r="K235" i="19"/>
  <c r="I235" i="19"/>
  <c r="G235" i="19"/>
  <c r="N234" i="19"/>
  <c r="M234" i="19"/>
  <c r="K234" i="19"/>
  <c r="I234" i="19"/>
  <c r="G234" i="19"/>
  <c r="N233" i="19"/>
  <c r="O233" i="19" s="1"/>
  <c r="M233" i="19"/>
  <c r="K233" i="19"/>
  <c r="I233" i="19"/>
  <c r="G233" i="19"/>
  <c r="N232" i="19"/>
  <c r="M232" i="19"/>
  <c r="K232" i="19"/>
  <c r="I232" i="19"/>
  <c r="G232" i="19"/>
  <c r="N230" i="19"/>
  <c r="O230" i="19" s="1"/>
  <c r="M230" i="19"/>
  <c r="K230" i="19"/>
  <c r="I230" i="19"/>
  <c r="G230" i="19"/>
  <c r="N229" i="19"/>
  <c r="P229" i="19" s="1"/>
  <c r="M229" i="19"/>
  <c r="K229" i="19"/>
  <c r="I229" i="19"/>
  <c r="G229" i="19"/>
  <c r="N228" i="19"/>
  <c r="O228" i="19" s="1"/>
  <c r="M228" i="19"/>
  <c r="K228" i="19"/>
  <c r="I228" i="19"/>
  <c r="G228" i="19"/>
  <c r="N227" i="19"/>
  <c r="M227" i="19"/>
  <c r="K227" i="19"/>
  <c r="I227" i="19"/>
  <c r="G227" i="19"/>
  <c r="N226" i="19"/>
  <c r="M226" i="19"/>
  <c r="K226" i="19"/>
  <c r="I226" i="19"/>
  <c r="G226" i="19"/>
  <c r="N225" i="19"/>
  <c r="O225" i="19" s="1"/>
  <c r="M225" i="19"/>
  <c r="K225" i="19"/>
  <c r="I225" i="19"/>
  <c r="G225" i="19"/>
  <c r="N224" i="19"/>
  <c r="O224" i="19" s="1"/>
  <c r="M224" i="19"/>
  <c r="K224" i="19"/>
  <c r="I224" i="19"/>
  <c r="G224" i="19"/>
  <c r="N223" i="19"/>
  <c r="O223" i="19" s="1"/>
  <c r="M223" i="19"/>
  <c r="K223" i="19"/>
  <c r="I223" i="19"/>
  <c r="G223" i="19"/>
  <c r="N222" i="19"/>
  <c r="M222" i="19"/>
  <c r="K222" i="19"/>
  <c r="I222" i="19"/>
  <c r="G222" i="19"/>
  <c r="N221" i="19"/>
  <c r="M221" i="19"/>
  <c r="K221" i="19"/>
  <c r="I221" i="19"/>
  <c r="G221" i="19"/>
  <c r="N220" i="19"/>
  <c r="O220" i="19" s="1"/>
  <c r="M220" i="19"/>
  <c r="K220" i="19"/>
  <c r="I220" i="19"/>
  <c r="G220" i="19"/>
  <c r="N218" i="19"/>
  <c r="P218" i="19" s="1"/>
  <c r="Q218" i="19" s="1"/>
  <c r="M218" i="19"/>
  <c r="K218" i="19"/>
  <c r="I218" i="19"/>
  <c r="G218" i="19"/>
  <c r="N217" i="19"/>
  <c r="M217" i="19"/>
  <c r="K217" i="19"/>
  <c r="I217" i="19"/>
  <c r="G217" i="19"/>
  <c r="N216" i="19"/>
  <c r="M216" i="19"/>
  <c r="K216" i="19"/>
  <c r="I216" i="19"/>
  <c r="G216" i="19"/>
  <c r="N215" i="19"/>
  <c r="O215" i="19" s="1"/>
  <c r="M215" i="19"/>
  <c r="K215" i="19"/>
  <c r="I215" i="19"/>
  <c r="G215" i="19"/>
  <c r="N214" i="19"/>
  <c r="M214" i="19"/>
  <c r="K214" i="19"/>
  <c r="I214" i="19"/>
  <c r="G214" i="19"/>
  <c r="N213" i="19"/>
  <c r="O213" i="19" s="1"/>
  <c r="M213" i="19"/>
  <c r="K213" i="19"/>
  <c r="I213" i="19"/>
  <c r="G213" i="19"/>
  <c r="N212" i="19"/>
  <c r="M212" i="19"/>
  <c r="K212" i="19"/>
  <c r="I212" i="19"/>
  <c r="G212" i="19"/>
  <c r="N210" i="19"/>
  <c r="M210" i="19"/>
  <c r="K210" i="19"/>
  <c r="I210" i="19"/>
  <c r="G210" i="19"/>
  <c r="N209" i="19"/>
  <c r="M209" i="19"/>
  <c r="K209" i="19"/>
  <c r="I209" i="19"/>
  <c r="G209" i="19"/>
  <c r="N208" i="19"/>
  <c r="M208" i="19"/>
  <c r="K208" i="19"/>
  <c r="I208" i="19"/>
  <c r="G208" i="19"/>
  <c r="N207" i="19"/>
  <c r="O207" i="19" s="1"/>
  <c r="M207" i="19"/>
  <c r="K207" i="19"/>
  <c r="I207" i="19"/>
  <c r="G207" i="19"/>
  <c r="N206" i="19"/>
  <c r="O206" i="19" s="1"/>
  <c r="M206" i="19"/>
  <c r="K206" i="19"/>
  <c r="I206" i="19"/>
  <c r="G206" i="19"/>
  <c r="N205" i="19"/>
  <c r="P205" i="19" s="1"/>
  <c r="M205" i="19"/>
  <c r="K205" i="19"/>
  <c r="I205" i="19"/>
  <c r="G205" i="19"/>
  <c r="N204" i="19"/>
  <c r="M204" i="19"/>
  <c r="K204" i="19"/>
  <c r="I204" i="19"/>
  <c r="G204" i="19"/>
  <c r="N203" i="19"/>
  <c r="M203" i="19"/>
  <c r="K203" i="19"/>
  <c r="I203" i="19"/>
  <c r="G203" i="19"/>
  <c r="N202" i="19"/>
  <c r="O202" i="19" s="1"/>
  <c r="M202" i="19"/>
  <c r="K202" i="19"/>
  <c r="I202" i="19"/>
  <c r="G202" i="19"/>
  <c r="N201" i="19"/>
  <c r="M201" i="19"/>
  <c r="K201" i="19"/>
  <c r="I201" i="19"/>
  <c r="G201" i="19"/>
  <c r="N200" i="19"/>
  <c r="O200" i="19" s="1"/>
  <c r="M200" i="19"/>
  <c r="K200" i="19"/>
  <c r="I200" i="19"/>
  <c r="G200" i="19"/>
  <c r="N199" i="19"/>
  <c r="M199" i="19"/>
  <c r="K199" i="19"/>
  <c r="I199" i="19"/>
  <c r="G199" i="19"/>
  <c r="N198" i="19"/>
  <c r="O198" i="19" s="1"/>
  <c r="M198" i="19"/>
  <c r="K198" i="19"/>
  <c r="I198" i="19"/>
  <c r="G198" i="19"/>
  <c r="N197" i="19"/>
  <c r="M197" i="19"/>
  <c r="K197" i="19"/>
  <c r="I197" i="19"/>
  <c r="G197" i="19"/>
  <c r="N196" i="19"/>
  <c r="M196" i="19"/>
  <c r="K196" i="19"/>
  <c r="I196" i="19"/>
  <c r="G196" i="19"/>
  <c r="N195" i="19"/>
  <c r="M195" i="19"/>
  <c r="K195" i="19"/>
  <c r="I195" i="19"/>
  <c r="G195" i="19"/>
  <c r="N194" i="19"/>
  <c r="O194" i="19" s="1"/>
  <c r="M194" i="19"/>
  <c r="K194" i="19"/>
  <c r="I194" i="19"/>
  <c r="G194" i="19"/>
  <c r="N193" i="19"/>
  <c r="O193" i="19" s="1"/>
  <c r="M193" i="19"/>
  <c r="K193" i="19"/>
  <c r="I193" i="19"/>
  <c r="G193" i="19"/>
  <c r="N192" i="19"/>
  <c r="O192" i="19" s="1"/>
  <c r="M192" i="19"/>
  <c r="K192" i="19"/>
  <c r="I192" i="19"/>
  <c r="G192" i="19"/>
  <c r="N191" i="19"/>
  <c r="O191" i="19" s="1"/>
  <c r="M191" i="19"/>
  <c r="K191" i="19"/>
  <c r="I191" i="19"/>
  <c r="G191" i="19"/>
  <c r="N190" i="19"/>
  <c r="O190" i="19" s="1"/>
  <c r="M190" i="19"/>
  <c r="K190" i="19"/>
  <c r="I190" i="19"/>
  <c r="G190" i="19"/>
  <c r="N189" i="19"/>
  <c r="P189" i="19" s="1"/>
  <c r="M189" i="19"/>
  <c r="K189" i="19"/>
  <c r="I189" i="19"/>
  <c r="G189" i="19"/>
  <c r="N188" i="19"/>
  <c r="M188" i="19"/>
  <c r="K188" i="19"/>
  <c r="I188" i="19"/>
  <c r="G188" i="19"/>
  <c r="N187" i="19"/>
  <c r="M187" i="19"/>
  <c r="K187" i="19"/>
  <c r="I187" i="19"/>
  <c r="G187" i="19"/>
  <c r="N186" i="19"/>
  <c r="O186" i="19" s="1"/>
  <c r="M186" i="19"/>
  <c r="K186" i="19"/>
  <c r="I186" i="19"/>
  <c r="G186" i="19"/>
  <c r="N185" i="19"/>
  <c r="M185" i="19"/>
  <c r="K185" i="19"/>
  <c r="I185" i="19"/>
  <c r="G185" i="19"/>
  <c r="N184" i="19"/>
  <c r="O184" i="19" s="1"/>
  <c r="M184" i="19"/>
  <c r="K184" i="19"/>
  <c r="I184" i="19"/>
  <c r="G184" i="19"/>
  <c r="N182" i="19"/>
  <c r="M182" i="19"/>
  <c r="K182" i="19"/>
  <c r="I182" i="19"/>
  <c r="G182" i="19"/>
  <c r="N181" i="19"/>
  <c r="O181" i="19" s="1"/>
  <c r="M181" i="19"/>
  <c r="K181" i="19"/>
  <c r="I181" i="19"/>
  <c r="G181" i="19"/>
  <c r="N180" i="19"/>
  <c r="M180" i="19"/>
  <c r="K180" i="19"/>
  <c r="I180" i="19"/>
  <c r="G180" i="19"/>
  <c r="N179" i="19"/>
  <c r="M179" i="19"/>
  <c r="K179" i="19"/>
  <c r="I179" i="19"/>
  <c r="G179" i="19"/>
  <c r="N178" i="19"/>
  <c r="P178" i="19" s="1"/>
  <c r="M178" i="19"/>
  <c r="K178" i="19"/>
  <c r="I178" i="19"/>
  <c r="G178" i="19"/>
  <c r="N177" i="19"/>
  <c r="O177" i="19" s="1"/>
  <c r="M177" i="19"/>
  <c r="K177" i="19"/>
  <c r="I177" i="19"/>
  <c r="G177" i="19"/>
  <c r="N175" i="19"/>
  <c r="M175" i="19"/>
  <c r="K175" i="19"/>
  <c r="I175" i="19"/>
  <c r="G175" i="19"/>
  <c r="N173" i="19"/>
  <c r="M173" i="19"/>
  <c r="K173" i="19"/>
  <c r="I173" i="19"/>
  <c r="G173" i="19"/>
  <c r="N172" i="19"/>
  <c r="P172" i="19" s="1"/>
  <c r="Q172" i="19" s="1"/>
  <c r="M172" i="19"/>
  <c r="K172" i="19"/>
  <c r="I172" i="19"/>
  <c r="G172" i="19"/>
  <c r="N171" i="19"/>
  <c r="O171" i="19" s="1"/>
  <c r="M171" i="19"/>
  <c r="K171" i="19"/>
  <c r="I171" i="19"/>
  <c r="G171" i="19"/>
  <c r="N170" i="19"/>
  <c r="P170" i="19" s="1"/>
  <c r="Q170" i="19" s="1"/>
  <c r="M170" i="19"/>
  <c r="K170" i="19"/>
  <c r="I170" i="19"/>
  <c r="G170" i="19"/>
  <c r="N169" i="19"/>
  <c r="O169" i="19" s="1"/>
  <c r="M169" i="19"/>
  <c r="K169" i="19"/>
  <c r="I169" i="19"/>
  <c r="G169" i="19"/>
  <c r="N167" i="19"/>
  <c r="P167" i="19" s="1"/>
  <c r="M167" i="19"/>
  <c r="K167" i="19"/>
  <c r="I167" i="19"/>
  <c r="G167" i="19"/>
  <c r="N166" i="19"/>
  <c r="O166" i="19" s="1"/>
  <c r="M166" i="19"/>
  <c r="K166" i="19"/>
  <c r="I166" i="19"/>
  <c r="G166" i="19"/>
  <c r="N165" i="19"/>
  <c r="M165" i="19"/>
  <c r="K165" i="19"/>
  <c r="I165" i="19"/>
  <c r="G165" i="19"/>
  <c r="N164" i="19"/>
  <c r="M164" i="19"/>
  <c r="K164" i="19"/>
  <c r="I164" i="19"/>
  <c r="G164" i="19"/>
  <c r="N163" i="19"/>
  <c r="P163" i="19" s="1"/>
  <c r="Q163" i="19" s="1"/>
  <c r="M163" i="19"/>
  <c r="K163" i="19"/>
  <c r="I163" i="19"/>
  <c r="G163" i="19"/>
  <c r="N162" i="19"/>
  <c r="O162" i="19" s="1"/>
  <c r="M162" i="19"/>
  <c r="K162" i="19"/>
  <c r="I162" i="19"/>
  <c r="G162" i="19"/>
  <c r="N161" i="19"/>
  <c r="P161" i="19" s="1"/>
  <c r="Q161" i="19" s="1"/>
  <c r="M161" i="19"/>
  <c r="K161" i="19"/>
  <c r="I161" i="19"/>
  <c r="G161" i="19"/>
  <c r="N160" i="19"/>
  <c r="M160" i="19"/>
  <c r="K160" i="19"/>
  <c r="I160" i="19"/>
  <c r="G160" i="19"/>
  <c r="W158" i="19"/>
  <c r="U158" i="19"/>
  <c r="S158" i="19"/>
  <c r="Q158" i="19"/>
  <c r="O158" i="19"/>
  <c r="M158" i="19"/>
  <c r="K158" i="19"/>
  <c r="I158" i="19"/>
  <c r="G158" i="19"/>
  <c r="L157" i="19"/>
  <c r="J157" i="19"/>
  <c r="H157" i="19"/>
  <c r="F157" i="19"/>
  <c r="E157" i="19"/>
  <c r="N156" i="19"/>
  <c r="O156" i="19" s="1"/>
  <c r="M156" i="19"/>
  <c r="K156" i="19"/>
  <c r="I156" i="19"/>
  <c r="G156" i="19"/>
  <c r="W155" i="19"/>
  <c r="U155" i="19"/>
  <c r="S155" i="19"/>
  <c r="Q155" i="19"/>
  <c r="O155" i="19"/>
  <c r="M155" i="19"/>
  <c r="K155" i="19"/>
  <c r="I155" i="19"/>
  <c r="G155" i="19"/>
  <c r="W154" i="19"/>
  <c r="U154" i="19"/>
  <c r="S154" i="19"/>
  <c r="Q154" i="19"/>
  <c r="O154" i="19"/>
  <c r="M154" i="19"/>
  <c r="K154" i="19"/>
  <c r="I154" i="19"/>
  <c r="G154" i="19"/>
  <c r="L153" i="19"/>
  <c r="J153" i="19"/>
  <c r="H153" i="19"/>
  <c r="F153" i="19"/>
  <c r="E153" i="19"/>
  <c r="N152" i="19"/>
  <c r="M152" i="19"/>
  <c r="K152" i="19"/>
  <c r="I152" i="19"/>
  <c r="G152" i="19"/>
  <c r="N151" i="19"/>
  <c r="P151" i="19" s="1"/>
  <c r="M151" i="19"/>
  <c r="K151" i="19"/>
  <c r="I151" i="19"/>
  <c r="G151" i="19"/>
  <c r="N149" i="19"/>
  <c r="M149" i="19"/>
  <c r="K149" i="19"/>
  <c r="I149" i="19"/>
  <c r="G149" i="19"/>
  <c r="N148" i="19"/>
  <c r="P148" i="19" s="1"/>
  <c r="M148" i="19"/>
  <c r="K148" i="19"/>
  <c r="I148" i="19"/>
  <c r="G148" i="19"/>
  <c r="N147" i="19"/>
  <c r="M147" i="19"/>
  <c r="K147" i="19"/>
  <c r="I147" i="19"/>
  <c r="G147" i="19"/>
  <c r="N146" i="19"/>
  <c r="P146" i="19" s="1"/>
  <c r="M146" i="19"/>
  <c r="K146" i="19"/>
  <c r="I146" i="19"/>
  <c r="G146" i="19"/>
  <c r="N145" i="19"/>
  <c r="M145" i="19"/>
  <c r="K145" i="19"/>
  <c r="I145" i="19"/>
  <c r="G145" i="19"/>
  <c r="N144" i="19"/>
  <c r="P144" i="19" s="1"/>
  <c r="M144" i="19"/>
  <c r="K144" i="19"/>
  <c r="I144" i="19"/>
  <c r="G144" i="19"/>
  <c r="N143" i="19"/>
  <c r="M143" i="19"/>
  <c r="K143" i="19"/>
  <c r="I143" i="19"/>
  <c r="G143" i="19"/>
  <c r="N142" i="19"/>
  <c r="P142" i="19" s="1"/>
  <c r="M142" i="19"/>
  <c r="K142" i="19"/>
  <c r="I142" i="19"/>
  <c r="G142" i="19"/>
  <c r="W141" i="19"/>
  <c r="U141" i="19"/>
  <c r="S141" i="19"/>
  <c r="Q141" i="19"/>
  <c r="O141" i="19"/>
  <c r="M141" i="19"/>
  <c r="K141" i="19"/>
  <c r="I141" i="19"/>
  <c r="G141" i="19"/>
  <c r="L140" i="19"/>
  <c r="J140" i="19"/>
  <c r="H140" i="19"/>
  <c r="F140" i="19"/>
  <c r="E140" i="19"/>
  <c r="N139" i="19"/>
  <c r="M139" i="19"/>
  <c r="K139" i="19"/>
  <c r="I139" i="19"/>
  <c r="G139" i="19"/>
  <c r="N138" i="19"/>
  <c r="P138" i="19" s="1"/>
  <c r="M138" i="19"/>
  <c r="K138" i="19"/>
  <c r="I138" i="19"/>
  <c r="G138" i="19"/>
  <c r="N137" i="19"/>
  <c r="M137" i="19"/>
  <c r="K137" i="19"/>
  <c r="I137" i="19"/>
  <c r="G137" i="19"/>
  <c r="N136" i="19"/>
  <c r="P136" i="19" s="1"/>
  <c r="R136" i="19" s="1"/>
  <c r="M136" i="19"/>
  <c r="K136" i="19"/>
  <c r="I136" i="19"/>
  <c r="G136" i="19"/>
  <c r="W135" i="19"/>
  <c r="U135" i="19"/>
  <c r="S135" i="19"/>
  <c r="Q135" i="19"/>
  <c r="W134" i="19"/>
  <c r="U134" i="19"/>
  <c r="S134" i="19"/>
  <c r="Q134" i="19"/>
  <c r="N133" i="19"/>
  <c r="P133" i="19" s="1"/>
  <c r="Q133" i="19" s="1"/>
  <c r="M133" i="19"/>
  <c r="K133" i="19"/>
  <c r="I133" i="19"/>
  <c r="G133" i="19"/>
  <c r="N132" i="19"/>
  <c r="P132" i="19" s="1"/>
  <c r="R132" i="19" s="1"/>
  <c r="M132" i="19"/>
  <c r="K132" i="19"/>
  <c r="I132" i="19"/>
  <c r="G132" i="19"/>
  <c r="N131" i="19"/>
  <c r="M131" i="19"/>
  <c r="K131" i="19"/>
  <c r="I131" i="19"/>
  <c r="G131" i="19"/>
  <c r="N130" i="19"/>
  <c r="P130" i="19" s="1"/>
  <c r="R130" i="19" s="1"/>
  <c r="M130" i="19"/>
  <c r="K130" i="19"/>
  <c r="I130" i="19"/>
  <c r="G130" i="19"/>
  <c r="N129" i="19"/>
  <c r="P129" i="19" s="1"/>
  <c r="M129" i="19"/>
  <c r="K129" i="19"/>
  <c r="I129" i="19"/>
  <c r="G129" i="19"/>
  <c r="N128" i="19"/>
  <c r="O128" i="19" s="1"/>
  <c r="M128" i="19"/>
  <c r="K128" i="19"/>
  <c r="I128" i="19"/>
  <c r="G128" i="19"/>
  <c r="N127" i="19"/>
  <c r="M127" i="19"/>
  <c r="K127" i="19"/>
  <c r="I127" i="19"/>
  <c r="G127" i="19"/>
  <c r="N126" i="19"/>
  <c r="P126" i="19" s="1"/>
  <c r="R126" i="19" s="1"/>
  <c r="M126" i="19"/>
  <c r="K126" i="19"/>
  <c r="I126" i="19"/>
  <c r="G126" i="19"/>
  <c r="N124" i="19"/>
  <c r="P124" i="19" s="1"/>
  <c r="R124" i="19" s="1"/>
  <c r="M124" i="19"/>
  <c r="K124" i="19"/>
  <c r="I124" i="19"/>
  <c r="G124" i="19"/>
  <c r="N123" i="19"/>
  <c r="M123" i="19"/>
  <c r="K123" i="19"/>
  <c r="I123" i="19"/>
  <c r="G123" i="19"/>
  <c r="N122" i="19"/>
  <c r="P122" i="19" s="1"/>
  <c r="R122" i="19" s="1"/>
  <c r="M122" i="19"/>
  <c r="K122" i="19"/>
  <c r="I122" i="19"/>
  <c r="G122" i="19"/>
  <c r="N121" i="19"/>
  <c r="P121" i="19" s="1"/>
  <c r="R121" i="19" s="1"/>
  <c r="M121" i="19"/>
  <c r="K121" i="19"/>
  <c r="I121" i="19"/>
  <c r="G121" i="19"/>
  <c r="N120" i="19"/>
  <c r="M120" i="19"/>
  <c r="K120" i="19"/>
  <c r="I120" i="19"/>
  <c r="G120" i="19"/>
  <c r="N119" i="19"/>
  <c r="O119" i="19" s="1"/>
  <c r="M119" i="19"/>
  <c r="K119" i="19"/>
  <c r="I119" i="19"/>
  <c r="G119" i="19"/>
  <c r="N118" i="19"/>
  <c r="M118" i="19"/>
  <c r="K118" i="19"/>
  <c r="I118" i="19"/>
  <c r="G118" i="19"/>
  <c r="N117" i="19"/>
  <c r="P117" i="19" s="1"/>
  <c r="R117" i="19" s="1"/>
  <c r="M117" i="19"/>
  <c r="K117" i="19"/>
  <c r="I117" i="19"/>
  <c r="G117" i="19"/>
  <c r="N116" i="19"/>
  <c r="P116" i="19" s="1"/>
  <c r="Q116" i="19" s="1"/>
  <c r="M116" i="19"/>
  <c r="K116" i="19"/>
  <c r="I116" i="19"/>
  <c r="G116" i="19"/>
  <c r="N115" i="19"/>
  <c r="P115" i="19" s="1"/>
  <c r="R115" i="19" s="1"/>
  <c r="M115" i="19"/>
  <c r="K115" i="19"/>
  <c r="I115" i="19"/>
  <c r="G115" i="19"/>
  <c r="N114" i="19"/>
  <c r="P114" i="19" s="1"/>
  <c r="R114" i="19" s="1"/>
  <c r="M114" i="19"/>
  <c r="K114" i="19"/>
  <c r="I114" i="19"/>
  <c r="G114" i="19"/>
  <c r="N113" i="19"/>
  <c r="P113" i="19" s="1"/>
  <c r="R113" i="19" s="1"/>
  <c r="M113" i="19"/>
  <c r="K113" i="19"/>
  <c r="I113" i="19"/>
  <c r="G113" i="19"/>
  <c r="N112" i="19"/>
  <c r="P112" i="19" s="1"/>
  <c r="M112" i="19"/>
  <c r="K112" i="19"/>
  <c r="I112" i="19"/>
  <c r="G112" i="19"/>
  <c r="N111" i="19"/>
  <c r="M111" i="19"/>
  <c r="K111" i="19"/>
  <c r="I111" i="19"/>
  <c r="G111" i="19"/>
  <c r="N110" i="19"/>
  <c r="M110" i="19"/>
  <c r="K110" i="19"/>
  <c r="I110" i="19"/>
  <c r="G110" i="19"/>
  <c r="N109" i="19"/>
  <c r="P109" i="19" s="1"/>
  <c r="M109" i="19"/>
  <c r="K109" i="19"/>
  <c r="I109" i="19"/>
  <c r="G109" i="19"/>
  <c r="M108" i="19"/>
  <c r="K108" i="19"/>
  <c r="I108" i="19"/>
  <c r="G108" i="19"/>
  <c r="M107" i="19"/>
  <c r="K107" i="19"/>
  <c r="I107" i="19"/>
  <c r="G107" i="19"/>
  <c r="L104" i="19"/>
  <c r="J104" i="19"/>
  <c r="H104" i="19"/>
  <c r="F104" i="19"/>
  <c r="E104" i="19"/>
  <c r="N103" i="19"/>
  <c r="P103" i="19" s="1"/>
  <c r="M103" i="19"/>
  <c r="K103" i="19"/>
  <c r="I103" i="19"/>
  <c r="G103" i="19"/>
  <c r="N102" i="19"/>
  <c r="P102" i="19" s="1"/>
  <c r="R102" i="19" s="1"/>
  <c r="T102" i="19" s="1"/>
  <c r="V102" i="19" s="1"/>
  <c r="N101" i="19"/>
  <c r="M101" i="19"/>
  <c r="K101" i="19"/>
  <c r="I101" i="19"/>
  <c r="G101" i="19"/>
  <c r="N100" i="19"/>
  <c r="M100" i="19"/>
  <c r="K100" i="19"/>
  <c r="I100" i="19"/>
  <c r="G100" i="19"/>
  <c r="N99" i="19"/>
  <c r="P99" i="19" s="1"/>
  <c r="Q99" i="19" s="1"/>
  <c r="M99" i="19"/>
  <c r="K99" i="19"/>
  <c r="I99" i="19"/>
  <c r="G99" i="19"/>
  <c r="N98" i="19"/>
  <c r="O98" i="19" s="1"/>
  <c r="M98" i="19"/>
  <c r="K98" i="19"/>
  <c r="I98" i="19"/>
  <c r="G98" i="19"/>
  <c r="N97" i="19"/>
  <c r="P97" i="19" s="1"/>
  <c r="M97" i="19"/>
  <c r="K97" i="19"/>
  <c r="I97" i="19"/>
  <c r="G97" i="19"/>
  <c r="N96" i="19"/>
  <c r="P96" i="19" s="1"/>
  <c r="R96" i="19" s="1"/>
  <c r="M96" i="19"/>
  <c r="K96" i="19"/>
  <c r="I96" i="19"/>
  <c r="G96" i="19"/>
  <c r="N95" i="19"/>
  <c r="P95" i="19" s="1"/>
  <c r="R95" i="19" s="1"/>
  <c r="M95" i="19"/>
  <c r="K95" i="19"/>
  <c r="I95" i="19"/>
  <c r="G95" i="19"/>
  <c r="N94" i="19"/>
  <c r="M94" i="19"/>
  <c r="K94" i="19"/>
  <c r="I94" i="19"/>
  <c r="G94" i="19"/>
  <c r="N93" i="19"/>
  <c r="P93" i="19" s="1"/>
  <c r="M93" i="19"/>
  <c r="K93" i="19"/>
  <c r="I93" i="19"/>
  <c r="G93" i="19"/>
  <c r="N92" i="19"/>
  <c r="O92" i="19" s="1"/>
  <c r="M92" i="19"/>
  <c r="K92" i="19"/>
  <c r="I92" i="19"/>
  <c r="G92" i="19"/>
  <c r="N90" i="19"/>
  <c r="P90" i="19" s="1"/>
  <c r="M90" i="19"/>
  <c r="K90" i="19"/>
  <c r="I90" i="19"/>
  <c r="G90" i="19"/>
  <c r="N89" i="19"/>
  <c r="P89" i="19" s="1"/>
  <c r="R89" i="19" s="1"/>
  <c r="T89" i="19" s="1"/>
  <c r="V89" i="19" s="1"/>
  <c r="N88" i="19"/>
  <c r="P88" i="19" s="1"/>
  <c r="R88" i="19" s="1"/>
  <c r="T88" i="19" s="1"/>
  <c r="V88" i="19" s="1"/>
  <c r="N87" i="19"/>
  <c r="O87" i="19" s="1"/>
  <c r="M87" i="19"/>
  <c r="K87" i="19"/>
  <c r="I87" i="19"/>
  <c r="G87" i="19"/>
  <c r="N86" i="19"/>
  <c r="P86" i="19" s="1"/>
  <c r="R86" i="19" s="1"/>
  <c r="M86" i="19"/>
  <c r="K86" i="19"/>
  <c r="I86" i="19"/>
  <c r="G86" i="19"/>
  <c r="N85" i="19"/>
  <c r="P85" i="19" s="1"/>
  <c r="Q85" i="19" s="1"/>
  <c r="M85" i="19"/>
  <c r="K85" i="19"/>
  <c r="I85" i="19"/>
  <c r="G85" i="19"/>
  <c r="N84" i="19"/>
  <c r="O84" i="19" s="1"/>
  <c r="M84" i="19"/>
  <c r="K84" i="19"/>
  <c r="I84" i="19"/>
  <c r="G84" i="19"/>
  <c r="C84" i="19"/>
  <c r="N83" i="19"/>
  <c r="M83" i="19"/>
  <c r="K83" i="19"/>
  <c r="I83" i="19"/>
  <c r="G83" i="19"/>
  <c r="C83" i="19"/>
  <c r="N82" i="19"/>
  <c r="O82" i="19" s="1"/>
  <c r="M82" i="19"/>
  <c r="K82" i="19"/>
  <c r="I82" i="19"/>
  <c r="G82" i="19"/>
  <c r="N80" i="19"/>
  <c r="P80" i="19" s="1"/>
  <c r="M80" i="19"/>
  <c r="K80" i="19"/>
  <c r="I80" i="19"/>
  <c r="G80" i="19"/>
  <c r="N79" i="19"/>
  <c r="P79" i="19" s="1"/>
  <c r="M79" i="19"/>
  <c r="K79" i="19"/>
  <c r="I79" i="19"/>
  <c r="G79" i="19"/>
  <c r="N78" i="19"/>
  <c r="M78" i="19"/>
  <c r="K78" i="19"/>
  <c r="I78" i="19"/>
  <c r="G78" i="19"/>
  <c r="N77" i="19"/>
  <c r="O77" i="19" s="1"/>
  <c r="M77" i="19"/>
  <c r="K77" i="19"/>
  <c r="I77" i="19"/>
  <c r="G77" i="19"/>
  <c r="N76" i="19"/>
  <c r="M76" i="19"/>
  <c r="K76" i="19"/>
  <c r="I76" i="19"/>
  <c r="G76" i="19"/>
  <c r="N74" i="19"/>
  <c r="P74" i="19" s="1"/>
  <c r="M74" i="19"/>
  <c r="K74" i="19"/>
  <c r="I74" i="19"/>
  <c r="G74" i="19"/>
  <c r="N73" i="19"/>
  <c r="O73" i="19" s="1"/>
  <c r="M73" i="19"/>
  <c r="K73" i="19"/>
  <c r="I73" i="19"/>
  <c r="G73" i="19"/>
  <c r="N72" i="19"/>
  <c r="P72" i="19" s="1"/>
  <c r="M72" i="19"/>
  <c r="K72" i="19"/>
  <c r="I72" i="19"/>
  <c r="G72" i="19"/>
  <c r="N71" i="19"/>
  <c r="P71" i="19" s="1"/>
  <c r="Q71" i="19" s="1"/>
  <c r="M71" i="19"/>
  <c r="K71" i="19"/>
  <c r="I71" i="19"/>
  <c r="G71" i="19"/>
  <c r="N70" i="19"/>
  <c r="O70" i="19" s="1"/>
  <c r="M70" i="19"/>
  <c r="K70" i="19"/>
  <c r="I70" i="19"/>
  <c r="G70" i="19"/>
  <c r="N69" i="19"/>
  <c r="P69" i="19" s="1"/>
  <c r="R69" i="19" s="1"/>
  <c r="M69" i="19"/>
  <c r="K69" i="19"/>
  <c r="I69" i="19"/>
  <c r="G69" i="19"/>
  <c r="N68" i="19"/>
  <c r="M68" i="19"/>
  <c r="K68" i="19"/>
  <c r="I68" i="19"/>
  <c r="G68" i="19"/>
  <c r="N67" i="19"/>
  <c r="P67" i="19" s="1"/>
  <c r="M67" i="19"/>
  <c r="K67" i="19"/>
  <c r="I67" i="19"/>
  <c r="G67" i="19"/>
  <c r="N66" i="19"/>
  <c r="M66" i="19"/>
  <c r="K66" i="19"/>
  <c r="I66" i="19"/>
  <c r="G66" i="19"/>
  <c r="N65" i="19"/>
  <c r="M65" i="19"/>
  <c r="K65" i="19"/>
  <c r="I65" i="19"/>
  <c r="G65" i="19"/>
  <c r="N64" i="19"/>
  <c r="O64" i="19" s="1"/>
  <c r="M64" i="19"/>
  <c r="K64" i="19"/>
  <c r="I64" i="19"/>
  <c r="G64" i="19"/>
  <c r="N63" i="19"/>
  <c r="O63" i="19" s="1"/>
  <c r="M63" i="19"/>
  <c r="K63" i="19"/>
  <c r="I63" i="19"/>
  <c r="G63" i="19"/>
  <c r="N61" i="19"/>
  <c r="O61" i="19" s="1"/>
  <c r="M61" i="19"/>
  <c r="K61" i="19"/>
  <c r="I61" i="19"/>
  <c r="G61" i="19"/>
  <c r="N60" i="19"/>
  <c r="M60" i="19"/>
  <c r="K60" i="19"/>
  <c r="I60" i="19"/>
  <c r="G60" i="19"/>
  <c r="N58" i="19"/>
  <c r="P58" i="19" s="1"/>
  <c r="R58" i="19" s="1"/>
  <c r="T58" i="19" s="1"/>
  <c r="V58" i="19" s="1"/>
  <c r="C58" i="19"/>
  <c r="N57" i="19"/>
  <c r="O57" i="19" s="1"/>
  <c r="M57" i="19"/>
  <c r="K57" i="19"/>
  <c r="I57" i="19"/>
  <c r="G57" i="19"/>
  <c r="N56" i="19"/>
  <c r="O56" i="19" s="1"/>
  <c r="M56" i="19"/>
  <c r="K56" i="19"/>
  <c r="I56" i="19"/>
  <c r="G56" i="19"/>
  <c r="N55" i="19"/>
  <c r="M55" i="19"/>
  <c r="K55" i="19"/>
  <c r="I55" i="19"/>
  <c r="G55" i="19"/>
  <c r="N54" i="19"/>
  <c r="P54" i="19" s="1"/>
  <c r="M54" i="19"/>
  <c r="K54" i="19"/>
  <c r="I54" i="19"/>
  <c r="G54" i="19"/>
  <c r="N53" i="19"/>
  <c r="O53" i="19" s="1"/>
  <c r="M53" i="19"/>
  <c r="K53" i="19"/>
  <c r="I53" i="19"/>
  <c r="G53" i="19"/>
  <c r="N52" i="19"/>
  <c r="O52" i="19" s="1"/>
  <c r="M52" i="19"/>
  <c r="K52" i="19"/>
  <c r="I52" i="19"/>
  <c r="G52" i="19"/>
  <c r="N51" i="19"/>
  <c r="O51" i="19" s="1"/>
  <c r="M51" i="19"/>
  <c r="K51" i="19"/>
  <c r="I51" i="19"/>
  <c r="G51" i="19"/>
  <c r="N50" i="19"/>
  <c r="M50" i="19"/>
  <c r="K50" i="19"/>
  <c r="I50" i="19"/>
  <c r="G50" i="19"/>
  <c r="N48" i="19"/>
  <c r="M48" i="19"/>
  <c r="K48" i="19"/>
  <c r="I48" i="19"/>
  <c r="G48" i="19"/>
  <c r="N47" i="19"/>
  <c r="P47" i="19" s="1"/>
  <c r="R47" i="19" s="1"/>
  <c r="S47" i="19" s="1"/>
  <c r="M47" i="19"/>
  <c r="K47" i="19"/>
  <c r="I47" i="19"/>
  <c r="G47" i="19"/>
  <c r="N46" i="19"/>
  <c r="P46" i="19" s="1"/>
  <c r="M46" i="19"/>
  <c r="K46" i="19"/>
  <c r="I46" i="19"/>
  <c r="G46" i="19"/>
  <c r="N45" i="19"/>
  <c r="M45" i="19"/>
  <c r="K45" i="19"/>
  <c r="I45" i="19"/>
  <c r="G45" i="19"/>
  <c r="N44" i="19"/>
  <c r="O44" i="19" s="1"/>
  <c r="M44" i="19"/>
  <c r="K44" i="19"/>
  <c r="I44" i="19"/>
  <c r="G44" i="19"/>
  <c r="N43" i="19"/>
  <c r="P43" i="19" s="1"/>
  <c r="M43" i="19"/>
  <c r="K43" i="19"/>
  <c r="I43" i="19"/>
  <c r="G43" i="19"/>
  <c r="N42" i="19"/>
  <c r="P42" i="19" s="1"/>
  <c r="M42" i="19"/>
  <c r="K42" i="19"/>
  <c r="I42" i="19"/>
  <c r="G42" i="19"/>
  <c r="N41" i="19"/>
  <c r="P41" i="19" s="1"/>
  <c r="R41" i="19" s="1"/>
  <c r="T41" i="19" s="1"/>
  <c r="V41" i="19" s="1"/>
  <c r="C41" i="19"/>
  <c r="N40" i="19"/>
  <c r="O40" i="19" s="1"/>
  <c r="M40" i="19"/>
  <c r="K40" i="19"/>
  <c r="I40" i="19"/>
  <c r="G40" i="19"/>
  <c r="N39" i="19"/>
  <c r="O39" i="19" s="1"/>
  <c r="M39" i="19"/>
  <c r="K39" i="19"/>
  <c r="I39" i="19"/>
  <c r="G39" i="19"/>
  <c r="N38" i="19"/>
  <c r="P38" i="19" s="1"/>
  <c r="M38" i="19"/>
  <c r="K38" i="19"/>
  <c r="I38" i="19"/>
  <c r="G38" i="19"/>
  <c r="N37" i="19"/>
  <c r="P37" i="19" s="1"/>
  <c r="R37" i="19" s="1"/>
  <c r="M37" i="19"/>
  <c r="K37" i="19"/>
  <c r="I37" i="19"/>
  <c r="G37" i="19"/>
  <c r="N36" i="19"/>
  <c r="O36" i="19" s="1"/>
  <c r="M36" i="19"/>
  <c r="K36" i="19"/>
  <c r="I36" i="19"/>
  <c r="G36" i="19"/>
  <c r="N35" i="19"/>
  <c r="P35" i="19" s="1"/>
  <c r="R35" i="19" s="1"/>
  <c r="M35" i="19"/>
  <c r="K35" i="19"/>
  <c r="I35" i="19"/>
  <c r="G35" i="19"/>
  <c r="N34" i="19"/>
  <c r="M34" i="19"/>
  <c r="K34" i="19"/>
  <c r="I34" i="19"/>
  <c r="G34" i="19"/>
  <c r="M32" i="19"/>
  <c r="K32" i="19"/>
  <c r="I32" i="19"/>
  <c r="G32" i="19"/>
  <c r="L31" i="19"/>
  <c r="J31" i="19"/>
  <c r="H31" i="19"/>
  <c r="F31" i="19"/>
  <c r="E31" i="19"/>
  <c r="N30" i="19"/>
  <c r="M30" i="19"/>
  <c r="K30" i="19"/>
  <c r="I30" i="19"/>
  <c r="G30" i="19"/>
  <c r="N28" i="19"/>
  <c r="P28" i="19" s="1"/>
  <c r="R28" i="19" s="1"/>
  <c r="M28" i="19"/>
  <c r="K28" i="19"/>
  <c r="I28" i="19"/>
  <c r="G28" i="19"/>
  <c r="N27" i="19"/>
  <c r="P27" i="19" s="1"/>
  <c r="Q27" i="19" s="1"/>
  <c r="M27" i="19"/>
  <c r="K27" i="19"/>
  <c r="I27" i="19"/>
  <c r="G27" i="19"/>
  <c r="C27" i="19"/>
  <c r="N26" i="19"/>
  <c r="H116" i="1" s="1"/>
  <c r="M26" i="19"/>
  <c r="K26" i="19"/>
  <c r="I26" i="19"/>
  <c r="G26" i="19"/>
  <c r="N25" i="19"/>
  <c r="O25" i="19" s="1"/>
  <c r="M25" i="19"/>
  <c r="K25" i="19"/>
  <c r="I25" i="19"/>
  <c r="G25" i="19"/>
  <c r="N24" i="19"/>
  <c r="O24" i="19" s="1"/>
  <c r="M24" i="19"/>
  <c r="K24" i="19"/>
  <c r="I24" i="19"/>
  <c r="G24" i="19"/>
  <c r="N23" i="19"/>
  <c r="O23" i="19" s="1"/>
  <c r="M23" i="19"/>
  <c r="K23" i="19"/>
  <c r="I23" i="19"/>
  <c r="G23" i="19"/>
  <c r="C23" i="19"/>
  <c r="N22" i="19"/>
  <c r="P22" i="19" s="1"/>
  <c r="M22" i="19"/>
  <c r="K22" i="19"/>
  <c r="I22" i="19"/>
  <c r="G22" i="19"/>
  <c r="N21" i="19"/>
  <c r="P21" i="19" s="1"/>
  <c r="R21" i="19" s="1"/>
  <c r="M21" i="19"/>
  <c r="K21" i="19"/>
  <c r="I21" i="19"/>
  <c r="G21" i="19"/>
  <c r="N20" i="19"/>
  <c r="O20" i="19" s="1"/>
  <c r="M20" i="19"/>
  <c r="K20" i="19"/>
  <c r="I20" i="19"/>
  <c r="G20" i="19"/>
  <c r="N19" i="19"/>
  <c r="P19" i="19" s="1"/>
  <c r="R19" i="19" s="1"/>
  <c r="M19" i="19"/>
  <c r="K19" i="19"/>
  <c r="I19" i="19"/>
  <c r="G19" i="19"/>
  <c r="N18" i="19"/>
  <c r="M18" i="19"/>
  <c r="K18" i="19"/>
  <c r="I18" i="19"/>
  <c r="G18" i="19"/>
  <c r="N17" i="19"/>
  <c r="P17" i="19" s="1"/>
  <c r="M17" i="19"/>
  <c r="K17" i="19"/>
  <c r="I17" i="19"/>
  <c r="G17" i="19"/>
  <c r="N16" i="19"/>
  <c r="O16" i="19" s="1"/>
  <c r="M16" i="19"/>
  <c r="K16" i="19"/>
  <c r="I16" i="19"/>
  <c r="G16" i="19"/>
  <c r="N15" i="19"/>
  <c r="P15" i="19" s="1"/>
  <c r="M15" i="19"/>
  <c r="K15" i="19"/>
  <c r="I15" i="19"/>
  <c r="G15" i="19"/>
  <c r="N14" i="19"/>
  <c r="P14" i="19" s="1"/>
  <c r="Q14" i="19" s="1"/>
  <c r="M14" i="19"/>
  <c r="K14" i="19"/>
  <c r="I14" i="19"/>
  <c r="G14" i="19"/>
  <c r="N13" i="19"/>
  <c r="M13" i="19"/>
  <c r="K13" i="19"/>
  <c r="I13" i="19"/>
  <c r="G13" i="19"/>
  <c r="N12" i="19"/>
  <c r="M12" i="19"/>
  <c r="K12" i="19"/>
  <c r="I12" i="19"/>
  <c r="G12" i="19"/>
  <c r="N11" i="19"/>
  <c r="O11" i="19" s="1"/>
  <c r="M11" i="19"/>
  <c r="K11" i="19"/>
  <c r="I11" i="19"/>
  <c r="G11" i="19"/>
  <c r="N10" i="19"/>
  <c r="M10" i="19"/>
  <c r="K10" i="19"/>
  <c r="I10" i="19"/>
  <c r="G10" i="19"/>
  <c r="P9" i="19"/>
  <c r="O9" i="19"/>
  <c r="M9" i="19"/>
  <c r="K9" i="19"/>
  <c r="I9" i="19"/>
  <c r="G9" i="19"/>
  <c r="W8" i="19"/>
  <c r="U8" i="19"/>
  <c r="S8" i="19"/>
  <c r="Q8" i="19"/>
  <c r="O8" i="19"/>
  <c r="M8" i="19"/>
  <c r="K8" i="19"/>
  <c r="I8" i="19"/>
  <c r="G8" i="19"/>
  <c r="H25" i="17"/>
  <c r="G25" i="17"/>
  <c r="F25" i="17"/>
  <c r="E25" i="17"/>
  <c r="C25" i="17"/>
  <c r="B25" i="17"/>
  <c r="H24" i="17"/>
  <c r="G24" i="17"/>
  <c r="F24" i="17"/>
  <c r="E24" i="17"/>
  <c r="C24" i="17"/>
  <c r="B24" i="17"/>
  <c r="H23" i="17"/>
  <c r="G23" i="17"/>
  <c r="F23" i="17"/>
  <c r="E23" i="17"/>
  <c r="C23" i="17"/>
  <c r="B23" i="17"/>
  <c r="H22" i="17"/>
  <c r="G22" i="17"/>
  <c r="F22" i="17"/>
  <c r="E22" i="17"/>
  <c r="C22" i="17"/>
  <c r="B22" i="17"/>
  <c r="H21" i="17"/>
  <c r="G21" i="17"/>
  <c r="F21" i="17"/>
  <c r="E21" i="17"/>
  <c r="C21" i="17"/>
  <c r="B21" i="17"/>
  <c r="H20" i="17"/>
  <c r="G20" i="17"/>
  <c r="F20" i="17"/>
  <c r="E20" i="17"/>
  <c r="C20" i="17"/>
  <c r="B20" i="17"/>
  <c r="H19" i="17"/>
  <c r="G19" i="17"/>
  <c r="F19" i="17"/>
  <c r="E19" i="17"/>
  <c r="C19" i="17"/>
  <c r="B19" i="17"/>
  <c r="H18" i="17"/>
  <c r="G18" i="17"/>
  <c r="F18" i="17"/>
  <c r="E18" i="17"/>
  <c r="C18" i="17"/>
  <c r="B18" i="17"/>
  <c r="H17" i="17"/>
  <c r="G17" i="17"/>
  <c r="F17" i="17"/>
  <c r="E17" i="17"/>
  <c r="C17" i="17"/>
  <c r="B17" i="17"/>
  <c r="H16" i="17"/>
  <c r="G16" i="17"/>
  <c r="F16" i="17"/>
  <c r="E16" i="17"/>
  <c r="C16" i="17"/>
  <c r="B16" i="17"/>
  <c r="H15" i="17"/>
  <c r="G15" i="17"/>
  <c r="F15" i="17"/>
  <c r="E15" i="17"/>
  <c r="C15" i="17"/>
  <c r="B15" i="17"/>
  <c r="H14" i="17"/>
  <c r="G14" i="17"/>
  <c r="F14" i="17"/>
  <c r="E14" i="17"/>
  <c r="C14" i="17"/>
  <c r="B14" i="17"/>
  <c r="H13" i="17"/>
  <c r="G13" i="17"/>
  <c r="F13" i="17"/>
  <c r="E13" i="17"/>
  <c r="C13" i="17"/>
  <c r="B13" i="17"/>
  <c r="H12" i="17"/>
  <c r="G12" i="17"/>
  <c r="F12" i="17"/>
  <c r="E12" i="17"/>
  <c r="C12" i="17"/>
  <c r="B12" i="17"/>
  <c r="H11" i="17"/>
  <c r="G11" i="17"/>
  <c r="F11" i="17"/>
  <c r="E11" i="17"/>
  <c r="C11" i="17"/>
  <c r="B11" i="17"/>
  <c r="H10" i="17"/>
  <c r="G10" i="17"/>
  <c r="F10" i="17"/>
  <c r="E10" i="17"/>
  <c r="C10" i="17"/>
  <c r="B10" i="17"/>
  <c r="H9" i="17"/>
  <c r="G9" i="17"/>
  <c r="F9" i="17"/>
  <c r="E9" i="17"/>
  <c r="C9" i="17"/>
  <c r="B9" i="17"/>
  <c r="H8" i="17"/>
  <c r="G8" i="17"/>
  <c r="F8" i="17"/>
  <c r="E8" i="17"/>
  <c r="C8" i="17"/>
  <c r="B8" i="17"/>
  <c r="H7" i="17"/>
  <c r="G7" i="17"/>
  <c r="F7" i="17"/>
  <c r="E7" i="17"/>
  <c r="C7" i="17"/>
  <c r="B7" i="17"/>
  <c r="H6" i="17"/>
  <c r="G6" i="17"/>
  <c r="F6" i="17"/>
  <c r="E6" i="17"/>
  <c r="C6" i="17"/>
  <c r="B6" i="17"/>
  <c r="H5" i="17"/>
  <c r="G5" i="17"/>
  <c r="F5" i="17"/>
  <c r="E5" i="17"/>
  <c r="C5" i="17"/>
  <c r="B5" i="17"/>
  <c r="V350" i="19" l="1"/>
  <c r="X350" i="19" s="1"/>
  <c r="P48" i="21"/>
  <c r="O350" i="19"/>
  <c r="H151" i="1"/>
  <c r="H152" i="1" s="1"/>
  <c r="F25" i="21" s="1"/>
  <c r="E352" i="19"/>
  <c r="E368" i="19" s="1"/>
  <c r="D19" i="17"/>
  <c r="F26" i="17"/>
  <c r="D6" i="17"/>
  <c r="D13" i="17"/>
  <c r="D16" i="17"/>
  <c r="D20" i="17"/>
  <c r="B26" i="17"/>
  <c r="D7" i="17"/>
  <c r="D9" i="17"/>
  <c r="D18" i="17"/>
  <c r="I21" i="17"/>
  <c r="D22" i="17"/>
  <c r="I23" i="17"/>
  <c r="D24" i="17"/>
  <c r="I18" i="17"/>
  <c r="I9" i="17"/>
  <c r="I11" i="17"/>
  <c r="D12" i="17"/>
  <c r="D17" i="17"/>
  <c r="D21" i="17"/>
  <c r="D25" i="17"/>
  <c r="I13" i="17"/>
  <c r="I20" i="17"/>
  <c r="S356" i="19"/>
  <c r="D5" i="17"/>
  <c r="H26" i="17"/>
  <c r="I10" i="17"/>
  <c r="D11" i="17"/>
  <c r="I12" i="17"/>
  <c r="D14" i="17"/>
  <c r="I17" i="17"/>
  <c r="J17" i="17" s="1"/>
  <c r="I19" i="17"/>
  <c r="I22" i="17"/>
  <c r="D23" i="17"/>
  <c r="I25" i="17"/>
  <c r="I6" i="17"/>
  <c r="I8" i="17"/>
  <c r="D10" i="17"/>
  <c r="I15" i="17"/>
  <c r="E26" i="17"/>
  <c r="G26" i="17"/>
  <c r="I7" i="17"/>
  <c r="D8" i="17"/>
  <c r="I14" i="17"/>
  <c r="D15" i="17"/>
  <c r="I16" i="17"/>
  <c r="I24" i="17"/>
  <c r="P39" i="19"/>
  <c r="R39" i="19" s="1"/>
  <c r="T39" i="19" s="1"/>
  <c r="V39" i="19" s="1"/>
  <c r="W39" i="19" s="1"/>
  <c r="P26" i="19"/>
  <c r="J116" i="1" s="1"/>
  <c r="O146" i="19"/>
  <c r="P310" i="19"/>
  <c r="R310" i="19" s="1"/>
  <c r="S310" i="19" s="1"/>
  <c r="P70" i="19"/>
  <c r="R70" i="19" s="1"/>
  <c r="S70" i="19" s="1"/>
  <c r="P73" i="19"/>
  <c r="R73" i="19" s="1"/>
  <c r="M332" i="19"/>
  <c r="O304" i="19"/>
  <c r="O306" i="19"/>
  <c r="O308" i="19"/>
  <c r="R9" i="19"/>
  <c r="O65" i="19"/>
  <c r="H63" i="1"/>
  <c r="K157" i="19"/>
  <c r="O10" i="19"/>
  <c r="P87" i="19"/>
  <c r="R87" i="19" s="1"/>
  <c r="T87" i="19" s="1"/>
  <c r="O103" i="19"/>
  <c r="K104" i="19"/>
  <c r="O112" i="19"/>
  <c r="O115" i="19"/>
  <c r="O30" i="19"/>
  <c r="P10" i="19"/>
  <c r="Q10" i="19" s="1"/>
  <c r="O85" i="19"/>
  <c r="O126" i="19"/>
  <c r="P128" i="19"/>
  <c r="R128" i="19" s="1"/>
  <c r="S128" i="19" s="1"/>
  <c r="P198" i="19"/>
  <c r="R198" i="19" s="1"/>
  <c r="P251" i="19"/>
  <c r="Q251" i="19" s="1"/>
  <c r="P287" i="19"/>
  <c r="Q287" i="19" s="1"/>
  <c r="O294" i="19"/>
  <c r="Q326" i="19"/>
  <c r="O47" i="19"/>
  <c r="O96" i="19"/>
  <c r="P98" i="19"/>
  <c r="R98" i="19" s="1"/>
  <c r="T98" i="19" s="1"/>
  <c r="R116" i="19"/>
  <c r="T116" i="19" s="1"/>
  <c r="Q122" i="19"/>
  <c r="Q124" i="19"/>
  <c r="O142" i="19"/>
  <c r="O151" i="19"/>
  <c r="P184" i="19"/>
  <c r="R184" i="19" s="1"/>
  <c r="S184" i="19" s="1"/>
  <c r="P224" i="19"/>
  <c r="R224" i="19" s="1"/>
  <c r="O236" i="19"/>
  <c r="O258" i="19"/>
  <c r="O264" i="19"/>
  <c r="O266" i="19"/>
  <c r="P274" i="19"/>
  <c r="R274" i="19" s="1"/>
  <c r="P23" i="19"/>
  <c r="Q23" i="19" s="1"/>
  <c r="O37" i="19"/>
  <c r="O122" i="19"/>
  <c r="O124" i="19"/>
  <c r="O144" i="19"/>
  <c r="P267" i="19"/>
  <c r="O35" i="19"/>
  <c r="O15" i="19"/>
  <c r="R27" i="19"/>
  <c r="S27" i="19" s="1"/>
  <c r="G31" i="19"/>
  <c r="Q96" i="19"/>
  <c r="G140" i="19"/>
  <c r="O148" i="19"/>
  <c r="K153" i="19"/>
  <c r="O167" i="19"/>
  <c r="P177" i="19"/>
  <c r="R177" i="19" s="1"/>
  <c r="O242" i="19"/>
  <c r="P256" i="19"/>
  <c r="R256" i="19" s="1"/>
  <c r="G275" i="19"/>
  <c r="K340" i="19"/>
  <c r="R133" i="19"/>
  <c r="T133" i="19" s="1"/>
  <c r="K140" i="19"/>
  <c r="L363" i="19"/>
  <c r="P324" i="19"/>
  <c r="O327" i="19"/>
  <c r="I332" i="19"/>
  <c r="O339" i="19"/>
  <c r="P348" i="19"/>
  <c r="Q9" i="19"/>
  <c r="O21" i="19"/>
  <c r="Q37" i="19"/>
  <c r="O46" i="19"/>
  <c r="R85" i="19"/>
  <c r="T85" i="19" s="1"/>
  <c r="O109" i="19"/>
  <c r="O114" i="19"/>
  <c r="O130" i="19"/>
  <c r="O133" i="19"/>
  <c r="O136" i="19"/>
  <c r="O138" i="19"/>
  <c r="G157" i="19"/>
  <c r="O170" i="19"/>
  <c r="P200" i="19"/>
  <c r="R200" i="19" s="1"/>
  <c r="T200" i="19" s="1"/>
  <c r="P207" i="19"/>
  <c r="R207" i="19" s="1"/>
  <c r="P215" i="19"/>
  <c r="Q215" i="19" s="1"/>
  <c r="R218" i="19"/>
  <c r="T218" i="19" s="1"/>
  <c r="P296" i="19"/>
  <c r="Q296" i="19" s="1"/>
  <c r="P298" i="19"/>
  <c r="R298" i="19" s="1"/>
  <c r="P300" i="19"/>
  <c r="R300" i="19" s="1"/>
  <c r="S300" i="19" s="1"/>
  <c r="O311" i="19"/>
  <c r="P314" i="19"/>
  <c r="R314" i="19" s="1"/>
  <c r="T314" i="19" s="1"/>
  <c r="V314" i="19" s="1"/>
  <c r="W314" i="19" s="1"/>
  <c r="O326" i="19"/>
  <c r="R327" i="19"/>
  <c r="S327" i="19" s="1"/>
  <c r="Q339" i="19"/>
  <c r="P302" i="19"/>
  <c r="R302" i="19" s="1"/>
  <c r="Q21" i="19"/>
  <c r="H105" i="19"/>
  <c r="H367" i="19" s="1"/>
  <c r="Q114" i="19"/>
  <c r="R170" i="19"/>
  <c r="S170" i="19" s="1"/>
  <c r="R43" i="19"/>
  <c r="S43" i="19" s="1"/>
  <c r="Q43" i="19"/>
  <c r="R322" i="19"/>
  <c r="Q322" i="19"/>
  <c r="O14" i="19"/>
  <c r="P16" i="19"/>
  <c r="R16" i="19" s="1"/>
  <c r="P30" i="19"/>
  <c r="P52" i="19"/>
  <c r="R52" i="19" s="1"/>
  <c r="O72" i="19"/>
  <c r="P84" i="19"/>
  <c r="R84" i="19" s="1"/>
  <c r="S84" i="19" s="1"/>
  <c r="O95" i="19"/>
  <c r="O121" i="19"/>
  <c r="O129" i="19"/>
  <c r="O178" i="19"/>
  <c r="P192" i="19"/>
  <c r="R192" i="19" s="1"/>
  <c r="S192" i="19" s="1"/>
  <c r="P213" i="19"/>
  <c r="R213" i="19" s="1"/>
  <c r="P241" i="19"/>
  <c r="R241" i="19" s="1"/>
  <c r="T241" i="19" s="1"/>
  <c r="P243" i="19"/>
  <c r="P249" i="19"/>
  <c r="R249" i="19" s="1"/>
  <c r="S249" i="19" s="1"/>
  <c r="R251" i="19"/>
  <c r="T251" i="19" s="1"/>
  <c r="O254" i="19"/>
  <c r="O262" i="19"/>
  <c r="O295" i="19"/>
  <c r="O312" i="19"/>
  <c r="O313" i="19"/>
  <c r="O316" i="19"/>
  <c r="O322" i="19"/>
  <c r="O331" i="19"/>
  <c r="O338" i="19"/>
  <c r="U350" i="19"/>
  <c r="W356" i="19"/>
  <c r="O27" i="19"/>
  <c r="O28" i="19"/>
  <c r="E105" i="19"/>
  <c r="E362" i="19" s="1"/>
  <c r="P36" i="19"/>
  <c r="R36" i="19" s="1"/>
  <c r="T36" i="19" s="1"/>
  <c r="O43" i="19"/>
  <c r="P65" i="19"/>
  <c r="Q65" i="19" s="1"/>
  <c r="O71" i="19"/>
  <c r="O79" i="19"/>
  <c r="O97" i="19"/>
  <c r="O99" i="19"/>
  <c r="G104" i="19"/>
  <c r="O113" i="19"/>
  <c r="O116" i="19"/>
  <c r="O117" i="19"/>
  <c r="P119" i="19"/>
  <c r="R119" i="19" s="1"/>
  <c r="T119" i="19" s="1"/>
  <c r="M157" i="19"/>
  <c r="O161" i="19"/>
  <c r="P166" i="19"/>
  <c r="R166" i="19" s="1"/>
  <c r="P171" i="19"/>
  <c r="R171" i="19" s="1"/>
  <c r="S171" i="19" s="1"/>
  <c r="P220" i="19"/>
  <c r="Q220" i="19" s="1"/>
  <c r="P223" i="19"/>
  <c r="Q223" i="19" s="1"/>
  <c r="P233" i="19"/>
  <c r="O240" i="19"/>
  <c r="I275" i="19"/>
  <c r="O288" i="19"/>
  <c r="P290" i="19"/>
  <c r="Q290" i="19" s="1"/>
  <c r="R295" i="19"/>
  <c r="S295" i="19" s="1"/>
  <c r="O297" i="19"/>
  <c r="O303" i="19"/>
  <c r="Q312" i="19"/>
  <c r="R313" i="19"/>
  <c r="T313" i="19" s="1"/>
  <c r="Q316" i="19"/>
  <c r="P335" i="19"/>
  <c r="R335" i="19" s="1"/>
  <c r="Q338" i="19"/>
  <c r="P341" i="19"/>
  <c r="N351" i="19"/>
  <c r="O351" i="19" s="1"/>
  <c r="Q356" i="19"/>
  <c r="P11" i="19"/>
  <c r="R11" i="19" s="1"/>
  <c r="T11" i="19" s="1"/>
  <c r="V11" i="19" s="1"/>
  <c r="W11" i="19" s="1"/>
  <c r="P162" i="19"/>
  <c r="R162" i="19" s="1"/>
  <c r="S162" i="19" s="1"/>
  <c r="P181" i="19"/>
  <c r="R181" i="19" s="1"/>
  <c r="P228" i="19"/>
  <c r="R228" i="19" s="1"/>
  <c r="I157" i="19"/>
  <c r="R161" i="19"/>
  <c r="T161" i="19" s="1"/>
  <c r="R288" i="19"/>
  <c r="S288" i="19" s="1"/>
  <c r="S312" i="19"/>
  <c r="O355" i="19"/>
  <c r="P45" i="19"/>
  <c r="O45" i="19"/>
  <c r="T47" i="19"/>
  <c r="V47" i="19" s="1"/>
  <c r="W47" i="19" s="1"/>
  <c r="P56" i="19"/>
  <c r="R56" i="19" s="1"/>
  <c r="T56" i="19" s="1"/>
  <c r="P61" i="19"/>
  <c r="R61" i="19" s="1"/>
  <c r="T61" i="19" s="1"/>
  <c r="P110" i="19"/>
  <c r="O110" i="19"/>
  <c r="P118" i="19"/>
  <c r="O118" i="19"/>
  <c r="P120" i="19"/>
  <c r="O120" i="19"/>
  <c r="O160" i="19"/>
  <c r="P160" i="19"/>
  <c r="Q160" i="19" s="1"/>
  <c r="O185" i="19"/>
  <c r="P185" i="19"/>
  <c r="O214" i="19"/>
  <c r="P214" i="19"/>
  <c r="Q214" i="19" s="1"/>
  <c r="O257" i="19"/>
  <c r="P257" i="19"/>
  <c r="R257" i="19" s="1"/>
  <c r="T257" i="19" s="1"/>
  <c r="P284" i="19"/>
  <c r="O284" i="19"/>
  <c r="Q305" i="19"/>
  <c r="R305" i="19"/>
  <c r="T305" i="19" s="1"/>
  <c r="R306" i="19"/>
  <c r="Q306" i="19"/>
  <c r="O19" i="19"/>
  <c r="P20" i="19"/>
  <c r="R20" i="19" s="1"/>
  <c r="S20" i="19" s="1"/>
  <c r="Q28" i="19"/>
  <c r="P44" i="19"/>
  <c r="P64" i="19"/>
  <c r="Q64" i="19" s="1"/>
  <c r="O69" i="19"/>
  <c r="P77" i="19"/>
  <c r="R77" i="19" s="1"/>
  <c r="T77" i="19" s="1"/>
  <c r="R79" i="19"/>
  <c r="S79" i="19" s="1"/>
  <c r="Q79" i="19"/>
  <c r="Q103" i="19"/>
  <c r="R103" i="19"/>
  <c r="T103" i="19" s="1"/>
  <c r="O132" i="19"/>
  <c r="P182" i="19"/>
  <c r="Q182" i="19" s="1"/>
  <c r="O182" i="19"/>
  <c r="O201" i="19"/>
  <c r="P201" i="19"/>
  <c r="O250" i="19"/>
  <c r="P250" i="19"/>
  <c r="Q250" i="19" s="1"/>
  <c r="U289" i="19"/>
  <c r="R294" i="19"/>
  <c r="Q294" i="19"/>
  <c r="Q297" i="19"/>
  <c r="R297" i="19"/>
  <c r="S297" i="19" s="1"/>
  <c r="O305" i="19"/>
  <c r="P321" i="19"/>
  <c r="O321" i="19"/>
  <c r="O329" i="19"/>
  <c r="P349" i="19"/>
  <c r="O349" i="19"/>
  <c r="O66" i="19"/>
  <c r="P66" i="19"/>
  <c r="R66" i="19" s="1"/>
  <c r="P111" i="19"/>
  <c r="R111" i="19" s="1"/>
  <c r="T111" i="19" s="1"/>
  <c r="O111" i="19"/>
  <c r="P123" i="19"/>
  <c r="R123" i="19" s="1"/>
  <c r="T123" i="19" s="1"/>
  <c r="O123" i="19"/>
  <c r="O173" i="19"/>
  <c r="P173" i="19"/>
  <c r="R173" i="19" s="1"/>
  <c r="P180" i="19"/>
  <c r="Q180" i="19" s="1"/>
  <c r="O180" i="19"/>
  <c r="P199" i="19"/>
  <c r="Q199" i="19" s="1"/>
  <c r="O199" i="19"/>
  <c r="O222" i="19"/>
  <c r="P222" i="19"/>
  <c r="R222" i="19" s="1"/>
  <c r="S222" i="19" s="1"/>
  <c r="P248" i="19"/>
  <c r="R248" i="19" s="1"/>
  <c r="O248" i="19"/>
  <c r="O265" i="19"/>
  <c r="P265" i="19"/>
  <c r="R265" i="19" s="1"/>
  <c r="S265" i="19" s="1"/>
  <c r="Q292" i="19"/>
  <c r="R292" i="19"/>
  <c r="P318" i="19"/>
  <c r="O318" i="19"/>
  <c r="Q337" i="19"/>
  <c r="R337" i="19"/>
  <c r="T337" i="19" s="1"/>
  <c r="S346" i="19"/>
  <c r="T346" i="19"/>
  <c r="V346" i="19" s="1"/>
  <c r="W346" i="19" s="1"/>
  <c r="P24" i="19"/>
  <c r="R24" i="19" s="1"/>
  <c r="P40" i="19"/>
  <c r="Q47" i="19"/>
  <c r="P51" i="19"/>
  <c r="Q51" i="19" s="1"/>
  <c r="P57" i="19"/>
  <c r="R57" i="19" s="1"/>
  <c r="T57" i="19" s="1"/>
  <c r="P63" i="19"/>
  <c r="R63" i="19" s="1"/>
  <c r="T63" i="19" s="1"/>
  <c r="O78" i="19"/>
  <c r="P78" i="19"/>
  <c r="R78" i="19" s="1"/>
  <c r="S78" i="19" s="1"/>
  <c r="O86" i="19"/>
  <c r="O100" i="19"/>
  <c r="P100" i="19"/>
  <c r="R112" i="19"/>
  <c r="S112" i="19" s="1"/>
  <c r="Q112" i="19"/>
  <c r="Q129" i="19"/>
  <c r="R129" i="19"/>
  <c r="T129" i="19" s="1"/>
  <c r="P131" i="19"/>
  <c r="O131" i="19"/>
  <c r="O164" i="19"/>
  <c r="P164" i="19"/>
  <c r="R164" i="19" s="1"/>
  <c r="P169" i="19"/>
  <c r="P191" i="19"/>
  <c r="Q191" i="19" s="1"/>
  <c r="P193" i="19"/>
  <c r="R193" i="19" s="1"/>
  <c r="P197" i="19"/>
  <c r="Q197" i="19" s="1"/>
  <c r="O197" i="19"/>
  <c r="O216" i="19"/>
  <c r="P216" i="19"/>
  <c r="Q216" i="19" s="1"/>
  <c r="P232" i="19"/>
  <c r="Q232" i="19" s="1"/>
  <c r="O232" i="19"/>
  <c r="O292" i="19"/>
  <c r="O299" i="19"/>
  <c r="Q303" i="19"/>
  <c r="R303" i="19"/>
  <c r="T303" i="19" s="1"/>
  <c r="U303" i="19" s="1"/>
  <c r="R304" i="19"/>
  <c r="Q304" i="19"/>
  <c r="R308" i="19"/>
  <c r="Q308" i="19"/>
  <c r="O320" i="19"/>
  <c r="P320" i="19"/>
  <c r="O337" i="19"/>
  <c r="O342" i="19"/>
  <c r="P342" i="19"/>
  <c r="Q350" i="19"/>
  <c r="Q167" i="19"/>
  <c r="R167" i="19"/>
  <c r="T167" i="19" s="1"/>
  <c r="U167" i="19" s="1"/>
  <c r="Q178" i="19"/>
  <c r="R178" i="19"/>
  <c r="T178" i="19" s="1"/>
  <c r="U178" i="19" s="1"/>
  <c r="O212" i="19"/>
  <c r="P212" i="19"/>
  <c r="Q212" i="19" s="1"/>
  <c r="O259" i="19"/>
  <c r="P259" i="19"/>
  <c r="N275" i="19"/>
  <c r="O275" i="19" s="1"/>
  <c r="S316" i="19"/>
  <c r="P319" i="19"/>
  <c r="O319" i="19"/>
  <c r="S326" i="19"/>
  <c r="T338" i="19"/>
  <c r="N340" i="19"/>
  <c r="O354" i="19"/>
  <c r="P354" i="19"/>
  <c r="Q354" i="19" s="1"/>
  <c r="P127" i="19"/>
  <c r="O127" i="19"/>
  <c r="P209" i="19"/>
  <c r="O209" i="19"/>
  <c r="P246" i="19"/>
  <c r="R246" i="19" s="1"/>
  <c r="O246" i="19"/>
  <c r="P307" i="19"/>
  <c r="R307" i="19" s="1"/>
  <c r="O307" i="19"/>
  <c r="Q311" i="19"/>
  <c r="R311" i="19"/>
  <c r="U356" i="19"/>
  <c r="Q289" i="19"/>
  <c r="W289" i="19"/>
  <c r="R17" i="19"/>
  <c r="Q17" i="19"/>
  <c r="T19" i="19"/>
  <c r="S19" i="19"/>
  <c r="T37" i="19"/>
  <c r="S37" i="19"/>
  <c r="Q46" i="19"/>
  <c r="R46" i="19"/>
  <c r="R67" i="19"/>
  <c r="Q67" i="19"/>
  <c r="T69" i="19"/>
  <c r="S69" i="19"/>
  <c r="R74" i="19"/>
  <c r="Q74" i="19"/>
  <c r="T114" i="19"/>
  <c r="S114" i="19"/>
  <c r="T122" i="19"/>
  <c r="S122" i="19"/>
  <c r="T124" i="19"/>
  <c r="S124" i="19"/>
  <c r="P139" i="19"/>
  <c r="O139" i="19"/>
  <c r="R146" i="19"/>
  <c r="Q146" i="19"/>
  <c r="F376" i="19"/>
  <c r="F363" i="19"/>
  <c r="G153" i="19"/>
  <c r="Q242" i="19"/>
  <c r="R242" i="19"/>
  <c r="O263" i="19"/>
  <c r="P263" i="19"/>
  <c r="P286" i="19"/>
  <c r="O286" i="19"/>
  <c r="N332" i="19"/>
  <c r="O332" i="19" s="1"/>
  <c r="O12" i="19"/>
  <c r="P12" i="19"/>
  <c r="P13" i="19"/>
  <c r="O13" i="19"/>
  <c r="R14" i="19"/>
  <c r="O17" i="19"/>
  <c r="P18" i="19"/>
  <c r="O18" i="19"/>
  <c r="Q19" i="19"/>
  <c r="Q22" i="19"/>
  <c r="R22" i="19"/>
  <c r="P25" i="19"/>
  <c r="N31" i="19"/>
  <c r="T35" i="19"/>
  <c r="S35" i="19"/>
  <c r="Q42" i="19"/>
  <c r="R42" i="19"/>
  <c r="P60" i="19"/>
  <c r="O60" i="19"/>
  <c r="O67" i="19"/>
  <c r="P68" i="19"/>
  <c r="O68" i="19"/>
  <c r="Q69" i="19"/>
  <c r="R71" i="19"/>
  <c r="O74" i="19"/>
  <c r="P76" i="19"/>
  <c r="O76" i="19"/>
  <c r="Q80" i="19"/>
  <c r="R80" i="19"/>
  <c r="Q90" i="19"/>
  <c r="R90" i="19"/>
  <c r="T96" i="19"/>
  <c r="S96" i="19"/>
  <c r="R109" i="19"/>
  <c r="T113" i="19"/>
  <c r="S113" i="19"/>
  <c r="T115" i="19"/>
  <c r="S115" i="19"/>
  <c r="T117" i="19"/>
  <c r="S117" i="19"/>
  <c r="T121" i="19"/>
  <c r="S121" i="19"/>
  <c r="T126" i="19"/>
  <c r="S126" i="19"/>
  <c r="T130" i="19"/>
  <c r="S130" i="19"/>
  <c r="T132" i="19"/>
  <c r="S132" i="19"/>
  <c r="T136" i="19"/>
  <c r="S136" i="19"/>
  <c r="P147" i="19"/>
  <c r="O147" i="19"/>
  <c r="O226" i="19"/>
  <c r="P226" i="19"/>
  <c r="O255" i="19"/>
  <c r="P255" i="19"/>
  <c r="Q266" i="19"/>
  <c r="R266" i="19"/>
  <c r="P317" i="19"/>
  <c r="O317" i="19"/>
  <c r="V326" i="19"/>
  <c r="W326" i="19" s="1"/>
  <c r="U326" i="19"/>
  <c r="I351" i="19"/>
  <c r="K351" i="19"/>
  <c r="H366" i="19"/>
  <c r="O22" i="19"/>
  <c r="O26" i="19"/>
  <c r="J366" i="19"/>
  <c r="J105" i="19"/>
  <c r="J367" i="19" s="1"/>
  <c r="M31" i="19"/>
  <c r="P34" i="19"/>
  <c r="N104" i="19"/>
  <c r="O104" i="19" s="1"/>
  <c r="O34" i="19"/>
  <c r="Q35" i="19"/>
  <c r="Q38" i="19"/>
  <c r="R38" i="19"/>
  <c r="O42" i="19"/>
  <c r="P53" i="19"/>
  <c r="R54" i="19"/>
  <c r="Q54" i="19"/>
  <c r="O80" i="19"/>
  <c r="P82" i="19"/>
  <c r="T86" i="19"/>
  <c r="S86" i="19"/>
  <c r="O90" i="19"/>
  <c r="P92" i="19"/>
  <c r="R93" i="19"/>
  <c r="Q93" i="19"/>
  <c r="T95" i="19"/>
  <c r="S95" i="19"/>
  <c r="R99" i="19"/>
  <c r="P101" i="19"/>
  <c r="O101" i="19"/>
  <c r="M104" i="19"/>
  <c r="L105" i="19"/>
  <c r="Q109" i="19"/>
  <c r="Q113" i="19"/>
  <c r="Q115" i="19"/>
  <c r="Q117" i="19"/>
  <c r="Q121" i="19"/>
  <c r="Q126" i="19"/>
  <c r="Q130" i="19"/>
  <c r="Q132" i="19"/>
  <c r="Q136" i="19"/>
  <c r="R138" i="19"/>
  <c r="Q138" i="19"/>
  <c r="N140" i="19"/>
  <c r="P165" i="19"/>
  <c r="O165" i="19"/>
  <c r="P175" i="19"/>
  <c r="O175" i="19"/>
  <c r="P195" i="19"/>
  <c r="O195" i="19"/>
  <c r="Q240" i="19"/>
  <c r="R240" i="19"/>
  <c r="O247" i="19"/>
  <c r="P247" i="19"/>
  <c r="Q258" i="19"/>
  <c r="R258" i="19"/>
  <c r="M275" i="19"/>
  <c r="K275" i="19"/>
  <c r="P315" i="19"/>
  <c r="O315" i="19"/>
  <c r="R15" i="19"/>
  <c r="Q15" i="19"/>
  <c r="T21" i="19"/>
  <c r="S21" i="19"/>
  <c r="T28" i="19"/>
  <c r="S28" i="19"/>
  <c r="F105" i="19"/>
  <c r="I31" i="19"/>
  <c r="K31" i="19"/>
  <c r="O38" i="19"/>
  <c r="O48" i="19"/>
  <c r="P48" i="19"/>
  <c r="P50" i="19"/>
  <c r="O50" i="19"/>
  <c r="O54" i="19"/>
  <c r="P55" i="19"/>
  <c r="O55" i="19"/>
  <c r="R72" i="19"/>
  <c r="Q72" i="19"/>
  <c r="O83" i="19"/>
  <c r="P83" i="19"/>
  <c r="Q86" i="19"/>
  <c r="O93" i="19"/>
  <c r="P94" i="19"/>
  <c r="O94" i="19"/>
  <c r="Q95" i="19"/>
  <c r="Q97" i="19"/>
  <c r="R97" i="19"/>
  <c r="O179" i="19"/>
  <c r="P179" i="19"/>
  <c r="O196" i="19"/>
  <c r="P196" i="19"/>
  <c r="O217" i="19"/>
  <c r="P217" i="19"/>
  <c r="R144" i="19"/>
  <c r="Q144" i="19"/>
  <c r="P145" i="19"/>
  <c r="O145" i="19"/>
  <c r="Q189" i="19"/>
  <c r="R189" i="19"/>
  <c r="Q205" i="19"/>
  <c r="R205" i="19"/>
  <c r="O210" i="19"/>
  <c r="P210" i="19"/>
  <c r="P221" i="19"/>
  <c r="O221" i="19"/>
  <c r="Q229" i="19"/>
  <c r="R229" i="19"/>
  <c r="O234" i="19"/>
  <c r="P234" i="19"/>
  <c r="O245" i="19"/>
  <c r="P245" i="19"/>
  <c r="O253" i="19"/>
  <c r="P253" i="19"/>
  <c r="O261" i="19"/>
  <c r="P261" i="19"/>
  <c r="O269" i="19"/>
  <c r="P269" i="19"/>
  <c r="F377" i="19"/>
  <c r="G273" i="19"/>
  <c r="N273" i="19"/>
  <c r="T329" i="19"/>
  <c r="S329" i="19"/>
  <c r="I104" i="19"/>
  <c r="P137" i="19"/>
  <c r="O137" i="19"/>
  <c r="J375" i="19"/>
  <c r="J361" i="19"/>
  <c r="J373" i="19"/>
  <c r="J276" i="19"/>
  <c r="R142" i="19"/>
  <c r="Q142" i="19"/>
  <c r="P143" i="19"/>
  <c r="O143" i="19"/>
  <c r="R151" i="19"/>
  <c r="Q151" i="19"/>
  <c r="P152" i="19"/>
  <c r="O152" i="19"/>
  <c r="N153" i="19"/>
  <c r="N157" i="19"/>
  <c r="O157" i="19" s="1"/>
  <c r="P156" i="19"/>
  <c r="O163" i="19"/>
  <c r="O172" i="19"/>
  <c r="P187" i="19"/>
  <c r="O187" i="19"/>
  <c r="O188" i="19"/>
  <c r="P188" i="19"/>
  <c r="O189" i="19"/>
  <c r="P190" i="19"/>
  <c r="P203" i="19"/>
  <c r="O203" i="19"/>
  <c r="O204" i="19"/>
  <c r="P204" i="19"/>
  <c r="O205" i="19"/>
  <c r="P206" i="19"/>
  <c r="O229" i="19"/>
  <c r="Q254" i="19"/>
  <c r="R254" i="19"/>
  <c r="Q262" i="19"/>
  <c r="R262" i="19"/>
  <c r="P325" i="19"/>
  <c r="O325" i="19"/>
  <c r="Q329" i="19"/>
  <c r="O345" i="19"/>
  <c r="H373" i="19"/>
  <c r="E366" i="19"/>
  <c r="E364" i="19"/>
  <c r="F373" i="19"/>
  <c r="F361" i="19"/>
  <c r="F375" i="19"/>
  <c r="F276" i="19"/>
  <c r="R148" i="19"/>
  <c r="Q148" i="19"/>
  <c r="P149" i="19"/>
  <c r="O149" i="19"/>
  <c r="J363" i="19"/>
  <c r="J376" i="19"/>
  <c r="R163" i="19"/>
  <c r="R172" i="19"/>
  <c r="P227" i="19"/>
  <c r="O227" i="19"/>
  <c r="Q236" i="19"/>
  <c r="R236" i="19"/>
  <c r="P244" i="19"/>
  <c r="O244" i="19"/>
  <c r="P252" i="19"/>
  <c r="O252" i="19"/>
  <c r="P260" i="19"/>
  <c r="O260" i="19"/>
  <c r="P268" i="19"/>
  <c r="O268" i="19"/>
  <c r="P272" i="19"/>
  <c r="O272" i="19"/>
  <c r="H375" i="19"/>
  <c r="H361" i="19"/>
  <c r="L373" i="19"/>
  <c r="L375" i="19"/>
  <c r="L361" i="19"/>
  <c r="L276" i="19"/>
  <c r="H376" i="19"/>
  <c r="H363" i="19"/>
  <c r="L376" i="19"/>
  <c r="O208" i="19"/>
  <c r="P208" i="19"/>
  <c r="Q264" i="19"/>
  <c r="R264" i="19"/>
  <c r="H377" i="19"/>
  <c r="I273" i="19"/>
  <c r="K273" i="19"/>
  <c r="H276" i="19"/>
  <c r="P301" i="19"/>
  <c r="O301" i="19"/>
  <c r="V312" i="19"/>
  <c r="W312" i="19" s="1"/>
  <c r="U312" i="19"/>
  <c r="Q323" i="19"/>
  <c r="R323" i="19"/>
  <c r="P330" i="19"/>
  <c r="O330" i="19"/>
  <c r="F364" i="19"/>
  <c r="F352" i="19"/>
  <c r="S355" i="19"/>
  <c r="T355" i="19"/>
  <c r="E361" i="19"/>
  <c r="E276" i="19"/>
  <c r="I140" i="19"/>
  <c r="M140" i="19"/>
  <c r="E363" i="19"/>
  <c r="I153" i="19"/>
  <c r="M153" i="19"/>
  <c r="P186" i="19"/>
  <c r="P194" i="19"/>
  <c r="P202" i="19"/>
  <c r="O218" i="19"/>
  <c r="P225" i="19"/>
  <c r="P230" i="19"/>
  <c r="O235" i="19"/>
  <c r="P235" i="19"/>
  <c r="P238" i="19"/>
  <c r="O283" i="19"/>
  <c r="P283" i="19"/>
  <c r="P285" i="19"/>
  <c r="O291" i="19"/>
  <c r="P291" i="19"/>
  <c r="Q299" i="19"/>
  <c r="R299" i="19"/>
  <c r="P309" i="19"/>
  <c r="O309" i="19"/>
  <c r="O323" i="19"/>
  <c r="G340" i="19"/>
  <c r="L352" i="19"/>
  <c r="M340" i="19"/>
  <c r="Q355" i="19"/>
  <c r="L364" i="19"/>
  <c r="E373" i="19"/>
  <c r="J377" i="19"/>
  <c r="R331" i="19"/>
  <c r="Q331" i="19"/>
  <c r="I340" i="19"/>
  <c r="H352" i="19"/>
  <c r="S289" i="19"/>
  <c r="V316" i="19"/>
  <c r="W316" i="19" s="1"/>
  <c r="U316" i="19"/>
  <c r="H364" i="19"/>
  <c r="M273" i="19"/>
  <c r="K332" i="19"/>
  <c r="T339" i="19"/>
  <c r="S339" i="19"/>
  <c r="F366" i="19"/>
  <c r="G351" i="19"/>
  <c r="L377" i="19"/>
  <c r="G332" i="19"/>
  <c r="J352" i="19"/>
  <c r="J364" i="19"/>
  <c r="O344" i="19"/>
  <c r="P344" i="19"/>
  <c r="M351" i="19"/>
  <c r="L366" i="19"/>
  <c r="C26" i="17"/>
  <c r="I5" i="17"/>
  <c r="G15" i="21" l="1"/>
  <c r="G18" i="21" s="1"/>
  <c r="I100" i="1"/>
  <c r="J49" i="21"/>
  <c r="J50" i="21" s="1"/>
  <c r="J24" i="21" s="1"/>
  <c r="F10" i="21"/>
  <c r="W350" i="19"/>
  <c r="S48" i="21"/>
  <c r="R341" i="19"/>
  <c r="Q343" i="19"/>
  <c r="X346" i="19"/>
  <c r="L360" i="19"/>
  <c r="J151" i="1"/>
  <c r="J152" i="1" s="1"/>
  <c r="I25" i="21" s="1"/>
  <c r="T9" i="19"/>
  <c r="J16" i="17"/>
  <c r="J19" i="17"/>
  <c r="R26" i="19"/>
  <c r="L116" i="1" s="1"/>
  <c r="J22" i="17"/>
  <c r="T295" i="19"/>
  <c r="U295" i="19" s="1"/>
  <c r="E369" i="19"/>
  <c r="E365" i="19"/>
  <c r="J12" i="17"/>
  <c r="F15" i="21"/>
  <c r="F18" i="21" s="1"/>
  <c r="I15" i="21"/>
  <c r="I18" i="21" s="1"/>
  <c r="T310" i="19"/>
  <c r="V310" i="19" s="1"/>
  <c r="W310" i="19" s="1"/>
  <c r="J25" i="17"/>
  <c r="J20" i="17"/>
  <c r="J24" i="17"/>
  <c r="D26" i="17"/>
  <c r="J6" i="17"/>
  <c r="U314" i="19"/>
  <c r="S200" i="19"/>
  <c r="J7" i="17"/>
  <c r="J13" i="17"/>
  <c r="R23" i="19"/>
  <c r="S23" i="19" s="1"/>
  <c r="J23" i="17"/>
  <c r="J18" i="17"/>
  <c r="T249" i="19"/>
  <c r="V249" i="19" s="1"/>
  <c r="W249" i="19" s="1"/>
  <c r="N366" i="19"/>
  <c r="Q310" i="19"/>
  <c r="J11" i="17"/>
  <c r="J21" i="17"/>
  <c r="Q184" i="19"/>
  <c r="T184" i="19"/>
  <c r="V184" i="19" s="1"/>
  <c r="W184" i="19" s="1"/>
  <c r="T70" i="19"/>
  <c r="U70" i="19" s="1"/>
  <c r="J9" i="17"/>
  <c r="J10" i="17"/>
  <c r="R354" i="19"/>
  <c r="T354" i="19" s="1"/>
  <c r="Q70" i="19"/>
  <c r="T170" i="19"/>
  <c r="V170" i="19" s="1"/>
  <c r="W170" i="19" s="1"/>
  <c r="Q228" i="19"/>
  <c r="J15" i="17"/>
  <c r="S218" i="19"/>
  <c r="U39" i="19"/>
  <c r="J14" i="17"/>
  <c r="Q111" i="19"/>
  <c r="T27" i="19"/>
  <c r="U27" i="19" s="1"/>
  <c r="R10" i="19"/>
  <c r="S10" i="19" s="1"/>
  <c r="S85" i="19"/>
  <c r="J8" i="17"/>
  <c r="U11" i="19"/>
  <c r="S133" i="19"/>
  <c r="Q198" i="19"/>
  <c r="I26" i="17"/>
  <c r="Q249" i="19"/>
  <c r="S116" i="19"/>
  <c r="Q39" i="19"/>
  <c r="S39" i="19"/>
  <c r="T20" i="19"/>
  <c r="U20" i="19" s="1"/>
  <c r="S63" i="19"/>
  <c r="Q256" i="19"/>
  <c r="T171" i="19"/>
  <c r="V171" i="19" s="1"/>
  <c r="W171" i="19" s="1"/>
  <c r="R287" i="19"/>
  <c r="T287" i="19" s="1"/>
  <c r="S119" i="19"/>
  <c r="Q26" i="19"/>
  <c r="Q248" i="19"/>
  <c r="T327" i="19"/>
  <c r="V327" i="19" s="1"/>
  <c r="W327" i="19" s="1"/>
  <c r="Q207" i="19"/>
  <c r="Q73" i="19"/>
  <c r="J365" i="19"/>
  <c r="P275" i="19"/>
  <c r="Q275" i="19" s="1"/>
  <c r="J15" i="21" s="1"/>
  <c r="R197" i="19"/>
  <c r="S197" i="19" s="1"/>
  <c r="S111" i="19"/>
  <c r="S87" i="19"/>
  <c r="R296" i="19"/>
  <c r="S296" i="19" s="1"/>
  <c r="R30" i="19"/>
  <c r="R199" i="19"/>
  <c r="S199" i="19" s="1"/>
  <c r="S98" i="19"/>
  <c r="S103" i="19"/>
  <c r="Q177" i="19"/>
  <c r="S11" i="19"/>
  <c r="S251" i="19"/>
  <c r="R65" i="19"/>
  <c r="T65" i="19" s="1"/>
  <c r="R51" i="19"/>
  <c r="T51" i="19" s="1"/>
  <c r="T128" i="19"/>
  <c r="V128" i="19" s="1"/>
  <c r="W128" i="19" s="1"/>
  <c r="S314" i="19"/>
  <c r="E360" i="19"/>
  <c r="Q307" i="19"/>
  <c r="S313" i="19"/>
  <c r="Q213" i="19"/>
  <c r="Q119" i="19"/>
  <c r="Q87" i="19"/>
  <c r="Q302" i="19"/>
  <c r="R182" i="19"/>
  <c r="T182" i="19" s="1"/>
  <c r="Q193" i="19"/>
  <c r="Q341" i="19"/>
  <c r="S241" i="19"/>
  <c r="Q224" i="19"/>
  <c r="Q200" i="19"/>
  <c r="V178" i="19"/>
  <c r="W178" i="19" s="1"/>
  <c r="S36" i="19"/>
  <c r="Q20" i="19"/>
  <c r="S161" i="19"/>
  <c r="Q123" i="19"/>
  <c r="E367" i="19"/>
  <c r="S57" i="19"/>
  <c r="S337" i="19"/>
  <c r="R220" i="19"/>
  <c r="S220" i="19" s="1"/>
  <c r="S9" i="19"/>
  <c r="T43" i="19"/>
  <c r="V43" i="19" s="1"/>
  <c r="W43" i="19" s="1"/>
  <c r="Q11" i="19"/>
  <c r="J63" i="1"/>
  <c r="H362" i="19"/>
  <c r="R214" i="19"/>
  <c r="S214" i="19" s="1"/>
  <c r="T112" i="19"/>
  <c r="U112" i="19" s="1"/>
  <c r="S77" i="19"/>
  <c r="Q16" i="19"/>
  <c r="T300" i="19"/>
  <c r="Q84" i="19"/>
  <c r="T297" i="19"/>
  <c r="V297" i="19" s="1"/>
  <c r="W297" i="19" s="1"/>
  <c r="Q274" i="19"/>
  <c r="R180" i="19"/>
  <c r="T180" i="19" s="1"/>
  <c r="Q162" i="19"/>
  <c r="R250" i="19"/>
  <c r="T250" i="19" s="1"/>
  <c r="R267" i="19"/>
  <c r="Q267" i="19"/>
  <c r="H365" i="19"/>
  <c r="Q128" i="19"/>
  <c r="S56" i="19"/>
  <c r="Q77" i="19"/>
  <c r="S61" i="19"/>
  <c r="N364" i="19"/>
  <c r="Q98" i="19"/>
  <c r="Q298" i="19"/>
  <c r="R223" i="19"/>
  <c r="S223" i="19" s="1"/>
  <c r="S303" i="19"/>
  <c r="R324" i="19"/>
  <c r="Q324" i="19"/>
  <c r="Q36" i="19"/>
  <c r="V303" i="19"/>
  <c r="W303" i="19" s="1"/>
  <c r="H360" i="19"/>
  <c r="T162" i="19"/>
  <c r="V162" i="19" s="1"/>
  <c r="W162" i="19" s="1"/>
  <c r="Q171" i="19"/>
  <c r="R212" i="19"/>
  <c r="T212" i="19" s="1"/>
  <c r="T84" i="19"/>
  <c r="V84" i="19" s="1"/>
  <c r="W84" i="19" s="1"/>
  <c r="Q56" i="19"/>
  <c r="R215" i="19"/>
  <c r="Q348" i="19"/>
  <c r="Q241" i="19"/>
  <c r="S305" i="19"/>
  <c r="Q246" i="19"/>
  <c r="Q222" i="19"/>
  <c r="Q57" i="19"/>
  <c r="Q300" i="19"/>
  <c r="Q314" i="19"/>
  <c r="S228" i="19"/>
  <c r="T228" i="19"/>
  <c r="U228" i="19" s="1"/>
  <c r="R233" i="19"/>
  <c r="Q233" i="19"/>
  <c r="Q265" i="19"/>
  <c r="R216" i="19"/>
  <c r="S216" i="19" s="1"/>
  <c r="Q335" i="19"/>
  <c r="T222" i="19"/>
  <c r="U222" i="19" s="1"/>
  <c r="Q173" i="19"/>
  <c r="R290" i="19"/>
  <c r="S322" i="19"/>
  <c r="T322" i="19"/>
  <c r="U346" i="19"/>
  <c r="S343" i="19"/>
  <c r="N352" i="19"/>
  <c r="O352" i="19" s="1"/>
  <c r="Q257" i="19"/>
  <c r="T265" i="19"/>
  <c r="U265" i="19" s="1"/>
  <c r="S257" i="19"/>
  <c r="P340" i="19"/>
  <c r="Q340" i="19" s="1"/>
  <c r="Q181" i="19"/>
  <c r="R64" i="19"/>
  <c r="S64" i="19" s="1"/>
  <c r="Q52" i="19"/>
  <c r="S129" i="19"/>
  <c r="Q66" i="19"/>
  <c r="Q192" i="19"/>
  <c r="Q166" i="19"/>
  <c r="T288" i="19"/>
  <c r="R243" i="19"/>
  <c r="Q243" i="19"/>
  <c r="O340" i="19"/>
  <c r="R191" i="19"/>
  <c r="S191" i="19" s="1"/>
  <c r="V167" i="19"/>
  <c r="W167" i="19" s="1"/>
  <c r="T79" i="19"/>
  <c r="U79" i="19" s="1"/>
  <c r="Q30" i="19"/>
  <c r="S123" i="19"/>
  <c r="Q259" i="19"/>
  <c r="R259" i="19"/>
  <c r="R320" i="19"/>
  <c r="Q320" i="19"/>
  <c r="R100" i="19"/>
  <c r="Q100" i="19"/>
  <c r="T302" i="19"/>
  <c r="S302" i="19"/>
  <c r="S166" i="19"/>
  <c r="T166" i="19"/>
  <c r="Q321" i="19"/>
  <c r="R321" i="19"/>
  <c r="S177" i="19"/>
  <c r="T177" i="19"/>
  <c r="Q185" i="19"/>
  <c r="R185" i="19"/>
  <c r="S178" i="19"/>
  <c r="S167" i="19"/>
  <c r="R160" i="19"/>
  <c r="T160" i="19" s="1"/>
  <c r="Q78" i="19"/>
  <c r="T78" i="19"/>
  <c r="V78" i="19" s="1"/>
  <c r="W78" i="19" s="1"/>
  <c r="U47" i="19"/>
  <c r="Q319" i="19"/>
  <c r="R319" i="19"/>
  <c r="R342" i="19"/>
  <c r="Q342" i="19"/>
  <c r="S304" i="19"/>
  <c r="T304" i="19"/>
  <c r="Q349" i="19"/>
  <c r="R349" i="19"/>
  <c r="S298" i="19"/>
  <c r="T298" i="19"/>
  <c r="S294" i="19"/>
  <c r="T294" i="19"/>
  <c r="T306" i="19"/>
  <c r="S306" i="19"/>
  <c r="Q284" i="19"/>
  <c r="R284" i="19"/>
  <c r="Q120" i="19"/>
  <c r="R120" i="19"/>
  <c r="Q110" i="19"/>
  <c r="R110" i="19"/>
  <c r="T192" i="19"/>
  <c r="U192" i="19" s="1"/>
  <c r="Q164" i="19"/>
  <c r="P140" i="19"/>
  <c r="Q24" i="19"/>
  <c r="Q209" i="19"/>
  <c r="R209" i="19"/>
  <c r="Q127" i="19"/>
  <c r="R127" i="19"/>
  <c r="V338" i="19"/>
  <c r="W338" i="19" s="1"/>
  <c r="U338" i="19"/>
  <c r="R40" i="19"/>
  <c r="Q40" i="19"/>
  <c r="R318" i="19"/>
  <c r="Q318" i="19"/>
  <c r="Q44" i="19"/>
  <c r="R44" i="19"/>
  <c r="R45" i="19"/>
  <c r="Q45" i="19"/>
  <c r="R232" i="19"/>
  <c r="S232" i="19" s="1"/>
  <c r="Q63" i="19"/>
  <c r="Q61" i="19"/>
  <c r="T311" i="19"/>
  <c r="S311" i="19"/>
  <c r="S308" i="19"/>
  <c r="T308" i="19"/>
  <c r="R169" i="19"/>
  <c r="Q169" i="19"/>
  <c r="R131" i="19"/>
  <c r="Q131" i="19"/>
  <c r="T292" i="19"/>
  <c r="S292" i="19"/>
  <c r="Q201" i="19"/>
  <c r="R201" i="19"/>
  <c r="R118" i="19"/>
  <c r="Q118" i="19"/>
  <c r="Q344" i="19"/>
  <c r="R344" i="19"/>
  <c r="U339" i="19"/>
  <c r="V339" i="19"/>
  <c r="W339" i="19" s="1"/>
  <c r="Q309" i="19"/>
  <c r="R309" i="19"/>
  <c r="Q285" i="19"/>
  <c r="R285" i="19"/>
  <c r="R235" i="19"/>
  <c r="Q235" i="19"/>
  <c r="Q225" i="19"/>
  <c r="R225" i="19"/>
  <c r="Q186" i="19"/>
  <c r="R186" i="19"/>
  <c r="V305" i="19"/>
  <c r="W305" i="19" s="1"/>
  <c r="U305" i="19"/>
  <c r="T172" i="19"/>
  <c r="S172" i="19"/>
  <c r="R149" i="19"/>
  <c r="Q149" i="19"/>
  <c r="R190" i="19"/>
  <c r="Q190" i="19"/>
  <c r="P273" i="19"/>
  <c r="S142" i="19"/>
  <c r="T142" i="19"/>
  <c r="Q221" i="19"/>
  <c r="R221" i="19"/>
  <c r="R145" i="19"/>
  <c r="Q145" i="19"/>
  <c r="V98" i="19"/>
  <c r="W98" i="19" s="1"/>
  <c r="U98" i="19"/>
  <c r="Q55" i="19"/>
  <c r="R55" i="19"/>
  <c r="Q50" i="19"/>
  <c r="R50" i="19"/>
  <c r="V36" i="19"/>
  <c r="W36" i="19" s="1"/>
  <c r="U36" i="19"/>
  <c r="F367" i="19"/>
  <c r="G105" i="19"/>
  <c r="I105" i="19"/>
  <c r="V21" i="19"/>
  <c r="W21" i="19" s="1"/>
  <c r="U21" i="19"/>
  <c r="T258" i="19"/>
  <c r="S258" i="19"/>
  <c r="T240" i="19"/>
  <c r="S240" i="19"/>
  <c r="N373" i="19"/>
  <c r="N375" i="19"/>
  <c r="N361" i="19"/>
  <c r="N276" i="19"/>
  <c r="O140" i="19"/>
  <c r="M105" i="19"/>
  <c r="T99" i="19"/>
  <c r="S99" i="19"/>
  <c r="T93" i="19"/>
  <c r="S93" i="19"/>
  <c r="V86" i="19"/>
  <c r="W86" i="19" s="1"/>
  <c r="U86" i="19"/>
  <c r="T54" i="19"/>
  <c r="S54" i="19"/>
  <c r="K105" i="19"/>
  <c r="S173" i="19"/>
  <c r="T173" i="19"/>
  <c r="R147" i="19"/>
  <c r="Q147" i="19"/>
  <c r="V132" i="19"/>
  <c r="W132" i="19" s="1"/>
  <c r="U132" i="19"/>
  <c r="V123" i="19"/>
  <c r="W123" i="19" s="1"/>
  <c r="U123" i="19"/>
  <c r="V119" i="19"/>
  <c r="W119" i="19" s="1"/>
  <c r="U119" i="19"/>
  <c r="V115" i="19"/>
  <c r="W115" i="19" s="1"/>
  <c r="U115" i="19"/>
  <c r="V111" i="19"/>
  <c r="W111" i="19" s="1"/>
  <c r="U111" i="19"/>
  <c r="U96" i="19"/>
  <c r="V96" i="19"/>
  <c r="W96" i="19" s="1"/>
  <c r="T71" i="19"/>
  <c r="S71" i="19"/>
  <c r="Q60" i="19"/>
  <c r="R60" i="19"/>
  <c r="S22" i="19"/>
  <c r="T22" i="19"/>
  <c r="Q18" i="19"/>
  <c r="R18" i="19"/>
  <c r="Q13" i="19"/>
  <c r="R13" i="19"/>
  <c r="Q286" i="19"/>
  <c r="R286" i="19"/>
  <c r="V87" i="19"/>
  <c r="W87" i="19" s="1"/>
  <c r="U87" i="19"/>
  <c r="V57" i="19"/>
  <c r="W57" i="19" s="1"/>
  <c r="U57" i="19"/>
  <c r="L367" i="19"/>
  <c r="H368" i="19"/>
  <c r="H369" i="19"/>
  <c r="I352" i="19"/>
  <c r="T331" i="19"/>
  <c r="S331" i="19"/>
  <c r="M352" i="19"/>
  <c r="L369" i="19"/>
  <c r="L368" i="19"/>
  <c r="P332" i="19"/>
  <c r="Q332" i="19" s="1"/>
  <c r="R283" i="19"/>
  <c r="Q283" i="19"/>
  <c r="U251" i="19"/>
  <c r="V251" i="19"/>
  <c r="W251" i="19" s="1"/>
  <c r="S264" i="19"/>
  <c r="T264" i="19"/>
  <c r="S256" i="19"/>
  <c r="T256" i="19"/>
  <c r="S248" i="19"/>
  <c r="T248" i="19"/>
  <c r="Q208" i="19"/>
  <c r="R208" i="19"/>
  <c r="L362" i="19"/>
  <c r="T307" i="19"/>
  <c r="S307" i="19"/>
  <c r="Q272" i="19"/>
  <c r="R272" i="19"/>
  <c r="Q260" i="19"/>
  <c r="R260" i="19"/>
  <c r="Q244" i="19"/>
  <c r="R244" i="19"/>
  <c r="Q227" i="19"/>
  <c r="R227" i="19"/>
  <c r="J362" i="19"/>
  <c r="T262" i="19"/>
  <c r="S262" i="19"/>
  <c r="T246" i="19"/>
  <c r="S246" i="19"/>
  <c r="R206" i="19"/>
  <c r="Q206" i="19"/>
  <c r="Q187" i="19"/>
  <c r="R187" i="19"/>
  <c r="Q156" i="19"/>
  <c r="P157" i="19"/>
  <c r="Q157" i="19" s="1"/>
  <c r="R156" i="19"/>
  <c r="Q152" i="19"/>
  <c r="R152" i="19"/>
  <c r="Q143" i="19"/>
  <c r="R143" i="19"/>
  <c r="J370" i="19"/>
  <c r="J333" i="19"/>
  <c r="K276" i="19"/>
  <c r="V329" i="19"/>
  <c r="W329" i="19" s="1"/>
  <c r="U329" i="19"/>
  <c r="Q269" i="19"/>
  <c r="R269" i="19"/>
  <c r="Q253" i="19"/>
  <c r="R253" i="19"/>
  <c r="Q234" i="19"/>
  <c r="R234" i="19"/>
  <c r="S205" i="19"/>
  <c r="T205" i="19"/>
  <c r="S72" i="19"/>
  <c r="T72" i="19"/>
  <c r="Q48" i="19"/>
  <c r="R48" i="19"/>
  <c r="S213" i="19"/>
  <c r="T213" i="19"/>
  <c r="Q175" i="19"/>
  <c r="R175" i="19"/>
  <c r="Q165" i="19"/>
  <c r="R165" i="19"/>
  <c r="R92" i="19"/>
  <c r="Q92" i="19"/>
  <c r="R82" i="19"/>
  <c r="Q82" i="19"/>
  <c r="R53" i="19"/>
  <c r="Q53" i="19"/>
  <c r="T38" i="19"/>
  <c r="S38" i="19"/>
  <c r="R255" i="19"/>
  <c r="Q255" i="19"/>
  <c r="S90" i="19"/>
  <c r="T90" i="19"/>
  <c r="U85" i="19"/>
  <c r="V85" i="19"/>
  <c r="W85" i="19" s="1"/>
  <c r="V35" i="19"/>
  <c r="W35" i="19" s="1"/>
  <c r="U35" i="19"/>
  <c r="Q12" i="19"/>
  <c r="R12" i="19"/>
  <c r="R263" i="19"/>
  <c r="Q263" i="19"/>
  <c r="T146" i="19"/>
  <c r="S146" i="19"/>
  <c r="U133" i="19"/>
  <c r="V133" i="19"/>
  <c r="W133" i="19" s="1"/>
  <c r="U129" i="19"/>
  <c r="V129" i="19"/>
  <c r="W129" i="19" s="1"/>
  <c r="U124" i="19"/>
  <c r="V124" i="19"/>
  <c r="W124" i="19" s="1"/>
  <c r="U116" i="19"/>
  <c r="V116" i="19"/>
  <c r="W116" i="19" s="1"/>
  <c r="U103" i="19"/>
  <c r="V103" i="19"/>
  <c r="W103" i="19" s="1"/>
  <c r="T74" i="19"/>
  <c r="S74" i="19"/>
  <c r="V69" i="19"/>
  <c r="W69" i="19" s="1"/>
  <c r="U69" i="19"/>
  <c r="S66" i="19"/>
  <c r="T66" i="19"/>
  <c r="U37" i="19"/>
  <c r="V37" i="19"/>
  <c r="W37" i="19" s="1"/>
  <c r="V19" i="19"/>
  <c r="W19" i="19" s="1"/>
  <c r="U19" i="19"/>
  <c r="S16" i="19"/>
  <c r="T16" i="19"/>
  <c r="V337" i="19"/>
  <c r="W337" i="19" s="1"/>
  <c r="U337" i="19"/>
  <c r="L365" i="19"/>
  <c r="T299" i="19"/>
  <c r="S299" i="19"/>
  <c r="R291" i="19"/>
  <c r="Q291" i="19"/>
  <c r="Q202" i="19"/>
  <c r="R202" i="19"/>
  <c r="V355" i="19"/>
  <c r="W355" i="19" s="1"/>
  <c r="U355" i="19"/>
  <c r="F365" i="19"/>
  <c r="Q330" i="19"/>
  <c r="R330" i="19"/>
  <c r="Q301" i="19"/>
  <c r="R301" i="19"/>
  <c r="L333" i="19"/>
  <c r="M276" i="19"/>
  <c r="L370" i="19"/>
  <c r="S274" i="19"/>
  <c r="R275" i="19"/>
  <c r="T274" i="19"/>
  <c r="S236" i="19"/>
  <c r="T236" i="19"/>
  <c r="T207" i="19"/>
  <c r="S207" i="19"/>
  <c r="T148" i="19"/>
  <c r="S148" i="19"/>
  <c r="F360" i="19"/>
  <c r="Q325" i="19"/>
  <c r="R325" i="19"/>
  <c r="Q203" i="19"/>
  <c r="R203" i="19"/>
  <c r="Q188" i="19"/>
  <c r="R188" i="19"/>
  <c r="J360" i="19"/>
  <c r="N377" i="19"/>
  <c r="O273" i="19"/>
  <c r="G10" i="21" s="1"/>
  <c r="T144" i="19"/>
  <c r="S144" i="19"/>
  <c r="S198" i="19"/>
  <c r="T198" i="19"/>
  <c r="S181" i="19"/>
  <c r="T181" i="19"/>
  <c r="S97" i="19"/>
  <c r="T97" i="19"/>
  <c r="Q94" i="19"/>
  <c r="R94" i="19"/>
  <c r="V28" i="19"/>
  <c r="W28" i="19" s="1"/>
  <c r="U28" i="19"/>
  <c r="R247" i="19"/>
  <c r="Q247" i="19"/>
  <c r="T138" i="19"/>
  <c r="S138" i="19"/>
  <c r="V95" i="19"/>
  <c r="W95" i="19" s="1"/>
  <c r="U95" i="19"/>
  <c r="V56" i="19"/>
  <c r="W56" i="19" s="1"/>
  <c r="U56" i="19"/>
  <c r="Q34" i="19"/>
  <c r="P104" i="19"/>
  <c r="Q104" i="19" s="1"/>
  <c r="R34" i="19"/>
  <c r="Q317" i="19"/>
  <c r="R317" i="19"/>
  <c r="U218" i="19"/>
  <c r="V218" i="19"/>
  <c r="W218" i="19" s="1"/>
  <c r="S164" i="19"/>
  <c r="T164" i="19"/>
  <c r="V136" i="19"/>
  <c r="W136" i="19" s="1"/>
  <c r="U136" i="19"/>
  <c r="V130" i="19"/>
  <c r="W130" i="19" s="1"/>
  <c r="U130" i="19"/>
  <c r="V126" i="19"/>
  <c r="W126" i="19" s="1"/>
  <c r="U126" i="19"/>
  <c r="V121" i="19"/>
  <c r="W121" i="19" s="1"/>
  <c r="U121" i="19"/>
  <c r="V117" i="19"/>
  <c r="W117" i="19" s="1"/>
  <c r="U117" i="19"/>
  <c r="V113" i="19"/>
  <c r="W113" i="19" s="1"/>
  <c r="U113" i="19"/>
  <c r="T109" i="19"/>
  <c r="S109" i="19"/>
  <c r="S80" i="19"/>
  <c r="T80" i="19"/>
  <c r="Q76" i="19"/>
  <c r="R76" i="19"/>
  <c r="S42" i="19"/>
  <c r="T42" i="19"/>
  <c r="N105" i="19"/>
  <c r="F30" i="21" s="1"/>
  <c r="O31" i="19"/>
  <c r="T14" i="19"/>
  <c r="S14" i="19"/>
  <c r="S46" i="19"/>
  <c r="T46" i="19"/>
  <c r="J369" i="19"/>
  <c r="K352" i="19"/>
  <c r="J368" i="19"/>
  <c r="Q238" i="19"/>
  <c r="R238" i="19"/>
  <c r="R230" i="19"/>
  <c r="Q230" i="19"/>
  <c r="R194" i="19"/>
  <c r="Q194" i="19"/>
  <c r="E333" i="19"/>
  <c r="E353" i="19" s="1"/>
  <c r="E357" i="19" s="1"/>
  <c r="E372" i="19" s="1"/>
  <c r="E370" i="19"/>
  <c r="F368" i="19"/>
  <c r="F369" i="19"/>
  <c r="G352" i="19"/>
  <c r="T323" i="19"/>
  <c r="S323" i="19"/>
  <c r="H370" i="19"/>
  <c r="H333" i="19"/>
  <c r="I276" i="19"/>
  <c r="V257" i="19"/>
  <c r="W257" i="19" s="1"/>
  <c r="U257" i="19"/>
  <c r="V241" i="19"/>
  <c r="W241" i="19" s="1"/>
  <c r="U241" i="19"/>
  <c r="Q268" i="19"/>
  <c r="R268" i="19"/>
  <c r="Q252" i="19"/>
  <c r="R252" i="19"/>
  <c r="T163" i="19"/>
  <c r="S163" i="19"/>
  <c r="F370" i="19"/>
  <c r="G276" i="19"/>
  <c r="F333" i="19"/>
  <c r="F362" i="19"/>
  <c r="P31" i="19"/>
  <c r="Q345" i="19"/>
  <c r="T254" i="19"/>
  <c r="S254" i="19"/>
  <c r="S224" i="19"/>
  <c r="T224" i="19"/>
  <c r="Q204" i="19"/>
  <c r="R204" i="19"/>
  <c r="N376" i="19"/>
  <c r="N363" i="19"/>
  <c r="O153" i="19"/>
  <c r="S151" i="19"/>
  <c r="T151" i="19"/>
  <c r="P153" i="19"/>
  <c r="Q137" i="19"/>
  <c r="R137" i="19"/>
  <c r="R340" i="19"/>
  <c r="S335" i="19"/>
  <c r="T335" i="19"/>
  <c r="V313" i="19"/>
  <c r="W313" i="19" s="1"/>
  <c r="U313" i="19"/>
  <c r="Q261" i="19"/>
  <c r="R261" i="19"/>
  <c r="Q245" i="19"/>
  <c r="R245" i="19"/>
  <c r="S229" i="19"/>
  <c r="T229" i="19"/>
  <c r="Q210" i="19"/>
  <c r="R210" i="19"/>
  <c r="U200" i="19"/>
  <c r="V200" i="19"/>
  <c r="W200" i="19" s="1"/>
  <c r="S189" i="19"/>
  <c r="T189" i="19"/>
  <c r="R217" i="19"/>
  <c r="Q217" i="19"/>
  <c r="Q196" i="19"/>
  <c r="R196" i="19"/>
  <c r="Q179" i="19"/>
  <c r="R179" i="19"/>
  <c r="Q83" i="19"/>
  <c r="R83" i="19"/>
  <c r="S15" i="19"/>
  <c r="T15" i="19"/>
  <c r="Q315" i="19"/>
  <c r="R315" i="19"/>
  <c r="Q195" i="19"/>
  <c r="R195" i="19"/>
  <c r="U161" i="19"/>
  <c r="V161" i="19"/>
  <c r="W161" i="19" s="1"/>
  <c r="Q101" i="19"/>
  <c r="R101" i="19"/>
  <c r="V63" i="19"/>
  <c r="W63" i="19" s="1"/>
  <c r="U63" i="19"/>
  <c r="T266" i="19"/>
  <c r="S266" i="19"/>
  <c r="R226" i="19"/>
  <c r="Q226" i="19"/>
  <c r="Q68" i="19"/>
  <c r="R68" i="19"/>
  <c r="S52" i="19"/>
  <c r="T52" i="19"/>
  <c r="R25" i="19"/>
  <c r="Q25" i="19"/>
  <c r="P351" i="19"/>
  <c r="T242" i="19"/>
  <c r="S242" i="19"/>
  <c r="T193" i="19"/>
  <c r="S193" i="19"/>
  <c r="R139" i="19"/>
  <c r="Q139" i="19"/>
  <c r="U122" i="19"/>
  <c r="V122" i="19"/>
  <c r="W122" i="19" s="1"/>
  <c r="U114" i="19"/>
  <c r="V114" i="19"/>
  <c r="W114" i="19" s="1"/>
  <c r="V77" i="19"/>
  <c r="W77" i="19" s="1"/>
  <c r="U77" i="19"/>
  <c r="S73" i="19"/>
  <c r="T73" i="19"/>
  <c r="T67" i="19"/>
  <c r="S67" i="19"/>
  <c r="V61" i="19"/>
  <c r="W61" i="19" s="1"/>
  <c r="U61" i="19"/>
  <c r="S24" i="19"/>
  <c r="T24" i="19"/>
  <c r="T17" i="19"/>
  <c r="S17" i="19"/>
  <c r="J5" i="17"/>
  <c r="K100" i="1" l="1"/>
  <c r="M49" i="21"/>
  <c r="S341" i="19"/>
  <c r="I10" i="21"/>
  <c r="T341" i="19"/>
  <c r="V341" i="19" s="1"/>
  <c r="M50" i="21"/>
  <c r="M24" i="21" s="1"/>
  <c r="U348" i="19"/>
  <c r="S348" i="19"/>
  <c r="F43" i="1"/>
  <c r="F90" i="1"/>
  <c r="C12" i="21" s="1"/>
  <c r="U9" i="19"/>
  <c r="L151" i="1"/>
  <c r="L152" i="1" s="1"/>
  <c r="L25" i="21" s="1"/>
  <c r="N360" i="19"/>
  <c r="V9" i="19"/>
  <c r="L15" i="21"/>
  <c r="L18" i="21" s="1"/>
  <c r="S354" i="19"/>
  <c r="J18" i="21"/>
  <c r="V295" i="19"/>
  <c r="W295" i="19" s="1"/>
  <c r="D28" i="17"/>
  <c r="D29" i="17" s="1"/>
  <c r="S26" i="19"/>
  <c r="T26" i="19"/>
  <c r="N116" i="1" s="1"/>
  <c r="T23" i="19"/>
  <c r="V23" i="19" s="1"/>
  <c r="W23" i="19" s="1"/>
  <c r="U310" i="19"/>
  <c r="U170" i="19"/>
  <c r="U249" i="19"/>
  <c r="V20" i="19"/>
  <c r="W20" i="19" s="1"/>
  <c r="V265" i="19"/>
  <c r="W265" i="19" s="1"/>
  <c r="V70" i="19"/>
  <c r="W70" i="19" s="1"/>
  <c r="U184" i="19"/>
  <c r="S287" i="19"/>
  <c r="U84" i="19"/>
  <c r="J26" i="17"/>
  <c r="S180" i="19"/>
  <c r="T199" i="19"/>
  <c r="U199" i="19" s="1"/>
  <c r="U327" i="19"/>
  <c r="S182" i="19"/>
  <c r="T10" i="19"/>
  <c r="U10" i="19" s="1"/>
  <c r="S51" i="19"/>
  <c r="V112" i="19"/>
  <c r="W112" i="19" s="1"/>
  <c r="U128" i="19"/>
  <c r="V27" i="19"/>
  <c r="W27" i="19" s="1"/>
  <c r="U171" i="19"/>
  <c r="T64" i="19"/>
  <c r="U64" i="19" s="1"/>
  <c r="T30" i="19"/>
  <c r="T197" i="19"/>
  <c r="V197" i="19" s="1"/>
  <c r="W197" i="19" s="1"/>
  <c r="S65" i="19"/>
  <c r="T296" i="19"/>
  <c r="V296" i="19" s="1"/>
  <c r="W296" i="19" s="1"/>
  <c r="S30" i="19"/>
  <c r="T220" i="19"/>
  <c r="U220" i="19" s="1"/>
  <c r="S275" i="19"/>
  <c r="M15" i="21" s="1"/>
  <c r="S212" i="19"/>
  <c r="T214" i="19"/>
  <c r="V214" i="19" s="1"/>
  <c r="W214" i="19" s="1"/>
  <c r="U43" i="19"/>
  <c r="L63" i="1"/>
  <c r="T191" i="19"/>
  <c r="V191" i="19" s="1"/>
  <c r="W191" i="19" s="1"/>
  <c r="N368" i="19"/>
  <c r="P361" i="19"/>
  <c r="S250" i="19"/>
  <c r="V79" i="19"/>
  <c r="W79" i="19" s="1"/>
  <c r="T216" i="19"/>
  <c r="U216" i="19" s="1"/>
  <c r="U297" i="19"/>
  <c r="U162" i="19"/>
  <c r="T223" i="19"/>
  <c r="V223" i="19" s="1"/>
  <c r="W223" i="19" s="1"/>
  <c r="V300" i="19"/>
  <c r="W300" i="19" s="1"/>
  <c r="U300" i="19"/>
  <c r="V228" i="19"/>
  <c r="W228" i="19" s="1"/>
  <c r="T232" i="19"/>
  <c r="U232" i="19" s="1"/>
  <c r="S267" i="19"/>
  <c r="T267" i="19"/>
  <c r="T215" i="19"/>
  <c r="S215" i="19"/>
  <c r="U78" i="19"/>
  <c r="V222" i="19"/>
  <c r="W222" i="19" s="1"/>
  <c r="W348" i="19"/>
  <c r="V192" i="19"/>
  <c r="W192" i="19" s="1"/>
  <c r="P364" i="19"/>
  <c r="T343" i="19"/>
  <c r="P47" i="21" s="1"/>
  <c r="T324" i="19"/>
  <c r="S324" i="19"/>
  <c r="T290" i="19"/>
  <c r="S290" i="19"/>
  <c r="T233" i="19"/>
  <c r="S233" i="19"/>
  <c r="S160" i="19"/>
  <c r="R31" i="19"/>
  <c r="S31" i="19" s="1"/>
  <c r="R140" i="19"/>
  <c r="V288" i="19"/>
  <c r="W288" i="19" s="1"/>
  <c r="U288" i="19"/>
  <c r="P375" i="19"/>
  <c r="S243" i="19"/>
  <c r="T243" i="19"/>
  <c r="V322" i="19"/>
  <c r="W322" i="19" s="1"/>
  <c r="U322" i="19"/>
  <c r="T201" i="19"/>
  <c r="S201" i="19"/>
  <c r="V308" i="19"/>
  <c r="W308" i="19" s="1"/>
  <c r="U308" i="19"/>
  <c r="T131" i="19"/>
  <c r="S131" i="19"/>
  <c r="S44" i="19"/>
  <c r="T44" i="19"/>
  <c r="T209" i="19"/>
  <c r="S209" i="19"/>
  <c r="U306" i="19"/>
  <c r="V306" i="19"/>
  <c r="W306" i="19" s="1"/>
  <c r="U302" i="19"/>
  <c r="V302" i="19"/>
  <c r="W302" i="19" s="1"/>
  <c r="T320" i="19"/>
  <c r="S320" i="19"/>
  <c r="N369" i="19"/>
  <c r="Q140" i="19"/>
  <c r="S318" i="19"/>
  <c r="T318" i="19"/>
  <c r="T120" i="19"/>
  <c r="S120" i="19"/>
  <c r="V294" i="19"/>
  <c r="W294" i="19" s="1"/>
  <c r="U294" i="19"/>
  <c r="S349" i="19"/>
  <c r="T349" i="19"/>
  <c r="V177" i="19"/>
  <c r="W177" i="19" s="1"/>
  <c r="U177" i="19"/>
  <c r="V166" i="19"/>
  <c r="W166" i="19" s="1"/>
  <c r="U166" i="19"/>
  <c r="T259" i="19"/>
  <c r="S259" i="19"/>
  <c r="S45" i="19"/>
  <c r="T45" i="19"/>
  <c r="S40" i="19"/>
  <c r="T40" i="19"/>
  <c r="T110" i="19"/>
  <c r="S110" i="19"/>
  <c r="T284" i="19"/>
  <c r="S284" i="19"/>
  <c r="V298" i="19"/>
  <c r="W298" i="19" s="1"/>
  <c r="U298" i="19"/>
  <c r="V304" i="19"/>
  <c r="W304" i="19" s="1"/>
  <c r="U304" i="19"/>
  <c r="T319" i="19"/>
  <c r="S319" i="19"/>
  <c r="T185" i="19"/>
  <c r="S185" i="19"/>
  <c r="T321" i="19"/>
  <c r="S321" i="19"/>
  <c r="T118" i="19"/>
  <c r="S118" i="19"/>
  <c r="V292" i="19"/>
  <c r="W292" i="19" s="1"/>
  <c r="U292" i="19"/>
  <c r="S169" i="19"/>
  <c r="T169" i="19"/>
  <c r="U311" i="19"/>
  <c r="V311" i="19"/>
  <c r="W311" i="19" s="1"/>
  <c r="T127" i="19"/>
  <c r="S127" i="19"/>
  <c r="T342" i="19"/>
  <c r="S342" i="19"/>
  <c r="S100" i="19"/>
  <c r="T100" i="19"/>
  <c r="V67" i="19"/>
  <c r="W67" i="19" s="1"/>
  <c r="U67" i="19"/>
  <c r="U193" i="19"/>
  <c r="V193" i="19"/>
  <c r="W193" i="19" s="1"/>
  <c r="V52" i="19"/>
  <c r="W52" i="19" s="1"/>
  <c r="U52" i="19"/>
  <c r="T195" i="19"/>
  <c r="S195" i="19"/>
  <c r="V15" i="19"/>
  <c r="W15" i="19" s="1"/>
  <c r="U15" i="19"/>
  <c r="S179" i="19"/>
  <c r="T179" i="19"/>
  <c r="U189" i="19"/>
  <c r="V189" i="19"/>
  <c r="W189" i="19" s="1"/>
  <c r="S210" i="19"/>
  <c r="T210" i="19"/>
  <c r="S245" i="19"/>
  <c r="T245" i="19"/>
  <c r="S340" i="19"/>
  <c r="V151" i="19"/>
  <c r="W151" i="19" s="1"/>
  <c r="U151" i="19"/>
  <c r="S204" i="19"/>
  <c r="T204" i="19"/>
  <c r="S345" i="19"/>
  <c r="F353" i="19"/>
  <c r="G333" i="19"/>
  <c r="U163" i="19"/>
  <c r="V163" i="19"/>
  <c r="W163" i="19" s="1"/>
  <c r="S194" i="19"/>
  <c r="T194" i="19"/>
  <c r="U42" i="19"/>
  <c r="V42" i="19"/>
  <c r="W42" i="19" s="1"/>
  <c r="U80" i="19"/>
  <c r="V80" i="19"/>
  <c r="W80" i="19" s="1"/>
  <c r="U97" i="19"/>
  <c r="V97" i="19"/>
  <c r="W97" i="19" s="1"/>
  <c r="V198" i="19"/>
  <c r="W198" i="19" s="1"/>
  <c r="U198" i="19"/>
  <c r="U236" i="19"/>
  <c r="V236" i="19"/>
  <c r="W236" i="19" s="1"/>
  <c r="T301" i="19"/>
  <c r="S301" i="19"/>
  <c r="T330" i="19"/>
  <c r="S330" i="19"/>
  <c r="S291" i="19"/>
  <c r="T291" i="19"/>
  <c r="V16" i="19"/>
  <c r="W16" i="19" s="1"/>
  <c r="U16" i="19"/>
  <c r="S12" i="19"/>
  <c r="T12" i="19"/>
  <c r="U90" i="19"/>
  <c r="V90" i="19"/>
  <c r="W90" i="19" s="1"/>
  <c r="U38" i="19"/>
  <c r="V38" i="19"/>
  <c r="W38" i="19" s="1"/>
  <c r="S92" i="19"/>
  <c r="T92" i="19"/>
  <c r="U250" i="19"/>
  <c r="V250" i="19"/>
  <c r="W250" i="19" s="1"/>
  <c r="U212" i="19"/>
  <c r="V212" i="19"/>
  <c r="W212" i="19" s="1"/>
  <c r="T143" i="19"/>
  <c r="S143" i="19"/>
  <c r="R157" i="19"/>
  <c r="S157" i="19" s="1"/>
  <c r="T156" i="19"/>
  <c r="S156" i="19"/>
  <c r="U262" i="19"/>
  <c r="V262" i="19"/>
  <c r="W262" i="19" s="1"/>
  <c r="T244" i="19"/>
  <c r="S244" i="19"/>
  <c r="T272" i="19"/>
  <c r="S272" i="19"/>
  <c r="S283" i="19"/>
  <c r="R332" i="19"/>
  <c r="S332" i="19" s="1"/>
  <c r="T283" i="19"/>
  <c r="V331" i="19"/>
  <c r="W331" i="19" s="1"/>
  <c r="U331" i="19"/>
  <c r="T13" i="19"/>
  <c r="S13" i="19"/>
  <c r="U22" i="19"/>
  <c r="V22" i="19"/>
  <c r="W22" i="19" s="1"/>
  <c r="T60" i="19"/>
  <c r="S60" i="19"/>
  <c r="V173" i="19"/>
  <c r="W173" i="19" s="1"/>
  <c r="U173" i="19"/>
  <c r="U258" i="19"/>
  <c r="V258" i="19"/>
  <c r="W258" i="19" s="1"/>
  <c r="P377" i="19"/>
  <c r="Q273" i="19"/>
  <c r="J10" i="21" s="1"/>
  <c r="T149" i="19"/>
  <c r="S149" i="19"/>
  <c r="U172" i="19"/>
  <c r="V172" i="19"/>
  <c r="W172" i="19" s="1"/>
  <c r="S235" i="19"/>
  <c r="T235" i="19"/>
  <c r="U354" i="19"/>
  <c r="V354" i="19"/>
  <c r="W354" i="19" s="1"/>
  <c r="V73" i="19"/>
  <c r="W73" i="19" s="1"/>
  <c r="U73" i="19"/>
  <c r="S25" i="19"/>
  <c r="T25" i="19"/>
  <c r="S226" i="19"/>
  <c r="T226" i="19"/>
  <c r="S217" i="19"/>
  <c r="T217" i="19"/>
  <c r="T137" i="19"/>
  <c r="S137" i="19"/>
  <c r="V160" i="19"/>
  <c r="U160" i="19"/>
  <c r="T252" i="19"/>
  <c r="S252" i="19"/>
  <c r="V323" i="19"/>
  <c r="W323" i="19" s="1"/>
  <c r="U323" i="19"/>
  <c r="V164" i="19"/>
  <c r="W164" i="19" s="1"/>
  <c r="U164" i="19"/>
  <c r="T317" i="19"/>
  <c r="S317" i="19"/>
  <c r="T203" i="19"/>
  <c r="S203" i="19"/>
  <c r="T325" i="19"/>
  <c r="S325" i="19"/>
  <c r="V148" i="19"/>
  <c r="W148" i="19" s="1"/>
  <c r="U148" i="19"/>
  <c r="U207" i="19"/>
  <c r="V207" i="19"/>
  <c r="W207" i="19" s="1"/>
  <c r="S202" i="19"/>
  <c r="T202" i="19"/>
  <c r="S263" i="19"/>
  <c r="T263" i="19"/>
  <c r="T165" i="19"/>
  <c r="S165" i="19"/>
  <c r="V213" i="19"/>
  <c r="W213" i="19" s="1"/>
  <c r="U213" i="19"/>
  <c r="S48" i="19"/>
  <c r="T48" i="19"/>
  <c r="U205" i="19"/>
  <c r="V205" i="19"/>
  <c r="W205" i="19" s="1"/>
  <c r="S253" i="19"/>
  <c r="T253" i="19"/>
  <c r="S208" i="19"/>
  <c r="T208" i="19"/>
  <c r="U256" i="19"/>
  <c r="V256" i="19"/>
  <c r="W256" i="19" s="1"/>
  <c r="V54" i="19"/>
  <c r="W54" i="19" s="1"/>
  <c r="U54" i="19"/>
  <c r="V93" i="19"/>
  <c r="W93" i="19" s="1"/>
  <c r="U93" i="19"/>
  <c r="T50" i="19"/>
  <c r="S50" i="19"/>
  <c r="V65" i="19"/>
  <c r="U65" i="19"/>
  <c r="V142" i="19"/>
  <c r="U142" i="19"/>
  <c r="U287" i="19"/>
  <c r="V287" i="19"/>
  <c r="W287" i="19" s="1"/>
  <c r="T225" i="19"/>
  <c r="S225" i="19"/>
  <c r="T309" i="19"/>
  <c r="S309" i="19"/>
  <c r="V17" i="19"/>
  <c r="W17" i="19" s="1"/>
  <c r="U17" i="19"/>
  <c r="T139" i="19"/>
  <c r="S139" i="19"/>
  <c r="U242" i="19"/>
  <c r="V242" i="19"/>
  <c r="W242" i="19" s="1"/>
  <c r="T68" i="19"/>
  <c r="S68" i="19"/>
  <c r="T101" i="19"/>
  <c r="S101" i="19"/>
  <c r="T315" i="19"/>
  <c r="S315" i="19"/>
  <c r="S83" i="19"/>
  <c r="T83" i="19"/>
  <c r="S196" i="19"/>
  <c r="T196" i="19"/>
  <c r="U182" i="19"/>
  <c r="V182" i="19"/>
  <c r="W182" i="19" s="1"/>
  <c r="U229" i="19"/>
  <c r="V229" i="19"/>
  <c r="W229" i="19" s="1"/>
  <c r="S261" i="19"/>
  <c r="T261" i="19"/>
  <c r="V335" i="19"/>
  <c r="T340" i="19"/>
  <c r="U335" i="19"/>
  <c r="U224" i="19"/>
  <c r="V224" i="19"/>
  <c r="W224" i="19" s="1"/>
  <c r="P105" i="19"/>
  <c r="I30" i="21" s="1"/>
  <c r="Q31" i="19"/>
  <c r="I333" i="19"/>
  <c r="H353" i="19"/>
  <c r="S230" i="19"/>
  <c r="T230" i="19"/>
  <c r="U341" i="19"/>
  <c r="U46" i="19"/>
  <c r="V46" i="19"/>
  <c r="W46" i="19" s="1"/>
  <c r="T76" i="19"/>
  <c r="S76" i="19"/>
  <c r="T94" i="19"/>
  <c r="N63" i="1" s="1"/>
  <c r="S94" i="19"/>
  <c r="V181" i="19"/>
  <c r="W181" i="19" s="1"/>
  <c r="U181" i="19"/>
  <c r="T275" i="19"/>
  <c r="U275" i="19" s="1"/>
  <c r="U274" i="19"/>
  <c r="V274" i="19"/>
  <c r="V299" i="19"/>
  <c r="W299" i="19" s="1"/>
  <c r="U299" i="19"/>
  <c r="V66" i="19"/>
  <c r="W66" i="19" s="1"/>
  <c r="U66" i="19"/>
  <c r="P276" i="19"/>
  <c r="P373" i="19"/>
  <c r="S255" i="19"/>
  <c r="T255" i="19"/>
  <c r="S53" i="19"/>
  <c r="T53" i="19"/>
  <c r="S82" i="19"/>
  <c r="T82" i="19"/>
  <c r="J353" i="19"/>
  <c r="K333" i="19"/>
  <c r="T152" i="19"/>
  <c r="S152" i="19"/>
  <c r="S206" i="19"/>
  <c r="T206" i="19"/>
  <c r="U246" i="19"/>
  <c r="V246" i="19"/>
  <c r="W246" i="19" s="1"/>
  <c r="T227" i="19"/>
  <c r="S227" i="19"/>
  <c r="T260" i="19"/>
  <c r="S260" i="19"/>
  <c r="T286" i="19"/>
  <c r="S286" i="19"/>
  <c r="T18" i="19"/>
  <c r="S18" i="19"/>
  <c r="U240" i="19"/>
  <c r="V240" i="19"/>
  <c r="W240" i="19" s="1"/>
  <c r="T145" i="19"/>
  <c r="S145" i="19"/>
  <c r="R153" i="19"/>
  <c r="S190" i="19"/>
  <c r="T190" i="19"/>
  <c r="V24" i="19"/>
  <c r="W24" i="19" s="1"/>
  <c r="U24" i="19"/>
  <c r="Q351" i="19"/>
  <c r="P366" i="19"/>
  <c r="U266" i="19"/>
  <c r="V266" i="19"/>
  <c r="W266" i="19" s="1"/>
  <c r="P376" i="19"/>
  <c r="P363" i="19"/>
  <c r="Q153" i="19"/>
  <c r="R273" i="19"/>
  <c r="U254" i="19"/>
  <c r="V254" i="19"/>
  <c r="W254" i="19" s="1"/>
  <c r="T268" i="19"/>
  <c r="S268" i="19"/>
  <c r="S238" i="19"/>
  <c r="T238" i="19"/>
  <c r="R351" i="19"/>
  <c r="U14" i="19"/>
  <c r="V14" i="19"/>
  <c r="W14" i="19" s="1"/>
  <c r="O105" i="19"/>
  <c r="N365" i="19"/>
  <c r="N367" i="19"/>
  <c r="V109" i="19"/>
  <c r="U109" i="19"/>
  <c r="T34" i="19"/>
  <c r="R104" i="19"/>
  <c r="S104" i="19" s="1"/>
  <c r="S34" i="19"/>
  <c r="V138" i="19"/>
  <c r="W138" i="19" s="1"/>
  <c r="U138" i="19"/>
  <c r="S247" i="19"/>
  <c r="T247" i="19"/>
  <c r="U51" i="19"/>
  <c r="V51" i="19"/>
  <c r="W51" i="19" s="1"/>
  <c r="V144" i="19"/>
  <c r="W144" i="19" s="1"/>
  <c r="U144" i="19"/>
  <c r="P352" i="19"/>
  <c r="S188" i="19"/>
  <c r="T188" i="19"/>
  <c r="U180" i="19"/>
  <c r="V180" i="19"/>
  <c r="W180" i="19" s="1"/>
  <c r="L353" i="19"/>
  <c r="D32" i="21" s="1"/>
  <c r="M333" i="19"/>
  <c r="V74" i="19"/>
  <c r="W74" i="19" s="1"/>
  <c r="U74" i="19"/>
  <c r="V146" i="19"/>
  <c r="W146" i="19" s="1"/>
  <c r="U146" i="19"/>
  <c r="T175" i="19"/>
  <c r="S175" i="19"/>
  <c r="V72" i="19"/>
  <c r="W72" i="19" s="1"/>
  <c r="U72" i="19"/>
  <c r="T234" i="19"/>
  <c r="S234" i="19"/>
  <c r="S269" i="19"/>
  <c r="T269" i="19"/>
  <c r="T187" i="19"/>
  <c r="S187" i="19"/>
  <c r="V307" i="19"/>
  <c r="W307" i="19" s="1"/>
  <c r="U307" i="19"/>
  <c r="U248" i="19"/>
  <c r="V248" i="19"/>
  <c r="W248" i="19" s="1"/>
  <c r="U264" i="19"/>
  <c r="V264" i="19"/>
  <c r="W264" i="19" s="1"/>
  <c r="U71" i="19"/>
  <c r="V71" i="19"/>
  <c r="W71" i="19" s="1"/>
  <c r="T147" i="19"/>
  <c r="S147" i="19"/>
  <c r="U99" i="19"/>
  <c r="V99" i="19"/>
  <c r="W99" i="19" s="1"/>
  <c r="N370" i="19"/>
  <c r="N333" i="19"/>
  <c r="O276" i="19"/>
  <c r="N362" i="19"/>
  <c r="T55" i="19"/>
  <c r="S55" i="19"/>
  <c r="T221" i="19"/>
  <c r="S221" i="19"/>
  <c r="S186" i="19"/>
  <c r="T186" i="19"/>
  <c r="S285" i="19"/>
  <c r="T285" i="19"/>
  <c r="S344" i="19"/>
  <c r="T344" i="19"/>
  <c r="M100" i="1" l="1"/>
  <c r="O100" i="1" s="1"/>
  <c r="P49" i="21"/>
  <c r="P50" i="21" s="1"/>
  <c r="P24" i="21" s="1"/>
  <c r="L10" i="21"/>
  <c r="C9" i="21"/>
  <c r="C13" i="21" s="1"/>
  <c r="C22" i="21" s="1"/>
  <c r="C27" i="21" s="1"/>
  <c r="O10" i="21"/>
  <c r="X341" i="19"/>
  <c r="U343" i="19"/>
  <c r="X348" i="19"/>
  <c r="G155" i="1"/>
  <c r="W9" i="19"/>
  <c r="P360" i="19"/>
  <c r="N151" i="1"/>
  <c r="N152" i="1" s="1"/>
  <c r="O25" i="21" s="1"/>
  <c r="U296" i="19"/>
  <c r="O15" i="21"/>
  <c r="O18" i="21" s="1"/>
  <c r="I28" i="17"/>
  <c r="H43" i="1" s="1"/>
  <c r="P15" i="21"/>
  <c r="M18" i="21"/>
  <c r="J13" i="21"/>
  <c r="U26" i="19"/>
  <c r="V26" i="19"/>
  <c r="P116" i="1" s="1"/>
  <c r="U23" i="19"/>
  <c r="U191" i="19"/>
  <c r="V199" i="19"/>
  <c r="W199" i="19" s="1"/>
  <c r="V10" i="19"/>
  <c r="V220" i="19"/>
  <c r="W220" i="19" s="1"/>
  <c r="D30" i="17"/>
  <c r="I29" i="17"/>
  <c r="V64" i="19"/>
  <c r="W64" i="19" s="1"/>
  <c r="U214" i="19"/>
  <c r="U197" i="19"/>
  <c r="W30" i="19"/>
  <c r="U30" i="19"/>
  <c r="V232" i="19"/>
  <c r="W232" i="19" s="1"/>
  <c r="W65" i="19"/>
  <c r="U223" i="19"/>
  <c r="U267" i="19"/>
  <c r="V267" i="19"/>
  <c r="W267" i="19" s="1"/>
  <c r="T140" i="19"/>
  <c r="T375" i="19" s="1"/>
  <c r="P367" i="19"/>
  <c r="V216" i="19"/>
  <c r="W216" i="19" s="1"/>
  <c r="V343" i="19"/>
  <c r="R364" i="19"/>
  <c r="R361" i="19"/>
  <c r="U324" i="19"/>
  <c r="V324" i="19"/>
  <c r="W324" i="19" s="1"/>
  <c r="U215" i="19"/>
  <c r="V215" i="19"/>
  <c r="W215" i="19" s="1"/>
  <c r="U233" i="19"/>
  <c r="V233" i="19"/>
  <c r="W233" i="19" s="1"/>
  <c r="S140" i="19"/>
  <c r="R375" i="19"/>
  <c r="U243" i="19"/>
  <c r="V243" i="19"/>
  <c r="W243" i="19" s="1"/>
  <c r="V290" i="19"/>
  <c r="W290" i="19" s="1"/>
  <c r="U290" i="19"/>
  <c r="U40" i="19"/>
  <c r="V40" i="19"/>
  <c r="W40" i="19" s="1"/>
  <c r="V318" i="19"/>
  <c r="W318" i="19" s="1"/>
  <c r="U318" i="19"/>
  <c r="U118" i="19"/>
  <c r="V118" i="19"/>
  <c r="W118" i="19" s="1"/>
  <c r="V185" i="19"/>
  <c r="W185" i="19" s="1"/>
  <c r="U185" i="19"/>
  <c r="U284" i="19"/>
  <c r="V284" i="19"/>
  <c r="W284" i="19" s="1"/>
  <c r="V259" i="19"/>
  <c r="W259" i="19" s="1"/>
  <c r="U259" i="19"/>
  <c r="V320" i="19"/>
  <c r="W320" i="19" s="1"/>
  <c r="U320" i="19"/>
  <c r="V45" i="19"/>
  <c r="W45" i="19" s="1"/>
  <c r="U45" i="19"/>
  <c r="V349" i="19"/>
  <c r="W349" i="19" s="1"/>
  <c r="U349" i="19"/>
  <c r="U100" i="19"/>
  <c r="V100" i="19"/>
  <c r="W100" i="19" s="1"/>
  <c r="U169" i="19"/>
  <c r="V169" i="19"/>
  <c r="W169" i="19" s="1"/>
  <c r="U44" i="19"/>
  <c r="V44" i="19"/>
  <c r="W44" i="19" s="1"/>
  <c r="R105" i="19"/>
  <c r="L30" i="21" s="1"/>
  <c r="V342" i="19"/>
  <c r="W342" i="19" s="1"/>
  <c r="U342" i="19"/>
  <c r="U127" i="19"/>
  <c r="V127" i="19"/>
  <c r="W127" i="19" s="1"/>
  <c r="V321" i="19"/>
  <c r="W321" i="19" s="1"/>
  <c r="U321" i="19"/>
  <c r="U319" i="19"/>
  <c r="V319" i="19"/>
  <c r="W319" i="19" s="1"/>
  <c r="U110" i="19"/>
  <c r="V110" i="19"/>
  <c r="W110" i="19" s="1"/>
  <c r="V120" i="19"/>
  <c r="W120" i="19" s="1"/>
  <c r="U120" i="19"/>
  <c r="V209" i="19"/>
  <c r="W209" i="19" s="1"/>
  <c r="U209" i="19"/>
  <c r="U131" i="19"/>
  <c r="V131" i="19"/>
  <c r="W131" i="19" s="1"/>
  <c r="U201" i="19"/>
  <c r="V201" i="19"/>
  <c r="W201" i="19" s="1"/>
  <c r="U55" i="19"/>
  <c r="V55" i="19"/>
  <c r="W55" i="19" s="1"/>
  <c r="U147" i="19"/>
  <c r="V147" i="19"/>
  <c r="W147" i="19" s="1"/>
  <c r="V269" i="19"/>
  <c r="W269" i="19" s="1"/>
  <c r="U269" i="19"/>
  <c r="M353" i="19"/>
  <c r="L357" i="19"/>
  <c r="V247" i="19"/>
  <c r="W247" i="19" s="1"/>
  <c r="U247" i="19"/>
  <c r="R366" i="19"/>
  <c r="S351" i="19"/>
  <c r="U268" i="19"/>
  <c r="V268" i="19"/>
  <c r="W268" i="19" s="1"/>
  <c r="R363" i="19"/>
  <c r="R376" i="19"/>
  <c r="S153" i="19"/>
  <c r="U286" i="19"/>
  <c r="V286" i="19"/>
  <c r="W286" i="19" s="1"/>
  <c r="U227" i="19"/>
  <c r="V227" i="19"/>
  <c r="W227" i="19" s="1"/>
  <c r="K353" i="19"/>
  <c r="J357" i="19"/>
  <c r="V261" i="19"/>
  <c r="W261" i="19" s="1"/>
  <c r="U261" i="19"/>
  <c r="V83" i="19"/>
  <c r="W83" i="19" s="1"/>
  <c r="U83" i="19"/>
  <c r="U203" i="19"/>
  <c r="V203" i="19"/>
  <c r="W203" i="19" s="1"/>
  <c r="W160" i="19"/>
  <c r="U217" i="19"/>
  <c r="V217" i="19"/>
  <c r="W217" i="19" s="1"/>
  <c r="V25" i="19"/>
  <c r="W25" i="19" s="1"/>
  <c r="U25" i="19"/>
  <c r="U244" i="19"/>
  <c r="V244" i="19"/>
  <c r="W244" i="19" s="1"/>
  <c r="V12" i="19"/>
  <c r="U12" i="19"/>
  <c r="U291" i="19"/>
  <c r="V291" i="19"/>
  <c r="W291" i="19" s="1"/>
  <c r="R276" i="19"/>
  <c r="U195" i="19"/>
  <c r="V195" i="19"/>
  <c r="W195" i="19" s="1"/>
  <c r="U344" i="19"/>
  <c r="V344" i="19"/>
  <c r="W344" i="19" s="1"/>
  <c r="U186" i="19"/>
  <c r="V186" i="19"/>
  <c r="W186" i="19" s="1"/>
  <c r="U175" i="19"/>
  <c r="V175" i="19"/>
  <c r="W175" i="19" s="1"/>
  <c r="V188" i="19"/>
  <c r="W188" i="19" s="1"/>
  <c r="U188" i="19"/>
  <c r="W109" i="19"/>
  <c r="V238" i="19"/>
  <c r="W238" i="19" s="1"/>
  <c r="U238" i="19"/>
  <c r="V82" i="19"/>
  <c r="W82" i="19" s="1"/>
  <c r="U82" i="19"/>
  <c r="U76" i="19"/>
  <c r="V76" i="19"/>
  <c r="W76" i="19" s="1"/>
  <c r="V230" i="19"/>
  <c r="W230" i="19" s="1"/>
  <c r="U230" i="19"/>
  <c r="U101" i="19"/>
  <c r="V101" i="19"/>
  <c r="W101" i="19" s="1"/>
  <c r="U225" i="19"/>
  <c r="V225" i="19"/>
  <c r="W225" i="19" s="1"/>
  <c r="T153" i="19"/>
  <c r="V253" i="19"/>
  <c r="W253" i="19" s="1"/>
  <c r="U253" i="19"/>
  <c r="V48" i="19"/>
  <c r="W48" i="19" s="1"/>
  <c r="U48" i="19"/>
  <c r="V263" i="19"/>
  <c r="W263" i="19" s="1"/>
  <c r="U263" i="19"/>
  <c r="T273" i="19"/>
  <c r="V143" i="19"/>
  <c r="W143" i="19" s="1"/>
  <c r="U143" i="19"/>
  <c r="V301" i="19"/>
  <c r="W301" i="19" s="1"/>
  <c r="U301" i="19"/>
  <c r="R373" i="19"/>
  <c r="U194" i="19"/>
  <c r="V194" i="19"/>
  <c r="W194" i="19" s="1"/>
  <c r="V204" i="19"/>
  <c r="W204" i="19" s="1"/>
  <c r="U204" i="19"/>
  <c r="V245" i="19"/>
  <c r="W245" i="19" s="1"/>
  <c r="U245" i="19"/>
  <c r="U221" i="19"/>
  <c r="V221" i="19"/>
  <c r="W221" i="19" s="1"/>
  <c r="U34" i="19"/>
  <c r="T104" i="19"/>
  <c r="U104" i="19" s="1"/>
  <c r="V34" i="19"/>
  <c r="V190" i="19"/>
  <c r="W190" i="19" s="1"/>
  <c r="U190" i="19"/>
  <c r="V145" i="19"/>
  <c r="W145" i="19" s="1"/>
  <c r="U145" i="19"/>
  <c r="U18" i="19"/>
  <c r="V18" i="19"/>
  <c r="W18" i="19" s="1"/>
  <c r="U260" i="19"/>
  <c r="V260" i="19"/>
  <c r="W260" i="19" s="1"/>
  <c r="V152" i="19"/>
  <c r="W152" i="19" s="1"/>
  <c r="U152" i="19"/>
  <c r="P333" i="19"/>
  <c r="Q276" i="19"/>
  <c r="P370" i="19"/>
  <c r="W341" i="19"/>
  <c r="Q105" i="19"/>
  <c r="P365" i="19"/>
  <c r="P362" i="19"/>
  <c r="U340" i="19"/>
  <c r="V196" i="19"/>
  <c r="W196" i="19" s="1"/>
  <c r="U196" i="19"/>
  <c r="W142" i="19"/>
  <c r="V50" i="19"/>
  <c r="W50" i="19" s="1"/>
  <c r="U50" i="19"/>
  <c r="U165" i="19"/>
  <c r="V165" i="19"/>
  <c r="W165" i="19" s="1"/>
  <c r="V325" i="19"/>
  <c r="W325" i="19" s="1"/>
  <c r="U325" i="19"/>
  <c r="V317" i="19"/>
  <c r="W317" i="19" s="1"/>
  <c r="U317" i="19"/>
  <c r="U252" i="19"/>
  <c r="V252" i="19"/>
  <c r="W252" i="19" s="1"/>
  <c r="U226" i="19"/>
  <c r="V226" i="19"/>
  <c r="W226" i="19" s="1"/>
  <c r="U235" i="19"/>
  <c r="V235" i="19"/>
  <c r="W235" i="19" s="1"/>
  <c r="U283" i="19"/>
  <c r="T332" i="19"/>
  <c r="U332" i="19" s="1"/>
  <c r="V283" i="19"/>
  <c r="V272" i="19"/>
  <c r="W272" i="19" s="1"/>
  <c r="U272" i="19"/>
  <c r="U156" i="19"/>
  <c r="T157" i="19"/>
  <c r="U157" i="19" s="1"/>
  <c r="V156" i="19"/>
  <c r="V92" i="19"/>
  <c r="W92" i="19" s="1"/>
  <c r="U92" i="19"/>
  <c r="G353" i="19"/>
  <c r="F357" i="19"/>
  <c r="V285" i="19"/>
  <c r="W285" i="19" s="1"/>
  <c r="U285" i="19"/>
  <c r="N353" i="19"/>
  <c r="G32" i="21" s="1"/>
  <c r="O333" i="19"/>
  <c r="T31" i="19"/>
  <c r="T361" i="19" s="1"/>
  <c r="U187" i="19"/>
  <c r="V187" i="19"/>
  <c r="W187" i="19" s="1"/>
  <c r="U234" i="19"/>
  <c r="V234" i="19"/>
  <c r="W234" i="19" s="1"/>
  <c r="P369" i="19"/>
  <c r="P368" i="19"/>
  <c r="Q352" i="19"/>
  <c r="R377" i="19"/>
  <c r="S273" i="19"/>
  <c r="M10" i="21" s="1"/>
  <c r="V206" i="19"/>
  <c r="W206" i="19" s="1"/>
  <c r="U206" i="19"/>
  <c r="V53" i="19"/>
  <c r="W53" i="19" s="1"/>
  <c r="U53" i="19"/>
  <c r="V255" i="19"/>
  <c r="W255" i="19" s="1"/>
  <c r="U255" i="19"/>
  <c r="W274" i="19"/>
  <c r="V275" i="19"/>
  <c r="W275" i="19" s="1"/>
  <c r="U94" i="19"/>
  <c r="V94" i="19"/>
  <c r="W94" i="19" s="1"/>
  <c r="T351" i="19"/>
  <c r="I353" i="19"/>
  <c r="H357" i="19"/>
  <c r="V340" i="19"/>
  <c r="W335" i="19"/>
  <c r="V315" i="19"/>
  <c r="W315" i="19" s="1"/>
  <c r="U315" i="19"/>
  <c r="U68" i="19"/>
  <c r="V68" i="19"/>
  <c r="V139" i="19"/>
  <c r="W139" i="19" s="1"/>
  <c r="U139" i="19"/>
  <c r="V309" i="19"/>
  <c r="W309" i="19" s="1"/>
  <c r="U309" i="19"/>
  <c r="U208" i="19"/>
  <c r="V208" i="19"/>
  <c r="W208" i="19" s="1"/>
  <c r="U202" i="19"/>
  <c r="V202" i="19"/>
  <c r="W202" i="19" s="1"/>
  <c r="V137" i="19"/>
  <c r="W137" i="19" s="1"/>
  <c r="U137" i="19"/>
  <c r="V149" i="19"/>
  <c r="W149" i="19" s="1"/>
  <c r="U149" i="19"/>
  <c r="U60" i="19"/>
  <c r="V60" i="19"/>
  <c r="V13" i="19"/>
  <c r="W13" i="19" s="1"/>
  <c r="U13" i="19"/>
  <c r="U330" i="19"/>
  <c r="V330" i="19"/>
  <c r="W330" i="19" s="1"/>
  <c r="U345" i="19"/>
  <c r="V345" i="19"/>
  <c r="R352" i="19"/>
  <c r="V210" i="19"/>
  <c r="W210" i="19" s="1"/>
  <c r="U210" i="19"/>
  <c r="V179" i="19"/>
  <c r="W179" i="19" s="1"/>
  <c r="U179" i="19"/>
  <c r="Q100" i="1" l="1"/>
  <c r="S49" i="21"/>
  <c r="W343" i="19"/>
  <c r="S47" i="21"/>
  <c r="X349" i="19"/>
  <c r="W345" i="19"/>
  <c r="X345" i="19"/>
  <c r="X342" i="19"/>
  <c r="X343" i="19"/>
  <c r="X344" i="19"/>
  <c r="J90" i="1"/>
  <c r="I12" i="21" s="1"/>
  <c r="J43" i="1"/>
  <c r="P151" i="1"/>
  <c r="P152" i="1" s="1"/>
  <c r="R25" i="21" s="1"/>
  <c r="U25" i="21" s="1"/>
  <c r="R365" i="19"/>
  <c r="H90" i="1"/>
  <c r="F12" i="21" s="1"/>
  <c r="F9" i="21"/>
  <c r="W10" i="19"/>
  <c r="W26" i="19"/>
  <c r="R15" i="21"/>
  <c r="R18" i="21" s="1"/>
  <c r="M13" i="21"/>
  <c r="J22" i="21"/>
  <c r="J27" i="21"/>
  <c r="S15" i="21"/>
  <c r="S18" i="21" s="1"/>
  <c r="P18" i="21"/>
  <c r="W68" i="19"/>
  <c r="D31" i="17"/>
  <c r="I30" i="17"/>
  <c r="S105" i="19"/>
  <c r="R367" i="19"/>
  <c r="R360" i="19"/>
  <c r="W60" i="19"/>
  <c r="U140" i="19"/>
  <c r="P63" i="1"/>
  <c r="R362" i="19"/>
  <c r="T364" i="19"/>
  <c r="R369" i="19"/>
  <c r="R368" i="19"/>
  <c r="S352" i="19"/>
  <c r="I357" i="19"/>
  <c r="H372" i="19"/>
  <c r="O353" i="19"/>
  <c r="N357" i="19"/>
  <c r="V157" i="19"/>
  <c r="W157" i="19" s="1"/>
  <c r="W156" i="19"/>
  <c r="T363" i="19"/>
  <c r="T376" i="19"/>
  <c r="U153" i="19"/>
  <c r="V332" i="19"/>
  <c r="W332" i="19" s="1"/>
  <c r="W283" i="19"/>
  <c r="V104" i="19"/>
  <c r="W104" i="19" s="1"/>
  <c r="W34" i="19"/>
  <c r="T377" i="19"/>
  <c r="U273" i="19"/>
  <c r="P10" i="21" s="1"/>
  <c r="M357" i="19"/>
  <c r="L372" i="19"/>
  <c r="U351" i="19"/>
  <c r="T366" i="19"/>
  <c r="T105" i="19"/>
  <c r="O30" i="21" s="1"/>
  <c r="U31" i="19"/>
  <c r="P353" i="19"/>
  <c r="J32" i="21" s="1"/>
  <c r="K155" i="1" s="1"/>
  <c r="Q333" i="19"/>
  <c r="V140" i="19"/>
  <c r="J372" i="19"/>
  <c r="K357" i="19"/>
  <c r="T373" i="19"/>
  <c r="W340" i="19"/>
  <c r="G357" i="19"/>
  <c r="F372" i="19"/>
  <c r="V153" i="19"/>
  <c r="T352" i="19"/>
  <c r="V351" i="19"/>
  <c r="X351" i="19" s="1"/>
  <c r="Z351" i="19" s="1"/>
  <c r="R370" i="19"/>
  <c r="R333" i="19"/>
  <c r="S276" i="19"/>
  <c r="W12" i="19"/>
  <c r="V31" i="19"/>
  <c r="V364" i="19" s="1"/>
  <c r="V273" i="19"/>
  <c r="T276" i="19"/>
  <c r="S50" i="21" l="1"/>
  <c r="S24" i="21" s="1"/>
  <c r="V24" i="21" s="1"/>
  <c r="I9" i="21"/>
  <c r="I13" i="21" s="1"/>
  <c r="I22" i="21" s="1"/>
  <c r="R10" i="21"/>
  <c r="J154" i="1"/>
  <c r="L90" i="1"/>
  <c r="L12" i="21" s="1"/>
  <c r="L43" i="1"/>
  <c r="J34" i="21"/>
  <c r="K25" i="21"/>
  <c r="K24" i="21"/>
  <c r="K22" i="21"/>
  <c r="F13" i="21"/>
  <c r="F22" i="21" s="1"/>
  <c r="H154" i="1"/>
  <c r="P13" i="21"/>
  <c r="M22" i="21"/>
  <c r="M27" i="21"/>
  <c r="D32" i="17"/>
  <c r="I32" i="17" s="1"/>
  <c r="P43" i="1" s="1"/>
  <c r="I31" i="17"/>
  <c r="V366" i="19"/>
  <c r="W351" i="19"/>
  <c r="V373" i="19"/>
  <c r="V375" i="19"/>
  <c r="V276" i="19"/>
  <c r="V361" i="19"/>
  <c r="W140" i="19"/>
  <c r="U105" i="19"/>
  <c r="T362" i="19"/>
  <c r="T365" i="19"/>
  <c r="T360" i="19"/>
  <c r="T333" i="19"/>
  <c r="U276" i="19"/>
  <c r="T370" i="19"/>
  <c r="T368" i="19"/>
  <c r="U352" i="19"/>
  <c r="T369" i="19"/>
  <c r="V377" i="19"/>
  <c r="W273" i="19"/>
  <c r="S10" i="21" s="1"/>
  <c r="S13" i="21" s="1"/>
  <c r="S333" i="19"/>
  <c r="R353" i="19"/>
  <c r="M32" i="21" s="1"/>
  <c r="M155" i="1" s="1"/>
  <c r="V363" i="19"/>
  <c r="V376" i="19"/>
  <c r="W153" i="19"/>
  <c r="Q353" i="19"/>
  <c r="P357" i="19"/>
  <c r="T367" i="19"/>
  <c r="N372" i="19"/>
  <c r="V105" i="19"/>
  <c r="R30" i="21" s="1"/>
  <c r="W31" i="19"/>
  <c r="V352" i="19"/>
  <c r="L9" i="21" l="1"/>
  <c r="L13" i="21" s="1"/>
  <c r="L22" i="21" s="1"/>
  <c r="L154" i="1"/>
  <c r="N90" i="1"/>
  <c r="O12" i="21" s="1"/>
  <c r="N43" i="1"/>
  <c r="M34" i="21"/>
  <c r="V362" i="19"/>
  <c r="N25" i="21"/>
  <c r="N24" i="21"/>
  <c r="N22" i="21"/>
  <c r="F27" i="21"/>
  <c r="F31" i="21" s="1"/>
  <c r="P90" i="1"/>
  <c r="R12" i="21" s="1"/>
  <c r="R9" i="21"/>
  <c r="S22" i="21"/>
  <c r="S27" i="21"/>
  <c r="P22" i="21"/>
  <c r="P27" i="21"/>
  <c r="I27" i="21"/>
  <c r="I31" i="21" s="1"/>
  <c r="S353" i="19"/>
  <c r="R357" i="19"/>
  <c r="V368" i="19"/>
  <c r="W352" i="19"/>
  <c r="V369" i="19"/>
  <c r="T353" i="19"/>
  <c r="P32" i="21" s="1"/>
  <c r="O155" i="1" s="1"/>
  <c r="U333" i="19"/>
  <c r="V370" i="19"/>
  <c r="W276" i="19"/>
  <c r="V333" i="19"/>
  <c r="W105" i="19"/>
  <c r="V365" i="19"/>
  <c r="Q357" i="19"/>
  <c r="P372" i="19"/>
  <c r="V360" i="19"/>
  <c r="V367" i="19"/>
  <c r="O9" i="21" l="1"/>
  <c r="O13" i="21" s="1"/>
  <c r="O22" i="21" s="1"/>
  <c r="N154" i="1"/>
  <c r="P34" i="21"/>
  <c r="T25" i="21"/>
  <c r="T24" i="21"/>
  <c r="T22" i="21"/>
  <c r="Q25" i="21"/>
  <c r="Q24" i="21"/>
  <c r="Q22" i="21"/>
  <c r="R13" i="21"/>
  <c r="R22" i="21" s="1"/>
  <c r="L27" i="21"/>
  <c r="L31" i="21" s="1"/>
  <c r="P154" i="1"/>
  <c r="V353" i="19"/>
  <c r="S32" i="21" s="1"/>
  <c r="Q155" i="1" s="1"/>
  <c r="W333" i="19"/>
  <c r="U353" i="19"/>
  <c r="T357" i="19"/>
  <c r="R372" i="19"/>
  <c r="S357" i="19"/>
  <c r="U22" i="21" l="1"/>
  <c r="S34" i="21"/>
  <c r="R27" i="21"/>
  <c r="R31" i="21" s="1"/>
  <c r="O27" i="21"/>
  <c r="O31" i="21" s="1"/>
  <c r="W353" i="19"/>
  <c r="V357" i="19"/>
  <c r="X357" i="19" s="1"/>
  <c r="U357" i="19"/>
  <c r="T372" i="19"/>
  <c r="U27" i="21" l="1"/>
  <c r="V372" i="19"/>
  <c r="W357" i="19"/>
  <c r="F154" i="1" l="1"/>
  <c r="E9" i="2"/>
  <c r="I94" i="1" l="1"/>
  <c r="G12" i="21" s="1"/>
  <c r="I154" i="1" l="1"/>
  <c r="I155" i="1" s="1"/>
  <c r="G13" i="21" l="1"/>
  <c r="G27" i="21" l="1"/>
  <c r="G34" i="21" s="1"/>
  <c r="G22" i="21"/>
  <c r="V22" i="21" s="1"/>
  <c r="H22" i="21" l="1"/>
  <c r="H25" i="21"/>
  <c r="H24" i="21"/>
  <c r="D27" i="21"/>
  <c r="V27" i="21" l="1"/>
  <c r="D34" i="21"/>
  <c r="E25" i="21"/>
  <c r="E24" i="21"/>
  <c r="E22" i="21"/>
</calcChain>
</file>

<file path=xl/comments1.xml><?xml version="1.0" encoding="utf-8"?>
<comments xmlns="http://schemas.openxmlformats.org/spreadsheetml/2006/main">
  <authors>
    <author>Jorge Orlando Castaño Garzon</author>
  </authors>
  <commentList>
    <comment ref="G6" authorId="0" shapeId="0">
      <text>
        <r>
          <rPr>
            <sz val="9"/>
            <color indexed="81"/>
            <rFont val="Tahoma"/>
            <family val="2"/>
          </rPr>
          <t xml:space="preserve"> jornadas de induccion estudiantes-profesores-administrativos
</t>
        </r>
        <r>
          <rPr>
            <b/>
            <sz val="9"/>
            <color indexed="81"/>
            <rFont val="Tahoma"/>
            <family val="2"/>
          </rPr>
          <t xml:space="preserve">
</t>
        </r>
      </text>
    </comment>
    <comment ref="G8" authorId="0" shapeId="0">
      <text>
        <r>
          <rPr>
            <b/>
            <sz val="9"/>
            <color indexed="81"/>
            <rFont val="Tahoma"/>
            <family val="2"/>
          </rPr>
          <t>talleres mision-calidad de vida-modelo biosicosocial-facultad e institucionales:</t>
        </r>
        <r>
          <rPr>
            <sz val="9"/>
            <color indexed="81"/>
            <rFont val="Tahoma"/>
            <family val="2"/>
          </rPr>
          <t xml:space="preserve">
</t>
        </r>
      </text>
    </comment>
    <comment ref="G9" authorId="0" shapeId="0">
      <text>
        <r>
          <rPr>
            <sz val="9"/>
            <color indexed="81"/>
            <rFont val="Tahoma"/>
            <family val="2"/>
          </rPr>
          <t xml:space="preserve">incluido en los proyectos anteriores
</t>
        </r>
      </text>
    </comment>
    <comment ref="G11" authorId="0" shapeId="0">
      <text>
        <r>
          <rPr>
            <sz val="9"/>
            <color indexed="81"/>
            <rFont val="Tahoma"/>
            <family val="2"/>
          </rPr>
          <t xml:space="preserve">9 lideres tres meses $ 41.000.000
</t>
        </r>
      </text>
    </comment>
    <comment ref="G14" authorId="0" shapeId="0">
      <text>
        <r>
          <rPr>
            <sz val="9"/>
            <color indexed="81"/>
            <rFont val="Tahoma"/>
            <family val="2"/>
          </rPr>
          <t xml:space="preserve">12 lideres 6 meses $ 109.000.000
impresiones planes desarrollo de las unidades
</t>
        </r>
      </text>
    </comment>
    <comment ref="G17" authorId="0" shapeId="0">
      <text>
        <r>
          <rPr>
            <sz val="9"/>
            <color indexed="81"/>
            <rFont val="Tahoma"/>
            <family val="2"/>
          </rPr>
          <t xml:space="preserve">2 renovaciones, derecho y esp.seguridad en redes
$ 17.000.000
</t>
        </r>
      </text>
    </comment>
    <comment ref="G19" authorId="0" shapeId="0">
      <text>
        <r>
          <rPr>
            <sz val="9"/>
            <color indexed="81"/>
            <rFont val="Tahoma"/>
            <family val="2"/>
          </rPr>
          <t xml:space="preserve">inicio proceso de 4 programas
</t>
        </r>
      </text>
    </comment>
    <comment ref="G22" authorId="0" shapeId="0">
      <text>
        <r>
          <rPr>
            <sz val="9"/>
            <color indexed="81"/>
            <rFont val="Tahoma"/>
            <family val="2"/>
          </rPr>
          <t xml:space="preserve">ISO 9000 $ 70.000.000
</t>
        </r>
      </text>
    </comment>
    <comment ref="G24" authorId="0" shapeId="0">
      <text>
        <r>
          <rPr>
            <sz val="9"/>
            <color indexed="81"/>
            <rFont val="Tahoma"/>
            <family val="2"/>
          </rPr>
          <t xml:space="preserve">contratacion de dos personas a partir del 1 de junio $ 98.000.000
</t>
        </r>
      </text>
    </comment>
    <comment ref="G28" authorId="0" shapeId="0">
      <text>
        <r>
          <rPr>
            <sz val="9"/>
            <color indexed="81"/>
            <rFont val="Tahoma"/>
            <family val="2"/>
          </rPr>
          <t>elaboracion y publicacion ¨Politica de Innovacion $ 6.000.000</t>
        </r>
        <r>
          <rPr>
            <b/>
            <sz val="9"/>
            <color indexed="81"/>
            <rFont val="Tahoma"/>
            <family val="2"/>
          </rPr>
          <t xml:space="preserve">
contratacion 1/2 tiempo. $ 36.000.000
</t>
        </r>
        <r>
          <rPr>
            <sz val="9"/>
            <color indexed="81"/>
            <rFont val="Tahoma"/>
            <family val="2"/>
          </rPr>
          <t xml:space="preserve">
</t>
        </r>
      </text>
    </comment>
    <comment ref="G29" authorId="0" shapeId="0">
      <text>
        <r>
          <rPr>
            <sz val="9"/>
            <color indexed="81"/>
            <rFont val="Tahoma"/>
            <family val="2"/>
          </rPr>
          <t xml:space="preserve">este año se desarrolla la politica
</t>
        </r>
      </text>
    </comment>
    <comment ref="G37" authorId="0" shapeId="0">
      <text>
        <r>
          <rPr>
            <b/>
            <sz val="9"/>
            <color indexed="81"/>
            <rFont val="Tahoma"/>
            <family val="2"/>
          </rPr>
          <t>Nomina: 72.268 millones.
Nom,academ.adm 9.425</t>
        </r>
        <r>
          <rPr>
            <sz val="9"/>
            <color indexed="81"/>
            <rFont val="Tahoma"/>
            <family val="2"/>
          </rPr>
          <t xml:space="preserve">
gastos capacitacion, apoyos academicos $ 600 mill.
8.807 MILL. Honorarios
7.101 convenios Doc-asis.
212 MILL. Excelencia academica.
929 mill.Gastos de viaje</t>
        </r>
      </text>
    </comment>
    <comment ref="G42" authorId="0" shapeId="0">
      <text>
        <r>
          <rPr>
            <b/>
            <sz val="9"/>
            <color indexed="81"/>
            <rFont val="Tahoma"/>
            <family val="2"/>
          </rPr>
          <t xml:space="preserve">nomina adm: $ 12,386
</t>
        </r>
        <r>
          <rPr>
            <sz val="9"/>
            <color indexed="81"/>
            <rFont val="Tahoma"/>
            <family val="2"/>
          </rPr>
          <t xml:space="preserve">
millones
otros. Desarrollo 300 millones
Aprendices Sena 154 mill.
HONORARIOS 1.492 MILL.</t>
        </r>
      </text>
    </comment>
    <comment ref="G49" authorId="0" shapeId="0">
      <text>
        <r>
          <rPr>
            <sz val="9"/>
            <color indexed="81"/>
            <rFont val="Tahoma"/>
            <family val="2"/>
          </rPr>
          <t xml:space="preserve">Educacion Virtual nomina $ 463. millones y capacitacion y construccion programas $ 454 millones
4 programas de registro
$ 34.000.000
</t>
        </r>
      </text>
    </comment>
    <comment ref="G51" authorId="0" shapeId="0">
      <text>
        <r>
          <rPr>
            <sz val="9"/>
            <color indexed="81"/>
            <rFont val="Tahoma"/>
            <family val="2"/>
          </rPr>
          <t xml:space="preserve">plan estrategico de educacion continuada.
Talleres,jornadas.
</t>
        </r>
      </text>
    </comment>
    <comment ref="G58" authorId="0" shapeId="0">
      <text>
        <r>
          <rPr>
            <b/>
            <sz val="9"/>
            <color indexed="81"/>
            <rFont val="Tahoma"/>
            <family val="2"/>
          </rPr>
          <t>Inversiones Academicas $ 7.646 millones.
Bases de datos y biblioteca $ 1.754 millones</t>
        </r>
        <r>
          <rPr>
            <sz val="9"/>
            <color indexed="81"/>
            <rFont val="Tahoma"/>
            <family val="2"/>
          </rPr>
          <t xml:space="preserve">
459 mill elem lab.
607 mill impresos y public.
188 mill elem. Audivisuales.
414 mill. Material Didactico.
</t>
        </r>
      </text>
    </comment>
    <comment ref="G61" authorId="0" shapeId="0">
      <text>
        <r>
          <rPr>
            <b/>
            <sz val="9"/>
            <color indexed="81"/>
            <rFont val="Tahoma"/>
            <family val="2"/>
          </rPr>
          <t xml:space="preserve">300 apoyos a docentes y adm. 270 mill.
Apoyos a estudiantes $ 300 mill
</t>
        </r>
        <r>
          <rPr>
            <sz val="9"/>
            <color indexed="81"/>
            <rFont val="Tahoma"/>
            <family val="2"/>
          </rPr>
          <t xml:space="preserve">
</t>
        </r>
      </text>
    </comment>
    <comment ref="G64" authorId="0" shapeId="0">
      <text>
        <r>
          <rPr>
            <b/>
            <sz val="9"/>
            <color indexed="81"/>
            <rFont val="Tahoma"/>
            <family val="2"/>
          </rPr>
          <t xml:space="preserve">contratacion de dos personas: diseño de la politica y de los liniamientos para su implementacion
</t>
        </r>
        <r>
          <rPr>
            <sz val="9"/>
            <color indexed="81"/>
            <rFont val="Tahoma"/>
            <family val="2"/>
          </rPr>
          <t xml:space="preserve">
</t>
        </r>
      </text>
    </comment>
    <comment ref="G76" authorId="0" shapeId="0">
      <text>
        <r>
          <rPr>
            <b/>
            <sz val="9"/>
            <color indexed="81"/>
            <rFont val="Tahoma"/>
            <family val="2"/>
          </rPr>
          <t>cursos de formacion ej: inv.clinica. $30.000 millones.
Divulgacion Congresos</t>
        </r>
        <r>
          <rPr>
            <sz val="9"/>
            <color indexed="81"/>
            <rFont val="Tahoma"/>
            <family val="2"/>
          </rPr>
          <t xml:space="preserve">
$ 100.000.000.
movilidad academica a otros centros $ 10 millones- 5 investigadores $50 mill.
convocatoria interna $ 1.400 millones
Cursos formacion etica de la Inv y Prop.int. $ 10 millones
movilidad academica a otros centros de prestigio nal. $ 50 Millones
congreso Investigaciones $ 100 millones 
inversiones-equipos $ 448 millones
start-up 600 millones
696 mill elem lab.
</t>
        </r>
      </text>
    </comment>
    <comment ref="G79" authorId="0" shapeId="0">
      <text>
        <r>
          <rPr>
            <sz val="9"/>
            <color indexed="81"/>
            <rFont val="Tahoma"/>
            <family val="2"/>
          </rPr>
          <t>Movilidad academica a otros centros de inv internacional 5 a $ 10 millones c/u
invitados internacionales $ 25 millones</t>
        </r>
      </text>
    </comment>
    <comment ref="G81" authorId="0" shapeId="0">
      <text>
        <r>
          <rPr>
            <b/>
            <sz val="9"/>
            <color indexed="81"/>
            <rFont val="Tahoma"/>
            <family val="2"/>
          </rPr>
          <t>Honorarios Otto, $ 41
 millones</t>
        </r>
        <r>
          <rPr>
            <sz val="9"/>
            <color indexed="81"/>
            <rFont val="Tahoma"/>
            <family val="2"/>
          </rPr>
          <t xml:space="preserve">
</t>
        </r>
      </text>
    </comment>
    <comment ref="G84" authorId="0" shapeId="0">
      <text>
        <r>
          <rPr>
            <sz val="9"/>
            <color indexed="81"/>
            <rFont val="Tahoma"/>
            <family val="2"/>
          </rPr>
          <t xml:space="preserve">Sitio: soporte y mantenimiento:95 mill.
30% equipos lab ingenierias : 406 mill. 
</t>
        </r>
      </text>
    </comment>
    <comment ref="G89" authorId="0" shapeId="0">
      <text>
        <r>
          <rPr>
            <b/>
            <sz val="9"/>
            <color indexed="81"/>
            <rFont val="Tahoma"/>
            <family val="2"/>
          </rPr>
          <t>PUBLICACION EN MEDIOS INDEXADOS $ 25 millones.</t>
        </r>
        <r>
          <rPr>
            <sz val="9"/>
            <color indexed="81"/>
            <rFont val="Tahoma"/>
            <family val="2"/>
          </rPr>
          <t xml:space="preserve">
Libros de investigacion $ 72 millones
revista hojas del bosque $ 10 millones.
Libro entre letras $ 6 millones
</t>
        </r>
      </text>
    </comment>
    <comment ref="G94" authorId="0" shapeId="0">
      <text>
        <r>
          <rPr>
            <b/>
            <sz val="9"/>
            <color indexed="81"/>
            <rFont val="Tahoma"/>
            <family val="2"/>
          </rPr>
          <t xml:space="preserve">elem Lab: 1.051 mill.
Otras actividades 30 mill. </t>
        </r>
        <r>
          <rPr>
            <sz val="9"/>
            <color indexed="81"/>
            <rFont val="Tahoma"/>
            <family val="2"/>
          </rPr>
          <t xml:space="preserve">
</t>
        </r>
      </text>
    </comment>
    <comment ref="G101" authorId="0" shapeId="0">
      <text>
        <r>
          <rPr>
            <b/>
            <sz val="9"/>
            <color indexed="81"/>
            <rFont val="Tahoma"/>
            <family val="2"/>
          </rPr>
          <t xml:space="preserve">Estos recursos se encuentran en el presupuesto de mercadeo.
</t>
        </r>
        <r>
          <rPr>
            <sz val="9"/>
            <color indexed="81"/>
            <rFont val="Tahoma"/>
            <family val="2"/>
          </rPr>
          <t xml:space="preserve">
</t>
        </r>
      </text>
    </comment>
    <comment ref="G104" authorId="0" shapeId="0">
      <text>
        <r>
          <rPr>
            <b/>
            <sz val="9"/>
            <color indexed="81"/>
            <rFont val="Tahoma"/>
            <family val="2"/>
          </rPr>
          <t>comunicaciones 2 millones.
Convenios de inmersion colegios $ 4 millones</t>
        </r>
        <r>
          <rPr>
            <sz val="9"/>
            <color indexed="81"/>
            <rFont val="Tahoma"/>
            <family val="2"/>
          </rPr>
          <t xml:space="preserve">
</t>
        </r>
      </text>
    </comment>
    <comment ref="G107" authorId="0" shapeId="0">
      <text>
        <r>
          <rPr>
            <b/>
            <sz val="9"/>
            <color indexed="81"/>
            <rFont val="Tahoma"/>
            <family val="2"/>
          </rPr>
          <t>capacitacion 32 mill. A docentes y 20 mill. De objetos virt.aprend.</t>
        </r>
        <r>
          <rPr>
            <sz val="9"/>
            <color indexed="81"/>
            <rFont val="Tahoma"/>
            <family val="2"/>
          </rPr>
          <t xml:space="preserve">
</t>
        </r>
      </text>
    </comment>
    <comment ref="G112" authorId="0" shapeId="0">
      <text>
        <r>
          <rPr>
            <sz val="9"/>
            <color indexed="81"/>
            <rFont val="Tahoma"/>
            <family val="2"/>
          </rPr>
          <t xml:space="preserve">- $10.000.000:Capacitación Docente en evaluación y formulación de preguntas tipos Saber Pro.
- $17.000.000: Asesores Académicos para atención personalizada y grupal para el desarrollo de habilidades de pensamiento y competencias básicas para el aprendizaje y apoyo académico especializado en Inglés, Ciencias Básicas y Lecto-Escritura. 
- $3.000.000: Pruebas Psicopedagógicas. 
</t>
        </r>
      </text>
    </comment>
    <comment ref="G115" authorId="0" shapeId="0">
      <text>
        <r>
          <rPr>
            <b/>
            <sz val="9"/>
            <color indexed="81"/>
            <rFont val="Tahoma"/>
            <family val="2"/>
          </rPr>
          <t xml:space="preserve">3 mill. Part.eventos
10 mill cont. Psicologo por prest.serv
</t>
        </r>
        <r>
          <rPr>
            <sz val="9"/>
            <color indexed="81"/>
            <rFont val="Tahoma"/>
            <family val="2"/>
          </rPr>
          <t xml:space="preserve">
</t>
        </r>
      </text>
    </comment>
    <comment ref="G117" authorId="0" shapeId="0">
      <text>
        <r>
          <rPr>
            <b/>
            <sz val="9"/>
            <color indexed="81"/>
            <rFont val="Tahoma"/>
            <family val="2"/>
          </rPr>
          <t>gtos recreacion y medic. 247 mill.</t>
        </r>
        <r>
          <rPr>
            <sz val="9"/>
            <color indexed="81"/>
            <rFont val="Tahoma"/>
            <family val="2"/>
          </rPr>
          <t xml:space="preserve">
</t>
        </r>
      </text>
    </comment>
    <comment ref="G123" authorId="0" shapeId="0">
      <text>
        <r>
          <rPr>
            <b/>
            <sz val="9"/>
            <color indexed="81"/>
            <rFont val="Tahoma"/>
            <family val="2"/>
          </rPr>
          <t>Servicios e implementos bienestar 846 mill.</t>
        </r>
        <r>
          <rPr>
            <sz val="9"/>
            <color indexed="81"/>
            <rFont val="Tahoma"/>
            <family val="2"/>
          </rPr>
          <t xml:space="preserve">
Seguros estudiantil 140 mill.
Seguridad social 948 mill
transportes 650 mill.
FONDO SOSTEN.178 MILL.</t>
        </r>
      </text>
    </comment>
    <comment ref="G126" authorId="0" shapeId="0">
      <text>
        <r>
          <rPr>
            <sz val="9"/>
            <color indexed="81"/>
            <rFont val="Tahoma"/>
            <family val="2"/>
          </rPr>
          <t xml:space="preserve">padres y familia 4 mill.
Dia de los niños 28 mill
</t>
        </r>
      </text>
    </comment>
    <comment ref="G130" authorId="0" shapeId="0">
      <text>
        <r>
          <rPr>
            <b/>
            <sz val="9"/>
            <color indexed="81"/>
            <rFont val="Tahoma"/>
            <family val="2"/>
          </rPr>
          <t xml:space="preserve">Oruga:99 mill.
Mat. POP: 3 mill.
Proy P y P: 17 mill.
</t>
        </r>
      </text>
    </comment>
    <comment ref="G134" authorId="0" shapeId="0">
      <text>
        <r>
          <rPr>
            <sz val="9"/>
            <color indexed="81"/>
            <rFont val="Tahoma"/>
            <family val="2"/>
          </rPr>
          <t xml:space="preserve">redes universitarias 48 mill.
Proy colaborativos interuniv 10 mill.
</t>
        </r>
      </text>
    </comment>
    <comment ref="G136" authorId="0" shapeId="0">
      <text>
        <r>
          <rPr>
            <b/>
            <sz val="9"/>
            <color indexed="81"/>
            <rFont val="Tahoma"/>
            <family val="2"/>
          </rPr>
          <t xml:space="preserve">estrategias de promocion
</t>
        </r>
        <r>
          <rPr>
            <sz val="9"/>
            <color indexed="81"/>
            <rFont val="Tahoma"/>
            <family val="2"/>
          </rPr>
          <t xml:space="preserve">
</t>
        </r>
      </text>
    </comment>
    <comment ref="G138" authorId="0" shapeId="0">
      <text>
        <r>
          <rPr>
            <b/>
            <sz val="9"/>
            <color indexed="81"/>
            <rFont val="Tahoma"/>
            <family val="2"/>
          </rPr>
          <t xml:space="preserve">afiliaciones y cuotas de sostenimiento.
</t>
        </r>
        <r>
          <rPr>
            <sz val="9"/>
            <color indexed="81"/>
            <rFont val="Tahoma"/>
            <family val="2"/>
          </rPr>
          <t xml:space="preserve">
</t>
        </r>
      </text>
    </comment>
    <comment ref="G140" authorId="0" shapeId="0">
      <text>
        <r>
          <rPr>
            <b/>
            <sz val="9"/>
            <color indexed="81"/>
            <rFont val="Tahoma"/>
            <family val="2"/>
          </rPr>
          <t>cursos texas y otros
, :</t>
        </r>
        <r>
          <rPr>
            <sz val="9"/>
            <color indexed="81"/>
            <rFont val="Tahoma"/>
            <family val="2"/>
          </rPr>
          <t xml:space="preserve">
</t>
        </r>
      </text>
    </comment>
    <comment ref="G142" authorId="0" shapeId="0">
      <text>
        <r>
          <rPr>
            <b/>
            <sz val="9"/>
            <color indexed="81"/>
            <rFont val="Tahoma"/>
            <family val="2"/>
          </rPr>
          <t xml:space="preserve">Movilidad estudiantil $ 400 millones.
</t>
        </r>
        <r>
          <rPr>
            <sz val="9"/>
            <color indexed="81"/>
            <rFont val="Tahoma"/>
            <family val="2"/>
          </rPr>
          <t xml:space="preserve">
</t>
        </r>
      </text>
    </comment>
    <comment ref="G144" authorId="0" shapeId="0">
      <text>
        <r>
          <rPr>
            <b/>
            <sz val="9"/>
            <color indexed="81"/>
            <rFont val="Tahoma"/>
            <family val="2"/>
          </rPr>
          <t>apoyos a maestrias y doctorados, asistencia a congresos, viajes de misiones academicas.asistencia a cursos.</t>
        </r>
        <r>
          <rPr>
            <sz val="9"/>
            <color indexed="81"/>
            <rFont val="Tahoma"/>
            <family val="2"/>
          </rPr>
          <t xml:space="preserve">
</t>
        </r>
      </text>
    </comment>
  </commentList>
</comments>
</file>

<file path=xl/sharedStrings.xml><?xml version="1.0" encoding="utf-8"?>
<sst xmlns="http://schemas.openxmlformats.org/spreadsheetml/2006/main" count="875" uniqueCount="690">
  <si>
    <t>Misión, proyecto EducativoInstitucional, orientación estratégica, institucional, visión</t>
  </si>
  <si>
    <t>PROGRAMA</t>
  </si>
  <si>
    <t>Fortalecimiento de la identidad institucional en la comunidad Universitaria</t>
  </si>
  <si>
    <t>PROYECTO</t>
  </si>
  <si>
    <t>Gestión de la identidad Institucional en la Comunidad Universitaria</t>
  </si>
  <si>
    <t>A través de un plan de comunicación, propender por la apropiación de los postulados institucionales por parte de la comunidad Universitaria</t>
  </si>
  <si>
    <t>Consolidación del Enfoque Bio-psico, social y cultural en la Formación integral de la comunidad Universitaria</t>
  </si>
  <si>
    <t>Fortalecimiento de la formación Integral de todos los miembros de la Comunidad Universitaria</t>
  </si>
  <si>
    <t>Planeación, innovación, Calidad</t>
  </si>
  <si>
    <t>Fortalecimiento del Sistema de planeación Institucional y de Unidades Académicas y Adminstrativas</t>
  </si>
  <si>
    <t>Implementación, seguimiento y evaluación de PDI 2016-2021</t>
  </si>
  <si>
    <t>Elaboración, implementación, seguimiento y evaluación de planes de Desarrollo de las Unidades Académicas y Administrativas articulados con el PDI 2016-2021</t>
  </si>
  <si>
    <t>Revisión y análisis de posibles escenarios de ajuste de la estructura académico - administrativa de la Universidad</t>
  </si>
  <si>
    <t>Fortalecimiento del sistema de Calidad Institucional, de los programas Académicos y de las Unidades Administrativas</t>
  </si>
  <si>
    <t>Autoevaluación y renovación de registros calificados de programas académicos en funcionamiento</t>
  </si>
  <si>
    <t>Autoevaluación y acreditación Institucional y de programas a nivel Nacional</t>
  </si>
  <si>
    <t xml:space="preserve">Acreditación Institucional y de programas a nivel Internacional </t>
  </si>
  <si>
    <t>Certificaciones de calidad de los procesos académico - administrativos</t>
  </si>
  <si>
    <t>Desarrollo de un sistema de innovación en el quehacer institucional de las Unidades Académicas y Administrativas</t>
  </si>
  <si>
    <t>Desarrollo e implementación de una cultura de innovación en la Institución</t>
  </si>
  <si>
    <t>Implementación del sistema de innovación</t>
  </si>
  <si>
    <t>Talento Humano</t>
  </si>
  <si>
    <t>Desarrollo e implementación de la política de Gestión del Talento Humano Académico y Administrativo, alineada con la misión y la visión Institucional</t>
  </si>
  <si>
    <t>Desarrollo e implementación de la política de Gestión de Talento Humano Académico, alineada con la misión y visión Institucional</t>
  </si>
  <si>
    <t>Desarrollo e implementación de la política de Gestión de Talento Humano Administrativo, alineada con la misión y visión Institucional</t>
  </si>
  <si>
    <t>CONCEPTO</t>
  </si>
  <si>
    <t xml:space="preserve">Educación </t>
  </si>
  <si>
    <t>Desarrollo de la Oferta Educativa</t>
  </si>
  <si>
    <t>Desarrollo de nueva oferta</t>
  </si>
  <si>
    <t>Formación continua, permanente y para la vida</t>
  </si>
  <si>
    <t>Fortalecimiento Académico</t>
  </si>
  <si>
    <t>Implementación y seguimiento de la política de Gestión Curricular</t>
  </si>
  <si>
    <t>Fortalecimiento en segunda lengua</t>
  </si>
  <si>
    <t>Desarrollo de la formación para la investigación e investigación formativa</t>
  </si>
  <si>
    <t>Investigación</t>
  </si>
  <si>
    <t>Diseño e implementación de la política Institucional para la Generación de nuevo conocimiento de acuerdo con la misión y la visión</t>
  </si>
  <si>
    <t>Definición de prioridades en investigación</t>
  </si>
  <si>
    <t>Fortalecimiento de la investigación, grupos e investigadores</t>
  </si>
  <si>
    <t>Internacionalización de la investigación</t>
  </si>
  <si>
    <t>Desarrollo e implementación de la política institucional para la transferencia del conocimiento producto de investigación</t>
  </si>
  <si>
    <t>Fortalecimiento de la innovación de base tecnológica</t>
  </si>
  <si>
    <t>Publicaciones nacionales, internacionales y editorial</t>
  </si>
  <si>
    <t>Responsabilidad Social</t>
  </si>
  <si>
    <t>Vinculación con el entorno</t>
  </si>
  <si>
    <t>Fortalecimiento de la relación con egresados</t>
  </si>
  <si>
    <t>Estrategia de priorización y relacionamiento interinstitucional con alcance nacional e internacional</t>
  </si>
  <si>
    <t>Consolidación de las relaciones con la comunidad</t>
  </si>
  <si>
    <t>Transferencia social</t>
  </si>
  <si>
    <t>Fortalecimiento de Educación continuada</t>
  </si>
  <si>
    <t>Construcción de la cultura del emprendimiento en la Universidad</t>
  </si>
  <si>
    <t xml:space="preserve">Estructuración de un sistema de servicios y consultorías </t>
  </si>
  <si>
    <t>Desarrollo e implementación del modelo de Gestión cultural</t>
  </si>
  <si>
    <t>Consolidación de la sostenibilidad ambiental de la Universidad</t>
  </si>
  <si>
    <t>Desarrollo de la política Ambiental</t>
  </si>
  <si>
    <t>Inmersión a la vida Universitaria</t>
  </si>
  <si>
    <t>Articulación con la educación Media</t>
  </si>
  <si>
    <t>Fortalecimiento de la inmersión a la Universidad</t>
  </si>
  <si>
    <t>Fortalecimiento del Sistema de Acompañamiento Estudiantil SAE</t>
  </si>
  <si>
    <t>Desarrollo en la vida Universitaria</t>
  </si>
  <si>
    <t>Aprendizaje para el éxito</t>
  </si>
  <si>
    <t>Preparación a la vida laboral</t>
  </si>
  <si>
    <t>Gestión para el desempeño y éxito profesional</t>
  </si>
  <si>
    <t>Bienestar Universitario</t>
  </si>
  <si>
    <t>Fortalecimiento de Bienestar para los actores universitarios</t>
  </si>
  <si>
    <t>Fortalecimiento de Bienestar para académicos y administrativos</t>
  </si>
  <si>
    <t>Fortalecimiento de Bienestar para estudiantes y egresados</t>
  </si>
  <si>
    <t>Bienestar como promotor de la calidad de vida</t>
  </si>
  <si>
    <t>La Familia aspecto fundamental para el bienestar y la calidad de vida de la Comunidad Universitaria</t>
  </si>
  <si>
    <t>Universidad saludable</t>
  </si>
  <si>
    <t>El bienestar en la formación integral</t>
  </si>
  <si>
    <t>Fortalecimiento de las acciones formativas</t>
  </si>
  <si>
    <t>Fortalecimiento del trabajo cooperativo inter e intra universitario</t>
  </si>
  <si>
    <t>Promoción del sentido de pertenencia</t>
  </si>
  <si>
    <t xml:space="preserve">Internacionalización </t>
  </si>
  <si>
    <t>Fortalecimiento de la implementación de la política de Internacionalización</t>
  </si>
  <si>
    <t>Relaciones Internacionales con los grupos de interés</t>
  </si>
  <si>
    <t>Internacionalización de currículo</t>
  </si>
  <si>
    <t>Internacionalización para el éxito estudiantil</t>
  </si>
  <si>
    <t>Internacionalización del Talento Humano</t>
  </si>
  <si>
    <t>Internacionalización de la investigación y la transferencia del conocimiento</t>
  </si>
  <si>
    <t>PRESUPUESTO 2015 - 
EJECUCION PRESUPUESTAL 2015 PLAN DE DESARROLLO INSTITUCIONAL</t>
  </si>
  <si>
    <t>TOTAL</t>
  </si>
  <si>
    <t>PRESUPUESTO</t>
  </si>
  <si>
    <t>EJECUCIÓN 2015</t>
  </si>
  <si>
    <t>%</t>
  </si>
  <si>
    <t>Inversión Capital de Trabajo</t>
  </si>
  <si>
    <t>Otros Gastos de Funcionamiento</t>
  </si>
  <si>
    <t>El proyecto promueve la generación de espacios de participación conjunta en donde se refuercen y se haga claridad, sobre aquellos aspectos que constituyen la Identidad Institucional de la Universidad El Bosque y la forma en que éstos se hacen palpables y vivenciales en el diario quehacer y en la calidad de vida de las personas que hacen parte de la Comunidad Universitaria.</t>
  </si>
  <si>
    <t>Identificación y generación de espacios, que evidencien la tarea de formar integralmente a los miembros de la Comunidad Universitaria, así como la medición de los respectivos avances.</t>
  </si>
  <si>
    <t xml:space="preserve">Fortalecer los procesos de calidad y mejora continua de los programas académicos, en coherencia con  las directrices del Ministerio de Educación Nacional para el aseguramiento   de la calidad. </t>
  </si>
  <si>
    <t>Fortalecer los procesos de calidad y mejora continua Institucional y de los programas académicos, en coherencia con el Modelo de Autoevaluación Institucional y los modelos de acreditación y certificación de calidad internacional</t>
  </si>
  <si>
    <t>Fortalecer los procesos académico-administrativos de la Universidad contando con procesos debida- mente estructurados, documentados y homogéneos que muestran la calidad, confiabilidad y seguridad de los mismos, en coherencia con la Misión y Visión Institucional.</t>
  </si>
  <si>
    <t>Fortalecimiento del uso de indicadores clave de éxito a partir del desarrollo del sistema de información de calidad</t>
  </si>
  <si>
    <t>Definición, implementación y evaluación de la Política y el Plan de Comunicación establecidos en    la Universidad.</t>
  </si>
  <si>
    <t>Revisa y ajusta la estructura académico - administrativa de la Universidad en coherencia con el Plan de Desarrollo Institucional, la Misión, Visión y el Proyecto Educativo Institucional.</t>
  </si>
  <si>
    <t xml:space="preserve">Fortalecer los procesos de calidad y mejora continua institucional y de los programas académicos, en coherencia con el Modelo de Autoevaluación Institucional y los Sistemas de Acreditación de Calidad nacionales. Con la autoevaluación, la auto regulación y el autocontrol se diagnostica y generan acciones de mejoramiento que permiten la toma decisiones en la búsqueda de los más altos estándares en las actividades derivadas de la Misión Institucional y las funciones sustantivas. </t>
  </si>
  <si>
    <t>Articular los mecanismos que aseguran la ejecución del Plan dentro de los términos previstos, su seguimiento y evaluación permanente, de tal forma que se mida el desempeño Institucional, la consecución de los objetivos y metas planteadas, y se establezcan acciones o ajustes requeridos para su cumplimiento.</t>
  </si>
  <si>
    <t>En coherencia con el Plan de Desarrollo Institucional (cimientos, pilares y estrategias) las Unidades académicas y administrativas, elaboran sus respectivos planes de desarrollo. Estos planes son diseñados a partir de lineamientos claros, que no solo permiten articularlos con el Plan de Desarrollo Institucional sino que incluyen las respectivas estrategias de implementación, seguimiento y evaluación que permiten tener información confiable y oportuna sobre los avances y la consecución de los objetivos y metas estratégicas trazadas, así como la forma en que ellas, en conjunto, dan cumplimiento a lo planteado en el Plan de Desarrollo  Institucional.</t>
  </si>
  <si>
    <t>Fortalecer la cultura de la innovación involucrando a toda la comunidad universitaria mediante estrategias como     la creación de grupos de trabajo, el trabajo en redes, la visibilidad de los proyectos y productos de innovación, servicios novedosos, métodos de gestión en función de la formación, la investigación y la proyección tanto a nivel interno como externo.</t>
  </si>
  <si>
    <t>desarrollo profesoral mediante el cual se establecen metas que a mediano plazo orienten el desarrollo profesoral a: nivel Institucional, es decir el desarrollo y fortalecimiento de las competencias pedagógicas y didácticas para consolidar entornos de aprendizaje significativo, de investigación, desarrollo, innovación y transferencia, gestión del conocimiento, internacionalización, manejo de una segunda lengua, entre otros, ya sea de manera virtual o presencial; a nivel disciplinar enfocado a promover la consecución de maestrías, doctorados y post- doctorados en los académicos, los cuales contribuyan a desarrollo de las Unidades académicas   y de la Institución.</t>
  </si>
  <si>
    <t>Establecer las bases para la implementación, seguimiento y ajustes de la Política Institucional de Innovación y su articulación entre las Unidades académicas y administrativas en coherencia con la Misión, la Visión de la Universidad y las necesidades de la comunidad en general</t>
  </si>
  <si>
    <t>Implementación de la Política de la gestión del Talento Humano Administrativo, busca la consolidación, el desarrollo y   la estabilidad de un equipo de trabajo eficiente y competente, en un entorno   y condiciones propicias para el bienestar, desarrollo integral y calidad de vida.</t>
  </si>
  <si>
    <t>Desarrollo de nuevas ofertas consolida la calidad de los programas mediante el fortalecimiento permanente de los procesos curriculares y el desarrollo de la investigación con especial atención hacia el desarrollo de los programas de educación posgradual.</t>
  </si>
  <si>
    <t>Desarrollo de ofertas educativas pertinentes  en formación continua y permanente para la vida en diversas modalidades y disciplinas</t>
  </si>
  <si>
    <t>Consolida la Política de Lengua Extranjera y el seguimiento al Plan de Acción, con el fin de incrementar el nivel de competencia en una segunda lengua en los estudiantes apoyado en el fortalecimiento de los currículos, la flexibilidad educativa y las experiencias de internacionalización.</t>
  </si>
  <si>
    <t>Seguimiento a la implementación de la Política de Formación para la Investigación en los diferentes programas académicos de acuerdo con los siguientes lineamientos</t>
  </si>
  <si>
    <t xml:space="preserve"> </t>
  </si>
  <si>
    <t>EJECUCION 2015</t>
  </si>
  <si>
    <t>INGRESOS</t>
  </si>
  <si>
    <t>INGRESOS OPERACIONALES</t>
  </si>
  <si>
    <t>Matriculas</t>
  </si>
  <si>
    <t>Reint Academicos años anteriores</t>
  </si>
  <si>
    <t>Inscripciones</t>
  </si>
  <si>
    <t>Matric.Extraordin.</t>
  </si>
  <si>
    <t>Devol.Matricula</t>
  </si>
  <si>
    <t>Certific.Constancias</t>
  </si>
  <si>
    <t>Derechos de Grado</t>
  </si>
  <si>
    <t>Supletorios</t>
  </si>
  <si>
    <t>Habilitaciones</t>
  </si>
  <si>
    <t>Validaciones</t>
  </si>
  <si>
    <t>Curso Vacacional</t>
  </si>
  <si>
    <t>Desc.Matricu.Pensi.</t>
  </si>
  <si>
    <t>Venta Libros</t>
  </si>
  <si>
    <t>Ingresos Biblioteca</t>
  </si>
  <si>
    <t>Ingres.Audiovisuales</t>
  </si>
  <si>
    <t>Ing Servicio Tecnologia</t>
  </si>
  <si>
    <t>Ingr.Servic.Laborat.</t>
  </si>
  <si>
    <t>Alquiler Lockers</t>
  </si>
  <si>
    <t>Ingresos Bienestar U</t>
  </si>
  <si>
    <t xml:space="preserve">Corte Láser y Prototipado 3D </t>
  </si>
  <si>
    <t>Consulta y Asesoria Psicologica</t>
  </si>
  <si>
    <t>TOTAL INGRESOS OPERACIONALES</t>
  </si>
  <si>
    <t>GASTOS</t>
  </si>
  <si>
    <t>OPERACIONALES DIRECTOS</t>
  </si>
  <si>
    <t>GASTOS DE PERSONAL</t>
  </si>
  <si>
    <t>Sueldos</t>
  </si>
  <si>
    <t>Horas Extras Recargo</t>
  </si>
  <si>
    <t>Incapacidades</t>
  </si>
  <si>
    <t>Gastos Personal Vigencias Pasadas</t>
  </si>
  <si>
    <t>Auxilio Transporte</t>
  </si>
  <si>
    <t>Cesantias</t>
  </si>
  <si>
    <t>Intereses Cesantia</t>
  </si>
  <si>
    <t>Prima de Servicios</t>
  </si>
  <si>
    <t>Vacaciones</t>
  </si>
  <si>
    <t>Primas extralegales</t>
  </si>
  <si>
    <t>Auxilios</t>
  </si>
  <si>
    <t>Bonificaciones</t>
  </si>
  <si>
    <t>Dotación Sumin.Traba</t>
  </si>
  <si>
    <t>Seguros</t>
  </si>
  <si>
    <t>Indemnizac.Laborales</t>
  </si>
  <si>
    <t>Capacitación Persona</t>
  </si>
  <si>
    <t>Gastos Deport.Recrea</t>
  </si>
  <si>
    <t>Capacitac modalid Condonable</t>
  </si>
  <si>
    <t>Apor.Admin.Riesg.Pro</t>
  </si>
  <si>
    <t>Ap.Ent.Prom.Sal.EPS</t>
  </si>
  <si>
    <t>Apor.Fondos Pens/CES</t>
  </si>
  <si>
    <t>Caja Compens Fam.</t>
  </si>
  <si>
    <t>Aportes al I.C.B.F.</t>
  </si>
  <si>
    <t>Sena</t>
  </si>
  <si>
    <t>Gast.Medicos, Drogas</t>
  </si>
  <si>
    <t>Apoyo Aprendis Sena</t>
  </si>
  <si>
    <t>Apo.Salud Apren.Sena</t>
  </si>
  <si>
    <t>Ap.Riesgo Apren.Sena</t>
  </si>
  <si>
    <t>TOTAL GASTOS DE PERSONAL</t>
  </si>
  <si>
    <t xml:space="preserve">HONORARIOS </t>
  </si>
  <si>
    <t>Revisoria Fiscal</t>
  </si>
  <si>
    <t>Avaluos</t>
  </si>
  <si>
    <t>Asesoria Juridica</t>
  </si>
  <si>
    <t>Asesoria Tecnica</t>
  </si>
  <si>
    <t>Asesoria Programas Academicos</t>
  </si>
  <si>
    <t>Hon.Cursos,Sem.Diplo</t>
  </si>
  <si>
    <t>Honorarios Investig.</t>
  </si>
  <si>
    <t>Hon. Medicina Legal</t>
  </si>
  <si>
    <t>Asistencia Tecnica</t>
  </si>
  <si>
    <t>Otros Honorarios</t>
  </si>
  <si>
    <t xml:space="preserve">TOTAL HONORARIOS </t>
  </si>
  <si>
    <t>CONVENIOS CON ENTIDADES</t>
  </si>
  <si>
    <t>Hon.Conv.Entid.Salud</t>
  </si>
  <si>
    <t>TOTAL CONVENIOS ENTIDADES DE SALUD</t>
  </si>
  <si>
    <t>GENERALES DE ADMON</t>
  </si>
  <si>
    <t>IMPUESTOS</t>
  </si>
  <si>
    <t>Imp.Indust. Comercio</t>
  </si>
  <si>
    <t>Imp.a Propiedad Raiz</t>
  </si>
  <si>
    <t>Impuesto de Valorizacion</t>
  </si>
  <si>
    <t>Emergencia Economica</t>
  </si>
  <si>
    <t>Impuesto IVA</t>
  </si>
  <si>
    <t>Impuesto de Delineacion Urbana</t>
  </si>
  <si>
    <t>ARRENDAMIENTOS</t>
  </si>
  <si>
    <t>Construc. Edificacio</t>
  </si>
  <si>
    <t>Eq.Comput.Comunic</t>
  </si>
  <si>
    <t>Eq. Medico Cientifico</t>
  </si>
  <si>
    <t>Otros Arriendos</t>
  </si>
  <si>
    <t>CONTRIBUCIONES Y AFILIACIONES</t>
  </si>
  <si>
    <t>Afiliac. Sostenimien</t>
  </si>
  <si>
    <t>SEGUROS</t>
  </si>
  <si>
    <t>Cumplimiento</t>
  </si>
  <si>
    <t>Respon.Civil y Extra</t>
  </si>
  <si>
    <t>Seguro Arrendamiento</t>
  </si>
  <si>
    <t>Seguro por Riesgos</t>
  </si>
  <si>
    <t>Seguro accidente est</t>
  </si>
  <si>
    <t>Garantias</t>
  </si>
  <si>
    <t>SERVICIOS</t>
  </si>
  <si>
    <t>Aseo</t>
  </si>
  <si>
    <t>Vigilancia</t>
  </si>
  <si>
    <t>Procesamiento Electronico de Datos</t>
  </si>
  <si>
    <t>Acueduc y Alcantar</t>
  </si>
  <si>
    <t>Energia Electricar</t>
  </si>
  <si>
    <t>Telefonos</t>
  </si>
  <si>
    <t>Correo, Portes,Teleg</t>
  </si>
  <si>
    <t>Transp, Fletes, Acar</t>
  </si>
  <si>
    <t>Gas</t>
  </si>
  <si>
    <t>Empaste Documentos</t>
  </si>
  <si>
    <t>Servicios Audiovisua</t>
  </si>
  <si>
    <t>Servicio Laboratorio</t>
  </si>
  <si>
    <t>Impresos y Publicaci</t>
  </si>
  <si>
    <t>Propaganda y Divulga</t>
  </si>
  <si>
    <t>Avisos en Prensa</t>
  </si>
  <si>
    <t>Internet y Base Dato</t>
  </si>
  <si>
    <t>Admon Loc,Oficin,Cas</t>
  </si>
  <si>
    <t>Lavanderia</t>
  </si>
  <si>
    <t>Proceso Admisiones</t>
  </si>
  <si>
    <t>Serv.Bienestar Unive</t>
  </si>
  <si>
    <t>Mantenimto Software</t>
  </si>
  <si>
    <t>Mto. Licencias</t>
  </si>
  <si>
    <t>Servicios de Señalizacion</t>
  </si>
  <si>
    <t>Servicios Participacion Cursos/Seminarios</t>
  </si>
  <si>
    <t>Servicios Varios</t>
  </si>
  <si>
    <t>Ap EPS - ARP Estudia</t>
  </si>
  <si>
    <t>GASTOS LEGALES</t>
  </si>
  <si>
    <t>Notariales</t>
  </si>
  <si>
    <t>Tramites y Licencias</t>
  </si>
  <si>
    <t>Aduaneros</t>
  </si>
  <si>
    <t>Licencia de Urbanismo</t>
  </si>
  <si>
    <t>Consulares</t>
  </si>
  <si>
    <t>Aj Pag. Retefu.e Ica</t>
  </si>
  <si>
    <t>Formu,Certific.Const</t>
  </si>
  <si>
    <t>MANT. REPARAC. Y ADECUACIONES</t>
  </si>
  <si>
    <t>Construc. Edificac.</t>
  </si>
  <si>
    <t>Maquinaria y Equipo</t>
  </si>
  <si>
    <t>Eq.Enseres Deportes</t>
  </si>
  <si>
    <t>Eq.Instrum.Musicales</t>
  </si>
  <si>
    <t>Eq.Aseo,Cocina.Mant.</t>
  </si>
  <si>
    <t>Eq.Varios oficina</t>
  </si>
  <si>
    <t>Eq.  de Comp.Com</t>
  </si>
  <si>
    <t>Eq.Medico Cientifico</t>
  </si>
  <si>
    <t>Acueducto,Planta y Redes</t>
  </si>
  <si>
    <t>Reparac. Locativas</t>
  </si>
  <si>
    <t>Otros Adecua.Instal.</t>
  </si>
  <si>
    <t>GASTOS DE VIAJE</t>
  </si>
  <si>
    <t>Alojamie.y Manunten.</t>
  </si>
  <si>
    <t>Pasajes Aereos</t>
  </si>
  <si>
    <t>Pasajes Terrestres</t>
  </si>
  <si>
    <t>Otr.Gtos  Viaje Sali</t>
  </si>
  <si>
    <t>Peajes  Tramites</t>
  </si>
  <si>
    <t>AMORTIZACIONES</t>
  </si>
  <si>
    <t>Biblioteca</t>
  </si>
  <si>
    <t>GASTOS DIVERSOS</t>
  </si>
  <si>
    <t>Comisiones</t>
  </si>
  <si>
    <t>Libr,Susc,Per.Revist</t>
  </si>
  <si>
    <t>Gas.Repr.Relac.Publi</t>
  </si>
  <si>
    <t>Elemen.Aseo Cafeter</t>
  </si>
  <si>
    <t>Utiles, Papel.Fotoco</t>
  </si>
  <si>
    <t>Combustib. y Lubric</t>
  </si>
  <si>
    <t>Taxis y buses</t>
  </si>
  <si>
    <t>Estampillas</t>
  </si>
  <si>
    <t>Parqueaderos</t>
  </si>
  <si>
    <t>Elem.Laborat. Enseñ</t>
  </si>
  <si>
    <t>Elementos Audivisual</t>
  </si>
  <si>
    <t>Elem.Rope.Lenc.Menaj</t>
  </si>
  <si>
    <t>Implem. Deportivos</t>
  </si>
  <si>
    <t>Imple.Bienestar Univ</t>
  </si>
  <si>
    <t>Materiales y Repues</t>
  </si>
  <si>
    <t>Herramientas</t>
  </si>
  <si>
    <t>Elementos y Suministros para Computador</t>
  </si>
  <si>
    <t>Impl.Devol.Eq.Comput</t>
  </si>
  <si>
    <t>Impl.Devol. Eq.Instr</t>
  </si>
  <si>
    <t>Im.Dev.Mue.Ens,Eq.Of</t>
  </si>
  <si>
    <t>Impl.Dev.Eq.Comunic.</t>
  </si>
  <si>
    <t>Implem.Devol.Libros</t>
  </si>
  <si>
    <t>Material Didactico</t>
  </si>
  <si>
    <t>Inventarios en Custodia</t>
  </si>
  <si>
    <t>Elemen Y Sumin Vario</t>
  </si>
  <si>
    <t>Elemen. Decorativos</t>
  </si>
  <si>
    <t>Otros Equipos</t>
  </si>
  <si>
    <t>Mater e Implem dev. Inst Music.</t>
  </si>
  <si>
    <t>May.Vr.Can.Men.Vr.Re</t>
  </si>
  <si>
    <t>Campus XXI</t>
  </si>
  <si>
    <t>TOTAL GRALES ADMON</t>
  </si>
  <si>
    <t>BIENESTAR UNIVERSITARIO</t>
  </si>
  <si>
    <t>TOTAL GASTOS OPERACIONALES</t>
  </si>
  <si>
    <t>****</t>
  </si>
  <si>
    <t>INGRESOS NO OPERACIONALES</t>
  </si>
  <si>
    <t>FINANCIEROS</t>
  </si>
  <si>
    <t>Particul. y Empresas</t>
  </si>
  <si>
    <t>Clientes (Estudian.)</t>
  </si>
  <si>
    <t>Cuentas de Ahorro</t>
  </si>
  <si>
    <t>Depositos a Término</t>
  </si>
  <si>
    <t>Derechos Fiduciarios</t>
  </si>
  <si>
    <t>Cuentas Corrientes</t>
  </si>
  <si>
    <t>Inversiones Diversos</t>
  </si>
  <si>
    <t>Bonos</t>
  </si>
  <si>
    <t>Titulos De Tesoreria</t>
  </si>
  <si>
    <t>Diferencia en Cambio</t>
  </si>
  <si>
    <t>Descuentos Comerciales Cond.</t>
  </si>
  <si>
    <t>San.Cheques Devuelto</t>
  </si>
  <si>
    <t>Mr Vr Reci.Mr Vr Can</t>
  </si>
  <si>
    <t>Form.Insc.Prove.</t>
  </si>
  <si>
    <t>Utilidad Cont. Forward Cf16i04</t>
  </si>
  <si>
    <t>Predios CL 134 7B41</t>
  </si>
  <si>
    <t>Oficinas</t>
  </si>
  <si>
    <t>Cafeterias</t>
  </si>
  <si>
    <t>Bodega</t>
  </si>
  <si>
    <t>Alquiler Espacios</t>
  </si>
  <si>
    <t>Locales y Otros inmuebles</t>
  </si>
  <si>
    <t>Tienda Universitaria</t>
  </si>
  <si>
    <t>Equipos computac y Comunicación</t>
  </si>
  <si>
    <t>HONORARIOS</t>
  </si>
  <si>
    <t>Asesorias</t>
  </si>
  <si>
    <t>Transporte</t>
  </si>
  <si>
    <t>Administrativos</t>
  </si>
  <si>
    <t>Por Contrato</t>
  </si>
  <si>
    <t>Lockers</t>
  </si>
  <si>
    <t>Alojamiento, Manutencion y Otros</t>
  </si>
  <si>
    <t>Stands</t>
  </si>
  <si>
    <t>Cons.Tratam.Odontol.</t>
  </si>
  <si>
    <t>Serv.Comité Etica</t>
  </si>
  <si>
    <t>Certificac.Carnetiza</t>
  </si>
  <si>
    <t>Asesor consultas Neurociencias</t>
  </si>
  <si>
    <t>Servicios No Dados En El Perio</t>
  </si>
  <si>
    <t>RECUPERACIONES</t>
  </si>
  <si>
    <t>Reclamos</t>
  </si>
  <si>
    <t>De Provision</t>
  </si>
  <si>
    <t>Rein.Otros Cost.Gast</t>
  </si>
  <si>
    <t>Por Siniestro</t>
  </si>
  <si>
    <t>AÑOS ANTERIORES</t>
  </si>
  <si>
    <t>Acti.Relac.Educacion</t>
  </si>
  <si>
    <t>Actividades Conexas</t>
  </si>
  <si>
    <t>Arriendos Años Anter.</t>
  </si>
  <si>
    <t>Servicios</t>
  </si>
  <si>
    <t>Recuperaciones</t>
  </si>
  <si>
    <t>Ingresos Financieros</t>
  </si>
  <si>
    <t>Subvenciones y Obsequios</t>
  </si>
  <si>
    <t>Ing. Cierre Prog Campus.</t>
  </si>
  <si>
    <t>OTROS INGRESOS</t>
  </si>
  <si>
    <t>Aprovechamientos</t>
  </si>
  <si>
    <t>Subvenciones Proyectos de Investigacion.</t>
  </si>
  <si>
    <t>Ing.Investigacion y Desarrollo</t>
  </si>
  <si>
    <t>Excedentes Inventario de Material</t>
  </si>
  <si>
    <t>Sobrantes de Caja</t>
  </si>
  <si>
    <t>TOTAL INGRESOS NO OPERACIONALES</t>
  </si>
  <si>
    <t>GASTOS NO OPERACIONALES DIRECTOS</t>
  </si>
  <si>
    <t>FINANCIEROS Y EXTRAORDINARIOS</t>
  </si>
  <si>
    <t>Cheq.Libreta Papeler</t>
  </si>
  <si>
    <t>Servicios Remesas</t>
  </si>
  <si>
    <t>Gastos Bancarios</t>
  </si>
  <si>
    <t>Intereses Ordinarios</t>
  </si>
  <si>
    <t>Intereses por Mora</t>
  </si>
  <si>
    <t>Prima Amortizada</t>
  </si>
  <si>
    <t>Perdida Efectivo</t>
  </si>
  <si>
    <t>Actividades culturales y Civicas</t>
  </si>
  <si>
    <t>Gastos Rel.Educacion</t>
  </si>
  <si>
    <t>Gastos de Personal</t>
  </si>
  <si>
    <t>Honorarios</t>
  </si>
  <si>
    <t>Arrendamientos</t>
  </si>
  <si>
    <t>Contrib.Afiliaciones</t>
  </si>
  <si>
    <t>Consultas y Tratamientos</t>
  </si>
  <si>
    <t>Otros Servicios</t>
  </si>
  <si>
    <t>Manten.Reparaciones</t>
  </si>
  <si>
    <t>Gastos de Viaje</t>
  </si>
  <si>
    <t>Gastos diversos</t>
  </si>
  <si>
    <t>Diversos</t>
  </si>
  <si>
    <t>Egresos Cierre Campus</t>
  </si>
  <si>
    <t>Impuestos Asumidos</t>
  </si>
  <si>
    <t>Convenios</t>
  </si>
  <si>
    <t>Auxilios Educativos</t>
  </si>
  <si>
    <t>Becas</t>
  </si>
  <si>
    <t>Apoyo Movilidad Academica</t>
  </si>
  <si>
    <t>Apoyo Fondo Sostenibilidad</t>
  </si>
  <si>
    <t>Vent.Utile.Mater.Var</t>
  </si>
  <si>
    <t>Multas, Sanciones y Litigios</t>
  </si>
  <si>
    <t>Donaciones, Apoyos, patrocinio</t>
  </si>
  <si>
    <t>Reintegros Recursos no Afectado</t>
  </si>
  <si>
    <t>TOTAL GASTOS NO OPERACIONALES</t>
  </si>
  <si>
    <t>INVERSIONES UNIDADES ACADEMICAS</t>
  </si>
  <si>
    <t>Muebles y Enseres</t>
  </si>
  <si>
    <t>Equipos de Computo -Tecnologia-licencias-Sotfware</t>
  </si>
  <si>
    <t>Equipos Medicos-Odontologicos-Laboratorios-Otros</t>
  </si>
  <si>
    <t>Adecuaciones Locativas</t>
  </si>
  <si>
    <t>TOTAL INVERSIONES UNIDAD ACADEMICA</t>
  </si>
  <si>
    <t>CAMPUSAQUEN</t>
  </si>
  <si>
    <t>Adquisicion Propiedades Campus Calle 134</t>
  </si>
  <si>
    <t>CAMPCHIA</t>
  </si>
  <si>
    <t>Desarrollo Segundo Campus</t>
  </si>
  <si>
    <t>CASACULTURA</t>
  </si>
  <si>
    <t>Casa de la Cultura</t>
  </si>
  <si>
    <t>Plan de Mejora y Desarrollo Institucional</t>
  </si>
  <si>
    <t>CLINICANUEVA</t>
  </si>
  <si>
    <t>Clinica Nueva</t>
  </si>
  <si>
    <t>TOTAL INVERSIONES INSTITUCIONALES</t>
  </si>
  <si>
    <t xml:space="preserve">TOTAL INVERSIONES </t>
  </si>
  <si>
    <t>Recursos de Credito</t>
  </si>
  <si>
    <t>RECURBALAN</t>
  </si>
  <si>
    <t>Recursos de Balance</t>
  </si>
  <si>
    <t>Cuota Credito.</t>
  </si>
  <si>
    <t>RENDIMIENTO O SUBVENCION PRESUPUESTAL</t>
  </si>
  <si>
    <t>PRESUPUESTO 2016</t>
  </si>
  <si>
    <t>PORC. DE GASTOS DE NOMINA / ING OPERACIO.</t>
  </si>
  <si>
    <t>PORC. DE GASTOS DE NOMINA / ING TOTALES</t>
  </si>
  <si>
    <t>PORC. DE GASTOS HONORARIOS / ING OPERAC.</t>
  </si>
  <si>
    <t>PORC. INVERSIONES UNID ACADEM/ING.OPERAC.</t>
  </si>
  <si>
    <t>PORC. INVERSIONES UNID ACADEM/ING.TOTAL</t>
  </si>
  <si>
    <t>PORC. INVERSIONES INSTITUCIONAL/ING.OPERAC</t>
  </si>
  <si>
    <t>PORC. INVERSIONES INSTITUCIONAL/ING.TOTAL</t>
  </si>
  <si>
    <t>PORC. INVERSIONES /ING.OPERAC</t>
  </si>
  <si>
    <t>PORC. COSTOS FIJOS/ING.TOTAL</t>
  </si>
  <si>
    <t>Inversiones Institucionales</t>
  </si>
  <si>
    <t>UNIVERSIDAD EL BOSQUE</t>
  </si>
  <si>
    <t>ADMON GENERAL</t>
  </si>
  <si>
    <t>BIOETICA</t>
  </si>
  <si>
    <t>ODONTOLOGIA</t>
  </si>
  <si>
    <t>HUMANIDADES</t>
  </si>
  <si>
    <t>PSICOLOGIA</t>
  </si>
  <si>
    <t>MEDICINA</t>
  </si>
  <si>
    <t>OPTOMETRIA</t>
  </si>
  <si>
    <t>PLAN MAESTRO DE DESARROLLO</t>
  </si>
  <si>
    <t>INVESTIGACIÓN</t>
  </si>
  <si>
    <t>Educación</t>
  </si>
  <si>
    <t>Administración</t>
  </si>
  <si>
    <t>ADMINISTRACION GENERAL</t>
  </si>
  <si>
    <t>INGRESOS Y GASTOS DE ADMINISTRACION</t>
  </si>
  <si>
    <t>Líderes</t>
  </si>
  <si>
    <t>SUBTOTAL GESTIÓN DE LA IDENTIDAD INSTITUCIONAL EN LA COMUNIDAD UNIVERSITARIA</t>
  </si>
  <si>
    <t>SUBTOTAL A TRAVÉS DE UN PLAN DE COMUNICACIÓN, PROPENDER POR LA APROPIACIÓN DE LOS POSTULADOS INSTITUCIONALES POR PARTE DE LA COMUNIDAD UNIVERSITARIA</t>
  </si>
  <si>
    <t>SUBTOTAL FORTALECIMIENTO DE LA FORMACIÓN INTEGRAL DE TODOS LOS MIEMBROS DE LA COMUNIDAD UNIVERSITARIA</t>
  </si>
  <si>
    <t>SUBTOTAL IMPLEMENTACIÓN, SEGUIMIENTO Y EVALUACIÓN DE PDI 2016-2021</t>
  </si>
  <si>
    <t>SUBTOTAL ELABORACIÓN, IMPLEMENTACIÓN, SEGUIMIENTO Y EVALUACIÓN DE PLANES DE DESARROLLO DE LAS UNIDADES ACADÉMICAS Y ADMINISTRATIVAS ARTICULADOS CON EL PDI 2016-2021</t>
  </si>
  <si>
    <t>SUBTOTAL REVISIÓN Y ANÁLISIS DE POSIBLES ESCENARIOS DE AJUSTE DE LA ESTRUCTURA ACADÉMICO - ADMINISTRATIVA DE LA UNIVERSIDAD</t>
  </si>
  <si>
    <t>SUBTOTAL AUTOEVALUACIÓN Y RENOVACIÓN DE REGISTROS CALIFICADOS DE PROGRAMAS ACADÉMICOS EN FUNCIONAMIENTO</t>
  </si>
  <si>
    <t>SUBTOTAL AUTOEVALUACIÓN Y ACREDITACIÓN INSTITUCIONAL Y DE PROGRAMAS A NIVEL NACIONAL</t>
  </si>
  <si>
    <t xml:space="preserve">SUBTOTAL ACREDITACIÓN INSTITUCIONAL Y DE PROGRAMAS A NIVEL INTERNACIONAL </t>
  </si>
  <si>
    <t>SUBTOTAL CERTIFICACIONES DE CALIDAD DE LOS PROCESOS ACADÉMICO - ADMINISTRATIVOS</t>
  </si>
  <si>
    <t>SUBTOTAL FORTALECIMIENTO DEL USO DE INDICADORES CLAVE DE ÉXITO A PARTIR DEL DESARROLLO DEL SISTEMA DE INFORMACIÓN DE CALIDAD</t>
  </si>
  <si>
    <t>SUBTOTAL DESARROLLO E IMPLEMENTACIÓN DE UNA CULTURA DE INNOVACIÓN EN LA INSTITUCIÓN</t>
  </si>
  <si>
    <t>SUBTOTAL IMPLEMENTACIÓN DEL SISTEMA DE INNOVACIÓN</t>
  </si>
  <si>
    <t>SUBTOTAL DESARROLLO E IMPLEMENTACIÓN DE LA POLÍTICA DE GESTIÓN DE TALENTO HUMANO ACADÉMICO, ALINEADA CON LA MISIÓN Y VISIÓN INSTITUCIONAL</t>
  </si>
  <si>
    <t>SUBTOTAL DESARROLLO E IMPLEMENTACIÓN DE LA POLÍTICA DE GESTIÓN DE TALENTO HUMANO ADMINISTRATIVO, ALINEADA CON LA MISIÓN Y VISIÓN INSTITUCIONAL</t>
  </si>
  <si>
    <t>SUBTOTAL DESARROLLO DE NUEVA OFERTA</t>
  </si>
  <si>
    <t>SUBTOTAL FORMACIÓN CONTINUA, PERMANENTE Y PARA LA VIDA</t>
  </si>
  <si>
    <t>SUBTOTAL IMPLEMENTACIÓN Y SEGUIMIENTO DE LA POLÍTICA DE GESTIÓN CURRICULAR</t>
  </si>
  <si>
    <t>SUBTOTAL FORTALECIMIENTO EN SEGUNDA LENGUA</t>
  </si>
  <si>
    <t>SUBTOTAL DESARROLLO DE LA FORMACIÓN PARA LA INVESTIGACIÓN E INVESTIGACIÓN FORMATIVA</t>
  </si>
  <si>
    <t>SUBTOTAL DEFINICIÓN DE PRIORIDADES EN INVESTIGACIÓN</t>
  </si>
  <si>
    <t>SUBTOTAL FORTALECIMIENTO DE LA INVESTIGACIÓN, GRUPOS E INVESTIGADORES</t>
  </si>
  <si>
    <t>SUBTOTAL INTERNACIONALIZACIÓN DE LA INVESTIGACIÓN</t>
  </si>
  <si>
    <t>SUBTOTAL DESARROLLO E IMPLEMENTACIÓN DE LA POLÍTICA INSTITUCIONAL PARA LA TRANSFERENCIA DEL CONOCIMIENTO PRODUCTO DE INVESTIGACIÓN</t>
  </si>
  <si>
    <t>SUBTOTAL FORTALECIMIENTO DE LA INNOVACIÓN DE BASE TECNOLÓGICA</t>
  </si>
  <si>
    <t>SUBTOTAL PUBLICACIONES NACIONALES, INTERNACIONALES Y EDITORIAL</t>
  </si>
  <si>
    <t>SUBTOTAL FORTALECIMIENTO DE LA RELACIÓN CON EGRESADOS</t>
  </si>
  <si>
    <t>SUBTOTAL ESTRATEGIA DE PRIORIZACIÓN Y RELACIONAMIENTO INTERINSTITUCIONAL CON ALCANCE NACIONAL E INTERNACIONAL</t>
  </si>
  <si>
    <t>SUBTOTAL CONSOLIDACIÓN DE LAS RELACIONES CON LA COMUNIDAD</t>
  </si>
  <si>
    <t>SUBTOTAL FORTALECIMIENTO DE EDUCACIÓN CONTINUADA</t>
  </si>
  <si>
    <t>SUBTOTAL CONSTRUCCIÓN DE LA CULTURA DEL EMPRENDIMIENTO EN LA UNIVERSIDAD</t>
  </si>
  <si>
    <t xml:space="preserve">SUBTOTAL ESTRUCTURACIÓN DE UN SISTEMA DE SERVICIOS Y CONSULTORÍAS </t>
  </si>
  <si>
    <t>SUBTOTAL DESARROLLO E IMPLEMENTACIÓN DEL MODELO DE GESTIÓN CULTURAL</t>
  </si>
  <si>
    <t>SUBTOTAL DESARROLLO DE LA POLÍTICA AMBIENTAL</t>
  </si>
  <si>
    <t>SUBTOTAL ARTICULACIÓN CON LA EDUCACIÓN MEDIA</t>
  </si>
  <si>
    <t>SUBTOTAL FORTALECIMIENTO DE LA INMERSIÓN A LA UNIVERSIDAD</t>
  </si>
  <si>
    <t>SUBTOTAL FORTALECIMIENTO DEL SISTEMA DE ACOMPAÑAMIENTO ESTUDIANTIL SAE</t>
  </si>
  <si>
    <t>SUBTOTAL APRENDIZAJE PARA EL ÉXITO</t>
  </si>
  <si>
    <t>SUBTOTAL GESTIÓN PARA EL DESEMPEÑO Y ÉXITO PROFESIONAL</t>
  </si>
  <si>
    <t>SUBTOTAL FORTALECIMIENTO DE BIENESTAR PARA ACADÉMICOS Y ADMINISTRATIVOS</t>
  </si>
  <si>
    <t>SUBTOTAL FORTALECIMIENTO DE BIENESTAR PARA ESTUDIANTES Y EGRESADOS</t>
  </si>
  <si>
    <t>SUBTOTAL LA FAMILIA ASPECTO FUNDAMENTAL PARA EL BIENESTAR Y LA CALIDAD DE VIDA DE LA COMUNIDAD UNIVERSITARIA</t>
  </si>
  <si>
    <t>SUBTOTAL UNIVERSIDAD SALUDABLE</t>
  </si>
  <si>
    <t>SUBTOTAL FORTALECIMIENTO DE LAS ACCIONES FORMATIVAS</t>
  </si>
  <si>
    <t>SUBTOTAL FORTALECIMIENTO DEL TRABAJO COOPERATIVO INTER E INTRA UNIVERSITARIO</t>
  </si>
  <si>
    <t>SUBTOTAL PROMOCIÓN DEL SENTIDO DE PERTENENCIA</t>
  </si>
  <si>
    <t>SUBTOTAL RELACIONES INTERNACIONALES CON LOS GRUPOS DE INTERÉS</t>
  </si>
  <si>
    <t>SUBTOTAL INTERNACIONALIZACIÓN DE CURRÍCULO</t>
  </si>
  <si>
    <t>SUBTOTAL INTERNACIONALIZACIÓN PARA EL ÉXITO ESTUDIANTIL</t>
  </si>
  <si>
    <t>SUBTOTAL INTERNACIONALIZACIÓN DEL TALENTO HUMANO</t>
  </si>
  <si>
    <t>SUBTOTAL INTERNACIONALIZACIÓN DE LA INVESTIGACIÓN Y LA TRANSFERENCIA DEL CONOCIMIENTO</t>
  </si>
  <si>
    <t>Programas Registro</t>
  </si>
  <si>
    <t>Talleres y jornadas plan estratégico (Ed. Continuada)</t>
  </si>
  <si>
    <t>Inversiones Académicas</t>
  </si>
  <si>
    <t>Base de datos y Bibliotéca</t>
  </si>
  <si>
    <t>Impresos y Publicaciones</t>
  </si>
  <si>
    <t>Elementos Audiovisuales</t>
  </si>
  <si>
    <t>Elementos de Laboratorio</t>
  </si>
  <si>
    <t>Material Didáctico</t>
  </si>
  <si>
    <t>Apoyo a Docentes y Administrativos</t>
  </si>
  <si>
    <t>Apoyos a Estudiantes</t>
  </si>
  <si>
    <t>Contrato diseño política y lineamientos para su implementación</t>
  </si>
  <si>
    <t>Curso de Formación</t>
  </si>
  <si>
    <t>Movilidad Académica</t>
  </si>
  <si>
    <t>Investigadores</t>
  </si>
  <si>
    <t>Divulgación Congresos</t>
  </si>
  <si>
    <t>Convocatoria Interna</t>
  </si>
  <si>
    <t>Curso de Formación Ética de la Inv. Y Prop. Int.</t>
  </si>
  <si>
    <t>Movilidad Académica a Otros centros de prestigio</t>
  </si>
  <si>
    <t>Congreso Investigaciones</t>
  </si>
  <si>
    <t>Inversiones en Equipos</t>
  </si>
  <si>
    <t>Start-up</t>
  </si>
  <si>
    <t>Elementos Laboratorio</t>
  </si>
  <si>
    <t>Movilidad Académica a Otros centros de Inv. Internacional</t>
  </si>
  <si>
    <t>Invitados Internacionales</t>
  </si>
  <si>
    <t>Soporte y Mantenimiento</t>
  </si>
  <si>
    <t>Equipos de Laboratorio Ingeniería</t>
  </si>
  <si>
    <t>Publicación en medios Indexados</t>
  </si>
  <si>
    <t>Libros de Investigación</t>
  </si>
  <si>
    <t>Revista Hojas El Bosque</t>
  </si>
  <si>
    <t>Libro entre Letras</t>
  </si>
  <si>
    <t>Otras Actividades</t>
  </si>
  <si>
    <t>Comunicaciones</t>
  </si>
  <si>
    <t>Convenios de Inmersión Colegios</t>
  </si>
  <si>
    <t>Capacitación  a docentes</t>
  </si>
  <si>
    <t>Objetos Virtual Aprendizaje</t>
  </si>
  <si>
    <t>Capacitación docente en evaluación y formulación de preguntas tipo saber pro</t>
  </si>
  <si>
    <t xml:space="preserve">Asesores Académicos para atención personalizada y grupal para el desarrollo de habilidades de pensamiento y competencias básicas para el aprendizaje y apoyo académico especializado en Inglés, Ciencias Básicas y Lecto-Escritura. </t>
  </si>
  <si>
    <t>Pruebas Psicopedagógicas</t>
  </si>
  <si>
    <t>Participación Eventos</t>
  </si>
  <si>
    <t>Psicólogo prestación por servicios</t>
  </si>
  <si>
    <t>Gastos Recreación y médicos</t>
  </si>
  <si>
    <t>Servicios e implementación Bienestar</t>
  </si>
  <si>
    <t>Seguros Estudiantil</t>
  </si>
  <si>
    <t>Seguridad Social</t>
  </si>
  <si>
    <t>Transportes</t>
  </si>
  <si>
    <t>Fondo Sostenibilidad</t>
  </si>
  <si>
    <t>Padres y Familia</t>
  </si>
  <si>
    <t>Celebración día de los niños</t>
  </si>
  <si>
    <t>Oruga</t>
  </si>
  <si>
    <t>Mat POP</t>
  </si>
  <si>
    <t>Proy. P y P</t>
  </si>
  <si>
    <t xml:space="preserve">Redes Universitarias </t>
  </si>
  <si>
    <t>Proyecto Colaborativos Interuniv</t>
  </si>
  <si>
    <t>Estrategias de Promoción</t>
  </si>
  <si>
    <t>Afiliaciones y Cuotas de Sostenimiento</t>
  </si>
  <si>
    <t>Curso Texas y Otros</t>
  </si>
  <si>
    <t>Movilidad Estudiantil</t>
  </si>
  <si>
    <t>Apoyos a maestrias y doctorados, asistencia a congresos, viajes de misiones académicas, asistencia a cursos</t>
  </si>
  <si>
    <t>Jornadas de Inducción Estudiantes, Profesores y Administrativos</t>
  </si>
  <si>
    <t>Talleres misión calidad de vida - modelo biosicosocial facultad e institucionales</t>
  </si>
  <si>
    <t>Impresión planes de desarrollo de las unidades</t>
  </si>
  <si>
    <t>Proceso certificación ISO 9000</t>
  </si>
  <si>
    <t>Elaboración y publicación Política de Innovación</t>
  </si>
  <si>
    <t>Contratación</t>
  </si>
  <si>
    <t>Nómina</t>
  </si>
  <si>
    <t>Gastos de Capacitación, apoyos académicos</t>
  </si>
  <si>
    <t>Convenios Doc - Asis.</t>
  </si>
  <si>
    <t>Excelencia Académica</t>
  </si>
  <si>
    <t>Nómina Administrativa</t>
  </si>
  <si>
    <t>Otros Desarrollo</t>
  </si>
  <si>
    <t>Aprendices SENA</t>
  </si>
  <si>
    <t>Otros</t>
  </si>
  <si>
    <t>PROYECCIÓN</t>
  </si>
  <si>
    <t>CONSOLIDADO - EDUCACION CONTINUADA - (Miles de $$)</t>
  </si>
  <si>
    <t>TOTAL INGRESOS</t>
  </si>
  <si>
    <t>TOTAL GTOS OPNALES DIRECTOS</t>
  </si>
  <si>
    <t>TOTAL GTOS OPNALES INDIRECTOS</t>
  </si>
  <si>
    <t>TOTAL GASTOS</t>
  </si>
  <si>
    <t>EXCEDENTES</t>
  </si>
  <si>
    <t>FAC CIENCIAS ECONOM.</t>
  </si>
  <si>
    <t>ING.INDUSTRIAL</t>
  </si>
  <si>
    <t>ENFERMERIA</t>
  </si>
  <si>
    <t>FACULTAD DE ARTES</t>
  </si>
  <si>
    <t>VICERRECTORIA INVESTIGACIONES</t>
  </si>
  <si>
    <t>SIMULACION CLINICA</t>
  </si>
  <si>
    <t>ING. SISTEMAS</t>
  </si>
  <si>
    <t>DISEÑO INDUSTRIAL</t>
  </si>
  <si>
    <t>ING.Bioingenieria</t>
  </si>
  <si>
    <t>FACULTAD DE Ciencias Juridicas</t>
  </si>
  <si>
    <t>FACULTAD DE CIENCIAS</t>
  </si>
  <si>
    <t>INTRUMENT. QUIRURGICA</t>
  </si>
  <si>
    <t>ING. AMBIENTAL</t>
  </si>
  <si>
    <t>FACULTAD DE EDUCACION</t>
  </si>
  <si>
    <t>TOTAL PREGRADO</t>
  </si>
  <si>
    <t>CIFRAS EXPRESADAS EN MILLONES DE PESOS</t>
  </si>
  <si>
    <t>EJECUCION  2012</t>
  </si>
  <si>
    <t>EJECUCION 2013</t>
  </si>
  <si>
    <t>variac % 2012 vs 2013</t>
  </si>
  <si>
    <t>EJECUCION 2014</t>
  </si>
  <si>
    <t>variac % 2014 vs 2013</t>
  </si>
  <si>
    <t>variac % 2015 vs 2014</t>
  </si>
  <si>
    <t>variac % 2016 vs 2015</t>
  </si>
  <si>
    <t>PRESUPUESTO 2017</t>
  </si>
  <si>
    <t>variac % 2017 vs 2016</t>
  </si>
  <si>
    <t>PRESUPUESTO 2018</t>
  </si>
  <si>
    <t>variac % 2018 vs 2017</t>
  </si>
  <si>
    <t>PRESUPUESTO 2019</t>
  </si>
  <si>
    <t>PRESUPUESTO 2020</t>
  </si>
  <si>
    <t>PRESUPUESTO 2021</t>
  </si>
  <si>
    <t>variac % 2021 vs 2020</t>
  </si>
  <si>
    <t>OTROS INGRESOS ECUC VIRTUAL</t>
  </si>
  <si>
    <t>-</t>
  </si>
  <si>
    <t>Perdida de Activos Fijos</t>
  </si>
  <si>
    <t>Subvencion Observatorio Astronomico.</t>
  </si>
  <si>
    <t>Derechos y Licitaciones</t>
  </si>
  <si>
    <t>Multas y Reclamos</t>
  </si>
  <si>
    <t>Por Compra a Proveedores</t>
  </si>
  <si>
    <t>Reconoc. ISS EPS</t>
  </si>
  <si>
    <t>CAPACITACION VIRTUAL DOCENTES</t>
  </si>
  <si>
    <t>NOMINA SER PILO PAGA</t>
  </si>
  <si>
    <t>NOMINA CURSOS VIRTUALES</t>
  </si>
  <si>
    <t>HONORARIOS CURSOS VIRTUALES</t>
  </si>
  <si>
    <t>Impuesto de Timbre</t>
  </si>
  <si>
    <t>Derechos Sobre Instrumentos Pub.</t>
  </si>
  <si>
    <t>Sotfware y Licencias Inalamb.</t>
  </si>
  <si>
    <t>EDUCACION VIRTUAL</t>
  </si>
  <si>
    <t>GASTOS NO OPERACIONALES</t>
  </si>
  <si>
    <t>Cuota Man.Tarjet.Emp</t>
  </si>
  <si>
    <t>Estudio de Creditos</t>
  </si>
  <si>
    <t>Perdidas Contratos Forward CF716i04</t>
  </si>
  <si>
    <t>Perdidas Contratos Forward CF016v10</t>
  </si>
  <si>
    <t>Retiro de Propiedad Muebles y Enseres</t>
  </si>
  <si>
    <t>Retiro Prop.Equipos Proc.Datos</t>
  </si>
  <si>
    <t>Retiro de Otros Activos</t>
  </si>
  <si>
    <t>Costos y Gastos Ejerc. Anteriores</t>
  </si>
  <si>
    <t>Impuestos</t>
  </si>
  <si>
    <t>Contratos</t>
  </si>
  <si>
    <t>Gastos Legales</t>
  </si>
  <si>
    <t>Financieros</t>
  </si>
  <si>
    <t>Indemnizaciones</t>
  </si>
  <si>
    <t>Aportes Fic Sena</t>
  </si>
  <si>
    <t xml:space="preserve">TOTAL GASTOS </t>
  </si>
  <si>
    <t>INVERSIONES EDUCACION VIRTUAL</t>
  </si>
  <si>
    <t>Edificio Academico Administrativo</t>
  </si>
  <si>
    <t>Adquisicion 2Do Campus</t>
  </si>
  <si>
    <t>Acreditacion Institucional</t>
  </si>
  <si>
    <t>EDIFICIO DE LA SALUD</t>
  </si>
  <si>
    <t>TOTAL GASTOS + INVERSIONES</t>
  </si>
  <si>
    <t>PORC. DE TALENTO HUMANO / ING TOTALES.</t>
  </si>
  <si>
    <t>PORC. INVERSIONES /ING.TOTAL</t>
  </si>
  <si>
    <t>MARGEN DE OPERACIÓN</t>
  </si>
  <si>
    <t>% GASTO NOMINA</t>
  </si>
  <si>
    <t>MATRICULAS - VARIAC. AÑO ANTERIOR</t>
  </si>
  <si>
    <t>GTOS PERSONAL-VARIAC. AÑO ANTERIOR</t>
  </si>
  <si>
    <t>GTS HONORARIOS-VARIAC. AÑO ANTERIOR</t>
  </si>
  <si>
    <t>GTOS GENERALES-VARIAC. AÑO ANTERIOR</t>
  </si>
  <si>
    <t>a</t>
  </si>
  <si>
    <t>Educación Virtual- Talento Humano</t>
  </si>
  <si>
    <t>Capacitación en virtualidad</t>
  </si>
  <si>
    <t>Otros Gastos</t>
  </si>
  <si>
    <t>Inversiones</t>
  </si>
  <si>
    <t>b</t>
  </si>
  <si>
    <t>CLASE</t>
  </si>
  <si>
    <t>CIMIENTOS</t>
  </si>
  <si>
    <t>PILARES</t>
  </si>
  <si>
    <t>Éxito Estudiantil</t>
  </si>
  <si>
    <t>ESTRATEGIA</t>
  </si>
  <si>
    <t>Total Inversiones Institucionales</t>
  </si>
  <si>
    <t>Total INGRESOS Y GASTOS DE ADMINISTRACION</t>
  </si>
  <si>
    <t>Inicio Proceso apertura  programas</t>
  </si>
  <si>
    <t>ING.</t>
  </si>
  <si>
    <t>GTOS</t>
  </si>
  <si>
    <t>Nómina Acad. Admon</t>
  </si>
  <si>
    <t>Contratación asistente</t>
  </si>
  <si>
    <t>otras actividades.</t>
  </si>
  <si>
    <t xml:space="preserve">Renovación programas </t>
  </si>
  <si>
    <t>Clasificación</t>
  </si>
  <si>
    <t>Planeación, innovación, calidad</t>
  </si>
  <si>
    <t>Internacionalización</t>
  </si>
  <si>
    <t>ESTRATEGIAS</t>
  </si>
  <si>
    <t>TOTAL CIMIENTOS</t>
  </si>
  <si>
    <t>TOTAL PILARES</t>
  </si>
  <si>
    <t>CONCEPTOS</t>
  </si>
  <si>
    <t>TOTAL ESTRATEGIAS</t>
  </si>
  <si>
    <t>TOTALES</t>
  </si>
  <si>
    <t xml:space="preserve">Nómina Investigación </t>
  </si>
  <si>
    <t>Nómina Bienestar Universitario</t>
  </si>
  <si>
    <t>TOTAL PRESUPUESTO</t>
  </si>
  <si>
    <t>variac % 2018 vs 2019</t>
  </si>
  <si>
    <t>variac % 2019 vs 2020</t>
  </si>
  <si>
    <t>PLAN MAESTRO DE DESARROLLO FISICO</t>
  </si>
  <si>
    <t>GTOS FUNCIONAM. Y ADMON GENERAL</t>
  </si>
  <si>
    <t>Mantenimiento y Adecuaciones</t>
  </si>
  <si>
    <t>Relaciones publicas y Gastos de viaje</t>
  </si>
  <si>
    <t>Consolidación de nuevos espacios</t>
  </si>
  <si>
    <t>Clínica Nueva</t>
  </si>
  <si>
    <t>Construcciones</t>
  </si>
  <si>
    <t>TOTAL GTOS FUNCIONAM. Y ADMON GENERAL</t>
  </si>
  <si>
    <t>TOTAL PLAN MAESTRO DE DESARROLLO FISICO</t>
  </si>
  <si>
    <t>Millones de Pesos</t>
  </si>
  <si>
    <t>Validación Ingresos</t>
  </si>
  <si>
    <t>Validación total gastos + inversiones</t>
  </si>
  <si>
    <t>Diferencia por incremento en Investigación y Bienestar Un</t>
  </si>
  <si>
    <t>Casona</t>
  </si>
  <si>
    <t xml:space="preserve">  PRESUPUESTO 2016 -2021 </t>
  </si>
  <si>
    <t xml:space="preserve"> PRESUPUESTO 2016 -2021 (Millones de $$)</t>
  </si>
  <si>
    <t xml:space="preserve"> PLAN DE DESARROLLO INSTITUCIONAL</t>
  </si>
  <si>
    <t>Becas, Apoyos y Descuentos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</si>
</sst>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00_);_(* \(#,##0.00\);_(* &quot;-&quot;??_);_(@_)"/>
    <numFmt numFmtId="165" formatCode="0.0%"/>
    <numFmt numFmtId="166" formatCode="_-* #,##0.00\ _€_-;\-* #,##0.00\ _€_-;_-* &quot;-&quot;??\ _€_-;_-@_-"/>
    <numFmt numFmtId="167" formatCode="_ * #,##0_ ;_ * \-#,##0_ ;_ * &quot;-&quot;??_ ;_ @_ "/>
    <numFmt numFmtId="168" formatCode="00"/>
    <numFmt numFmtId="169" formatCode="_(* #,##0_);_(* \(#,##0\);_(* &quot;-&quot;??_);_(@_)"/>
    <numFmt numFmtId="170" formatCode="\P\T\O\ 0000"/>
    <numFmt numFmtId="171" formatCode="&quot;INGRESOS&quot;\ 0000"/>
    <numFmt numFmtId="172" formatCode="_ * #,##0.000_ ;_ * \-#,##0.000_ ;_ * &quot;-&quot;??_ ;_ @_ "/>
  </numFmts>
  <fonts count="53">
    <font>
      <sz val="11"/>
      <color theme="1"/>
      <name val="Calibri"/>
      <family val="2"/>
      <scheme val="minor"/>
    </font>
    <font>
      <b/>
      <sz val="11"/>
      <color theme="1"/>
      <name val="Arial"/>
      <family val="2"/>
    </font>
    <font>
      <sz val="11"/>
      <color theme="1"/>
      <name val="Arial"/>
      <family val="2"/>
    </font>
    <font>
      <b/>
      <sz val="14"/>
      <color indexed="9"/>
      <name val="Tahoma"/>
      <family val="2"/>
    </font>
    <font>
      <b/>
      <sz val="10"/>
      <color indexed="9"/>
      <name val="Tahoma"/>
      <family val="2"/>
    </font>
    <font>
      <sz val="11"/>
      <color theme="1"/>
      <name val="Calibri"/>
      <family val="2"/>
      <scheme val="minor"/>
    </font>
    <font>
      <sz val="11"/>
      <color rgb="FF231F20"/>
      <name val="PMingLiU"/>
      <family val="1"/>
    </font>
    <font>
      <sz val="10"/>
      <name val="Arial Unicode MS"/>
      <family val="2"/>
    </font>
    <font>
      <sz val="10"/>
      <name val="Arial"/>
      <family val="2"/>
    </font>
    <font>
      <b/>
      <sz val="8"/>
      <color indexed="17"/>
      <name val="Tahoma"/>
      <family val="2"/>
    </font>
    <font>
      <b/>
      <sz val="8"/>
      <name val="Tahoma"/>
      <family val="2"/>
    </font>
    <font>
      <b/>
      <sz val="14"/>
      <color indexed="17"/>
      <name val="Tahoma"/>
      <family val="2"/>
    </font>
    <font>
      <b/>
      <sz val="13"/>
      <color indexed="9"/>
      <name val="Tahoma"/>
      <family val="2"/>
    </font>
    <font>
      <b/>
      <sz val="12"/>
      <color indexed="17"/>
      <name val="Tahoma"/>
      <family val="2"/>
    </font>
    <font>
      <b/>
      <sz val="11"/>
      <name val="Tahoma"/>
      <family val="2"/>
    </font>
    <font>
      <sz val="8"/>
      <name val="Tahoma"/>
      <family val="2"/>
    </font>
    <font>
      <b/>
      <sz val="10"/>
      <color indexed="17"/>
      <name val="Tahoma"/>
      <family val="2"/>
    </font>
    <font>
      <b/>
      <sz val="10"/>
      <name val="Tahoma"/>
      <family val="2"/>
    </font>
    <font>
      <b/>
      <sz val="8"/>
      <color indexed="10"/>
      <name val="Tahoma"/>
      <family val="2"/>
    </font>
    <font>
      <b/>
      <sz val="9"/>
      <name val="Tahoma"/>
      <family val="2"/>
    </font>
    <font>
      <sz val="11"/>
      <name val="Arial"/>
      <family val="2"/>
    </font>
    <font>
      <b/>
      <sz val="12"/>
      <name val="Tahoma"/>
      <family val="2"/>
    </font>
    <font>
      <sz val="10"/>
      <name val="Arial Unicode MS"/>
      <family val="2"/>
    </font>
    <font>
      <sz val="11"/>
      <name val="Tahoma"/>
      <family val="2"/>
    </font>
    <font>
      <b/>
      <sz val="9"/>
      <color indexed="81"/>
      <name val="Tahoma"/>
      <family val="2"/>
    </font>
    <font>
      <sz val="9"/>
      <color indexed="81"/>
      <name val="Tahoma"/>
      <family val="2"/>
    </font>
    <font>
      <sz val="12"/>
      <color theme="1"/>
      <name val="Arial"/>
      <family val="2"/>
    </font>
    <font>
      <b/>
      <sz val="28"/>
      <color theme="1"/>
      <name val="Arial"/>
      <family val="2"/>
    </font>
    <font>
      <i/>
      <sz val="11"/>
      <color theme="1"/>
      <name val="Arial"/>
      <family val="2"/>
    </font>
    <font>
      <b/>
      <i/>
      <sz val="11"/>
      <color theme="1"/>
      <name val="Arial"/>
      <family val="2"/>
    </font>
    <font>
      <b/>
      <i/>
      <sz val="12"/>
      <color theme="1"/>
      <name val="Arial"/>
      <family val="2"/>
    </font>
    <font>
      <b/>
      <i/>
      <sz val="14"/>
      <color theme="1"/>
      <name val="Arial"/>
      <family val="2"/>
    </font>
    <font>
      <b/>
      <sz val="9"/>
      <color theme="1"/>
      <name val="Arial"/>
      <family val="2"/>
    </font>
    <font>
      <b/>
      <sz val="11"/>
      <color theme="1"/>
      <name val="Calibri"/>
      <family val="2"/>
      <scheme val="minor"/>
    </font>
    <font>
      <b/>
      <sz val="18"/>
      <color theme="1"/>
      <name val="Calibri"/>
      <family val="2"/>
      <scheme val="minor"/>
    </font>
    <font>
      <b/>
      <sz val="9"/>
      <color indexed="9"/>
      <name val="Tahoma"/>
      <family val="2"/>
    </font>
    <font>
      <sz val="8"/>
      <color theme="1"/>
      <name val="Calibri"/>
      <family val="2"/>
      <scheme val="minor"/>
    </font>
    <font>
      <sz val="11"/>
      <name val="Calibri"/>
      <family val="2"/>
      <scheme val="minor"/>
    </font>
    <font>
      <b/>
      <sz val="12"/>
      <color indexed="9"/>
      <name val="Tahoma"/>
      <family val="2"/>
    </font>
    <font>
      <b/>
      <sz val="15"/>
      <color theme="0"/>
      <name val="Tahoma"/>
      <family val="2"/>
    </font>
    <font>
      <b/>
      <sz val="8"/>
      <color rgb="FF0070C0"/>
      <name val="Tahoma"/>
      <family val="2"/>
    </font>
    <font>
      <b/>
      <sz val="11"/>
      <color rgb="FF0070C0"/>
      <name val="Tahoma"/>
      <family val="2"/>
    </font>
    <font>
      <sz val="11"/>
      <color rgb="FF0070C0"/>
      <name val="Tahoma"/>
      <family val="2"/>
    </font>
    <font>
      <b/>
      <sz val="8"/>
      <color rgb="FFFF0000"/>
      <name val="Tahoma"/>
      <family val="2"/>
    </font>
    <font>
      <sz val="22"/>
      <color theme="1"/>
      <name val="Arial"/>
      <family val="2"/>
    </font>
    <font>
      <b/>
      <sz val="11"/>
      <color theme="0"/>
      <name val="Calibri"/>
      <family val="2"/>
      <scheme val="minor"/>
    </font>
    <font>
      <b/>
      <i/>
      <sz val="11"/>
      <color theme="0"/>
      <name val="Calibri"/>
      <family val="2"/>
      <scheme val="minor"/>
    </font>
    <font>
      <b/>
      <u/>
      <sz val="11"/>
      <color theme="1"/>
      <name val="Calibri"/>
      <family val="2"/>
      <scheme val="minor"/>
    </font>
    <font>
      <i/>
      <sz val="11"/>
      <color theme="1"/>
      <name val="Calibri"/>
      <family val="2"/>
      <scheme val="minor"/>
    </font>
    <font>
      <b/>
      <sz val="9"/>
      <color theme="1"/>
      <name val="Calibri"/>
      <family val="2"/>
      <scheme val="minor"/>
    </font>
    <font>
      <b/>
      <i/>
      <sz val="14"/>
      <color rgb="FFFF0000"/>
      <name val="Arial"/>
      <family val="2"/>
    </font>
    <font>
      <b/>
      <i/>
      <sz val="11"/>
      <color rgb="FFFF0000"/>
      <name val="Arial"/>
      <family val="2"/>
    </font>
    <font>
      <sz val="11"/>
      <color theme="0"/>
      <name val="Calibri"/>
      <family val="2"/>
      <scheme val="minor"/>
    </font>
  </fonts>
  <fills count="25">
    <fill>
      <patternFill patternType="none"/>
    </fill>
    <fill>
      <patternFill patternType="gray125"/>
    </fill>
    <fill>
      <patternFill patternType="solid">
        <fgColor indexed="53"/>
        <bgColor indexed="64"/>
      </patternFill>
    </fill>
    <fill>
      <patternFill patternType="solid">
        <fgColor theme="9" tint="0.59999389629810485"/>
        <bgColor indexed="64"/>
      </patternFill>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rgb="FFFFC000"/>
        <bgColor indexed="64"/>
      </patternFill>
    </fill>
    <fill>
      <patternFill patternType="solid">
        <fgColor theme="4" tint="0.39997558519241921"/>
        <bgColor indexed="64"/>
      </patternFill>
    </fill>
  </fills>
  <borders count="9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top style="double">
        <color auto="1"/>
      </top>
      <bottom style="double">
        <color auto="1"/>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double">
        <color indexed="64"/>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double">
        <color rgb="FFFF0000"/>
      </bottom>
      <diagonal/>
    </border>
    <border>
      <left/>
      <right style="thin">
        <color indexed="64"/>
      </right>
      <top/>
      <bottom style="double">
        <color rgb="FFFF0000"/>
      </bottom>
      <diagonal/>
    </border>
    <border>
      <left style="thin">
        <color indexed="64"/>
      </left>
      <right style="thin">
        <color indexed="64"/>
      </right>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style="double">
        <color indexed="64"/>
      </top>
      <bottom style="double">
        <color rgb="FFFF0000"/>
      </bottom>
      <diagonal/>
    </border>
    <border>
      <left style="thin">
        <color indexed="64"/>
      </left>
      <right style="thin">
        <color indexed="64"/>
      </right>
      <top style="double">
        <color indexed="64"/>
      </top>
      <bottom style="double">
        <color rgb="FFFF0000"/>
      </bottom>
      <diagonal/>
    </border>
    <border>
      <left style="thin">
        <color indexed="64"/>
      </left>
      <right style="medium">
        <color indexed="64"/>
      </right>
      <top style="double">
        <color indexed="64"/>
      </top>
      <bottom style="double">
        <color rgb="FFFF0000"/>
      </bottom>
      <diagonal/>
    </border>
    <border>
      <left/>
      <right style="thin">
        <color indexed="64"/>
      </right>
      <top style="double">
        <color rgb="FFFF0000"/>
      </top>
      <bottom/>
      <diagonal/>
    </border>
    <border>
      <left style="thin">
        <color indexed="64"/>
      </left>
      <right style="thin">
        <color indexed="64"/>
      </right>
      <top style="double">
        <color rgb="FFFF0000"/>
      </top>
      <bottom style="thin">
        <color indexed="64"/>
      </bottom>
      <diagonal/>
    </border>
    <border>
      <left style="thin">
        <color indexed="64"/>
      </left>
      <right style="thin">
        <color indexed="64"/>
      </right>
      <top style="double">
        <color rgb="FFFF0000"/>
      </top>
      <bottom/>
      <diagonal/>
    </border>
    <border>
      <left style="thin">
        <color indexed="64"/>
      </left>
      <right style="medium">
        <color indexed="64"/>
      </right>
      <top style="double">
        <color rgb="FFFF0000"/>
      </top>
      <bottom style="thin">
        <color indexed="64"/>
      </bottom>
      <diagonal/>
    </border>
    <border>
      <left style="thin">
        <color indexed="64"/>
      </left>
      <right style="medium">
        <color indexed="64"/>
      </right>
      <top style="double">
        <color rgb="FFFF0000"/>
      </top>
      <bottom/>
      <diagonal/>
    </border>
    <border>
      <left style="medium">
        <color indexed="64"/>
      </left>
      <right style="thin">
        <color indexed="64"/>
      </right>
      <top style="double">
        <color rgb="FFFF0000"/>
      </top>
      <bottom style="thin">
        <color indexed="64"/>
      </bottom>
      <diagonal/>
    </border>
    <border>
      <left style="medium">
        <color indexed="64"/>
      </left>
      <right style="thin">
        <color indexed="64"/>
      </right>
      <top style="thin">
        <color indexed="64"/>
      </top>
      <bottom style="double">
        <color rgb="FFFF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theme="0"/>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double">
        <color theme="0"/>
      </bottom>
      <diagonal/>
    </border>
    <border>
      <left/>
      <right style="thin">
        <color indexed="64"/>
      </right>
      <top style="medium">
        <color indexed="64"/>
      </top>
      <bottom style="double">
        <color theme="0"/>
      </bottom>
      <diagonal/>
    </border>
    <border>
      <left style="thin">
        <color indexed="64"/>
      </left>
      <right/>
      <top style="double">
        <color theme="0"/>
      </top>
      <bottom style="thin">
        <color indexed="64"/>
      </bottom>
      <diagonal/>
    </border>
    <border>
      <left/>
      <right style="thin">
        <color indexed="64"/>
      </right>
      <top style="double">
        <color theme="0"/>
      </top>
      <bottom style="thin">
        <color indexed="64"/>
      </bottom>
      <diagonal/>
    </border>
    <border>
      <left style="thin">
        <color indexed="64"/>
      </left>
      <right/>
      <top style="thin">
        <color indexed="64"/>
      </top>
      <bottom style="double">
        <color theme="0"/>
      </bottom>
      <diagonal/>
    </border>
    <border>
      <left/>
      <right style="thin">
        <color indexed="64"/>
      </right>
      <top style="thin">
        <color indexed="64"/>
      </top>
      <bottom style="double">
        <color theme="0"/>
      </bottom>
      <diagonal/>
    </border>
    <border>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s>
  <cellStyleXfs count="11">
    <xf numFmtId="0" fontId="0" fillId="0" borderId="0"/>
    <xf numFmtId="0" fontId="7" fillId="0" borderId="0"/>
    <xf numFmtId="0" fontId="8" fillId="0" borderId="0"/>
    <xf numFmtId="166" fontId="8" fillId="0" borderId="0" applyFont="0" applyFill="0" applyBorder="0" applyAlignment="0" applyProtection="0"/>
    <xf numFmtId="0" fontId="5" fillId="0" borderId="0"/>
    <xf numFmtId="164" fontId="8" fillId="0" borderId="0" applyFont="0" applyFill="0" applyBorder="0" applyAlignment="0" applyProtection="0"/>
    <xf numFmtId="0" fontId="22" fillId="0" borderId="0"/>
    <xf numFmtId="164" fontId="5" fillId="0" borderId="0" applyFont="0" applyFill="0" applyBorder="0" applyAlignment="0" applyProtection="0"/>
    <xf numFmtId="0" fontId="8" fillId="0" borderId="0"/>
    <xf numFmtId="9" fontId="5" fillId="0" borderId="0" applyFont="0" applyFill="0" applyBorder="0" applyAlignment="0" applyProtection="0"/>
    <xf numFmtId="0" fontId="5" fillId="0" borderId="0"/>
  </cellStyleXfs>
  <cellXfs count="471">
    <xf numFmtId="0" fontId="0" fillId="0" borderId="0" xfId="0"/>
    <xf numFmtId="0" fontId="2" fillId="0" borderId="0" xfId="0" applyFont="1"/>
    <xf numFmtId="0" fontId="2" fillId="0" borderId="3" xfId="0" applyFont="1" applyBorder="1" applyAlignment="1">
      <alignment horizontal="justify" vertical="justify" wrapText="1"/>
    </xf>
    <xf numFmtId="0" fontId="2" fillId="0" borderId="9" xfId="0" applyFont="1" applyBorder="1" applyAlignment="1">
      <alignment horizontal="justify" vertical="justify"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2" fillId="0" borderId="3" xfId="0" applyFont="1" applyBorder="1" applyAlignment="1">
      <alignment wrapText="1"/>
    </xf>
    <xf numFmtId="0" fontId="2" fillId="0" borderId="3" xfId="0" applyFont="1" applyBorder="1" applyAlignment="1"/>
    <xf numFmtId="0" fontId="2" fillId="0" borderId="3" xfId="0" applyFont="1" applyBorder="1"/>
    <xf numFmtId="0" fontId="2" fillId="0" borderId="6" xfId="0" applyFont="1" applyBorder="1" applyAlignment="1">
      <alignment wrapText="1"/>
    </xf>
    <xf numFmtId="0" fontId="3" fillId="2" borderId="12" xfId="0" applyFont="1" applyFill="1" applyBorder="1" applyAlignment="1">
      <alignment horizontal="left" wrapText="1"/>
    </xf>
    <xf numFmtId="0" fontId="4" fillId="2" borderId="12" xfId="0" applyFont="1" applyFill="1" applyBorder="1" applyAlignment="1">
      <alignment horizontal="left" wrapText="1"/>
    </xf>
    <xf numFmtId="0" fontId="2" fillId="3" borderId="3" xfId="0" applyFont="1" applyFill="1" applyBorder="1" applyAlignment="1">
      <alignment horizontal="justify" vertical="justify" wrapText="1"/>
    </xf>
    <xf numFmtId="0" fontId="6" fillId="0" borderId="0" xfId="0" applyFont="1" applyAlignment="1">
      <alignment horizontal="justify" vertical="center"/>
    </xf>
    <xf numFmtId="0" fontId="0" fillId="0" borderId="0" xfId="0" applyAlignment="1">
      <alignment wrapText="1"/>
    </xf>
    <xf numFmtId="0" fontId="6" fillId="0" borderId="0" xfId="0" applyFont="1" applyAlignment="1">
      <alignment wrapText="1"/>
    </xf>
    <xf numFmtId="0" fontId="10" fillId="0" borderId="0" xfId="2" applyFont="1" applyFill="1" applyBorder="1" applyAlignment="1">
      <alignment horizontal="left"/>
    </xf>
    <xf numFmtId="0" fontId="8" fillId="0" borderId="0" xfId="2"/>
    <xf numFmtId="0" fontId="13" fillId="0" borderId="15" xfId="2" applyFont="1" applyFill="1" applyBorder="1" applyAlignment="1">
      <alignment horizontal="left"/>
    </xf>
    <xf numFmtId="0" fontId="4" fillId="2" borderId="16" xfId="2" applyFont="1" applyFill="1" applyBorder="1" applyAlignment="1">
      <alignment horizontal="center" vertical="center" wrapText="1"/>
    </xf>
    <xf numFmtId="0" fontId="4" fillId="2" borderId="17" xfId="2" applyFont="1" applyFill="1" applyBorder="1" applyAlignment="1">
      <alignment horizontal="center" vertical="center" wrapText="1"/>
    </xf>
    <xf numFmtId="0" fontId="10" fillId="0" borderId="18" xfId="2" applyFont="1" applyFill="1" applyBorder="1" applyAlignment="1">
      <alignment horizontal="left"/>
    </xf>
    <xf numFmtId="0" fontId="10" fillId="0" borderId="19" xfId="2" applyFont="1" applyFill="1" applyBorder="1" applyAlignment="1">
      <alignment horizontal="left"/>
    </xf>
    <xf numFmtId="167" fontId="10" fillId="0" borderId="0" xfId="3" applyNumberFormat="1" applyFont="1" applyFill="1" applyBorder="1"/>
    <xf numFmtId="0" fontId="10" fillId="4" borderId="20" xfId="2" applyFont="1" applyFill="1" applyBorder="1" applyAlignment="1">
      <alignment horizontal="left"/>
    </xf>
    <xf numFmtId="0" fontId="14" fillId="4" borderId="21" xfId="2" applyFont="1" applyFill="1" applyBorder="1" applyAlignment="1">
      <alignment horizontal="left"/>
    </xf>
    <xf numFmtId="0" fontId="10" fillId="4" borderId="19" xfId="2" applyFont="1" applyFill="1" applyBorder="1" applyAlignment="1">
      <alignment horizontal="left"/>
    </xf>
    <xf numFmtId="0" fontId="15" fillId="4" borderId="19" xfId="2" applyNumberFormat="1" applyFont="1" applyFill="1" applyBorder="1" applyAlignment="1">
      <alignment horizontal="left"/>
    </xf>
    <xf numFmtId="0" fontId="9" fillId="0" borderId="0" xfId="2" applyFont="1" applyFill="1" applyAlignment="1">
      <alignment horizontal="left"/>
    </xf>
    <xf numFmtId="0" fontId="17" fillId="0" borderId="20" xfId="2" applyFont="1" applyFill="1" applyBorder="1" applyAlignment="1">
      <alignment horizontal="left"/>
    </xf>
    <xf numFmtId="0" fontId="17" fillId="4" borderId="21" xfId="2" applyNumberFormat="1" applyFont="1" applyFill="1" applyBorder="1" applyAlignment="1">
      <alignment horizontal="left"/>
    </xf>
    <xf numFmtId="167" fontId="14" fillId="7" borderId="22" xfId="3" applyNumberFormat="1" applyFont="1" applyFill="1" applyBorder="1"/>
    <xf numFmtId="0" fontId="8" fillId="0" borderId="0" xfId="2" applyFont="1"/>
    <xf numFmtId="0" fontId="10" fillId="4" borderId="19" xfId="2" applyNumberFormat="1" applyFont="1" applyFill="1" applyBorder="1" applyAlignment="1">
      <alignment horizontal="left"/>
    </xf>
    <xf numFmtId="0" fontId="10" fillId="0" borderId="20" xfId="2" applyFont="1" applyFill="1" applyBorder="1" applyAlignment="1">
      <alignment horizontal="left"/>
    </xf>
    <xf numFmtId="0" fontId="10" fillId="4" borderId="21" xfId="2" applyNumberFormat="1" applyFont="1" applyFill="1" applyBorder="1" applyAlignment="1">
      <alignment horizontal="left"/>
    </xf>
    <xf numFmtId="167" fontId="14" fillId="5" borderId="22" xfId="3" applyNumberFormat="1" applyFont="1" applyFill="1" applyBorder="1"/>
    <xf numFmtId="0" fontId="10" fillId="4" borderId="21" xfId="2" applyFont="1" applyFill="1" applyBorder="1" applyAlignment="1">
      <alignment horizontal="left"/>
    </xf>
    <xf numFmtId="0" fontId="17" fillId="4" borderId="19" xfId="2" applyNumberFormat="1" applyFont="1" applyFill="1" applyBorder="1" applyAlignment="1">
      <alignment horizontal="left"/>
    </xf>
    <xf numFmtId="167" fontId="14" fillId="5" borderId="23" xfId="3" applyNumberFormat="1" applyFont="1" applyFill="1" applyBorder="1"/>
    <xf numFmtId="0" fontId="10" fillId="4" borderId="18" xfId="2" applyFont="1" applyFill="1" applyBorder="1" applyAlignment="1">
      <alignment horizontal="left"/>
    </xf>
    <xf numFmtId="0" fontId="14" fillId="4" borderId="19" xfId="2" applyFont="1" applyFill="1" applyBorder="1" applyAlignment="1">
      <alignment horizontal="left"/>
    </xf>
    <xf numFmtId="49" fontId="10" fillId="4" borderId="19" xfId="2" applyNumberFormat="1" applyFont="1" applyFill="1" applyBorder="1"/>
    <xf numFmtId="49" fontId="15" fillId="4" borderId="19" xfId="2" applyNumberFormat="1" applyFont="1" applyFill="1" applyBorder="1"/>
    <xf numFmtId="0" fontId="10" fillId="0" borderId="0" xfId="2" applyNumberFormat="1" applyFont="1" applyFill="1" applyAlignment="1">
      <alignment horizontal="left"/>
    </xf>
    <xf numFmtId="0" fontId="17" fillId="5" borderId="20" xfId="2" applyFont="1" applyFill="1" applyBorder="1" applyAlignment="1">
      <alignment horizontal="left"/>
    </xf>
    <xf numFmtId="0" fontId="8" fillId="5" borderId="0" xfId="2" applyFont="1" applyFill="1"/>
    <xf numFmtId="0" fontId="15" fillId="4" borderId="19" xfId="2" applyFont="1" applyFill="1" applyBorder="1" applyAlignment="1">
      <alignment horizontal="left"/>
    </xf>
    <xf numFmtId="0" fontId="18" fillId="0" borderId="18" xfId="2" applyFont="1" applyFill="1" applyBorder="1" applyAlignment="1">
      <alignment horizontal="left"/>
    </xf>
    <xf numFmtId="0" fontId="10" fillId="4" borderId="21" xfId="2" applyFont="1" applyFill="1" applyBorder="1" applyAlignment="1"/>
    <xf numFmtId="0" fontId="15" fillId="4" borderId="18" xfId="2" applyFont="1" applyFill="1" applyBorder="1" applyAlignment="1">
      <alignment horizontal="left"/>
    </xf>
    <xf numFmtId="0" fontId="17" fillId="4" borderId="19" xfId="2" applyFont="1" applyFill="1" applyBorder="1" applyAlignment="1">
      <alignment horizontal="left"/>
    </xf>
    <xf numFmtId="0" fontId="10" fillId="4" borderId="13" xfId="2" applyFont="1" applyFill="1" applyBorder="1" applyAlignment="1">
      <alignment horizontal="left"/>
    </xf>
    <xf numFmtId="0" fontId="19" fillId="4" borderId="24" xfId="2" applyFont="1" applyFill="1" applyBorder="1" applyAlignment="1">
      <alignment horizontal="left"/>
    </xf>
    <xf numFmtId="167" fontId="14" fillId="5" borderId="24" xfId="3" applyNumberFormat="1" applyFont="1" applyFill="1" applyBorder="1"/>
    <xf numFmtId="0" fontId="20" fillId="0" borderId="0" xfId="2" applyFont="1"/>
    <xf numFmtId="167" fontId="10" fillId="5" borderId="0" xfId="3" applyNumberFormat="1" applyFont="1" applyFill="1" applyBorder="1" applyAlignment="1">
      <alignment horizontal="center"/>
    </xf>
    <xf numFmtId="165" fontId="14" fillId="8" borderId="0" xfId="3" applyNumberFormat="1" applyFont="1" applyFill="1" applyBorder="1" applyAlignment="1">
      <alignment horizontal="center"/>
    </xf>
    <xf numFmtId="0" fontId="1" fillId="0" borderId="0" xfId="0" applyFont="1"/>
    <xf numFmtId="168" fontId="2" fillId="11" borderId="1" xfId="0" applyNumberFormat="1" applyFont="1" applyFill="1" applyBorder="1" applyAlignment="1">
      <alignment vertical="center"/>
    </xf>
    <xf numFmtId="168" fontId="2" fillId="12" borderId="1" xfId="0" applyNumberFormat="1" applyFont="1" applyFill="1" applyBorder="1" applyAlignment="1">
      <alignment vertical="center"/>
    </xf>
    <xf numFmtId="0" fontId="2" fillId="11" borderId="1" xfId="0" applyFont="1" applyFill="1" applyBorder="1" applyAlignment="1">
      <alignment vertical="center"/>
    </xf>
    <xf numFmtId="3" fontId="2" fillId="0" borderId="0" xfId="0" applyNumberFormat="1" applyFont="1"/>
    <xf numFmtId="0" fontId="2" fillId="13" borderId="0" xfId="0" applyFont="1" applyFill="1" applyBorder="1"/>
    <xf numFmtId="0" fontId="1" fillId="0" borderId="24" xfId="0" applyFont="1" applyBorder="1" applyAlignment="1">
      <alignment horizontal="center" vertical="center"/>
    </xf>
    <xf numFmtId="0" fontId="2" fillId="8" borderId="0" xfId="0" applyFont="1" applyFill="1" applyBorder="1" applyAlignment="1">
      <alignment horizontal="center" vertical="center"/>
    </xf>
    <xf numFmtId="0" fontId="2" fillId="8" borderId="0" xfId="0" applyFont="1" applyFill="1" applyBorder="1" applyAlignment="1">
      <alignment horizontal="center" vertical="center" wrapText="1"/>
    </xf>
    <xf numFmtId="3" fontId="2" fillId="8" borderId="0" xfId="0" applyNumberFormat="1" applyFont="1" applyFill="1" applyBorder="1"/>
    <xf numFmtId="0" fontId="2" fillId="0" borderId="0" xfId="0" applyFont="1" applyFill="1" applyBorder="1"/>
    <xf numFmtId="3" fontId="2" fillId="0" borderId="2" xfId="0" applyNumberFormat="1" applyFont="1" applyBorder="1"/>
    <xf numFmtId="3" fontId="2" fillId="0" borderId="4" xfId="0" applyNumberFormat="1" applyFont="1" applyBorder="1"/>
    <xf numFmtId="0" fontId="1" fillId="8" borderId="0" xfId="0" applyFont="1" applyFill="1" applyBorder="1" applyAlignment="1">
      <alignment horizontal="justify" vertical="justify" wrapText="1"/>
    </xf>
    <xf numFmtId="0" fontId="2" fillId="14" borderId="3" xfId="0" applyFont="1" applyFill="1" applyBorder="1" applyAlignment="1">
      <alignment horizontal="left" wrapText="1"/>
    </xf>
    <xf numFmtId="3" fontId="30" fillId="0" borderId="32" xfId="0" applyNumberFormat="1" applyFont="1" applyBorder="1"/>
    <xf numFmtId="3" fontId="29" fillId="0" borderId="2" xfId="0" applyNumberFormat="1" applyFont="1" applyBorder="1"/>
    <xf numFmtId="3" fontId="29" fillId="0" borderId="32" xfId="0" applyNumberFormat="1" applyFont="1" applyBorder="1"/>
    <xf numFmtId="3" fontId="29" fillId="0" borderId="7" xfId="0" applyNumberFormat="1" applyFont="1" applyBorder="1"/>
    <xf numFmtId="3" fontId="26" fillId="14" borderId="2" xfId="0" applyNumberFormat="1" applyFont="1" applyFill="1" applyBorder="1"/>
    <xf numFmtId="3" fontId="26" fillId="14" borderId="29" xfId="0" applyNumberFormat="1" applyFont="1" applyFill="1" applyBorder="1"/>
    <xf numFmtId="3" fontId="2" fillId="14" borderId="7" xfId="0" applyNumberFormat="1" applyFont="1" applyFill="1" applyBorder="1"/>
    <xf numFmtId="3" fontId="2" fillId="14" borderId="30" xfId="0" applyNumberFormat="1" applyFont="1" applyFill="1" applyBorder="1"/>
    <xf numFmtId="3" fontId="28" fillId="14" borderId="7" xfId="0" applyNumberFormat="1" applyFont="1" applyFill="1" applyBorder="1"/>
    <xf numFmtId="3" fontId="28" fillId="14" borderId="30" xfId="0" applyNumberFormat="1" applyFont="1" applyFill="1" applyBorder="1"/>
    <xf numFmtId="3" fontId="2" fillId="14" borderId="2" xfId="0" applyNumberFormat="1" applyFont="1" applyFill="1" applyBorder="1"/>
    <xf numFmtId="3" fontId="2" fillId="14" borderId="29" xfId="0" applyNumberFormat="1" applyFont="1" applyFill="1" applyBorder="1"/>
    <xf numFmtId="0" fontId="2" fillId="14" borderId="3" xfId="0" applyFont="1" applyFill="1" applyBorder="1" applyAlignment="1">
      <alignment horizontal="left"/>
    </xf>
    <xf numFmtId="3" fontId="2" fillId="14" borderId="36" xfId="0" applyNumberFormat="1" applyFont="1" applyFill="1" applyBorder="1"/>
    <xf numFmtId="0" fontId="2" fillId="14" borderId="3" xfId="0" applyFont="1" applyFill="1" applyBorder="1" applyAlignment="1">
      <alignment horizontal="justify" vertical="justify"/>
    </xf>
    <xf numFmtId="0" fontId="2" fillId="14" borderId="3" xfId="0" applyFont="1" applyFill="1" applyBorder="1" applyAlignment="1">
      <alignment horizontal="justify" vertical="justify" wrapText="1"/>
    </xf>
    <xf numFmtId="0" fontId="2" fillId="14" borderId="3" xfId="0" applyFont="1" applyFill="1" applyBorder="1" applyAlignment="1">
      <alignment horizontal="left" vertical="justify" wrapText="1"/>
    </xf>
    <xf numFmtId="0" fontId="29" fillId="0" borderId="0" xfId="0" applyFont="1"/>
    <xf numFmtId="0" fontId="1" fillId="0" borderId="0" xfId="0" applyFont="1" applyBorder="1" applyAlignment="1"/>
    <xf numFmtId="3" fontId="29" fillId="0" borderId="41" xfId="0" applyNumberFormat="1" applyFont="1" applyBorder="1"/>
    <xf numFmtId="3" fontId="29" fillId="0" borderId="41" xfId="0" applyNumberFormat="1" applyFont="1" applyFill="1" applyBorder="1"/>
    <xf numFmtId="0" fontId="2" fillId="0" borderId="0" xfId="0" applyFont="1" applyFill="1"/>
    <xf numFmtId="0" fontId="1" fillId="0" borderId="0" xfId="0" applyFont="1" applyFill="1"/>
    <xf numFmtId="3" fontId="2" fillId="0" borderId="0" xfId="0" applyNumberFormat="1" applyFont="1" applyFill="1"/>
    <xf numFmtId="3" fontId="33" fillId="0" borderId="0" xfId="10" applyNumberFormat="1" applyFont="1"/>
    <xf numFmtId="3" fontId="5" fillId="0" borderId="0" xfId="10" applyNumberFormat="1"/>
    <xf numFmtId="0" fontId="5" fillId="0" borderId="0" xfId="10"/>
    <xf numFmtId="3" fontId="5" fillId="0" borderId="0" xfId="10" applyNumberFormat="1" applyFont="1"/>
    <xf numFmtId="0" fontId="3" fillId="2" borderId="24" xfId="10" applyFont="1" applyFill="1" applyBorder="1" applyAlignment="1">
      <alignment horizontal="center" vertical="center"/>
    </xf>
    <xf numFmtId="0" fontId="35" fillId="2" borderId="24" xfId="10" applyFont="1" applyFill="1" applyBorder="1" applyAlignment="1">
      <alignment horizontal="center" vertical="center" wrapText="1"/>
    </xf>
    <xf numFmtId="3" fontId="36" fillId="0" borderId="0" xfId="10" applyNumberFormat="1" applyFont="1" applyAlignment="1">
      <alignment vertical="center"/>
    </xf>
    <xf numFmtId="0" fontId="5" fillId="0" borderId="0" xfId="10" applyAlignment="1">
      <alignment vertical="center"/>
    </xf>
    <xf numFmtId="0" fontId="17" fillId="15" borderId="7" xfId="10" applyFont="1" applyFill="1" applyBorder="1" applyAlignment="1">
      <alignment horizontal="left" vertical="center" wrapText="1"/>
    </xf>
    <xf numFmtId="3" fontId="37" fillId="3" borderId="8" xfId="10" applyNumberFormat="1" applyFont="1" applyFill="1" applyBorder="1"/>
    <xf numFmtId="3" fontId="5" fillId="0" borderId="8" xfId="10" applyNumberFormat="1" applyBorder="1"/>
    <xf numFmtId="3" fontId="5" fillId="0" borderId="9" xfId="10" applyNumberFormat="1" applyBorder="1"/>
    <xf numFmtId="0" fontId="17" fillId="15" borderId="2" xfId="10" applyFont="1" applyFill="1" applyBorder="1" applyAlignment="1">
      <alignment horizontal="left" vertical="center" wrapText="1"/>
    </xf>
    <xf numFmtId="3" fontId="5" fillId="0" borderId="1" xfId="10" applyNumberFormat="1" applyBorder="1"/>
    <xf numFmtId="3" fontId="5" fillId="0" borderId="3" xfId="10" applyNumberFormat="1" applyBorder="1"/>
    <xf numFmtId="3" fontId="38" fillId="2" borderId="24" xfId="10" applyNumberFormat="1" applyFont="1" applyFill="1" applyBorder="1" applyAlignment="1">
      <alignment horizontal="right" vertical="center"/>
    </xf>
    <xf numFmtId="3" fontId="5" fillId="0" borderId="0" xfId="10" applyNumberFormat="1" applyAlignment="1">
      <alignment vertical="center"/>
    </xf>
    <xf numFmtId="2" fontId="9" fillId="0" borderId="0" xfId="7" applyNumberFormat="1" applyFont="1" applyFill="1" applyBorder="1" applyAlignment="1">
      <alignment horizontal="left"/>
    </xf>
    <xf numFmtId="2" fontId="9" fillId="0" borderId="0" xfId="2" applyNumberFormat="1" applyFont="1" applyFill="1" applyBorder="1" applyAlignment="1">
      <alignment horizontal="left"/>
    </xf>
    <xf numFmtId="2" fontId="9" fillId="0" borderId="0" xfId="2" applyNumberFormat="1" applyFont="1" applyFill="1"/>
    <xf numFmtId="2" fontId="9" fillId="0" borderId="0" xfId="2" applyNumberFormat="1" applyFont="1" applyFill="1" applyAlignment="1">
      <alignment horizontal="left"/>
    </xf>
    <xf numFmtId="2" fontId="16" fillId="0" borderId="0" xfId="2" applyNumberFormat="1" applyFont="1" applyFill="1" applyAlignment="1">
      <alignment horizontal="left"/>
    </xf>
    <xf numFmtId="2" fontId="9" fillId="6" borderId="0" xfId="2" applyNumberFormat="1" applyFont="1" applyFill="1" applyAlignment="1">
      <alignment horizontal="left"/>
    </xf>
    <xf numFmtId="2" fontId="16" fillId="0" borderId="0" xfId="2" applyNumberFormat="1" applyFont="1" applyFill="1" applyBorder="1" applyAlignment="1">
      <alignment horizontal="left"/>
    </xf>
    <xf numFmtId="2" fontId="9" fillId="0" borderId="0" xfId="4" applyNumberFormat="1" applyFont="1" applyFill="1" applyAlignment="1">
      <alignment horizontal="left"/>
    </xf>
    <xf numFmtId="2" fontId="13" fillId="0" borderId="0" xfId="2" applyNumberFormat="1" applyFont="1" applyFill="1" applyAlignment="1">
      <alignment horizontal="left"/>
    </xf>
    <xf numFmtId="2" fontId="5" fillId="0" borderId="0" xfId="4" applyNumberFormat="1" applyFill="1"/>
    <xf numFmtId="2" fontId="8" fillId="0" borderId="0" xfId="2" applyNumberFormat="1" applyFill="1"/>
    <xf numFmtId="10" fontId="10" fillId="0" borderId="0" xfId="9" applyNumberFormat="1" applyFont="1" applyFill="1" applyBorder="1"/>
    <xf numFmtId="10" fontId="8" fillId="0" borderId="0" xfId="9" applyNumberFormat="1" applyFont="1"/>
    <xf numFmtId="10" fontId="39" fillId="17" borderId="0" xfId="9" applyNumberFormat="1" applyFont="1" applyFill="1" applyBorder="1" applyAlignment="1">
      <alignment horizontal="center"/>
    </xf>
    <xf numFmtId="0" fontId="11" fillId="0" borderId="12" xfId="2" applyFont="1" applyFill="1" applyBorder="1" applyAlignment="1">
      <alignment horizontal="center" vertical="center"/>
    </xf>
    <xf numFmtId="0" fontId="12" fillId="2" borderId="13" xfId="2" applyFont="1" applyFill="1" applyBorder="1" applyAlignment="1">
      <alignment vertical="center"/>
    </xf>
    <xf numFmtId="0" fontId="12" fillId="2" borderId="14" xfId="2" applyFont="1" applyFill="1" applyBorder="1" applyAlignment="1">
      <alignment vertical="center"/>
    </xf>
    <xf numFmtId="10" fontId="12" fillId="2" borderId="14" xfId="9" applyNumberFormat="1" applyFont="1" applyFill="1" applyBorder="1" applyAlignment="1">
      <alignment vertical="center"/>
    </xf>
    <xf numFmtId="167" fontId="12" fillId="2" borderId="14" xfId="2" applyNumberFormat="1" applyFont="1" applyFill="1" applyBorder="1" applyAlignment="1">
      <alignment vertical="center"/>
    </xf>
    <xf numFmtId="10" fontId="12" fillId="2" borderId="0" xfId="9" applyNumberFormat="1" applyFont="1" applyFill="1" applyBorder="1" applyAlignment="1">
      <alignment vertical="center"/>
    </xf>
    <xf numFmtId="0" fontId="8" fillId="0" borderId="0" xfId="2" applyAlignment="1">
      <alignment horizontal="center" vertical="center"/>
    </xf>
    <xf numFmtId="10" fontId="4" fillId="2" borderId="17" xfId="9" applyNumberFormat="1" applyFont="1" applyFill="1" applyBorder="1" applyAlignment="1">
      <alignment horizontal="center" vertical="center" wrapText="1"/>
    </xf>
    <xf numFmtId="167" fontId="4" fillId="16" borderId="17" xfId="2" applyNumberFormat="1" applyFont="1" applyFill="1" applyBorder="1" applyAlignment="1">
      <alignment horizontal="center" vertical="center" wrapText="1"/>
    </xf>
    <xf numFmtId="10" fontId="4" fillId="16" borderId="17" xfId="9" applyNumberFormat="1" applyFont="1" applyFill="1" applyBorder="1" applyAlignment="1">
      <alignment horizontal="center" vertical="center" wrapText="1"/>
    </xf>
    <xf numFmtId="10" fontId="40" fillId="0" borderId="0" xfId="9" applyNumberFormat="1" applyFont="1" applyFill="1" applyBorder="1"/>
    <xf numFmtId="167" fontId="14" fillId="5" borderId="43" xfId="3" applyNumberFormat="1" applyFont="1" applyFill="1" applyBorder="1"/>
    <xf numFmtId="10" fontId="41" fillId="5" borderId="16" xfId="9" applyNumberFormat="1" applyFont="1" applyFill="1" applyBorder="1"/>
    <xf numFmtId="10" fontId="41" fillId="5" borderId="19" xfId="9" applyNumberFormat="1" applyFont="1" applyFill="1" applyBorder="1"/>
    <xf numFmtId="167" fontId="23" fillId="5" borderId="23" xfId="3" applyNumberFormat="1" applyFont="1" applyFill="1" applyBorder="1"/>
    <xf numFmtId="10" fontId="42" fillId="5" borderId="19" xfId="9" applyNumberFormat="1" applyFont="1" applyFill="1" applyBorder="1"/>
    <xf numFmtId="0" fontId="43" fillId="0" borderId="18" xfId="2" applyFont="1" applyFill="1" applyBorder="1" applyAlignment="1">
      <alignment horizontal="left"/>
    </xf>
    <xf numFmtId="167" fontId="14" fillId="10" borderId="22" xfId="3" applyNumberFormat="1" applyFont="1" applyFill="1" applyBorder="1"/>
    <xf numFmtId="10" fontId="41" fillId="10" borderId="21" xfId="9" applyNumberFormat="1" applyFont="1" applyFill="1" applyBorder="1"/>
    <xf numFmtId="167" fontId="23" fillId="18" borderId="23" xfId="3" applyNumberFormat="1" applyFont="1" applyFill="1" applyBorder="1"/>
    <xf numFmtId="10" fontId="42" fillId="18" borderId="19" xfId="9" applyNumberFormat="1" applyFont="1" applyFill="1" applyBorder="1"/>
    <xf numFmtId="172" fontId="23" fillId="5" borderId="23" xfId="3" applyNumberFormat="1" applyFont="1" applyFill="1" applyBorder="1"/>
    <xf numFmtId="172" fontId="23" fillId="18" borderId="23" xfId="3" applyNumberFormat="1" applyFont="1" applyFill="1" applyBorder="1"/>
    <xf numFmtId="0" fontId="15" fillId="10" borderId="19" xfId="2" applyNumberFormat="1" applyFont="1" applyFill="1" applyBorder="1" applyAlignment="1">
      <alignment horizontal="left"/>
    </xf>
    <xf numFmtId="10" fontId="41" fillId="5" borderId="21" xfId="9" applyNumberFormat="1" applyFont="1" applyFill="1" applyBorder="1"/>
    <xf numFmtId="0" fontId="14" fillId="4" borderId="21" xfId="2" applyNumberFormat="1" applyFont="1" applyFill="1" applyBorder="1" applyAlignment="1">
      <alignment horizontal="left"/>
    </xf>
    <xf numFmtId="167" fontId="14" fillId="18" borderId="23" xfId="3" applyNumberFormat="1" applyFont="1" applyFill="1" applyBorder="1"/>
    <xf numFmtId="10" fontId="41" fillId="18" borderId="19" xfId="9" applyNumberFormat="1" applyFont="1" applyFill="1" applyBorder="1"/>
    <xf numFmtId="0" fontId="15" fillId="4" borderId="21" xfId="2" applyFont="1" applyFill="1" applyBorder="1" applyAlignment="1">
      <alignment horizontal="left"/>
    </xf>
    <xf numFmtId="167" fontId="23" fillId="5" borderId="22" xfId="3" applyNumberFormat="1" applyFont="1" applyFill="1" applyBorder="1"/>
    <xf numFmtId="10" fontId="41" fillId="7" borderId="21" xfId="9" applyNumberFormat="1" applyFont="1" applyFill="1" applyBorder="1"/>
    <xf numFmtId="0" fontId="21" fillId="4" borderId="21" xfId="2" applyNumberFormat="1" applyFont="1" applyFill="1" applyBorder="1" applyAlignment="1">
      <alignment horizontal="left"/>
    </xf>
    <xf numFmtId="0" fontId="21" fillId="4" borderId="21" xfId="2" applyFont="1" applyFill="1" applyBorder="1" applyAlignment="1">
      <alignment horizontal="left"/>
    </xf>
    <xf numFmtId="9" fontId="41" fillId="5" borderId="21" xfId="9" applyNumberFormat="1" applyFont="1" applyFill="1" applyBorder="1"/>
    <xf numFmtId="10" fontId="10" fillId="5" borderId="0" xfId="9" applyNumberFormat="1" applyFont="1" applyFill="1" applyBorder="1" applyAlignment="1">
      <alignment horizontal="center"/>
    </xf>
    <xf numFmtId="0" fontId="14" fillId="0" borderId="0" xfId="2" applyFont="1" applyFill="1" applyBorder="1" applyAlignment="1">
      <alignment horizontal="left"/>
    </xf>
    <xf numFmtId="0" fontId="14" fillId="8" borderId="0" xfId="2" applyFont="1" applyFill="1" applyBorder="1" applyAlignment="1">
      <alignment horizontal="left"/>
    </xf>
    <xf numFmtId="165" fontId="14" fillId="5" borderId="0" xfId="3" applyNumberFormat="1" applyFont="1" applyFill="1" applyBorder="1" applyAlignment="1">
      <alignment horizontal="center"/>
    </xf>
    <xf numFmtId="10" fontId="14" fillId="5" borderId="0" xfId="9" applyNumberFormat="1" applyFont="1" applyFill="1" applyBorder="1" applyAlignment="1">
      <alignment horizontal="center"/>
    </xf>
    <xf numFmtId="10" fontId="14" fillId="8" borderId="0" xfId="9" applyNumberFormat="1" applyFont="1" applyFill="1" applyBorder="1" applyAlignment="1">
      <alignment horizontal="center"/>
    </xf>
    <xf numFmtId="167" fontId="14" fillId="0" borderId="0" xfId="3" applyNumberFormat="1" applyFont="1" applyFill="1" applyBorder="1"/>
    <xf numFmtId="0" fontId="14" fillId="0" borderId="0" xfId="0" applyFont="1" applyAlignment="1">
      <alignment horizontal="left"/>
    </xf>
    <xf numFmtId="9" fontId="14" fillId="0" borderId="0" xfId="0" applyNumberFormat="1" applyFont="1" applyAlignment="1">
      <alignment horizontal="center"/>
    </xf>
    <xf numFmtId="9" fontId="14" fillId="0" borderId="24" xfId="0" applyNumberFormat="1" applyFont="1" applyBorder="1" applyAlignment="1">
      <alignment horizontal="center"/>
    </xf>
    <xf numFmtId="0" fontId="21" fillId="0" borderId="0" xfId="2" applyFont="1" applyFill="1" applyBorder="1" applyAlignment="1">
      <alignment horizontal="left"/>
    </xf>
    <xf numFmtId="167" fontId="21" fillId="0" borderId="0" xfId="3" applyNumberFormat="1" applyFont="1" applyFill="1" applyBorder="1"/>
    <xf numFmtId="10" fontId="21" fillId="0" borderId="0" xfId="9" applyNumberFormat="1" applyFont="1" applyFill="1" applyBorder="1"/>
    <xf numFmtId="9" fontId="5" fillId="0" borderId="0" xfId="9"/>
    <xf numFmtId="0" fontId="33" fillId="0" borderId="1" xfId="10" applyFont="1" applyBorder="1" applyAlignment="1">
      <alignment horizontal="center"/>
    </xf>
    <xf numFmtId="3" fontId="33" fillId="0" borderId="1" xfId="10" applyNumberFormat="1" applyFont="1" applyBorder="1" applyAlignment="1">
      <alignment horizontal="center"/>
    </xf>
    <xf numFmtId="169" fontId="2" fillId="0" borderId="0" xfId="7" applyNumberFormat="1" applyFont="1" applyFill="1"/>
    <xf numFmtId="3" fontId="2" fillId="14" borderId="37" xfId="0" applyNumberFormat="1" applyFont="1" applyFill="1" applyBorder="1"/>
    <xf numFmtId="3" fontId="29" fillId="0" borderId="8" xfId="0" applyNumberFormat="1" applyFont="1" applyBorder="1"/>
    <xf numFmtId="3" fontId="29" fillId="0" borderId="9" xfId="0" applyNumberFormat="1" applyFont="1" applyBorder="1"/>
    <xf numFmtId="3" fontId="29" fillId="0" borderId="1" xfId="0" applyNumberFormat="1" applyFont="1" applyBorder="1"/>
    <xf numFmtId="3" fontId="29" fillId="0" borderId="3" xfId="0" applyNumberFormat="1" applyFont="1" applyBorder="1"/>
    <xf numFmtId="3" fontId="2" fillId="14" borderId="25" xfId="0" applyNumberFormat="1" applyFont="1" applyFill="1" applyBorder="1"/>
    <xf numFmtId="3" fontId="2" fillId="14" borderId="1" xfId="0" applyNumberFormat="1" applyFont="1" applyFill="1" applyBorder="1"/>
    <xf numFmtId="3" fontId="2" fillId="0" borderId="1" xfId="0" applyNumberFormat="1" applyFont="1" applyBorder="1"/>
    <xf numFmtId="3" fontId="2" fillId="14" borderId="38" xfId="0" applyNumberFormat="1" applyFont="1" applyFill="1" applyBorder="1"/>
    <xf numFmtId="3" fontId="29" fillId="14" borderId="37" xfId="0" applyNumberFormat="1" applyFont="1" applyFill="1" applyBorder="1"/>
    <xf numFmtId="3" fontId="29" fillId="14" borderId="38" xfId="0" applyNumberFormat="1" applyFont="1" applyFill="1" applyBorder="1"/>
    <xf numFmtId="3" fontId="2" fillId="14" borderId="26" xfId="0" applyNumberFormat="1" applyFont="1" applyFill="1" applyBorder="1"/>
    <xf numFmtId="3" fontId="2" fillId="14" borderId="35" xfId="0" applyNumberFormat="1" applyFont="1" applyFill="1" applyBorder="1"/>
    <xf numFmtId="3" fontId="29" fillId="0" borderId="33" xfId="0" applyNumberFormat="1" applyFont="1" applyBorder="1"/>
    <xf numFmtId="3" fontId="29" fillId="0" borderId="34" xfId="0" applyNumberFormat="1" applyFont="1" applyBorder="1"/>
    <xf numFmtId="3" fontId="2" fillId="14" borderId="3" xfId="0" applyNumberFormat="1" applyFont="1" applyFill="1" applyBorder="1"/>
    <xf numFmtId="3" fontId="2" fillId="14" borderId="31" xfId="0" applyNumberFormat="1" applyFont="1" applyFill="1" applyBorder="1"/>
    <xf numFmtId="3" fontId="2" fillId="14" borderId="8" xfId="0" applyNumberFormat="1" applyFont="1" applyFill="1" applyBorder="1"/>
    <xf numFmtId="3" fontId="2" fillId="14" borderId="9" xfId="0" applyNumberFormat="1" applyFont="1" applyFill="1" applyBorder="1"/>
    <xf numFmtId="3" fontId="29" fillId="14" borderId="8" xfId="0" applyNumberFormat="1" applyFont="1" applyFill="1" applyBorder="1"/>
    <xf numFmtId="3" fontId="29" fillId="14" borderId="9" xfId="0" applyNumberFormat="1" applyFont="1" applyFill="1" applyBorder="1"/>
    <xf numFmtId="3" fontId="29" fillId="14" borderId="26" xfId="0" applyNumberFormat="1" applyFont="1" applyFill="1" applyBorder="1"/>
    <xf numFmtId="3" fontId="29" fillId="14" borderId="35" xfId="0" applyNumberFormat="1" applyFont="1" applyFill="1" applyBorder="1"/>
    <xf numFmtId="3" fontId="2" fillId="0" borderId="3" xfId="0" applyNumberFormat="1" applyFont="1" applyBorder="1"/>
    <xf numFmtId="3" fontId="2" fillId="0" borderId="5" xfId="0" applyNumberFormat="1" applyFont="1" applyBorder="1"/>
    <xf numFmtId="3" fontId="2" fillId="0" borderId="6" xfId="0" applyNumberFormat="1" applyFont="1" applyBorder="1"/>
    <xf numFmtId="3" fontId="29" fillId="0" borderId="44" xfId="0" applyNumberFormat="1" applyFont="1" applyBorder="1"/>
    <xf numFmtId="0" fontId="2" fillId="0" borderId="1" xfId="0" applyFont="1" applyBorder="1" applyAlignment="1">
      <alignment horizontal="center" vertical="center" wrapText="1"/>
    </xf>
    <xf numFmtId="0" fontId="27" fillId="0" borderId="14" xfId="0" applyFont="1" applyBorder="1" applyAlignment="1">
      <alignment horizontal="center"/>
    </xf>
    <xf numFmtId="0" fontId="32" fillId="0" borderId="0" xfId="0" applyFont="1" applyBorder="1" applyAlignment="1"/>
    <xf numFmtId="0" fontId="1" fillId="0" borderId="48" xfId="0" applyFont="1" applyBorder="1" applyAlignment="1">
      <alignment horizontal="center" vertical="center"/>
    </xf>
    <xf numFmtId="0" fontId="1" fillId="0" borderId="47" xfId="0" applyFont="1" applyBorder="1" applyAlignment="1">
      <alignment horizontal="center" vertical="center"/>
    </xf>
    <xf numFmtId="168" fontId="2" fillId="9" borderId="49" xfId="0" applyNumberFormat="1" applyFont="1" applyFill="1" applyBorder="1" applyAlignment="1">
      <alignment vertical="center"/>
    </xf>
    <xf numFmtId="168" fontId="2" fillId="9" borderId="47" xfId="0" applyNumberFormat="1" applyFont="1" applyFill="1" applyBorder="1" applyAlignment="1">
      <alignment vertical="center"/>
    </xf>
    <xf numFmtId="0" fontId="1" fillId="0" borderId="24" xfId="0" applyFont="1" applyBorder="1"/>
    <xf numFmtId="171" fontId="1" fillId="0" borderId="53" xfId="0" applyNumberFormat="1" applyFont="1" applyFill="1" applyBorder="1" applyAlignment="1">
      <alignment horizontal="center"/>
    </xf>
    <xf numFmtId="170" fontId="1" fillId="0" borderId="10" xfId="0" applyNumberFormat="1" applyFont="1" applyBorder="1" applyAlignment="1">
      <alignment horizontal="center"/>
    </xf>
    <xf numFmtId="0" fontId="2" fillId="0" borderId="14" xfId="0" applyFont="1" applyBorder="1"/>
    <xf numFmtId="0" fontId="31" fillId="0" borderId="41" xfId="0" applyFont="1" applyBorder="1" applyAlignment="1"/>
    <xf numFmtId="0" fontId="2" fillId="11" borderId="0" xfId="0" applyFont="1" applyFill="1" applyBorder="1"/>
    <xf numFmtId="0" fontId="31" fillId="0" borderId="0" xfId="0" applyFont="1" applyBorder="1" applyAlignment="1"/>
    <xf numFmtId="3" fontId="29" fillId="0" borderId="0" xfId="0" applyNumberFormat="1" applyFont="1" applyFill="1" applyBorder="1"/>
    <xf numFmtId="3" fontId="29" fillId="0" borderId="0" xfId="0" applyNumberFormat="1" applyFont="1" applyBorder="1"/>
    <xf numFmtId="3" fontId="29" fillId="0" borderId="55" xfId="0" applyNumberFormat="1" applyFont="1" applyBorder="1"/>
    <xf numFmtId="0" fontId="1" fillId="0" borderId="56" xfId="0" applyFont="1" applyBorder="1" applyAlignment="1">
      <alignment horizontal="center" vertical="center"/>
    </xf>
    <xf numFmtId="0" fontId="2" fillId="14" borderId="51" xfId="0" applyFont="1" applyFill="1" applyBorder="1" applyAlignment="1">
      <alignment horizontal="left" vertical="center" wrapText="1"/>
    </xf>
    <xf numFmtId="3" fontId="2" fillId="14" borderId="58" xfId="0" applyNumberFormat="1" applyFont="1" applyFill="1" applyBorder="1"/>
    <xf numFmtId="3" fontId="2" fillId="14" borderId="59" xfId="0" applyNumberFormat="1" applyFont="1" applyFill="1" applyBorder="1"/>
    <xf numFmtId="3" fontId="2" fillId="14" borderId="60" xfId="0" applyNumberFormat="1" applyFont="1" applyFill="1" applyBorder="1"/>
    <xf numFmtId="168" fontId="2" fillId="11" borderId="8" xfId="0" applyNumberFormat="1" applyFont="1" applyFill="1" applyBorder="1" applyAlignment="1">
      <alignment vertical="center"/>
    </xf>
    <xf numFmtId="0" fontId="2" fillId="11" borderId="5" xfId="0" applyFont="1" applyFill="1" applyBorder="1" applyAlignment="1">
      <alignment vertical="center"/>
    </xf>
    <xf numFmtId="0" fontId="1" fillId="19" borderId="3" xfId="0" applyFont="1" applyFill="1" applyBorder="1" applyAlignment="1">
      <alignment horizontal="justify" vertical="justify" wrapText="1"/>
    </xf>
    <xf numFmtId="0" fontId="1" fillId="19" borderId="3" xfId="0" applyFont="1" applyFill="1" applyBorder="1" applyAlignment="1">
      <alignment horizontal="left" vertical="justify" wrapText="1"/>
    </xf>
    <xf numFmtId="0" fontId="1" fillId="19" borderId="3" xfId="0" applyFont="1" applyFill="1" applyBorder="1" applyAlignment="1">
      <alignment horizontal="left" vertical="top" wrapText="1"/>
    </xf>
    <xf numFmtId="0" fontId="1" fillId="19" borderId="3" xfId="0" applyFont="1" applyFill="1" applyBorder="1" applyAlignment="1">
      <alignment horizontal="left" wrapText="1"/>
    </xf>
    <xf numFmtId="0" fontId="1" fillId="19" borderId="3" xfId="0" applyFont="1" applyFill="1" applyBorder="1" applyAlignment="1">
      <alignment horizontal="left"/>
    </xf>
    <xf numFmtId="0" fontId="1" fillId="19" borderId="6" xfId="0" applyFont="1" applyFill="1" applyBorder="1" applyAlignment="1">
      <alignment horizontal="left" wrapText="1"/>
    </xf>
    <xf numFmtId="168" fontId="2" fillId="9" borderId="63" xfId="0" applyNumberFormat="1" applyFont="1" applyFill="1" applyBorder="1" applyAlignment="1">
      <alignment vertical="center"/>
    </xf>
    <xf numFmtId="0" fontId="1" fillId="19" borderId="66" xfId="0" applyFont="1" applyFill="1" applyBorder="1" applyAlignment="1">
      <alignment horizontal="left" vertical="top" wrapText="1"/>
    </xf>
    <xf numFmtId="3" fontId="29" fillId="0" borderId="67" xfId="0" applyNumberFormat="1" applyFont="1" applyBorder="1"/>
    <xf numFmtId="3" fontId="29" fillId="0" borderId="68" xfId="0" applyNumberFormat="1" applyFont="1" applyBorder="1"/>
    <xf numFmtId="3" fontId="29" fillId="0" borderId="69" xfId="0" applyNumberFormat="1" applyFont="1" applyBorder="1"/>
    <xf numFmtId="0" fontId="1" fillId="19" borderId="9" xfId="0" applyFont="1" applyFill="1" applyBorder="1" applyAlignment="1">
      <alignment horizontal="left" wrapText="1"/>
    </xf>
    <xf numFmtId="168" fontId="2" fillId="12" borderId="71" xfId="0" applyNumberFormat="1" applyFont="1" applyFill="1" applyBorder="1" applyAlignment="1">
      <alignment vertical="center"/>
    </xf>
    <xf numFmtId="0" fontId="2" fillId="14" borderId="73" xfId="0" applyFont="1" applyFill="1" applyBorder="1" applyAlignment="1">
      <alignment horizontal="left" wrapText="1"/>
    </xf>
    <xf numFmtId="3" fontId="26" fillId="14" borderId="75" xfId="0" applyNumberFormat="1" applyFont="1" applyFill="1" applyBorder="1"/>
    <xf numFmtId="3" fontId="2" fillId="14" borderId="71" xfId="0" applyNumberFormat="1" applyFont="1" applyFill="1" applyBorder="1"/>
    <xf numFmtId="3" fontId="2" fillId="14" borderId="73" xfId="0" applyNumberFormat="1" applyFont="1" applyFill="1" applyBorder="1"/>
    <xf numFmtId="168" fontId="2" fillId="12" borderId="65" xfId="0" applyNumberFormat="1" applyFont="1" applyFill="1" applyBorder="1" applyAlignment="1">
      <alignment vertical="center"/>
    </xf>
    <xf numFmtId="0" fontId="2" fillId="0" borderId="65" xfId="0" applyFont="1" applyBorder="1" applyAlignment="1">
      <alignment horizontal="center" vertical="center" wrapText="1"/>
    </xf>
    <xf numFmtId="0" fontId="1" fillId="19" borderId="66" xfId="0" applyFont="1" applyFill="1" applyBorder="1" applyAlignment="1">
      <alignment horizontal="left"/>
    </xf>
    <xf numFmtId="3" fontId="29" fillId="0" borderId="76" xfId="0" applyNumberFormat="1" applyFont="1" applyBorder="1"/>
    <xf numFmtId="3" fontId="29" fillId="0" borderId="65" xfId="0" applyNumberFormat="1" applyFont="1" applyBorder="1"/>
    <xf numFmtId="3" fontId="29" fillId="0" borderId="66" xfId="0" applyNumberFormat="1" applyFont="1" applyBorder="1"/>
    <xf numFmtId="0" fontId="2" fillId="11" borderId="54" xfId="0" applyFont="1" applyFill="1" applyBorder="1"/>
    <xf numFmtId="0" fontId="2" fillId="11" borderId="77" xfId="0" applyFont="1" applyFill="1" applyBorder="1"/>
    <xf numFmtId="0" fontId="2" fillId="13" borderId="78" xfId="0" applyFont="1" applyFill="1" applyBorder="1"/>
    <xf numFmtId="0" fontId="1" fillId="13" borderId="78" xfId="0" applyFont="1" applyFill="1" applyBorder="1"/>
    <xf numFmtId="0" fontId="2" fillId="0" borderId="78" xfId="0" applyFont="1" applyFill="1" applyBorder="1"/>
    <xf numFmtId="3" fontId="2" fillId="13" borderId="78" xfId="0" applyNumberFormat="1" applyFont="1" applyFill="1" applyBorder="1"/>
    <xf numFmtId="3" fontId="2" fillId="13" borderId="57" xfId="0" applyNumberFormat="1" applyFont="1" applyFill="1" applyBorder="1"/>
    <xf numFmtId="0" fontId="2" fillId="11" borderId="13" xfId="0" applyFont="1" applyFill="1" applyBorder="1"/>
    <xf numFmtId="0" fontId="2" fillId="13" borderId="14" xfId="0" applyFont="1" applyFill="1" applyBorder="1"/>
    <xf numFmtId="0" fontId="1" fillId="13" borderId="14" xfId="0" applyFont="1" applyFill="1" applyBorder="1"/>
    <xf numFmtId="0" fontId="2" fillId="0" borderId="14" xfId="0" applyFont="1" applyFill="1" applyBorder="1"/>
    <xf numFmtId="3" fontId="29" fillId="13" borderId="14" xfId="0" applyNumberFormat="1" applyFont="1" applyFill="1" applyBorder="1"/>
    <xf numFmtId="3" fontId="29" fillId="13" borderId="50" xfId="0" applyNumberFormat="1" applyFont="1" applyFill="1" applyBorder="1"/>
    <xf numFmtId="0" fontId="2" fillId="11" borderId="77" xfId="0" applyFont="1" applyFill="1" applyBorder="1" applyAlignment="1">
      <alignment horizontal="center" vertical="center"/>
    </xf>
    <xf numFmtId="0" fontId="2" fillId="13" borderId="78" xfId="0" applyFont="1" applyFill="1" applyBorder="1" applyAlignment="1">
      <alignment horizontal="center" vertical="center" wrapText="1"/>
    </xf>
    <xf numFmtId="0" fontId="1" fillId="13" borderId="78" xfId="0" applyFont="1" applyFill="1" applyBorder="1" applyAlignment="1">
      <alignment horizontal="justify" vertical="justify" wrapText="1"/>
    </xf>
    <xf numFmtId="169" fontId="2" fillId="0" borderId="78" xfId="7" applyNumberFormat="1" applyFont="1" applyFill="1" applyBorder="1"/>
    <xf numFmtId="0" fontId="2" fillId="11" borderId="13" xfId="0" applyFont="1" applyFill="1" applyBorder="1" applyAlignment="1">
      <alignment horizontal="center" vertical="center"/>
    </xf>
    <xf numFmtId="0" fontId="2" fillId="13" borderId="14" xfId="0" applyFont="1" applyFill="1" applyBorder="1" applyAlignment="1">
      <alignment horizontal="center" vertical="center" wrapText="1"/>
    </xf>
    <xf numFmtId="0" fontId="1" fillId="13" borderId="14" xfId="0" applyFont="1" applyFill="1" applyBorder="1" applyAlignment="1">
      <alignment horizontal="justify" vertical="justify" wrapText="1"/>
    </xf>
    <xf numFmtId="169" fontId="2" fillId="0" borderId="14" xfId="7" applyNumberFormat="1" applyFont="1" applyFill="1" applyBorder="1"/>
    <xf numFmtId="3" fontId="0" fillId="0" borderId="0" xfId="0" applyNumberFormat="1"/>
    <xf numFmtId="169" fontId="0" fillId="0" borderId="0" xfId="0" applyNumberFormat="1"/>
    <xf numFmtId="0" fontId="0" fillId="0" borderId="1" xfId="0" applyBorder="1" applyAlignment="1">
      <alignment wrapText="1"/>
    </xf>
    <xf numFmtId="3" fontId="0" fillId="0" borderId="1" xfId="0" applyNumberFormat="1" applyBorder="1"/>
    <xf numFmtId="0" fontId="0" fillId="0" borderId="1" xfId="0" applyBorder="1"/>
    <xf numFmtId="3" fontId="0" fillId="0" borderId="25" xfId="0" applyNumberFormat="1" applyBorder="1"/>
    <xf numFmtId="0" fontId="33" fillId="19" borderId="1" xfId="0" applyFont="1" applyFill="1" applyBorder="1" applyAlignment="1">
      <alignment horizontal="center"/>
    </xf>
    <xf numFmtId="1" fontId="2" fillId="0" borderId="0" xfId="0" applyNumberFormat="1" applyFont="1"/>
    <xf numFmtId="0" fontId="0" fillId="0" borderId="25" xfId="0" applyBorder="1"/>
    <xf numFmtId="0" fontId="0" fillId="0" borderId="8" xfId="0" applyBorder="1"/>
    <xf numFmtId="3" fontId="0" fillId="0" borderId="26" xfId="0" applyNumberFormat="1" applyBorder="1"/>
    <xf numFmtId="169" fontId="0" fillId="0" borderId="0" xfId="7" applyNumberFormat="1" applyFont="1"/>
    <xf numFmtId="0" fontId="48" fillId="14" borderId="53" xfId="0" applyFont="1" applyFill="1" applyBorder="1"/>
    <xf numFmtId="3" fontId="48" fillId="14" borderId="10" xfId="0" applyNumberFormat="1" applyFont="1" applyFill="1" applyBorder="1"/>
    <xf numFmtId="0" fontId="46" fillId="0" borderId="0" xfId="0" applyFont="1" applyFill="1" applyBorder="1" applyAlignment="1">
      <alignment horizontal="center"/>
    </xf>
    <xf numFmtId="3" fontId="46" fillId="0" borderId="0" xfId="0" applyNumberFormat="1" applyFont="1" applyFill="1" applyBorder="1"/>
    <xf numFmtId="0" fontId="0" fillId="0" borderId="0" xfId="0" applyFill="1"/>
    <xf numFmtId="3" fontId="46" fillId="20" borderId="10" xfId="0" applyNumberFormat="1" applyFont="1" applyFill="1" applyBorder="1"/>
    <xf numFmtId="3" fontId="46" fillId="20" borderId="11" xfId="0" applyNumberFormat="1" applyFont="1" applyFill="1" applyBorder="1"/>
    <xf numFmtId="0" fontId="45" fillId="20" borderId="53" xfId="0" applyFont="1" applyFill="1" applyBorder="1"/>
    <xf numFmtId="3" fontId="45" fillId="20" borderId="10" xfId="0" applyNumberFormat="1" applyFont="1" applyFill="1" applyBorder="1"/>
    <xf numFmtId="0" fontId="8" fillId="6" borderId="0" xfId="2" applyFill="1"/>
    <xf numFmtId="0" fontId="46" fillId="20" borderId="53" xfId="0" applyFont="1" applyFill="1" applyBorder="1" applyAlignment="1"/>
    <xf numFmtId="3" fontId="46" fillId="21" borderId="80" xfId="0" applyNumberFormat="1" applyFont="1" applyFill="1" applyBorder="1"/>
    <xf numFmtId="0" fontId="33" fillId="19" borderId="1" xfId="0" applyFont="1" applyFill="1" applyBorder="1" applyAlignment="1">
      <alignment horizontal="center"/>
    </xf>
    <xf numFmtId="164" fontId="0" fillId="0" borderId="0" xfId="7" applyFont="1"/>
    <xf numFmtId="0" fontId="45" fillId="20" borderId="77" xfId="0" applyFont="1" applyFill="1" applyBorder="1"/>
    <xf numFmtId="3" fontId="45" fillId="20" borderId="78" xfId="0" applyNumberFormat="1" applyFont="1" applyFill="1" applyBorder="1"/>
    <xf numFmtId="0" fontId="45" fillId="20" borderId="4" xfId="0" applyFont="1" applyFill="1" applyBorder="1"/>
    <xf numFmtId="3" fontId="45" fillId="20" borderId="5" xfId="0" applyNumberFormat="1" applyFont="1" applyFill="1" applyBorder="1"/>
    <xf numFmtId="9" fontId="46" fillId="22" borderId="10" xfId="9" applyFont="1" applyFill="1" applyBorder="1" applyAlignment="1">
      <alignment horizontal="center"/>
    </xf>
    <xf numFmtId="9" fontId="45" fillId="22" borderId="78" xfId="9" applyFont="1" applyFill="1" applyBorder="1" applyAlignment="1">
      <alignment horizontal="center"/>
    </xf>
    <xf numFmtId="9" fontId="45" fillId="22" borderId="5" xfId="9" applyFont="1" applyFill="1" applyBorder="1" applyAlignment="1">
      <alignment horizontal="center"/>
    </xf>
    <xf numFmtId="3" fontId="0" fillId="0" borderId="0" xfId="0" applyNumberFormat="1" applyFill="1"/>
    <xf numFmtId="0" fontId="45" fillId="20" borderId="13" xfId="0" applyFont="1" applyFill="1" applyBorder="1"/>
    <xf numFmtId="0" fontId="45" fillId="20" borderId="5" xfId="0" applyFont="1" applyFill="1" applyBorder="1"/>
    <xf numFmtId="0" fontId="45" fillId="20" borderId="24" xfId="0" applyFont="1" applyFill="1" applyBorder="1"/>
    <xf numFmtId="0" fontId="0" fillId="0" borderId="77" xfId="0" applyBorder="1"/>
    <xf numFmtId="0" fontId="0" fillId="0" borderId="2" xfId="0" applyBorder="1"/>
    <xf numFmtId="9" fontId="46" fillId="22" borderId="27" xfId="9" applyFont="1" applyFill="1" applyBorder="1" applyAlignment="1">
      <alignment horizontal="center"/>
    </xf>
    <xf numFmtId="9" fontId="45" fillId="22" borderId="94" xfId="9" applyFont="1" applyFill="1" applyBorder="1" applyAlignment="1">
      <alignment horizontal="center"/>
    </xf>
    <xf numFmtId="9" fontId="45" fillId="22" borderId="82" xfId="9" applyFont="1" applyFill="1" applyBorder="1" applyAlignment="1">
      <alignment horizontal="center"/>
    </xf>
    <xf numFmtId="3" fontId="45" fillId="20" borderId="11" xfId="0" applyNumberFormat="1" applyFont="1" applyFill="1" applyBorder="1"/>
    <xf numFmtId="3" fontId="45" fillId="20" borderId="57" xfId="0" applyNumberFormat="1" applyFont="1" applyFill="1" applyBorder="1"/>
    <xf numFmtId="3" fontId="45" fillId="20" borderId="6" xfId="0" applyNumberFormat="1" applyFont="1" applyFill="1" applyBorder="1"/>
    <xf numFmtId="3" fontId="46" fillId="0" borderId="0" xfId="0" applyNumberFormat="1" applyFont="1" applyFill="1" applyBorder="1" applyAlignment="1">
      <alignment horizontal="center"/>
    </xf>
    <xf numFmtId="169" fontId="2" fillId="0" borderId="0" xfId="7" applyNumberFormat="1" applyFont="1"/>
    <xf numFmtId="169" fontId="2" fillId="0" borderId="0" xfId="0" applyNumberFormat="1" applyFont="1"/>
    <xf numFmtId="0" fontId="0" fillId="24" borderId="0" xfId="0" applyFill="1"/>
    <xf numFmtId="0" fontId="50" fillId="0" borderId="0" xfId="0" applyFont="1" applyBorder="1" applyAlignment="1"/>
    <xf numFmtId="3" fontId="51" fillId="0" borderId="0" xfId="0" applyNumberFormat="1" applyFont="1" applyFill="1" applyBorder="1"/>
    <xf numFmtId="3" fontId="51" fillId="0" borderId="0" xfId="0" applyNumberFormat="1" applyFont="1" applyBorder="1"/>
    <xf numFmtId="165" fontId="0" fillId="0" borderId="0" xfId="7" applyNumberFormat="1" applyFont="1"/>
    <xf numFmtId="0" fontId="52" fillId="0" borderId="0" xfId="0" applyFont="1"/>
    <xf numFmtId="3" fontId="52" fillId="0" borderId="0" xfId="0" applyNumberFormat="1" applyFont="1"/>
    <xf numFmtId="165" fontId="52" fillId="0" borderId="0" xfId="9" applyNumberFormat="1" applyFont="1"/>
    <xf numFmtId="167" fontId="8" fillId="0" borderId="0" xfId="2" applyNumberFormat="1"/>
    <xf numFmtId="169" fontId="8" fillId="0" borderId="0" xfId="7" applyNumberFormat="1" applyFont="1"/>
    <xf numFmtId="169" fontId="8" fillId="0" borderId="0" xfId="2" applyNumberFormat="1"/>
    <xf numFmtId="0" fontId="0" fillId="0" borderId="95" xfId="0" applyBorder="1"/>
    <xf numFmtId="0" fontId="0" fillId="0" borderId="20" xfId="0" applyBorder="1"/>
    <xf numFmtId="0" fontId="0" fillId="20" borderId="5" xfId="0" applyFill="1" applyBorder="1"/>
    <xf numFmtId="3" fontId="20" fillId="0" borderId="0" xfId="2" applyNumberFormat="1" applyFont="1"/>
    <xf numFmtId="3" fontId="0" fillId="0" borderId="0" xfId="7" applyNumberFormat="1" applyFont="1"/>
    <xf numFmtId="169" fontId="2" fillId="0" borderId="19" xfId="7" applyNumberFormat="1" applyFont="1" applyFill="1" applyBorder="1" applyAlignment="1">
      <alignment vertical="center"/>
    </xf>
    <xf numFmtId="0" fontId="2" fillId="0" borderId="26" xfId="0" applyFont="1" applyBorder="1" applyAlignment="1">
      <alignment horizontal="center" vertical="center" wrapText="1"/>
    </xf>
    <xf numFmtId="0" fontId="44" fillId="12" borderId="47" xfId="0" applyFont="1" applyFill="1" applyBorder="1" applyAlignment="1">
      <alignment horizontal="center" vertical="center" textRotation="90"/>
    </xf>
    <xf numFmtId="0" fontId="2" fillId="12" borderId="26" xfId="0" applyFont="1" applyFill="1" applyBorder="1" applyAlignment="1">
      <alignment horizontal="center" vertical="center"/>
    </xf>
    <xf numFmtId="168" fontId="2" fillId="12" borderId="26" xfId="0" applyNumberFormat="1" applyFont="1" applyFill="1" applyBorder="1" applyAlignment="1">
      <alignment vertical="center"/>
    </xf>
    <xf numFmtId="0" fontId="1" fillId="19" borderId="35" xfId="0" applyFont="1" applyFill="1" applyBorder="1" applyAlignment="1">
      <alignment horizontal="left"/>
    </xf>
    <xf numFmtId="3" fontId="29" fillId="0" borderId="30" xfId="0" applyNumberFormat="1" applyFont="1" applyBorder="1"/>
    <xf numFmtId="3" fontId="29" fillId="0" borderId="26" xfId="0" applyNumberFormat="1" applyFont="1" applyBorder="1"/>
    <xf numFmtId="3" fontId="29" fillId="0" borderId="35" xfId="0" applyNumberFormat="1" applyFont="1" applyBorder="1"/>
    <xf numFmtId="0" fontId="39" fillId="17" borderId="0" xfId="2" applyFont="1" applyFill="1" applyBorder="1" applyAlignment="1">
      <alignment horizontal="center"/>
    </xf>
    <xf numFmtId="10" fontId="39" fillId="17" borderId="0" xfId="9" applyNumberFormat="1" applyFont="1" applyFill="1" applyBorder="1" applyAlignment="1">
      <alignment horizontal="center"/>
    </xf>
    <xf numFmtId="0" fontId="34" fillId="0" borderId="0" xfId="10" applyFont="1" applyAlignment="1">
      <alignment horizontal="center"/>
    </xf>
    <xf numFmtId="0" fontId="1" fillId="14" borderId="53" xfId="0" applyFont="1" applyFill="1" applyBorder="1" applyAlignment="1">
      <alignment horizontal="center"/>
    </xf>
    <xf numFmtId="0" fontId="1" fillId="14" borderId="10" xfId="0" applyFont="1" applyFill="1" applyBorder="1" applyAlignment="1">
      <alignment horizontal="center"/>
    </xf>
    <xf numFmtId="0" fontId="1" fillId="14" borderId="11" xfId="0" applyFont="1" applyFill="1" applyBorder="1" applyAlignment="1">
      <alignment horizontal="center"/>
    </xf>
    <xf numFmtId="0" fontId="44" fillId="9" borderId="45" xfId="0" applyFont="1" applyFill="1" applyBorder="1" applyAlignment="1">
      <alignment horizontal="center" vertical="center" textRotation="90"/>
    </xf>
    <xf numFmtId="0" fontId="44" fillId="9" borderId="19" xfId="0" applyFont="1" applyFill="1" applyBorder="1" applyAlignment="1">
      <alignment horizontal="center" vertical="center" textRotation="90"/>
    </xf>
    <xf numFmtId="0" fontId="44" fillId="9" borderId="62" xfId="0" applyFont="1" applyFill="1" applyBorder="1" applyAlignment="1">
      <alignment horizontal="center" vertical="center" textRotation="90"/>
    </xf>
    <xf numFmtId="0" fontId="44" fillId="12" borderId="70" xfId="0" applyFont="1" applyFill="1" applyBorder="1" applyAlignment="1">
      <alignment horizontal="center" vertical="center" textRotation="90"/>
    </xf>
    <xf numFmtId="0" fontId="44" fillId="12" borderId="47" xfId="0" applyFont="1" applyFill="1" applyBorder="1" applyAlignment="1">
      <alignment horizontal="center" vertical="center" textRotation="90"/>
    </xf>
    <xf numFmtId="0" fontId="44" fillId="12" borderId="63" xfId="0" applyFont="1" applyFill="1" applyBorder="1" applyAlignment="1">
      <alignment horizontal="center" vertical="center" textRotation="90"/>
    </xf>
    <xf numFmtId="0" fontId="44" fillId="11" borderId="30" xfId="0" applyFont="1" applyFill="1" applyBorder="1" applyAlignment="1">
      <alignment horizontal="center" vertical="center" textRotation="90"/>
    </xf>
    <xf numFmtId="0" fontId="44" fillId="11" borderId="61" xfId="0" applyFont="1" applyFill="1" applyBorder="1" applyAlignment="1">
      <alignment horizontal="center" vertical="center" textRotation="90"/>
    </xf>
    <xf numFmtId="0" fontId="1" fillId="0" borderId="53" xfId="0" applyFont="1" applyBorder="1" applyAlignment="1">
      <alignment horizontal="center"/>
    </xf>
    <xf numFmtId="0" fontId="1" fillId="0" borderId="27" xfId="0" applyFont="1" applyBorder="1" applyAlignment="1">
      <alignment horizontal="center"/>
    </xf>
    <xf numFmtId="0" fontId="2" fillId="0" borderId="45"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46"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65" xfId="0" applyFont="1" applyFill="1" applyBorder="1" applyAlignment="1">
      <alignment horizontal="center" vertical="center"/>
    </xf>
    <xf numFmtId="0" fontId="2" fillId="12" borderId="25" xfId="0" applyFont="1" applyFill="1" applyBorder="1" applyAlignment="1">
      <alignment horizontal="center" vertical="center"/>
    </xf>
    <xf numFmtId="0" fontId="2" fillId="12" borderId="26" xfId="0" applyFont="1" applyFill="1" applyBorder="1" applyAlignment="1">
      <alignment horizontal="center" vertical="center"/>
    </xf>
    <xf numFmtId="0" fontId="2" fillId="12" borderId="72" xfId="0" applyFont="1" applyFill="1" applyBorder="1" applyAlignment="1">
      <alignment horizontal="center" vertical="center"/>
    </xf>
    <xf numFmtId="0" fontId="2" fillId="12" borderId="8" xfId="0" applyFont="1" applyFill="1" applyBorder="1" applyAlignment="1">
      <alignment horizontal="center" vertical="center"/>
    </xf>
    <xf numFmtId="169" fontId="2" fillId="0" borderId="74" xfId="7" applyNumberFormat="1" applyFont="1" applyFill="1" applyBorder="1" applyAlignment="1">
      <alignment horizontal="center" vertical="center"/>
    </xf>
    <xf numFmtId="169" fontId="2" fillId="0" borderId="35" xfId="7" applyNumberFormat="1" applyFont="1" applyFill="1" applyBorder="1" applyAlignment="1">
      <alignment horizontal="center" vertical="center"/>
    </xf>
    <xf numFmtId="169" fontId="2" fillId="0" borderId="42" xfId="7" applyNumberFormat="1" applyFont="1" applyFill="1" applyBorder="1" applyAlignment="1">
      <alignment horizontal="center" vertical="center"/>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8" xfId="0" applyFont="1" applyBorder="1" applyAlignment="1">
      <alignment horizontal="center" vertical="center"/>
    </xf>
    <xf numFmtId="0" fontId="2" fillId="11" borderId="25" xfId="0" applyFont="1" applyFill="1" applyBorder="1" applyAlignment="1">
      <alignment horizontal="center" vertical="center"/>
    </xf>
    <xf numFmtId="0" fontId="2" fillId="11" borderId="26" xfId="0" applyFont="1" applyFill="1" applyBorder="1" applyAlignment="1">
      <alignment horizontal="center" vertical="center"/>
    </xf>
    <xf numFmtId="0" fontId="2" fillId="11" borderId="25" xfId="0" applyFont="1" applyFill="1" applyBorder="1" applyAlignment="1">
      <alignment horizontal="center" vertical="center" wrapText="1"/>
    </xf>
    <xf numFmtId="0" fontId="2" fillId="11" borderId="26" xfId="0" applyFont="1" applyFill="1" applyBorder="1" applyAlignment="1">
      <alignment horizontal="center" vertical="center" wrapText="1"/>
    </xf>
    <xf numFmtId="0" fontId="2" fillId="11" borderId="39" xfId="0" applyFont="1" applyFill="1" applyBorder="1" applyAlignment="1">
      <alignment horizontal="center" vertical="center" wrapText="1"/>
    </xf>
    <xf numFmtId="0" fontId="2" fillId="0" borderId="39" xfId="0" applyFont="1" applyBorder="1" applyAlignment="1">
      <alignment horizontal="center" vertical="center" wrapText="1"/>
    </xf>
    <xf numFmtId="0" fontId="27" fillId="0" borderId="0" xfId="0" applyFont="1" applyAlignment="1">
      <alignment horizontal="center"/>
    </xf>
    <xf numFmtId="0" fontId="27" fillId="0" borderId="0" xfId="0" applyFont="1" applyBorder="1" applyAlignment="1">
      <alignment horizontal="center"/>
    </xf>
    <xf numFmtId="0" fontId="2" fillId="11" borderId="72" xfId="0" applyFont="1" applyFill="1" applyBorder="1" applyAlignment="1">
      <alignment horizontal="center" vertical="center"/>
    </xf>
    <xf numFmtId="0" fontId="2" fillId="11" borderId="8" xfId="0" applyFont="1" applyFill="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72" xfId="0" applyFont="1" applyBorder="1" applyAlignment="1">
      <alignment horizontal="center" vertical="center"/>
    </xf>
    <xf numFmtId="169" fontId="2" fillId="0" borderId="45" xfId="7" applyNumberFormat="1" applyFont="1" applyFill="1" applyBorder="1" applyAlignment="1">
      <alignment vertical="center"/>
    </xf>
    <xf numFmtId="169" fontId="2" fillId="0" borderId="19" xfId="7" applyNumberFormat="1" applyFont="1" applyFill="1" applyBorder="1" applyAlignment="1">
      <alignment vertical="center"/>
    </xf>
    <xf numFmtId="169" fontId="2" fillId="0" borderId="18" xfId="7" applyNumberFormat="1" applyFont="1" applyFill="1" applyBorder="1" applyAlignment="1">
      <alignment vertical="center"/>
    </xf>
    <xf numFmtId="169" fontId="2" fillId="0" borderId="62" xfId="7" applyNumberFormat="1" applyFont="1" applyFill="1" applyBorder="1" applyAlignment="1">
      <alignment vertical="center"/>
    </xf>
    <xf numFmtId="169" fontId="2" fillId="0" borderId="45" xfId="7" applyNumberFormat="1" applyFont="1" applyFill="1" applyBorder="1" applyAlignment="1">
      <alignment horizontal="center" vertical="center"/>
    </xf>
    <xf numFmtId="169" fontId="2" fillId="0" borderId="19" xfId="7" applyNumberFormat="1" applyFont="1" applyFill="1" applyBorder="1" applyAlignment="1">
      <alignment horizontal="center" vertical="center"/>
    </xf>
    <xf numFmtId="0" fontId="2" fillId="0" borderId="62" xfId="0" applyFont="1" applyFill="1" applyBorder="1" applyAlignment="1">
      <alignment horizontal="center" vertical="center"/>
    </xf>
    <xf numFmtId="0" fontId="2" fillId="9" borderId="40" xfId="0" applyFont="1" applyFill="1" applyBorder="1" applyAlignment="1">
      <alignment horizontal="center" vertical="center" wrapText="1"/>
    </xf>
    <xf numFmtId="0" fontId="2" fillId="9" borderId="26"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9" borderId="25"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9" borderId="25" xfId="0" applyFont="1" applyFill="1" applyBorder="1" applyAlignment="1">
      <alignment horizontal="center" vertical="center"/>
    </xf>
    <xf numFmtId="0" fontId="2" fillId="9" borderId="26" xfId="0" applyFont="1" applyFill="1" applyBorder="1" applyAlignment="1">
      <alignment horizontal="center" vertical="center"/>
    </xf>
    <xf numFmtId="0" fontId="2" fillId="9" borderId="64" xfId="0" applyFont="1" applyFill="1" applyBorder="1" applyAlignment="1">
      <alignment horizontal="center" vertical="center"/>
    </xf>
    <xf numFmtId="0" fontId="1" fillId="19" borderId="52" xfId="0" applyFont="1" applyFill="1" applyBorder="1" applyAlignment="1">
      <alignment horizontal="center"/>
    </xf>
    <xf numFmtId="0" fontId="1" fillId="19" borderId="28" xfId="0" applyFont="1" applyFill="1" applyBorder="1" applyAlignment="1">
      <alignment horizontal="center"/>
    </xf>
    <xf numFmtId="0" fontId="1" fillId="19" borderId="51" xfId="0" applyFont="1" applyFill="1" applyBorder="1" applyAlignment="1">
      <alignment horizontal="center"/>
    </xf>
    <xf numFmtId="0" fontId="0" fillId="0" borderId="96" xfId="0" applyBorder="1" applyAlignment="1">
      <alignment horizontal="center"/>
    </xf>
    <xf numFmtId="0" fontId="0" fillId="0" borderId="30" xfId="0" applyBorder="1" applyAlignment="1">
      <alignment horizontal="center"/>
    </xf>
    <xf numFmtId="0" fontId="0" fillId="0" borderId="7" xfId="0" applyBorder="1" applyAlignment="1">
      <alignment horizontal="center"/>
    </xf>
    <xf numFmtId="0" fontId="0" fillId="0" borderId="40" xfId="0" applyBorder="1" applyAlignment="1">
      <alignment horizontal="center"/>
    </xf>
    <xf numFmtId="0" fontId="0" fillId="0" borderId="26" xfId="0" applyBorder="1" applyAlignment="1">
      <alignment horizontal="center"/>
    </xf>
    <xf numFmtId="0" fontId="0" fillId="0" borderId="8" xfId="0" applyBorder="1" applyAlignment="1">
      <alignment horizontal="center"/>
    </xf>
    <xf numFmtId="3" fontId="0" fillId="0" borderId="78" xfId="0" applyNumberFormat="1" applyBorder="1" applyAlignment="1">
      <alignment horizontal="center" wrapText="1"/>
    </xf>
    <xf numFmtId="3" fontId="0" fillId="0" borderId="1" xfId="0" applyNumberFormat="1" applyBorder="1" applyAlignment="1">
      <alignment horizontal="center" wrapText="1"/>
    </xf>
    <xf numFmtId="3" fontId="0" fillId="0" borderId="78" xfId="0" applyNumberFormat="1" applyBorder="1" applyAlignment="1">
      <alignment horizontal="center"/>
    </xf>
    <xf numFmtId="3" fontId="0" fillId="0" borderId="1" xfId="0" applyNumberFormat="1" applyBorder="1" applyAlignment="1">
      <alignment horizontal="center"/>
    </xf>
    <xf numFmtId="3" fontId="0" fillId="0" borderId="54" xfId="0" applyNumberFormat="1" applyBorder="1" applyAlignment="1">
      <alignment horizontal="center"/>
    </xf>
    <xf numFmtId="3" fontId="0" fillId="0" borderId="79" xfId="0" applyNumberFormat="1" applyBorder="1" applyAlignment="1">
      <alignment horizontal="center"/>
    </xf>
    <xf numFmtId="3" fontId="45" fillId="20" borderId="27" xfId="0" applyNumberFormat="1" applyFont="1" applyFill="1" applyBorder="1" applyAlignment="1">
      <alignment horizontal="center"/>
    </xf>
    <xf numFmtId="3" fontId="45" fillId="20" borderId="48" xfId="0" applyNumberFormat="1" applyFont="1" applyFill="1" applyBorder="1" applyAlignment="1">
      <alignment horizontal="center"/>
    </xf>
    <xf numFmtId="0" fontId="33" fillId="19" borderId="54" xfId="0" applyFont="1" applyFill="1" applyBorder="1" applyAlignment="1">
      <alignment horizontal="center"/>
    </xf>
    <xf numFmtId="0" fontId="33" fillId="19" borderId="81" xfId="0" applyFont="1" applyFill="1" applyBorder="1" applyAlignment="1">
      <alignment horizontal="center"/>
    </xf>
    <xf numFmtId="0" fontId="33" fillId="19" borderId="79" xfId="0" applyFont="1" applyFill="1" applyBorder="1" applyAlignment="1">
      <alignment horizontal="center"/>
    </xf>
    <xf numFmtId="3" fontId="0" fillId="0" borderId="57" xfId="0" applyNumberFormat="1" applyBorder="1" applyAlignment="1">
      <alignment horizontal="center"/>
    </xf>
    <xf numFmtId="3" fontId="0" fillId="0" borderId="3" xfId="0" applyNumberFormat="1" applyBorder="1" applyAlignment="1">
      <alignment horizontal="center"/>
    </xf>
    <xf numFmtId="3" fontId="46" fillId="21" borderId="86" xfId="0" applyNumberFormat="1" applyFont="1" applyFill="1" applyBorder="1" applyAlignment="1">
      <alignment horizontal="center"/>
    </xf>
    <xf numFmtId="3" fontId="46" fillId="21" borderId="87" xfId="0" applyNumberFormat="1" applyFont="1" applyFill="1" applyBorder="1" applyAlignment="1">
      <alignment horizontal="center"/>
    </xf>
    <xf numFmtId="3" fontId="0" fillId="0" borderId="82" xfId="0" applyNumberFormat="1" applyBorder="1" applyAlignment="1">
      <alignment horizontal="center"/>
    </xf>
    <xf numFmtId="3" fontId="0" fillId="0" borderId="83" xfId="0" applyNumberFormat="1" applyBorder="1" applyAlignment="1">
      <alignment horizontal="center"/>
    </xf>
    <xf numFmtId="3" fontId="0" fillId="0" borderId="84" xfId="0" applyNumberFormat="1" applyBorder="1" applyAlignment="1">
      <alignment horizontal="center"/>
    </xf>
    <xf numFmtId="3" fontId="0" fillId="0" borderId="85" xfId="0" applyNumberFormat="1" applyBorder="1" applyAlignment="1">
      <alignment horizontal="center"/>
    </xf>
    <xf numFmtId="0" fontId="0" fillId="23" borderId="0" xfId="0" applyFill="1" applyAlignment="1">
      <alignment horizontal="center"/>
    </xf>
    <xf numFmtId="0" fontId="33" fillId="19" borderId="25" xfId="0" applyFont="1" applyFill="1" applyBorder="1" applyAlignment="1">
      <alignment horizontal="center"/>
    </xf>
    <xf numFmtId="0" fontId="45" fillId="20" borderId="91" xfId="0" applyFont="1" applyFill="1" applyBorder="1" applyAlignment="1">
      <alignment horizontal="center"/>
    </xf>
    <xf numFmtId="0" fontId="45" fillId="20" borderId="92" xfId="0" applyFont="1" applyFill="1" applyBorder="1" applyAlignment="1">
      <alignment horizontal="center"/>
    </xf>
    <xf numFmtId="0" fontId="46" fillId="21" borderId="1" xfId="0" applyFont="1" applyFill="1" applyBorder="1" applyAlignment="1">
      <alignment horizontal="center"/>
    </xf>
    <xf numFmtId="0" fontId="47" fillId="0" borderId="1" xfId="0" applyFont="1" applyBorder="1" applyAlignment="1">
      <alignment horizontal="center" vertical="center" textRotation="90"/>
    </xf>
    <xf numFmtId="0" fontId="47" fillId="0" borderId="54" xfId="0" applyFont="1" applyBorder="1" applyAlignment="1">
      <alignment horizontal="center" vertical="center" textRotation="90"/>
    </xf>
    <xf numFmtId="3" fontId="46" fillId="21" borderId="86" xfId="0" applyNumberFormat="1" applyFont="1" applyFill="1" applyBorder="1" applyAlignment="1">
      <alignment horizontal="center" wrapText="1"/>
    </xf>
    <xf numFmtId="3" fontId="46" fillId="21" borderId="87" xfId="0" applyNumberFormat="1" applyFont="1" applyFill="1" applyBorder="1" applyAlignment="1">
      <alignment horizontal="center" wrapText="1"/>
    </xf>
    <xf numFmtId="3" fontId="0" fillId="0" borderId="88" xfId="0" applyNumberFormat="1" applyBorder="1" applyAlignment="1">
      <alignment horizontal="center"/>
    </xf>
    <xf numFmtId="3" fontId="0" fillId="0" borderId="89" xfId="0" applyNumberFormat="1" applyBorder="1" applyAlignment="1">
      <alignment horizontal="center"/>
    </xf>
    <xf numFmtId="0" fontId="45" fillId="20" borderId="0" xfId="0" applyFont="1" applyFill="1" applyAlignment="1">
      <alignment horizontal="center" vertical="center"/>
    </xf>
    <xf numFmtId="3" fontId="0" fillId="8" borderId="82" xfId="0" applyNumberFormat="1" applyFill="1" applyBorder="1" applyAlignment="1">
      <alignment horizontal="center"/>
    </xf>
    <xf numFmtId="3" fontId="0" fillId="8" borderId="83" xfId="0" applyNumberFormat="1" applyFill="1" applyBorder="1" applyAlignment="1">
      <alignment horizontal="center"/>
    </xf>
    <xf numFmtId="3" fontId="48" fillId="14" borderId="27" xfId="0" applyNumberFormat="1" applyFont="1" applyFill="1" applyBorder="1" applyAlignment="1">
      <alignment horizontal="center"/>
    </xf>
    <xf numFmtId="3" fontId="48" fillId="14" borderId="48" xfId="0" applyNumberFormat="1" applyFont="1" applyFill="1" applyBorder="1" applyAlignment="1">
      <alignment horizontal="center"/>
    </xf>
    <xf numFmtId="3" fontId="48" fillId="14" borderId="90" xfId="0" applyNumberFormat="1" applyFont="1" applyFill="1" applyBorder="1" applyAlignment="1">
      <alignment horizontal="center"/>
    </xf>
    <xf numFmtId="3" fontId="0" fillId="0" borderId="40" xfId="0" applyNumberFormat="1" applyBorder="1" applyAlignment="1">
      <alignment horizontal="center"/>
    </xf>
    <xf numFmtId="3" fontId="0" fillId="0" borderId="26" xfId="0" applyNumberFormat="1" applyBorder="1" applyAlignment="1">
      <alignment horizontal="center"/>
    </xf>
    <xf numFmtId="3" fontId="0" fillId="0" borderId="8" xfId="0" applyNumberFormat="1" applyBorder="1" applyAlignment="1">
      <alignment horizontal="center"/>
    </xf>
    <xf numFmtId="3" fontId="45" fillId="20" borderId="5" xfId="0" applyNumberFormat="1" applyFont="1" applyFill="1" applyBorder="1" applyAlignment="1">
      <alignment horizontal="center"/>
    </xf>
    <xf numFmtId="3" fontId="45" fillId="20" borderId="82" xfId="0" applyNumberFormat="1" applyFont="1" applyFill="1" applyBorder="1" applyAlignment="1">
      <alignment horizontal="center"/>
    </xf>
    <xf numFmtId="3" fontId="45" fillId="20" borderId="83" xfId="0" applyNumberFormat="1" applyFont="1" applyFill="1" applyBorder="1" applyAlignment="1">
      <alignment horizontal="center"/>
    </xf>
    <xf numFmtId="0" fontId="49" fillId="0" borderId="0" xfId="0" applyFont="1" applyAlignment="1">
      <alignment horizontal="right"/>
    </xf>
    <xf numFmtId="3" fontId="45" fillId="20" borderId="90" xfId="0" applyNumberFormat="1" applyFont="1" applyFill="1" applyBorder="1" applyAlignment="1">
      <alignment horizontal="center"/>
    </xf>
    <xf numFmtId="3" fontId="0" fillId="0" borderId="25" xfId="0" applyNumberFormat="1" applyBorder="1" applyAlignment="1">
      <alignment horizontal="center"/>
    </xf>
    <xf numFmtId="3" fontId="48" fillId="14" borderId="10" xfId="0" applyNumberFormat="1" applyFont="1" applyFill="1" applyBorder="1" applyAlignment="1">
      <alignment horizontal="center"/>
    </xf>
    <xf numFmtId="3" fontId="48" fillId="14" borderId="11" xfId="0" applyNumberFormat="1" applyFont="1" applyFill="1" applyBorder="1" applyAlignment="1">
      <alignment horizontal="center"/>
    </xf>
    <xf numFmtId="3" fontId="46" fillId="21" borderId="1" xfId="0" applyNumberFormat="1" applyFont="1" applyFill="1" applyBorder="1" applyAlignment="1">
      <alignment horizontal="center"/>
    </xf>
    <xf numFmtId="3" fontId="0" fillId="0" borderId="94" xfId="0" applyNumberFormat="1" applyBorder="1" applyAlignment="1">
      <alignment horizontal="center"/>
    </xf>
    <xf numFmtId="3" fontId="0" fillId="0" borderId="97" xfId="0" applyNumberFormat="1" applyBorder="1" applyAlignment="1">
      <alignment horizontal="center"/>
    </xf>
    <xf numFmtId="0" fontId="33" fillId="19" borderId="1" xfId="0" applyFont="1" applyFill="1" applyBorder="1" applyAlignment="1">
      <alignment horizontal="center"/>
    </xf>
    <xf numFmtId="3" fontId="45" fillId="20" borderId="93" xfId="0" applyNumberFormat="1" applyFont="1" applyFill="1" applyBorder="1" applyAlignment="1">
      <alignment horizontal="center"/>
    </xf>
  </cellXfs>
  <cellStyles count="11">
    <cellStyle name="Millares" xfId="7" builtinId="3"/>
    <cellStyle name="Millares 2" xfId="3"/>
    <cellStyle name="Millares 2 3" xfId="5"/>
    <cellStyle name="Normal" xfId="0" builtinId="0"/>
    <cellStyle name="Normal 2" xfId="1"/>
    <cellStyle name="Normal 2 2" xfId="2"/>
    <cellStyle name="Normal 24 2 2" xfId="10"/>
    <cellStyle name="Normal 3" xfId="6"/>
    <cellStyle name="Normal 3 2" xfId="8"/>
    <cellStyle name="Normal 54 2" xfId="4"/>
    <cellStyle name="Porcentaje" xfId="9" builtinId="5"/>
  </cellStyles>
  <dxfs count="88">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9" tint="0.59996337778862885"/>
        </patternFill>
      </fill>
    </dxf>
    <dxf>
      <fill>
        <patternFill>
          <bgColor theme="5" tint="0.39994506668294322"/>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742950</xdr:colOff>
      <xdr:row>0</xdr:row>
      <xdr:rowOff>66675</xdr:rowOff>
    </xdr:from>
    <xdr:to>
      <xdr:col>1</xdr:col>
      <xdr:colOff>2877383</xdr:colOff>
      <xdr:row>3</xdr:row>
      <xdr:rowOff>102393</xdr:rowOff>
    </xdr:to>
    <xdr:pic>
      <xdr:nvPicPr>
        <xdr:cNvPr id="3" name="Picture 2">
          <a:hlinkClick xmlns:r="http://schemas.openxmlformats.org/officeDocument/2006/relationships" r:id=""/>
        </xdr:cNvPr>
        <xdr:cNvPicPr>
          <a:picLocks noChangeAspect="1" noChangeArrowheads="1"/>
        </xdr:cNvPicPr>
      </xdr:nvPicPr>
      <xdr:blipFill>
        <a:blip xmlns:r="http://schemas.openxmlformats.org/officeDocument/2006/relationships" r:embed="rId1"/>
        <a:srcRect/>
        <a:stretch>
          <a:fillRect/>
        </a:stretch>
      </xdr:blipFill>
      <xdr:spPr bwMode="auto">
        <a:xfrm>
          <a:off x="742950" y="66675"/>
          <a:ext cx="2896433" cy="607218"/>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CC/CLIENTES/Proteccion/2005/Regresion/Regresion%20Protecci&#243;n%20_Prelimina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casta&#241;ojorge/AppData/Local/Microsoft/Windows/Temporary%20Internet%20Files/Content.Outlook/2YXQ44FP/Artes%20plasticas/ARTES%20PLASTICAS%2020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casta&#241;ojorge/AppData/Local/Microsoft/Windows/Temporary%20Internet%20Files/Content.Outlook/2YXQ44FP/Arte%20dram&#225;tico/ARTE_DRAMATICO_201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Users\casta&#241;ojorge\AppData\Local\Microsoft\Windows\Temporary%20Internet%20Files\Content.Outlook\2YXQ44FP\Arte%20dram&#225;tico\ARTE_DRAMATICO_201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TO%20DEFINITIVO%202011/PRESUPUESTO%202011%20-%20FEBRERO%201%20201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dahianasuarez/Desktop/Presupuesto%20Dahiana/Otras%20Solicitudes/Proyecciones/Proyecciones%20Presupuesto/PDI/Ppto%20Proyeccion%202016%20-%20202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hianasuarez/Desktop/Presupuesto%20Dahiana/Otras%20Solicitudes/Proyecciones/Proyecciones%20Presupuesto/PDI/Presupuesto%202016%20detallado%202016-02-23(2)%20Educaci&#243;n%20Continuad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dolfo.52C7DEC6631B4AB/Mis%20documentos/SHR%20CONSULTING/CLIENTES/PERSONAL%20SOFT/INFORMACION%20RECIBIDA/Requerimiento%20de%20informaci&#243;n%20Salaria%20-%20PE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TO%20DEFINITIVO%202011/MEDICINA/ODONTOLOGIA%20PTO%202011/ENFERMERIA/ENFERMERIA%20PREGRADO%2020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PTO%20DEFINITIVO%202011\MEDICINA\ODONTOLOGIA%20PTO%202011\ENFERMERIA\ENFERMERIA%20PREGRADO%20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driguezandrea/Desktop/Universidad/DICIEMBRE/Documents%20and%20Settings/parraangela/Escritorio/4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asta&#241;ojorge/Desktop/PRESUPUESTO%202013%20DEFINITIVO/PPTO%20KATHERINNE/FACULTAD%20DE%20INGENIERIA%202012/DIRECCION%20FACULTAD%20201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CLAUSTRO\2013-01\PPTO%20KATHERINNE\FACULTAD%20DE%20INGENIERIA%202012\DIRECCION%20FACULTAD%20201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LAUSTRO/2011-01/EJECUCION%20PRESUPUESTAL%2020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casta&#241;ojorge\AppData\Local\Microsoft\Windows\Temporary%20Internet%20Files\Content.Outlook\2YXQ44FP\Artes%20plasticas\ARTES%20PLASTICAS%2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Eq y Comp (TOTAL)"/>
      <sheetName val="regresion eq"/>
      <sheetName val="GRAFICOS"/>
      <sheetName val=" Eq y Comp (MEDELLIN)"/>
      <sheetName val="GRAFICOS (2)"/>
      <sheetName val="reg QI Total"/>
      <sheetName val="reg Med Total"/>
      <sheetName val="reg QIII Total"/>
      <sheetName val="reg QI Medell"/>
      <sheetName val="reg Med Medell"/>
      <sheetName val="reg QIII Medell"/>
    </sheetNames>
    <sheetDataSet>
      <sheetData sheetId="0"/>
      <sheetData sheetId="1">
        <row r="39">
          <cell r="A39">
            <v>574</v>
          </cell>
          <cell r="B39">
            <v>7664854</v>
          </cell>
        </row>
        <row r="40">
          <cell r="A40">
            <v>574</v>
          </cell>
          <cell r="B40">
            <v>6871346</v>
          </cell>
        </row>
        <row r="41">
          <cell r="A41">
            <v>572</v>
          </cell>
          <cell r="B41">
            <v>6300000</v>
          </cell>
        </row>
        <row r="42">
          <cell r="A42">
            <v>572</v>
          </cell>
          <cell r="B42">
            <v>6300000</v>
          </cell>
        </row>
        <row r="43">
          <cell r="A43">
            <v>572</v>
          </cell>
          <cell r="B43">
            <v>6300000</v>
          </cell>
        </row>
        <row r="44">
          <cell r="A44">
            <v>567</v>
          </cell>
          <cell r="B44">
            <v>7079883</v>
          </cell>
        </row>
        <row r="45">
          <cell r="A45">
            <v>567</v>
          </cell>
          <cell r="B45">
            <v>7079883</v>
          </cell>
        </row>
      </sheetData>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MENU"/>
      <sheetName val="PRESUPUESTO"/>
      <sheetName val="RES.GESTION"/>
      <sheetName val="ALUMNOS"/>
      <sheetName val="MAT."/>
      <sheetName val="NOMINA"/>
      <sheetName val="Hoja2"/>
      <sheetName val="HONORARIOS"/>
      <sheetName val="CONVENIOS"/>
      <sheetName val="EDUC.CONT."/>
      <sheetName val="ASESOR.Y.CONSULT."/>
      <sheetName val="PROY INVEST."/>
      <sheetName val="P.PROY.SOCIAL"/>
      <sheetName val="GEST.REC.HUM."/>
      <sheetName val="OTROS PROY."/>
      <sheetName val="SALIDAS"/>
      <sheetName val="BIBLIOTECA"/>
      <sheetName val="AFILIACIONES"/>
      <sheetName val="IMPRESOS.PUBLIC"/>
      <sheetName val="MANTEN.EQUIP."/>
      <sheetName val="INVER.EQUIPO.COMP"/>
      <sheetName val="INVER.OTROS.EQUIPOS"/>
      <sheetName val="INVER.MUEBLES"/>
      <sheetName val="ADECUAC.LOCATIVAS"/>
      <sheetName val="Base 3"/>
      <sheetName val="BASE"/>
    </sheetNames>
    <sheetDataSet>
      <sheetData sheetId="0">
        <row r="1">
          <cell r="A1">
            <v>0</v>
          </cell>
        </row>
      </sheetData>
      <sheetData sheetId="1"/>
      <sheetData sheetId="2"/>
      <sheetData sheetId="3">
        <row r="6">
          <cell r="E6">
            <v>17776000</v>
          </cell>
        </row>
      </sheetData>
      <sheetData sheetId="4"/>
      <sheetData sheetId="5">
        <row r="37">
          <cell r="C37">
            <v>70</v>
          </cell>
        </row>
      </sheetData>
      <sheetData sheetId="6">
        <row r="21">
          <cell r="B21" t="str">
            <v>Operativo</v>
          </cell>
        </row>
      </sheetData>
      <sheetData sheetId="7"/>
      <sheetData sheetId="8"/>
      <sheetData sheetId="9">
        <row r="53">
          <cell r="E53">
            <v>0</v>
          </cell>
        </row>
      </sheetData>
      <sheetData sheetId="10"/>
      <sheetData sheetId="11">
        <row r="8">
          <cell r="D8">
            <v>0</v>
          </cell>
        </row>
      </sheetData>
      <sheetData sheetId="12">
        <row r="8">
          <cell r="K8">
            <v>0</v>
          </cell>
        </row>
      </sheetData>
      <sheetData sheetId="13">
        <row r="8">
          <cell r="K8">
            <v>0</v>
          </cell>
        </row>
      </sheetData>
      <sheetData sheetId="14"/>
      <sheetData sheetId="15"/>
      <sheetData sheetId="16">
        <row r="17">
          <cell r="V17">
            <v>0</v>
          </cell>
        </row>
      </sheetData>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RESUPUESTO"/>
      <sheetName val="RES.GESTION"/>
      <sheetName val="ALUMNOS"/>
      <sheetName val="MAT."/>
      <sheetName val="NOMINA"/>
      <sheetName val="Hoja2"/>
      <sheetName val="HONORARIOS"/>
      <sheetName val="CONVENIOS"/>
      <sheetName val="EDUC.CONT."/>
      <sheetName val="ASESOR.Y.CONSULT."/>
      <sheetName val="PROY INVEST."/>
      <sheetName val="P.PROY.SOCIAL"/>
      <sheetName val="GEST.REC.HUM."/>
      <sheetName val="OTROS PROY."/>
      <sheetName val="SALIDAS"/>
      <sheetName val="BIBLIOTECA"/>
      <sheetName val="AFILIACIONES"/>
      <sheetName val="IMPRESOS.PUBLIC"/>
      <sheetName val="MANTEN.EQUIP."/>
      <sheetName val="INVER.EQUIPO.COMP"/>
      <sheetName val="INVER.OTROS.EQUIPOS"/>
      <sheetName val="INVER.MUEBLES"/>
      <sheetName val="ADECUAC.LOCATIVAS"/>
      <sheetName val="EJE JULIO NOV"/>
      <sheetName val="Base 3"/>
      <sheetName val="BASE"/>
    </sheetNames>
    <sheetDataSet>
      <sheetData sheetId="0"/>
      <sheetData sheetId="1"/>
      <sheetData sheetId="2">
        <row r="6">
          <cell r="E6">
            <v>1540000</v>
          </cell>
        </row>
      </sheetData>
      <sheetData sheetId="3"/>
      <sheetData sheetId="4">
        <row r="37">
          <cell r="C37">
            <v>72</v>
          </cell>
        </row>
      </sheetData>
      <sheetData sheetId="5">
        <row r="21">
          <cell r="B21" t="str">
            <v>Operativo</v>
          </cell>
        </row>
      </sheetData>
      <sheetData sheetId="6"/>
      <sheetData sheetId="7"/>
      <sheetData sheetId="8">
        <row r="53">
          <cell r="E53">
            <v>0</v>
          </cell>
        </row>
      </sheetData>
      <sheetData sheetId="9"/>
      <sheetData sheetId="10">
        <row r="8">
          <cell r="D8">
            <v>0</v>
          </cell>
        </row>
      </sheetData>
      <sheetData sheetId="11">
        <row r="8">
          <cell r="K8">
            <v>0</v>
          </cell>
        </row>
      </sheetData>
      <sheetData sheetId="12">
        <row r="8">
          <cell r="K8">
            <v>0</v>
          </cell>
        </row>
      </sheetData>
      <sheetData sheetId="13"/>
      <sheetData sheetId="14"/>
      <sheetData sheetId="15">
        <row r="17">
          <cell r="V17">
            <v>0</v>
          </cell>
        </row>
      </sheetData>
      <sheetData sheetId="16"/>
      <sheetData sheetId="17"/>
      <sheetData sheetId="18"/>
      <sheetData sheetId="19"/>
      <sheetData sheetId="20"/>
      <sheetData sheetId="21"/>
      <sheetData sheetId="22"/>
      <sheetData sheetId="23"/>
      <sheetData sheetId="24">
        <row r="1">
          <cell r="A1">
            <v>0</v>
          </cell>
        </row>
        <row r="3">
          <cell r="F3">
            <v>0</v>
          </cell>
        </row>
        <row r="4">
          <cell r="F4">
            <v>147280.08799999999</v>
          </cell>
        </row>
        <row r="5">
          <cell r="F5">
            <v>0</v>
          </cell>
        </row>
        <row r="6">
          <cell r="F6">
            <v>0</v>
          </cell>
        </row>
        <row r="7">
          <cell r="F7">
            <v>2380</v>
          </cell>
        </row>
        <row r="8">
          <cell r="F8">
            <v>392</v>
          </cell>
        </row>
        <row r="9">
          <cell r="F9">
            <v>900</v>
          </cell>
        </row>
        <row r="10">
          <cell r="F10">
            <v>0</v>
          </cell>
        </row>
        <row r="11">
          <cell r="F11">
            <v>280</v>
          </cell>
        </row>
        <row r="12">
          <cell r="F12">
            <v>110</v>
          </cell>
        </row>
        <row r="13">
          <cell r="F13">
            <v>0</v>
          </cell>
        </row>
        <row r="14">
          <cell r="F14">
            <v>0</v>
          </cell>
        </row>
        <row r="15">
          <cell r="F15">
            <v>0</v>
          </cell>
        </row>
        <row r="16">
          <cell r="F16">
            <v>0</v>
          </cell>
        </row>
        <row r="17">
          <cell r="F17">
            <v>-87643.77</v>
          </cell>
        </row>
        <row r="18">
          <cell r="F18">
            <v>-110.633</v>
          </cell>
        </row>
        <row r="19">
          <cell r="F19">
            <v>-1453.239</v>
          </cell>
        </row>
        <row r="20">
          <cell r="F20">
            <v>-10697.689</v>
          </cell>
        </row>
        <row r="21">
          <cell r="F21">
            <v>-1298.739</v>
          </cell>
        </row>
        <row r="22">
          <cell r="F22">
            <v>-9665.4930000000004</v>
          </cell>
        </row>
        <row r="23">
          <cell r="F23">
            <v>-2046.51</v>
          </cell>
        </row>
        <row r="24">
          <cell r="F24">
            <v>0</v>
          </cell>
        </row>
        <row r="25">
          <cell r="F25">
            <v>0</v>
          </cell>
        </row>
        <row r="26">
          <cell r="F26">
            <v>-516.07299999999998</v>
          </cell>
        </row>
        <row r="27">
          <cell r="F27">
            <v>-8443.2559999999994</v>
          </cell>
        </row>
        <row r="28">
          <cell r="F28">
            <v>-11936.153</v>
          </cell>
        </row>
        <row r="29">
          <cell r="F29">
            <v>-3881.0360000000001</v>
          </cell>
        </row>
        <row r="30">
          <cell r="F30">
            <v>-2909.8969999999999</v>
          </cell>
        </row>
        <row r="31">
          <cell r="F31">
            <v>-1940.8420000000001</v>
          </cell>
        </row>
        <row r="32">
          <cell r="F32">
            <v>-1920</v>
          </cell>
        </row>
        <row r="33">
          <cell r="F33">
            <v>0</v>
          </cell>
        </row>
        <row r="34">
          <cell r="F34">
            <v>-227.589</v>
          </cell>
        </row>
        <row r="35">
          <cell r="F35">
            <v>0</v>
          </cell>
        </row>
        <row r="36">
          <cell r="F36">
            <v>0</v>
          </cell>
        </row>
        <row r="37">
          <cell r="F37">
            <v>0</v>
          </cell>
        </row>
        <row r="38">
          <cell r="F38">
            <v>-375.608</v>
          </cell>
        </row>
        <row r="39">
          <cell r="F39">
            <v>-60</v>
          </cell>
        </row>
        <row r="40">
          <cell r="F40">
            <v>-251.999</v>
          </cell>
        </row>
        <row r="41">
          <cell r="F41">
            <v>0</v>
          </cell>
        </row>
        <row r="42">
          <cell r="F42">
            <v>-0.81799999999999995</v>
          </cell>
        </row>
        <row r="43">
          <cell r="F43">
            <v>0</v>
          </cell>
        </row>
        <row r="44">
          <cell r="F44">
            <v>1403.636</v>
          </cell>
        </row>
        <row r="45">
          <cell r="F45">
            <v>-98</v>
          </cell>
        </row>
        <row r="46">
          <cell r="F46">
            <v>0</v>
          </cell>
        </row>
        <row r="47">
          <cell r="F47">
            <v>-114.788</v>
          </cell>
        </row>
        <row r="48">
          <cell r="F48">
            <v>-284.608</v>
          </cell>
        </row>
        <row r="49">
          <cell r="F49">
            <v>-385.63600000000002</v>
          </cell>
        </row>
        <row r="50">
          <cell r="F50">
            <v>-2257.52</v>
          </cell>
        </row>
        <row r="51">
          <cell r="F51">
            <v>-2054.08</v>
          </cell>
        </row>
        <row r="52">
          <cell r="F52">
            <v>-2253.2919999999999</v>
          </cell>
        </row>
        <row r="53">
          <cell r="F53">
            <v>-15.46</v>
          </cell>
        </row>
        <row r="54">
          <cell r="F54">
            <v>-216</v>
          </cell>
        </row>
        <row r="55">
          <cell r="F55">
            <v>-121.496</v>
          </cell>
        </row>
        <row r="56">
          <cell r="F56">
            <v>-320.21600000000001</v>
          </cell>
        </row>
        <row r="57">
          <cell r="F57">
            <v>-664.81200000000001</v>
          </cell>
        </row>
        <row r="58">
          <cell r="F58">
            <v>-1567.3</v>
          </cell>
        </row>
        <row r="59">
          <cell r="F59">
            <v>-3769.6320000000001</v>
          </cell>
        </row>
        <row r="60">
          <cell r="F60">
            <v>-7077.18</v>
          </cell>
        </row>
        <row r="61">
          <cell r="F61">
            <v>-145.52000000000001</v>
          </cell>
        </row>
        <row r="62">
          <cell r="F62">
            <v>-628.64</v>
          </cell>
        </row>
        <row r="63">
          <cell r="F63">
            <v>-12347.531999999999</v>
          </cell>
        </row>
        <row r="64">
          <cell r="F64">
            <v>-278.75599999999997</v>
          </cell>
        </row>
        <row r="65">
          <cell r="F65">
            <v>-487.04399999999998</v>
          </cell>
        </row>
        <row r="66">
          <cell r="F66">
            <v>-509.99200000000002</v>
          </cell>
        </row>
        <row r="67">
          <cell r="F67">
            <v>-1624.5360000000001</v>
          </cell>
        </row>
        <row r="68">
          <cell r="F68">
            <v>-550.55200000000002</v>
          </cell>
        </row>
        <row r="69">
          <cell r="F69">
            <v>-2261.2800000000002</v>
          </cell>
        </row>
        <row r="70">
          <cell r="F70">
            <v>-2951.5239999999999</v>
          </cell>
        </row>
        <row r="71">
          <cell r="F71">
            <v>-512</v>
          </cell>
        </row>
        <row r="72">
          <cell r="F72">
            <v>0</v>
          </cell>
        </row>
        <row r="73">
          <cell r="F73">
            <v>39000</v>
          </cell>
        </row>
        <row r="74">
          <cell r="F74">
            <v>0</v>
          </cell>
        </row>
        <row r="75">
          <cell r="F75">
            <v>-210.48400000000001</v>
          </cell>
        </row>
        <row r="76">
          <cell r="F76">
            <v>-403.77600000000001</v>
          </cell>
        </row>
        <row r="77">
          <cell r="F77">
            <v>-443.12799999999999</v>
          </cell>
        </row>
        <row r="78">
          <cell r="F78">
            <v>-367.08800000000002</v>
          </cell>
        </row>
      </sheetData>
      <sheetData sheetId="25"/>
      <sheetData sheetId="2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RESUPUESTO"/>
      <sheetName val="RES.GESTION"/>
      <sheetName val="ALUMNOS"/>
      <sheetName val="MAT."/>
      <sheetName val="NOMINA"/>
      <sheetName val="Hoja2"/>
      <sheetName val="HONORARIOS"/>
      <sheetName val="CONVENIOS"/>
      <sheetName val="EDUC.CONT."/>
      <sheetName val="ASESOR.Y.CONSULT."/>
      <sheetName val="PROY INVEST."/>
      <sheetName val="P.PROY.SOCIAL"/>
      <sheetName val="GEST.REC.HUM."/>
      <sheetName val="OTROS PROY."/>
      <sheetName val="SALIDAS"/>
      <sheetName val="BIBLIOTECA"/>
      <sheetName val="AFILIACIONES"/>
      <sheetName val="IMPRESOS.PUBLIC"/>
      <sheetName val="MANTEN.EQUIP."/>
      <sheetName val="INVER.EQUIPO.COMP"/>
      <sheetName val="INVER.OTROS.EQUIPOS"/>
      <sheetName val="INVER.MUEBLES"/>
      <sheetName val="ADECUAC.LOCATIVAS"/>
      <sheetName val="EJE JULIO NOV"/>
      <sheetName val="Base 3"/>
      <sheetName val="BASE"/>
    </sheetNames>
    <sheetDataSet>
      <sheetData sheetId="0"/>
      <sheetData sheetId="1"/>
      <sheetData sheetId="2">
        <row r="6">
          <cell r="E6">
            <v>1540000</v>
          </cell>
        </row>
      </sheetData>
      <sheetData sheetId="3"/>
      <sheetData sheetId="4">
        <row r="37">
          <cell r="C37">
            <v>72</v>
          </cell>
        </row>
      </sheetData>
      <sheetData sheetId="5">
        <row r="21">
          <cell r="B21" t="str">
            <v>Operativo</v>
          </cell>
        </row>
      </sheetData>
      <sheetData sheetId="6"/>
      <sheetData sheetId="7"/>
      <sheetData sheetId="8">
        <row r="53">
          <cell r="E53">
            <v>0</v>
          </cell>
        </row>
      </sheetData>
      <sheetData sheetId="9"/>
      <sheetData sheetId="10">
        <row r="8">
          <cell r="D8">
            <v>0</v>
          </cell>
        </row>
      </sheetData>
      <sheetData sheetId="11">
        <row r="8">
          <cell r="K8">
            <v>0</v>
          </cell>
        </row>
      </sheetData>
      <sheetData sheetId="12">
        <row r="8">
          <cell r="K8">
            <v>0</v>
          </cell>
        </row>
      </sheetData>
      <sheetData sheetId="13"/>
      <sheetData sheetId="14"/>
      <sheetData sheetId="15">
        <row r="17">
          <cell r="V17">
            <v>0</v>
          </cell>
        </row>
      </sheetData>
      <sheetData sheetId="16"/>
      <sheetData sheetId="17"/>
      <sheetData sheetId="18"/>
      <sheetData sheetId="19"/>
      <sheetData sheetId="20"/>
      <sheetData sheetId="21"/>
      <sheetData sheetId="22"/>
      <sheetData sheetId="23"/>
      <sheetData sheetId="24">
        <row r="1">
          <cell r="A1">
            <v>0</v>
          </cell>
        </row>
        <row r="3">
          <cell r="F3">
            <v>0</v>
          </cell>
        </row>
        <row r="4">
          <cell r="F4">
            <v>147280.08799999999</v>
          </cell>
        </row>
        <row r="5">
          <cell r="F5">
            <v>0</v>
          </cell>
        </row>
        <row r="6">
          <cell r="F6">
            <v>0</v>
          </cell>
        </row>
        <row r="7">
          <cell r="F7">
            <v>2380</v>
          </cell>
        </row>
        <row r="8">
          <cell r="F8">
            <v>392</v>
          </cell>
        </row>
        <row r="9">
          <cell r="F9">
            <v>900</v>
          </cell>
        </row>
        <row r="10">
          <cell r="F10">
            <v>0</v>
          </cell>
        </row>
        <row r="11">
          <cell r="F11">
            <v>280</v>
          </cell>
        </row>
        <row r="12">
          <cell r="F12">
            <v>110</v>
          </cell>
        </row>
        <row r="13">
          <cell r="F13">
            <v>0</v>
          </cell>
        </row>
        <row r="14">
          <cell r="F14">
            <v>0</v>
          </cell>
        </row>
        <row r="15">
          <cell r="F15">
            <v>0</v>
          </cell>
        </row>
        <row r="16">
          <cell r="F16">
            <v>0</v>
          </cell>
        </row>
        <row r="17">
          <cell r="F17">
            <v>-87643.77</v>
          </cell>
        </row>
        <row r="18">
          <cell r="F18">
            <v>-110.633</v>
          </cell>
        </row>
        <row r="19">
          <cell r="F19">
            <v>-1453.239</v>
          </cell>
        </row>
        <row r="20">
          <cell r="F20">
            <v>-10697.689</v>
          </cell>
        </row>
        <row r="21">
          <cell r="F21">
            <v>-1298.739</v>
          </cell>
        </row>
        <row r="22">
          <cell r="F22">
            <v>-9665.4930000000004</v>
          </cell>
        </row>
        <row r="23">
          <cell r="F23">
            <v>-2046.51</v>
          </cell>
        </row>
        <row r="24">
          <cell r="F24">
            <v>0</v>
          </cell>
        </row>
        <row r="25">
          <cell r="F25">
            <v>0</v>
          </cell>
        </row>
        <row r="26">
          <cell r="F26">
            <v>-516.07299999999998</v>
          </cell>
        </row>
        <row r="27">
          <cell r="F27">
            <v>-8443.2559999999994</v>
          </cell>
        </row>
        <row r="28">
          <cell r="F28">
            <v>-11936.153</v>
          </cell>
        </row>
        <row r="29">
          <cell r="F29">
            <v>-3881.0360000000001</v>
          </cell>
        </row>
        <row r="30">
          <cell r="F30">
            <v>-2909.8969999999999</v>
          </cell>
        </row>
        <row r="31">
          <cell r="F31">
            <v>-1940.8420000000001</v>
          </cell>
        </row>
        <row r="32">
          <cell r="F32">
            <v>-1920</v>
          </cell>
        </row>
        <row r="33">
          <cell r="F33">
            <v>0</v>
          </cell>
        </row>
        <row r="34">
          <cell r="F34">
            <v>-227.589</v>
          </cell>
        </row>
        <row r="35">
          <cell r="F35">
            <v>0</v>
          </cell>
        </row>
        <row r="36">
          <cell r="F36">
            <v>0</v>
          </cell>
        </row>
        <row r="37">
          <cell r="F37">
            <v>0</v>
          </cell>
        </row>
        <row r="38">
          <cell r="F38">
            <v>-375.608</v>
          </cell>
        </row>
        <row r="39">
          <cell r="F39">
            <v>-60</v>
          </cell>
        </row>
        <row r="40">
          <cell r="F40">
            <v>-251.999</v>
          </cell>
        </row>
        <row r="41">
          <cell r="F41">
            <v>0</v>
          </cell>
        </row>
        <row r="42">
          <cell r="F42">
            <v>-0.81799999999999995</v>
          </cell>
        </row>
        <row r="43">
          <cell r="F43">
            <v>0</v>
          </cell>
        </row>
        <row r="44">
          <cell r="F44">
            <v>1403.636</v>
          </cell>
        </row>
        <row r="45">
          <cell r="F45">
            <v>-98</v>
          </cell>
        </row>
        <row r="46">
          <cell r="F46">
            <v>0</v>
          </cell>
        </row>
        <row r="47">
          <cell r="F47">
            <v>-114.788</v>
          </cell>
        </row>
        <row r="48">
          <cell r="F48">
            <v>-284.608</v>
          </cell>
        </row>
        <row r="49">
          <cell r="F49">
            <v>-385.63600000000002</v>
          </cell>
        </row>
        <row r="50">
          <cell r="F50">
            <v>-2257.52</v>
          </cell>
        </row>
        <row r="51">
          <cell r="F51">
            <v>-2054.08</v>
          </cell>
        </row>
        <row r="52">
          <cell r="F52">
            <v>-2253.2919999999999</v>
          </cell>
        </row>
        <row r="53">
          <cell r="F53">
            <v>-15.46</v>
          </cell>
        </row>
        <row r="54">
          <cell r="F54">
            <v>-216</v>
          </cell>
        </row>
        <row r="55">
          <cell r="F55">
            <v>-121.496</v>
          </cell>
        </row>
        <row r="56">
          <cell r="F56">
            <v>-320.21600000000001</v>
          </cell>
        </row>
        <row r="57">
          <cell r="F57">
            <v>-664.81200000000001</v>
          </cell>
        </row>
        <row r="58">
          <cell r="F58">
            <v>-1567.3</v>
          </cell>
        </row>
        <row r="59">
          <cell r="F59">
            <v>-3769.6320000000001</v>
          </cell>
        </row>
        <row r="60">
          <cell r="F60">
            <v>-7077.18</v>
          </cell>
        </row>
        <row r="61">
          <cell r="F61">
            <v>-145.52000000000001</v>
          </cell>
        </row>
        <row r="62">
          <cell r="F62">
            <v>-628.64</v>
          </cell>
        </row>
        <row r="63">
          <cell r="F63">
            <v>-12347.531999999999</v>
          </cell>
        </row>
        <row r="64">
          <cell r="F64">
            <v>-278.75599999999997</v>
          </cell>
        </row>
        <row r="65">
          <cell r="F65">
            <v>-487.04399999999998</v>
          </cell>
        </row>
        <row r="66">
          <cell r="F66">
            <v>-509.99200000000002</v>
          </cell>
        </row>
        <row r="67">
          <cell r="F67">
            <v>-1624.5360000000001</v>
          </cell>
        </row>
        <row r="68">
          <cell r="F68">
            <v>-550.55200000000002</v>
          </cell>
        </row>
        <row r="69">
          <cell r="F69">
            <v>-2261.2800000000002</v>
          </cell>
        </row>
        <row r="70">
          <cell r="F70">
            <v>-2951.5239999999999</v>
          </cell>
        </row>
        <row r="71">
          <cell r="F71">
            <v>-512</v>
          </cell>
        </row>
        <row r="72">
          <cell r="F72">
            <v>0</v>
          </cell>
        </row>
        <row r="73">
          <cell r="F73">
            <v>39000</v>
          </cell>
        </row>
        <row r="74">
          <cell r="F74">
            <v>0</v>
          </cell>
        </row>
        <row r="75">
          <cell r="F75">
            <v>-210.48400000000001</v>
          </cell>
        </row>
        <row r="76">
          <cell r="F76">
            <v>-403.77600000000001</v>
          </cell>
        </row>
        <row r="77">
          <cell r="F77">
            <v>-443.12799999999999</v>
          </cell>
        </row>
        <row r="78">
          <cell r="F78">
            <v>-367.08800000000002</v>
          </cell>
        </row>
      </sheetData>
      <sheetData sheetId="25"/>
      <sheetData sheetId="2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CONSOLIDADO (2)"/>
      <sheetName val="COMP"/>
      <sheetName val="BALAN"/>
      <sheetName val="INVERS"/>
      <sheetName val="CONSOLIDADO"/>
      <sheetName val="Hoja1"/>
      <sheetName val="Hoja2"/>
      <sheetName val="MEDICINA"/>
      <sheetName val="ODONTOLOGIA"/>
      <sheetName val="ENFERMERIA"/>
      <sheetName val="OPTOMETRIA"/>
      <sheetName val="INSTRUM.QUIR."/>
      <sheetName val="BIOLOGIA"/>
      <sheetName val="ADMON EMP."/>
      <sheetName val="DISEÑO"/>
      <sheetName val="PSICOLOGIA"/>
      <sheetName val="ING.AMBIENT"/>
      <sheetName val="ING ELECT"/>
      <sheetName val="ING INDUST"/>
      <sheetName val="ING SISTEM"/>
      <sheetName val="FOR.MUSIC"/>
      <sheetName val="ARTES PLAST"/>
      <sheetName val="ARTES ESCEN"/>
      <sheetName val="FAC.EDUCAC"/>
      <sheetName val="BIOETICA"/>
      <sheetName val="HUMANIDADES"/>
      <sheetName val="COLEGIO"/>
      <sheetName val="CURSO BAS"/>
      <sheetName val="SIMULACION"/>
      <sheetName val="DIV INVEST"/>
      <sheetName val="ADMON GENERAL"/>
      <sheetName val="CONSOL.EDU.CONT"/>
      <sheetName val="CONSOL.POSTG"/>
    </sheetNames>
    <sheetDataSet>
      <sheetData sheetId="0"/>
      <sheetData sheetId="1">
        <row r="406">
          <cell r="E406" t="str">
            <v>MAYO</v>
          </cell>
        </row>
        <row r="408">
          <cell r="E408" t="str">
            <v>JUNIO</v>
          </cell>
        </row>
        <row r="409">
          <cell r="E409" t="str">
            <v>JULIO</v>
          </cell>
        </row>
        <row r="410">
          <cell r="E410" t="str">
            <v>AGOSTO</v>
          </cell>
        </row>
        <row r="413">
          <cell r="E413" t="str">
            <v>P1</v>
          </cell>
        </row>
        <row r="415">
          <cell r="E415" t="str">
            <v>P2</v>
          </cell>
        </row>
        <row r="416">
          <cell r="E416" t="str">
            <v>P3</v>
          </cell>
        </row>
        <row r="417">
          <cell r="E417" t="str">
            <v>P4</v>
          </cell>
        </row>
        <row r="420">
          <cell r="E420">
            <v>0.05</v>
          </cell>
        </row>
        <row r="422">
          <cell r="E422">
            <v>0.1</v>
          </cell>
        </row>
        <row r="423">
          <cell r="E423">
            <v>0.15</v>
          </cell>
        </row>
        <row r="424">
          <cell r="E424">
            <v>0.2</v>
          </cell>
        </row>
      </sheetData>
      <sheetData sheetId="2"/>
      <sheetData sheetId="3"/>
      <sheetData sheetId="4"/>
      <sheetData sheetId="5"/>
      <sheetData sheetId="6"/>
      <sheetData sheetId="7"/>
      <sheetData sheetId="8">
        <row r="6">
          <cell r="C6" t="str">
            <v>INGRESOS</v>
          </cell>
        </row>
      </sheetData>
      <sheetData sheetId="9">
        <row r="6">
          <cell r="D6" t="str">
            <v>INGRESOS</v>
          </cell>
        </row>
      </sheetData>
      <sheetData sheetId="10">
        <row r="6">
          <cell r="C6" t="str">
            <v>INGRESOS</v>
          </cell>
        </row>
      </sheetData>
      <sheetData sheetId="11">
        <row r="1">
          <cell r="F1" t="str">
            <v>PRESUPUESTO 2010</v>
          </cell>
        </row>
      </sheetData>
      <sheetData sheetId="12">
        <row r="1">
          <cell r="B1" t="str">
            <v>PRESUPUESTO 2010</v>
          </cell>
        </row>
      </sheetData>
      <sheetData sheetId="13">
        <row r="7">
          <cell r="B7" t="str">
            <v>INGRESOS OPERACIONALES</v>
          </cell>
        </row>
      </sheetData>
      <sheetData sheetId="14">
        <row r="6">
          <cell r="B6" t="str">
            <v>INGRESOS</v>
          </cell>
        </row>
      </sheetData>
      <sheetData sheetId="15">
        <row r="6">
          <cell r="B6" t="str">
            <v>INGRESOS</v>
          </cell>
        </row>
      </sheetData>
      <sheetData sheetId="16">
        <row r="6">
          <cell r="B6" t="str">
            <v>INGRESOS</v>
          </cell>
        </row>
      </sheetData>
      <sheetData sheetId="17">
        <row r="6">
          <cell r="B6" t="str">
            <v>INGRESOS</v>
          </cell>
        </row>
      </sheetData>
      <sheetData sheetId="18">
        <row r="6">
          <cell r="B6" t="str">
            <v>INGRESOS</v>
          </cell>
        </row>
      </sheetData>
      <sheetData sheetId="19">
        <row r="6">
          <cell r="B6" t="str">
            <v>INGRESOS</v>
          </cell>
        </row>
      </sheetData>
      <sheetData sheetId="20"/>
      <sheetData sheetId="21"/>
      <sheetData sheetId="22"/>
      <sheetData sheetId="23"/>
      <sheetData sheetId="24"/>
      <sheetData sheetId="25">
        <row r="6">
          <cell r="B6" t="str">
            <v>INGRESOS</v>
          </cell>
        </row>
      </sheetData>
      <sheetData sheetId="26">
        <row r="14">
          <cell r="A14">
            <v>4160050800</v>
          </cell>
        </row>
      </sheetData>
      <sheetData sheetId="27"/>
      <sheetData sheetId="28"/>
      <sheetData sheetId="29"/>
      <sheetData sheetId="30"/>
      <sheetData sheetId="31"/>
      <sheetData sheetId="32"/>
      <sheetData sheetId="3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je 2012-2015 Proy 2016-021 $MM"/>
      <sheetName val="Ind. Crecimiento"/>
      <sheetName val="AMORTIZACION FINDETER"/>
      <sheetName val="AMORTIZACION FINDETER (2)"/>
      <sheetName val="AMORTIZACION FINDETER (3)"/>
    </sheetNames>
    <sheetDataSet>
      <sheetData sheetId="0"/>
      <sheetData sheetId="1">
        <row r="4">
          <cell r="C4">
            <v>7.0000000000000007E-2</v>
          </cell>
          <cell r="D4">
            <v>7.0000000000000007E-2</v>
          </cell>
          <cell r="E4">
            <v>7.0000000000000007E-2</v>
          </cell>
          <cell r="F4">
            <v>7.0000000000000007E-2</v>
          </cell>
          <cell r="G4">
            <v>7.0000000000000007E-2</v>
          </cell>
        </row>
        <row r="5">
          <cell r="C5">
            <v>7.0000000000000007E-2</v>
          </cell>
          <cell r="D5">
            <v>0.05</v>
          </cell>
          <cell r="E5">
            <v>0.04</v>
          </cell>
          <cell r="F5">
            <v>0.04</v>
          </cell>
          <cell r="G5">
            <v>0.04</v>
          </cell>
        </row>
        <row r="7">
          <cell r="C7">
            <v>0.11</v>
          </cell>
          <cell r="D7">
            <v>8.5999999999999993E-2</v>
          </cell>
          <cell r="E7">
            <v>0.08</v>
          </cell>
          <cell r="F7">
            <v>7.4999999999999997E-2</v>
          </cell>
          <cell r="G7">
            <v>7.4999999999999997E-2</v>
          </cell>
        </row>
        <row r="8">
          <cell r="C8">
            <v>0.1</v>
          </cell>
          <cell r="D8">
            <v>8.1000000000000003E-2</v>
          </cell>
          <cell r="E8">
            <v>7.0000000000000007E-2</v>
          </cell>
          <cell r="F8">
            <v>7.0000000000000007E-2</v>
          </cell>
          <cell r="G8">
            <v>7.0000000000000007E-2</v>
          </cell>
        </row>
        <row r="9">
          <cell r="C9">
            <v>0.08</v>
          </cell>
          <cell r="D9">
            <v>0.08</v>
          </cell>
          <cell r="E9">
            <v>7.0000000000000007E-2</v>
          </cell>
          <cell r="F9">
            <v>7.0000000000000007E-2</v>
          </cell>
          <cell r="G9">
            <v>7.0000000000000007E-2</v>
          </cell>
        </row>
        <row r="10">
          <cell r="C10">
            <v>7.0000000000000007E-2</v>
          </cell>
          <cell r="D10">
            <v>7.0000000000000007E-2</v>
          </cell>
          <cell r="E10">
            <v>7.0000000000000007E-2</v>
          </cell>
          <cell r="F10">
            <v>7.0000000000000007E-2</v>
          </cell>
          <cell r="G10">
            <v>7.0000000000000007E-2</v>
          </cell>
        </row>
        <row r="11">
          <cell r="C11">
            <v>0.04</v>
          </cell>
          <cell r="D11">
            <v>0.04</v>
          </cell>
          <cell r="E11">
            <v>0.04</v>
          </cell>
          <cell r="F11">
            <v>0.04</v>
          </cell>
          <cell r="G11">
            <v>0.04</v>
          </cell>
        </row>
        <row r="12">
          <cell r="C12">
            <v>0.04</v>
          </cell>
          <cell r="D12">
            <v>0.04</v>
          </cell>
          <cell r="E12">
            <v>0.04</v>
          </cell>
          <cell r="F12">
            <v>0.04</v>
          </cell>
          <cell r="G12">
            <v>0.04</v>
          </cell>
        </row>
        <row r="14">
          <cell r="C14">
            <v>-1</v>
          </cell>
          <cell r="D14">
            <v>-1</v>
          </cell>
          <cell r="E14">
            <v>-1</v>
          </cell>
          <cell r="F14">
            <v>-1</v>
          </cell>
          <cell r="G14">
            <v>-1</v>
          </cell>
        </row>
      </sheetData>
      <sheetData sheetId="2">
        <row r="18">
          <cell r="F18">
            <v>390.63942933923454</v>
          </cell>
        </row>
        <row r="19">
          <cell r="E19">
            <v>339.09202828452419</v>
          </cell>
          <cell r="F19">
            <v>390.63942933923454</v>
          </cell>
        </row>
        <row r="20">
          <cell r="E20">
            <v>352.33829992677914</v>
          </cell>
          <cell r="F20">
            <v>377.39315769697959</v>
          </cell>
        </row>
        <row r="21">
          <cell r="E21">
            <v>366.10202316855447</v>
          </cell>
          <cell r="F21">
            <v>363.62943445520426</v>
          </cell>
        </row>
        <row r="22">
          <cell r="E22">
            <v>380.40341170960482</v>
          </cell>
          <cell r="F22">
            <v>349.3280459141539</v>
          </cell>
        </row>
        <row r="23">
          <cell r="E23">
            <v>395.26346887649862</v>
          </cell>
          <cell r="F23">
            <v>334.46798874726011</v>
          </cell>
        </row>
        <row r="24">
          <cell r="E24">
            <v>410.70401846855481</v>
          </cell>
          <cell r="F24">
            <v>319.02743915520392</v>
          </cell>
        </row>
        <row r="25">
          <cell r="E25">
            <v>426.74773680874347</v>
          </cell>
          <cell r="F25">
            <v>302.98372081501526</v>
          </cell>
        </row>
        <row r="26">
          <cell r="E26">
            <v>443.4181860466212</v>
          </cell>
          <cell r="F26">
            <v>286.31327157713753</v>
          </cell>
        </row>
        <row r="27">
          <cell r="E27">
            <v>460.73984876221027</v>
          </cell>
          <cell r="F27">
            <v>268.99160886154846</v>
          </cell>
        </row>
      </sheetData>
      <sheetData sheetId="3">
        <row r="16">
          <cell r="F16">
            <v>386.63329510508771</v>
          </cell>
        </row>
        <row r="17">
          <cell r="F17">
            <v>386.63329510508771</v>
          </cell>
        </row>
        <row r="18">
          <cell r="F18">
            <v>386.63329510508771</v>
          </cell>
        </row>
        <row r="19">
          <cell r="E19">
            <v>340.50138091437424</v>
          </cell>
          <cell r="F19">
            <v>386.63329510508771</v>
          </cell>
        </row>
        <row r="20">
          <cell r="E20">
            <v>353.66629800344998</v>
          </cell>
          <cell r="F20">
            <v>373.46837801601197</v>
          </cell>
        </row>
        <row r="21">
          <cell r="E21">
            <v>367.34021461991921</v>
          </cell>
          <cell r="F21">
            <v>359.79446139954274</v>
          </cell>
        </row>
        <row r="22">
          <cell r="E22">
            <v>381.54281038023009</v>
          </cell>
          <cell r="F22">
            <v>345.59186563923186</v>
          </cell>
        </row>
        <row r="23">
          <cell r="E23">
            <v>396.29452578032652</v>
          </cell>
          <cell r="F23">
            <v>330.84015023913543</v>
          </cell>
        </row>
        <row r="24">
          <cell r="E24">
            <v>411.61659161378208</v>
          </cell>
          <cell r="F24">
            <v>315.51808440567987</v>
          </cell>
        </row>
        <row r="25">
          <cell r="E25">
            <v>427.5310595273383</v>
          </cell>
          <cell r="F25">
            <v>299.60361649212365</v>
          </cell>
        </row>
      </sheetData>
      <sheetData sheetId="4">
        <row r="16">
          <cell r="F16">
            <v>386.63329510508771</v>
          </cell>
        </row>
        <row r="17">
          <cell r="F17">
            <v>386.63329510508771</v>
          </cell>
        </row>
        <row r="18">
          <cell r="F18">
            <v>386.63329510508771</v>
          </cell>
        </row>
        <row r="19">
          <cell r="E19">
            <v>838.08590769887246</v>
          </cell>
          <cell r="F19">
            <v>386.63329510508771</v>
          </cell>
        </row>
        <row r="20">
          <cell r="E20">
            <v>870.48909930634773</v>
          </cell>
          <cell r="F20">
            <v>354.23010349761233</v>
          </cell>
        </row>
        <row r="21">
          <cell r="E21">
            <v>904.14510618813506</v>
          </cell>
          <cell r="F21">
            <v>320.57409661582506</v>
          </cell>
        </row>
        <row r="22">
          <cell r="E22">
            <v>939.10236635400088</v>
          </cell>
          <cell r="F22">
            <v>285.61683644995924</v>
          </cell>
        </row>
        <row r="23">
          <cell r="E23">
            <v>975.41119058844413</v>
          </cell>
          <cell r="F23">
            <v>249.30801221551599</v>
          </cell>
        </row>
        <row r="24">
          <cell r="E24">
            <v>1013.1238348584028</v>
          </cell>
          <cell r="F24">
            <v>211.59536794555731</v>
          </cell>
        </row>
        <row r="25">
          <cell r="E25">
            <v>1052.2945755204835</v>
          </cell>
          <cell r="F25">
            <v>172.42462728347661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MILES"/>
      <sheetName val="Resumen MILLONES"/>
      <sheetName val="Ingresos"/>
      <sheetName val="Grafico Ingresos"/>
      <sheetName val="Egresos"/>
      <sheetName val="Grafico Egresos"/>
      <sheetName val="Excedentes"/>
      <sheetName val="grafica excedentes"/>
      <sheetName val="PTO 2015-BIENESTAR "/>
      <sheetName val="EJEC 2014- PRES 2015"/>
      <sheetName val="PTO 2016-BIENESTAR"/>
      <sheetName val="PTO 2015-EJEC2015-PTO2016"/>
      <sheetName val="CONSOLIDADO"/>
      <sheetName val="ADMON GENERAL"/>
      <sheetName val="MEDICINA Pregrado"/>
      <sheetName val="Medicina Posgrado"/>
      <sheetName val="ODONTOLOGIA"/>
      <sheetName val="ENFERMERIA"/>
      <sheetName val="OPTOMETRIA"/>
      <sheetName val="INSTRUMENTACION Q"/>
      <sheetName val="FAC CIENCIAS ECONO"/>
      <sheetName val="DISEÑO"/>
      <sheetName val="PSICOLOGIA"/>
      <sheetName val="FAC INGENIERIAS"/>
      <sheetName val="CIENCIAS"/>
      <sheetName val="EDUCACION"/>
      <sheetName val="FAC ARTES"/>
      <sheetName val="FAC CIENCIAS JURI"/>
      <sheetName val="BIOETICA"/>
      <sheetName val="HUMANIDADES"/>
      <sheetName val="INVESTIGACIONES"/>
      <sheetName val="EDUCACION VIRTUAL"/>
      <sheetName val="SIMULACION"/>
      <sheetName val="CURSOS BASICOS"/>
      <sheetName val="COLEGIO"/>
      <sheetName val="PREGRADO"/>
      <sheetName val="POSTGRADO"/>
      <sheetName val="EDUC.CONT"/>
      <sheetName val="OTROS"/>
      <sheetName val="PREGRADO CONSOLIDADO"/>
      <sheetName val="POSTGRADO CONSOLIDADO"/>
      <sheetName val="INVERSIONES 2014"/>
      <sheetName val="EDUCACIÓN CONTINUAD CONSOLIDADO"/>
      <sheetName val="OTROS CONSOLIDADO"/>
      <sheetName val="inversiones 2015"/>
      <sheetName val="ADMON GENERAL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
          <cell r="E1">
            <v>0</v>
          </cell>
          <cell r="F1">
            <v>0</v>
          </cell>
          <cell r="G1">
            <v>0</v>
          </cell>
          <cell r="H1">
            <v>0</v>
          </cell>
          <cell r="I1">
            <v>0</v>
          </cell>
          <cell r="J1">
            <v>0</v>
          </cell>
          <cell r="K1">
            <v>0</v>
          </cell>
          <cell r="L1">
            <v>0</v>
          </cell>
          <cell r="M1">
            <v>0</v>
          </cell>
          <cell r="N1">
            <v>0</v>
          </cell>
          <cell r="O1">
            <v>0</v>
          </cell>
          <cell r="P1">
            <v>0</v>
          </cell>
          <cell r="Q1">
            <v>0</v>
          </cell>
          <cell r="R1">
            <v>0</v>
          </cell>
          <cell r="S1">
            <v>0</v>
          </cell>
          <cell r="T1">
            <v>0</v>
          </cell>
          <cell r="U1">
            <v>0</v>
          </cell>
          <cell r="V1">
            <v>0</v>
          </cell>
          <cell r="W1">
            <v>0</v>
          </cell>
          <cell r="X1">
            <v>0</v>
          </cell>
          <cell r="Y1">
            <v>0</v>
          </cell>
          <cell r="Z1">
            <v>0</v>
          </cell>
          <cell r="AA1">
            <v>0</v>
          </cell>
        </row>
        <row r="2">
          <cell r="D2" t="str">
            <v>PRESUPUESTO 2016</v>
          </cell>
          <cell r="E2" t="str">
            <v>TOTAL</v>
          </cell>
          <cell r="F2" t="str">
            <v>MEDICINA</v>
          </cell>
          <cell r="G2" t="str">
            <v>ODONTOLOGIA</v>
          </cell>
          <cell r="H2" t="str">
            <v>ENFERMERIA</v>
          </cell>
          <cell r="I2" t="str">
            <v>OPTOMETRIA</v>
          </cell>
          <cell r="J2" t="str">
            <v>INTRUMENT. QUIRURGICA</v>
          </cell>
          <cell r="K2" t="str">
            <v>FAC CIENCIAS ECONOM.</v>
          </cell>
          <cell r="L2" t="str">
            <v>DISEÑO INDUSTRIAL</v>
          </cell>
          <cell r="M2" t="str">
            <v>PSICOLOGIA</v>
          </cell>
          <cell r="N2" t="str">
            <v>FACULTAD DE INGENIERIAS</v>
          </cell>
          <cell r="O2" t="str">
            <v>ING. AMBIENTAL</v>
          </cell>
          <cell r="P2" t="str">
            <v>ING.Bioingenieria</v>
          </cell>
          <cell r="Q2" t="str">
            <v>ING.INDUSTRIAL</v>
          </cell>
          <cell r="R2" t="str">
            <v>ING. SISTEMAS</v>
          </cell>
          <cell r="S2" t="str">
            <v>FACULTAD DE CIENCIAS</v>
          </cell>
          <cell r="T2" t="str">
            <v>FACULTAD DE EDUCACION</v>
          </cell>
          <cell r="U2" t="str">
            <v>FACULTAD DE ARTES</v>
          </cell>
          <cell r="V2" t="str">
            <v>FACULTAD DE Ciencias Juridicas</v>
          </cell>
          <cell r="W2" t="str">
            <v>BIOETICA</v>
          </cell>
          <cell r="X2" t="str">
            <v>HUMANIDADES</v>
          </cell>
          <cell r="Y2" t="str">
            <v>VICERRECTORIA INVESTIGACIONES</v>
          </cell>
          <cell r="Z2" t="str">
            <v>SIMULACION CLINICA</v>
          </cell>
          <cell r="AA2" t="str">
            <v>ADMON GENERAL</v>
          </cell>
        </row>
        <row r="3">
          <cell r="D3" t="str">
            <v>CIFRADAS EXPRESADAS EN MILES DE PESOS</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row>
        <row r="4">
          <cell r="D4" t="str">
            <v>INGRESOS</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row>
        <row r="5">
          <cell r="D5" t="str">
            <v>INGRESOS OPERACIONALES</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row>
        <row r="6">
          <cell r="D6" t="str">
            <v>Matriculas</v>
          </cell>
          <cell r="E6">
            <v>3033717.4350000001</v>
          </cell>
          <cell r="F6">
            <v>983548.56</v>
          </cell>
          <cell r="G6">
            <v>141976.4</v>
          </cell>
          <cell r="H6">
            <v>32255.800000000003</v>
          </cell>
          <cell r="I6">
            <v>77274</v>
          </cell>
          <cell r="J6">
            <v>18216.100000000002</v>
          </cell>
          <cell r="K6">
            <v>511935.48000000004</v>
          </cell>
          <cell r="L6">
            <v>98000</v>
          </cell>
          <cell r="M6">
            <v>103577.90000000001</v>
          </cell>
          <cell r="N6">
            <v>469856.5</v>
          </cell>
          <cell r="O6">
            <v>97732</v>
          </cell>
          <cell r="P6">
            <v>40000</v>
          </cell>
          <cell r="Q6">
            <v>235823.5</v>
          </cell>
          <cell r="R6">
            <v>96301</v>
          </cell>
          <cell r="S6">
            <v>0</v>
          </cell>
          <cell r="T6">
            <v>0</v>
          </cell>
          <cell r="U6">
            <v>137376</v>
          </cell>
          <cell r="V6">
            <v>40000</v>
          </cell>
          <cell r="W6">
            <v>0</v>
          </cell>
          <cell r="X6">
            <v>6360</v>
          </cell>
          <cell r="Y6">
            <v>128896</v>
          </cell>
          <cell r="Z6">
            <v>283644.69500000001</v>
          </cell>
          <cell r="AA6">
            <v>800</v>
          </cell>
        </row>
        <row r="7">
          <cell r="D7" t="str">
            <v>Inscripciones</v>
          </cell>
          <cell r="E7">
            <v>1199525.1101200001</v>
          </cell>
          <cell r="F7">
            <v>382467</v>
          </cell>
          <cell r="G7">
            <v>4622</v>
          </cell>
          <cell r="H7">
            <v>161214.66012000002</v>
          </cell>
          <cell r="I7">
            <v>24507</v>
          </cell>
          <cell r="J7">
            <v>594</v>
          </cell>
          <cell r="K7">
            <v>284610</v>
          </cell>
          <cell r="L7">
            <v>0</v>
          </cell>
          <cell r="M7">
            <v>106</v>
          </cell>
          <cell r="N7">
            <v>218612</v>
          </cell>
          <cell r="O7">
            <v>0</v>
          </cell>
          <cell r="P7">
            <v>0</v>
          </cell>
          <cell r="Q7">
            <v>218612</v>
          </cell>
          <cell r="R7">
            <v>0</v>
          </cell>
          <cell r="S7">
            <v>0</v>
          </cell>
          <cell r="T7">
            <v>0</v>
          </cell>
          <cell r="U7">
            <v>0</v>
          </cell>
          <cell r="V7">
            <v>0</v>
          </cell>
          <cell r="W7">
            <v>0</v>
          </cell>
          <cell r="X7">
            <v>0</v>
          </cell>
          <cell r="Y7">
            <v>36305</v>
          </cell>
          <cell r="Z7">
            <v>86487.45</v>
          </cell>
          <cell r="AA7">
            <v>0</v>
          </cell>
        </row>
        <row r="8">
          <cell r="D8" t="str">
            <v>Matric.Extraordin.</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row>
        <row r="9">
          <cell r="D9" t="str">
            <v>Devol.Matricula</v>
          </cell>
          <cell r="E9">
            <v>1002</v>
          </cell>
          <cell r="F9">
            <v>1002</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row>
        <row r="10">
          <cell r="D10" t="str">
            <v>Certific.Constancias</v>
          </cell>
          <cell r="E10">
            <v>287</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287</v>
          </cell>
        </row>
        <row r="11">
          <cell r="D11" t="str">
            <v>Derechos de Grado</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row>
        <row r="12">
          <cell r="D12" t="str">
            <v>Supletorios</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row>
        <row r="13">
          <cell r="D13" t="str">
            <v>Habilitaciones</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row>
        <row r="14">
          <cell r="D14" t="str">
            <v>Validaciones</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row>
        <row r="15">
          <cell r="D15" t="str">
            <v>Curso Vacacional</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row>
        <row r="16">
          <cell r="D16" t="str">
            <v>Desc.Matricu.Pensi.</v>
          </cell>
          <cell r="E16">
            <v>-120490.43</v>
          </cell>
          <cell r="F16">
            <v>-41404</v>
          </cell>
          <cell r="G16">
            <v>-519</v>
          </cell>
          <cell r="H16">
            <v>-612.15</v>
          </cell>
          <cell r="I16">
            <v>-9988</v>
          </cell>
          <cell r="J16">
            <v>-143</v>
          </cell>
          <cell r="K16">
            <v>-27875</v>
          </cell>
          <cell r="L16">
            <v>0</v>
          </cell>
          <cell r="M16">
            <v>-7833</v>
          </cell>
          <cell r="N16">
            <v>-17636.349999999999</v>
          </cell>
          <cell r="O16">
            <v>0</v>
          </cell>
          <cell r="P16">
            <v>0</v>
          </cell>
          <cell r="Q16">
            <v>-9212</v>
          </cell>
          <cell r="R16">
            <v>-8424.35</v>
          </cell>
          <cell r="S16">
            <v>0</v>
          </cell>
          <cell r="T16">
            <v>0</v>
          </cell>
          <cell r="U16">
            <v>-7229</v>
          </cell>
          <cell r="V16">
            <v>0</v>
          </cell>
          <cell r="W16">
            <v>0</v>
          </cell>
          <cell r="X16">
            <v>0</v>
          </cell>
          <cell r="Y16">
            <v>-7250.93</v>
          </cell>
          <cell r="Z16">
            <v>0</v>
          </cell>
          <cell r="AA16">
            <v>0</v>
          </cell>
        </row>
        <row r="17">
          <cell r="D17" t="str">
            <v>Venta Libros</v>
          </cell>
          <cell r="E17">
            <v>-3149.08</v>
          </cell>
          <cell r="F17">
            <v>0</v>
          </cell>
          <cell r="G17">
            <v>0</v>
          </cell>
          <cell r="H17">
            <v>0</v>
          </cell>
          <cell r="I17">
            <v>0</v>
          </cell>
          <cell r="J17">
            <v>0</v>
          </cell>
          <cell r="K17">
            <v>0</v>
          </cell>
          <cell r="L17">
            <v>0</v>
          </cell>
          <cell r="M17">
            <v>0</v>
          </cell>
          <cell r="N17">
            <v>-9741.4</v>
          </cell>
          <cell r="O17">
            <v>-9741.4</v>
          </cell>
          <cell r="P17">
            <v>0</v>
          </cell>
          <cell r="Q17">
            <v>0</v>
          </cell>
          <cell r="R17">
            <v>0</v>
          </cell>
          <cell r="S17">
            <v>0</v>
          </cell>
          <cell r="T17">
            <v>0</v>
          </cell>
          <cell r="U17">
            <v>0</v>
          </cell>
          <cell r="V17">
            <v>0</v>
          </cell>
          <cell r="W17">
            <v>0</v>
          </cell>
          <cell r="X17">
            <v>0</v>
          </cell>
          <cell r="Y17">
            <v>0</v>
          </cell>
          <cell r="Z17">
            <v>6592.32</v>
          </cell>
          <cell r="AA17">
            <v>0</v>
          </cell>
        </row>
        <row r="18">
          <cell r="D18" t="str">
            <v>Ingresos Biblioteca</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row>
        <row r="19">
          <cell r="D19" t="str">
            <v>Ingres.Audiovisuales</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row>
        <row r="20">
          <cell r="D20" t="str">
            <v>Ing Servicio Tecnologia</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row>
        <row r="21">
          <cell r="D21" t="str">
            <v>Ingr.Servic.Laborat.</v>
          </cell>
          <cell r="E21">
            <v>52.5</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52.5</v>
          </cell>
          <cell r="AA21">
            <v>0</v>
          </cell>
        </row>
        <row r="22">
          <cell r="D22" t="str">
            <v>Alquiler Lockers</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row>
        <row r="23">
          <cell r="D23" t="str">
            <v>Ingresos Bienestar U</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row>
        <row r="24">
          <cell r="D24" t="str">
            <v xml:space="preserve">Corte Láser y Prototipado 3D </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row>
        <row r="25">
          <cell r="D25" t="str">
            <v>TOTAL INGRESOS OPERACIONALES</v>
          </cell>
          <cell r="E25">
            <v>4110944.5351199997</v>
          </cell>
          <cell r="F25">
            <v>1325613.56</v>
          </cell>
          <cell r="G25">
            <v>146079.4</v>
          </cell>
          <cell r="H25">
            <v>192858.31012000001</v>
          </cell>
          <cell r="I25">
            <v>91793</v>
          </cell>
          <cell r="J25">
            <v>18667.100000000002</v>
          </cell>
          <cell r="K25">
            <v>768670.48</v>
          </cell>
          <cell r="L25">
            <v>98000</v>
          </cell>
          <cell r="M25">
            <v>95850.900000000009</v>
          </cell>
          <cell r="N25">
            <v>661090.75</v>
          </cell>
          <cell r="O25">
            <v>87990.6</v>
          </cell>
          <cell r="P25">
            <v>40000</v>
          </cell>
          <cell r="Q25">
            <v>445223.5</v>
          </cell>
          <cell r="R25">
            <v>87876.65</v>
          </cell>
          <cell r="S25">
            <v>0</v>
          </cell>
          <cell r="T25">
            <v>0</v>
          </cell>
          <cell r="U25">
            <v>130147</v>
          </cell>
          <cell r="V25">
            <v>40000</v>
          </cell>
          <cell r="W25">
            <v>0</v>
          </cell>
          <cell r="X25">
            <v>6360</v>
          </cell>
          <cell r="Y25">
            <v>157950.07</v>
          </cell>
          <cell r="Z25">
            <v>376776.96500000003</v>
          </cell>
          <cell r="AA25">
            <v>1087</v>
          </cell>
        </row>
        <row r="26">
          <cell r="D26" t="str">
            <v>GASTOS</v>
          </cell>
          <cell r="E26">
            <v>0</v>
          </cell>
          <cell r="F26" t="str">
            <v xml:space="preserve"> </v>
          </cell>
          <cell r="G26" t="str">
            <v xml:space="preserve"> </v>
          </cell>
          <cell r="H26" t="str">
            <v xml:space="preserve"> </v>
          </cell>
          <cell r="I26" t="str">
            <v xml:space="preserve"> </v>
          </cell>
          <cell r="J26" t="str">
            <v xml:space="preserve"> </v>
          </cell>
          <cell r="K26" t="str">
            <v xml:space="preserve"> </v>
          </cell>
          <cell r="L26" t="str">
            <v xml:space="preserve"> </v>
          </cell>
          <cell r="M26" t="str">
            <v xml:space="preserve"> </v>
          </cell>
          <cell r="N26" t="str">
            <v xml:space="preserve"> </v>
          </cell>
          <cell r="O26" t="str">
            <v xml:space="preserve"> </v>
          </cell>
          <cell r="P26" t="str">
            <v xml:space="preserve"> </v>
          </cell>
          <cell r="Q26" t="str">
            <v xml:space="preserve"> </v>
          </cell>
          <cell r="R26" t="str">
            <v xml:space="preserve"> </v>
          </cell>
          <cell r="S26" t="str">
            <v xml:space="preserve"> </v>
          </cell>
          <cell r="T26" t="str">
            <v xml:space="preserve"> </v>
          </cell>
          <cell r="U26" t="str">
            <v xml:space="preserve"> </v>
          </cell>
          <cell r="V26">
            <v>0</v>
          </cell>
          <cell r="W26" t="str">
            <v xml:space="preserve"> </v>
          </cell>
          <cell r="X26" t="str">
            <v xml:space="preserve"> </v>
          </cell>
          <cell r="Y26" t="str">
            <v xml:space="preserve"> </v>
          </cell>
          <cell r="Z26" t="str">
            <v xml:space="preserve"> </v>
          </cell>
          <cell r="AA26" t="str">
            <v xml:space="preserve"> </v>
          </cell>
        </row>
        <row r="27">
          <cell r="D27" t="str">
            <v>OPERACIONALES DIRECTOS</v>
          </cell>
          <cell r="E27">
            <v>0</v>
          </cell>
          <cell r="F27" t="str">
            <v xml:space="preserve"> </v>
          </cell>
          <cell r="G27" t="str">
            <v xml:space="preserve"> </v>
          </cell>
          <cell r="H27" t="str">
            <v xml:space="preserve"> </v>
          </cell>
          <cell r="I27" t="str">
            <v xml:space="preserve"> </v>
          </cell>
          <cell r="J27" t="str">
            <v xml:space="preserve"> </v>
          </cell>
          <cell r="K27" t="str">
            <v xml:space="preserve"> </v>
          </cell>
          <cell r="L27" t="str">
            <v xml:space="preserve"> </v>
          </cell>
          <cell r="M27" t="str">
            <v xml:space="preserve"> </v>
          </cell>
          <cell r="N27" t="str">
            <v xml:space="preserve"> </v>
          </cell>
          <cell r="O27" t="str">
            <v xml:space="preserve"> </v>
          </cell>
          <cell r="P27" t="str">
            <v xml:space="preserve"> </v>
          </cell>
          <cell r="Q27" t="str">
            <v xml:space="preserve"> </v>
          </cell>
          <cell r="R27" t="str">
            <v xml:space="preserve"> </v>
          </cell>
          <cell r="S27" t="str">
            <v xml:space="preserve"> </v>
          </cell>
          <cell r="T27" t="str">
            <v xml:space="preserve"> </v>
          </cell>
          <cell r="U27" t="str">
            <v xml:space="preserve"> </v>
          </cell>
          <cell r="V27">
            <v>0</v>
          </cell>
          <cell r="W27" t="str">
            <v xml:space="preserve"> </v>
          </cell>
          <cell r="X27" t="str">
            <v xml:space="preserve"> </v>
          </cell>
          <cell r="Y27" t="str">
            <v xml:space="preserve"> </v>
          </cell>
          <cell r="Z27" t="str">
            <v xml:space="preserve"> </v>
          </cell>
          <cell r="AA27" t="str">
            <v xml:space="preserve"> </v>
          </cell>
        </row>
        <row r="28">
          <cell r="D28" t="str">
            <v>GASTOS DE PERSONAL</v>
          </cell>
          <cell r="E28">
            <v>0</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cell r="M28" t="str">
            <v xml:space="preserve"> </v>
          </cell>
          <cell r="N28" t="str">
            <v xml:space="preserve"> </v>
          </cell>
          <cell r="O28" t="str">
            <v xml:space="preserve"> </v>
          </cell>
          <cell r="P28" t="str">
            <v xml:space="preserve"> </v>
          </cell>
          <cell r="Q28" t="str">
            <v xml:space="preserve"> </v>
          </cell>
          <cell r="R28" t="str">
            <v xml:space="preserve"> </v>
          </cell>
          <cell r="S28" t="str">
            <v xml:space="preserve"> </v>
          </cell>
          <cell r="T28" t="str">
            <v xml:space="preserve"> </v>
          </cell>
          <cell r="U28" t="str">
            <v xml:space="preserve"> </v>
          </cell>
          <cell r="V28">
            <v>0</v>
          </cell>
          <cell r="W28" t="str">
            <v xml:space="preserve"> </v>
          </cell>
          <cell r="X28" t="str">
            <v xml:space="preserve"> </v>
          </cell>
          <cell r="Y28" t="str">
            <v xml:space="preserve"> </v>
          </cell>
          <cell r="Z28" t="str">
            <v xml:space="preserve"> </v>
          </cell>
          <cell r="AA28" t="str">
            <v xml:space="preserve"> </v>
          </cell>
        </row>
        <row r="29">
          <cell r="D29" t="str">
            <v>Sueldos</v>
          </cell>
          <cell r="E29">
            <v>335399.53333333338</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335399.53333333338</v>
          </cell>
        </row>
        <row r="30">
          <cell r="D30" t="str">
            <v>Horas Extras Recargo</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row>
        <row r="31">
          <cell r="D31" t="str">
            <v>Incapacidades</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row>
        <row r="32">
          <cell r="D32" t="str">
            <v>Auxilio Transporte</v>
          </cell>
          <cell r="E32">
            <v>3346.2800000000007</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3346.2800000000007</v>
          </cell>
        </row>
        <row r="33">
          <cell r="D33" t="str">
            <v>Cesantias</v>
          </cell>
          <cell r="E33">
            <v>29781.593395061733</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29781.593395061733</v>
          </cell>
        </row>
        <row r="34">
          <cell r="D34" t="str">
            <v>Intereses Cesantia</v>
          </cell>
          <cell r="E34">
            <v>3553.3523654320993</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3553.3523654320993</v>
          </cell>
        </row>
        <row r="35">
          <cell r="D35" t="str">
            <v>Prima de Servicios</v>
          </cell>
          <cell r="E35">
            <v>29781.594000000001</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29781.594000000001</v>
          </cell>
        </row>
        <row r="36">
          <cell r="D36" t="str">
            <v>Vacaciones</v>
          </cell>
          <cell r="E36">
            <v>18633.307407407407</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18633.307407407407</v>
          </cell>
        </row>
        <row r="37">
          <cell r="D37" t="str">
            <v>Primas extralegales</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row>
        <row r="38">
          <cell r="D38" t="str">
            <v>Auxilios</v>
          </cell>
          <cell r="E38">
            <v>3677.9698500000004</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3677.9698500000004</v>
          </cell>
        </row>
        <row r="39">
          <cell r="D39" t="str">
            <v>Bonificaciones</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row>
        <row r="40">
          <cell r="D40" t="str">
            <v>Dotación Sumin.Traba</v>
          </cell>
          <cell r="E40">
            <v>1490.51</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1490.51</v>
          </cell>
        </row>
        <row r="41">
          <cell r="D41" t="str">
            <v>Indemnizac.Laborales</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row>
        <row r="42">
          <cell r="D42" t="str">
            <v>Capacitación Persona</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row>
        <row r="43">
          <cell r="D43" t="str">
            <v>Capacitac modalid Condonable</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row>
        <row r="44">
          <cell r="D44" t="str">
            <v>Gastos Deportivos, Recreacion</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row>
        <row r="45">
          <cell r="D45" t="str">
            <v>Apor.Admin.Riesg.Pro</v>
          </cell>
          <cell r="E45">
            <v>1768.2531455999999</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1768.2531455999999</v>
          </cell>
        </row>
        <row r="46">
          <cell r="D46" t="str">
            <v>Ap.Ent.Prom.Sal.EPS</v>
          </cell>
          <cell r="E46">
            <v>28793.394133333331</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28793.394133333331</v>
          </cell>
        </row>
        <row r="47">
          <cell r="D47" t="str">
            <v>Apor.Fondos Pens/CES</v>
          </cell>
          <cell r="E47">
            <v>40649.497600000002</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40649.497600000002</v>
          </cell>
        </row>
        <row r="48">
          <cell r="D48" t="str">
            <v>Caja Compens Fam.</v>
          </cell>
          <cell r="E48">
            <v>14161.172016493334</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14161.172016493334</v>
          </cell>
        </row>
        <row r="49">
          <cell r="D49" t="str">
            <v>Aportes al I.C.B.F.</v>
          </cell>
          <cell r="E49">
            <v>10620.879012370002</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10620.879012370002</v>
          </cell>
        </row>
        <row r="50">
          <cell r="D50" t="str">
            <v>Sena</v>
          </cell>
          <cell r="E50">
            <v>7080.586008246667</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7080.586008246667</v>
          </cell>
        </row>
        <row r="51">
          <cell r="D51" t="str">
            <v>Gast.Medicos, Drogas</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row>
        <row r="52">
          <cell r="D52" t="str">
            <v>Apoyo Aprendis Sena</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row>
        <row r="53">
          <cell r="D53" t="str">
            <v>Apo.Salud Apren.Sena</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row>
        <row r="54">
          <cell r="D54" t="str">
            <v>Ap.Riesgo Apren.Sena</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row>
        <row r="55">
          <cell r="D55" t="str">
            <v>TOTAL GASTOS DE PERSONAL</v>
          </cell>
          <cell r="E55">
            <v>528737.92226727796</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528737.92226727796</v>
          </cell>
        </row>
        <row r="56">
          <cell r="D56" t="str">
            <v xml:space="preserve">HONORARIOS </v>
          </cell>
          <cell r="E56">
            <v>0</v>
          </cell>
          <cell r="F56" t="str">
            <v xml:space="preserve"> </v>
          </cell>
          <cell r="G56" t="str">
            <v xml:space="preserve"> </v>
          </cell>
          <cell r="H56" t="str">
            <v xml:space="preserve"> </v>
          </cell>
          <cell r="I56" t="str">
            <v xml:space="preserve"> </v>
          </cell>
          <cell r="J56" t="str">
            <v xml:space="preserve"> </v>
          </cell>
          <cell r="K56" t="str">
            <v xml:space="preserve"> </v>
          </cell>
          <cell r="L56" t="str">
            <v xml:space="preserve"> </v>
          </cell>
          <cell r="M56" t="str">
            <v xml:space="preserve"> </v>
          </cell>
          <cell r="N56" t="str">
            <v xml:space="preserve"> </v>
          </cell>
          <cell r="O56" t="str">
            <v xml:space="preserve"> </v>
          </cell>
          <cell r="P56" t="str">
            <v xml:space="preserve"> </v>
          </cell>
          <cell r="Q56" t="str">
            <v xml:space="preserve"> </v>
          </cell>
          <cell r="R56" t="str">
            <v xml:space="preserve"> </v>
          </cell>
          <cell r="S56" t="str">
            <v xml:space="preserve"> </v>
          </cell>
          <cell r="T56" t="str">
            <v xml:space="preserve"> </v>
          </cell>
          <cell r="U56" t="str">
            <v xml:space="preserve"> </v>
          </cell>
          <cell r="V56">
            <v>0</v>
          </cell>
          <cell r="W56" t="str">
            <v xml:space="preserve"> </v>
          </cell>
          <cell r="X56" t="str">
            <v xml:space="preserve"> </v>
          </cell>
          <cell r="Y56" t="str">
            <v xml:space="preserve"> </v>
          </cell>
          <cell r="Z56" t="str">
            <v xml:space="preserve"> </v>
          </cell>
          <cell r="AA56" t="str">
            <v xml:space="preserve"> </v>
          </cell>
        </row>
        <row r="57">
          <cell r="D57" t="str">
            <v>Revisoria Fiscal</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row>
        <row r="58">
          <cell r="D58" t="str">
            <v>Avaluos</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row>
        <row r="59">
          <cell r="D59" t="str">
            <v>Asesoria Juridica</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row>
        <row r="60">
          <cell r="D60" t="str">
            <v>Asesoria Tecnica</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row>
        <row r="61">
          <cell r="D61" t="str">
            <v>Honorarios Asesorias Programas Academicos</v>
          </cell>
          <cell r="E61">
            <v>1802</v>
          </cell>
          <cell r="F61">
            <v>0</v>
          </cell>
          <cell r="G61">
            <v>0</v>
          </cell>
          <cell r="H61">
            <v>0</v>
          </cell>
          <cell r="I61">
            <v>0</v>
          </cell>
          <cell r="J61">
            <v>0</v>
          </cell>
          <cell r="K61">
            <v>0</v>
          </cell>
          <cell r="L61">
            <v>0</v>
          </cell>
          <cell r="M61">
            <v>0</v>
          </cell>
          <cell r="N61">
            <v>1802</v>
          </cell>
          <cell r="O61">
            <v>0</v>
          </cell>
          <cell r="P61">
            <v>0</v>
          </cell>
          <cell r="Q61">
            <v>1802</v>
          </cell>
          <cell r="R61">
            <v>0</v>
          </cell>
          <cell r="S61">
            <v>0</v>
          </cell>
          <cell r="T61">
            <v>0</v>
          </cell>
          <cell r="U61">
            <v>0</v>
          </cell>
          <cell r="V61">
            <v>0</v>
          </cell>
          <cell r="W61">
            <v>0</v>
          </cell>
          <cell r="X61">
            <v>0</v>
          </cell>
          <cell r="Y61">
            <v>0</v>
          </cell>
          <cell r="Z61">
            <v>0</v>
          </cell>
          <cell r="AA61">
            <v>0</v>
          </cell>
        </row>
        <row r="62">
          <cell r="D62" t="str">
            <v>Hon.Cursos,Sem.Diplo</v>
          </cell>
          <cell r="E62">
            <v>1225643.05678</v>
          </cell>
          <cell r="F62">
            <v>355777</v>
          </cell>
          <cell r="G62">
            <v>26971.7</v>
          </cell>
          <cell r="H62">
            <v>46332.600000000006</v>
          </cell>
          <cell r="I62">
            <v>26725.875400000001</v>
          </cell>
          <cell r="J62">
            <v>7271.6</v>
          </cell>
          <cell r="K62">
            <v>201774.68032000001</v>
          </cell>
          <cell r="L62">
            <v>47184</v>
          </cell>
          <cell r="M62">
            <v>32985.336519999997</v>
          </cell>
          <cell r="N62">
            <v>232539.69282</v>
          </cell>
          <cell r="O62">
            <v>47184</v>
          </cell>
          <cell r="P62">
            <v>18500</v>
          </cell>
          <cell r="Q62">
            <v>140407</v>
          </cell>
          <cell r="R62">
            <v>26448.692820000004</v>
          </cell>
          <cell r="S62">
            <v>0</v>
          </cell>
          <cell r="T62">
            <v>0</v>
          </cell>
          <cell r="U62">
            <v>37384.546400000007</v>
          </cell>
          <cell r="V62">
            <v>18500</v>
          </cell>
          <cell r="W62">
            <v>5407.3864800000001</v>
          </cell>
          <cell r="X62">
            <v>1590</v>
          </cell>
          <cell r="Y62">
            <v>53074.63884</v>
          </cell>
          <cell r="Z62">
            <v>132124</v>
          </cell>
          <cell r="AA62">
            <v>0</v>
          </cell>
        </row>
        <row r="63">
          <cell r="D63" t="str">
            <v>Honorarios Investig.</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row>
        <row r="64">
          <cell r="D64" t="str">
            <v>Hon. Medicina Legal</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row>
        <row r="65">
          <cell r="D65" t="str">
            <v>Asistencia Tecnica</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row>
        <row r="66">
          <cell r="D66" t="str">
            <v>Otros Honorarios</v>
          </cell>
          <cell r="E66">
            <v>369220.27670000005</v>
          </cell>
          <cell r="F66">
            <v>129548.14698</v>
          </cell>
          <cell r="G66">
            <v>7287.4862200000007</v>
          </cell>
          <cell r="H66">
            <v>9072.8050000000003</v>
          </cell>
          <cell r="I66">
            <v>10978.95</v>
          </cell>
          <cell r="J66">
            <v>2448.0700000000002</v>
          </cell>
          <cell r="K66">
            <v>76009.181499999992</v>
          </cell>
          <cell r="L66">
            <v>5066.3760000000002</v>
          </cell>
          <cell r="M66">
            <v>9937.5</v>
          </cell>
          <cell r="N66">
            <v>51987.223000000005</v>
          </cell>
          <cell r="O66">
            <v>5066.3760000000002</v>
          </cell>
          <cell r="P66">
            <v>0</v>
          </cell>
          <cell r="Q66">
            <v>39754.054499999998</v>
          </cell>
          <cell r="R66">
            <v>7166.7925000000005</v>
          </cell>
          <cell r="S66">
            <v>0</v>
          </cell>
          <cell r="T66">
            <v>0</v>
          </cell>
          <cell r="U66">
            <v>12018.28</v>
          </cell>
          <cell r="V66">
            <v>0</v>
          </cell>
          <cell r="W66">
            <v>0</v>
          </cell>
          <cell r="X66">
            <v>0</v>
          </cell>
          <cell r="Y66">
            <v>17860.258000000002</v>
          </cell>
          <cell r="Z66">
            <v>37006</v>
          </cell>
          <cell r="AA66">
            <v>0</v>
          </cell>
        </row>
        <row r="67">
          <cell r="D67" t="str">
            <v xml:space="preserve">TOTAL HONORARIOS </v>
          </cell>
          <cell r="E67">
            <v>1596665.33348</v>
          </cell>
          <cell r="F67">
            <v>485325.14698000002</v>
          </cell>
          <cell r="G67">
            <v>34259.186220000003</v>
          </cell>
          <cell r="H67">
            <v>55405.405000000006</v>
          </cell>
          <cell r="I67">
            <v>37704.825400000002</v>
          </cell>
          <cell r="J67">
            <v>9719.67</v>
          </cell>
          <cell r="K67">
            <v>277783.86181999999</v>
          </cell>
          <cell r="L67">
            <v>52250.376000000004</v>
          </cell>
          <cell r="M67">
            <v>42922.836519999997</v>
          </cell>
          <cell r="N67">
            <v>286328.91581999999</v>
          </cell>
          <cell r="O67">
            <v>52250.376000000004</v>
          </cell>
          <cell r="P67">
            <v>18500</v>
          </cell>
          <cell r="Q67">
            <v>181963.0545</v>
          </cell>
          <cell r="R67">
            <v>33615.485320000007</v>
          </cell>
          <cell r="S67">
            <v>0</v>
          </cell>
          <cell r="T67">
            <v>0</v>
          </cell>
          <cell r="U67">
            <v>49402.826400000005</v>
          </cell>
          <cell r="V67">
            <v>18500</v>
          </cell>
          <cell r="W67">
            <v>5407.3864800000001</v>
          </cell>
          <cell r="X67">
            <v>1590</v>
          </cell>
          <cell r="Y67">
            <v>70934.896840000001</v>
          </cell>
          <cell r="Z67">
            <v>169130</v>
          </cell>
          <cell r="AA67">
            <v>0</v>
          </cell>
        </row>
        <row r="68">
          <cell r="D68" t="str">
            <v>CONVENIOS CON ENTIDADES</v>
          </cell>
          <cell r="E68">
            <v>0</v>
          </cell>
          <cell r="F68" t="str">
            <v xml:space="preserve"> </v>
          </cell>
          <cell r="G68" t="str">
            <v xml:space="preserve"> </v>
          </cell>
          <cell r="H68" t="str">
            <v xml:space="preserve"> </v>
          </cell>
          <cell r="I68" t="str">
            <v xml:space="preserve"> </v>
          </cell>
          <cell r="J68" t="str">
            <v xml:space="preserve"> </v>
          </cell>
          <cell r="K68" t="str">
            <v xml:space="preserve"> </v>
          </cell>
          <cell r="L68" t="str">
            <v xml:space="preserve"> </v>
          </cell>
          <cell r="M68" t="str">
            <v xml:space="preserve"> </v>
          </cell>
          <cell r="N68" t="str">
            <v xml:space="preserve"> </v>
          </cell>
          <cell r="O68" t="str">
            <v xml:space="preserve"> </v>
          </cell>
          <cell r="P68" t="str">
            <v xml:space="preserve"> </v>
          </cell>
          <cell r="Q68" t="str">
            <v xml:space="preserve"> </v>
          </cell>
          <cell r="R68" t="str">
            <v xml:space="preserve"> </v>
          </cell>
          <cell r="S68" t="str">
            <v xml:space="preserve"> </v>
          </cell>
          <cell r="T68" t="str">
            <v xml:space="preserve"> </v>
          </cell>
          <cell r="U68" t="str">
            <v xml:space="preserve"> </v>
          </cell>
          <cell r="V68">
            <v>0</v>
          </cell>
          <cell r="W68" t="str">
            <v xml:space="preserve"> </v>
          </cell>
          <cell r="X68" t="str">
            <v xml:space="preserve"> </v>
          </cell>
          <cell r="Y68" t="str">
            <v xml:space="preserve"> </v>
          </cell>
          <cell r="Z68" t="str">
            <v xml:space="preserve"> </v>
          </cell>
          <cell r="AA68" t="str">
            <v xml:space="preserve"> </v>
          </cell>
        </row>
        <row r="69">
          <cell r="D69" t="str">
            <v>Hon.Conv.Entid.Salud</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row>
        <row r="70">
          <cell r="D70" t="str">
            <v>TOTAL CONVENIOS ENTIDADES DE SALUD</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row>
        <row r="71">
          <cell r="D71" t="str">
            <v>GENERALES DE ADMON</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row>
        <row r="72">
          <cell r="D72" t="str">
            <v>IMPUESTOS</v>
          </cell>
          <cell r="E72">
            <v>0</v>
          </cell>
          <cell r="F72">
            <v>0</v>
          </cell>
          <cell r="G72" t="str">
            <v xml:space="preserve"> </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row>
        <row r="73">
          <cell r="D73" t="str">
            <v>Imp.Indust. Comercio</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row>
        <row r="74">
          <cell r="D74" t="str">
            <v>Imp.a Propiedad Raiz</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row>
        <row r="75">
          <cell r="D75" t="str">
            <v>Impuesto de Valorizacion</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row>
        <row r="76">
          <cell r="D76" t="str">
            <v>Emergencia Economica</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row>
        <row r="77">
          <cell r="D77" t="str">
            <v>Impuesto IVA</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row>
        <row r="78">
          <cell r="D78" t="str">
            <v>Impuesto de Delineacion Urbana</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row>
        <row r="79">
          <cell r="D79" t="str">
            <v>ARRENDAMIENTOS</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row>
        <row r="80">
          <cell r="D80" t="str">
            <v>Construc. Edificacio</v>
          </cell>
          <cell r="E80">
            <v>860.72</v>
          </cell>
          <cell r="F80">
            <v>0</v>
          </cell>
          <cell r="G80">
            <v>860.72</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row>
        <row r="81">
          <cell r="D81" t="str">
            <v>Software y licencias redes ina</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row>
        <row r="82">
          <cell r="D82" t="str">
            <v>Eq.Comput.Comunic</v>
          </cell>
          <cell r="E82">
            <v>10713.504800000001</v>
          </cell>
          <cell r="F82">
            <v>3276.8840000000005</v>
          </cell>
          <cell r="G82">
            <v>0</v>
          </cell>
          <cell r="H82">
            <v>0</v>
          </cell>
          <cell r="I82">
            <v>0</v>
          </cell>
          <cell r="J82">
            <v>0</v>
          </cell>
          <cell r="K82">
            <v>3718.3104000000003</v>
          </cell>
          <cell r="L82">
            <v>0</v>
          </cell>
          <cell r="M82">
            <v>0</v>
          </cell>
          <cell r="N82">
            <v>0</v>
          </cell>
          <cell r="O82">
            <v>0</v>
          </cell>
          <cell r="P82">
            <v>0</v>
          </cell>
          <cell r="Q82">
            <v>0</v>
          </cell>
          <cell r="R82">
            <v>0</v>
          </cell>
          <cell r="S82">
            <v>0</v>
          </cell>
          <cell r="T82">
            <v>0</v>
          </cell>
          <cell r="U82">
            <v>0</v>
          </cell>
          <cell r="V82">
            <v>0</v>
          </cell>
          <cell r="W82">
            <v>3718.3104000000003</v>
          </cell>
          <cell r="X82">
            <v>0</v>
          </cell>
          <cell r="Y82">
            <v>0</v>
          </cell>
          <cell r="Z82">
            <v>0</v>
          </cell>
          <cell r="AA82">
            <v>0</v>
          </cell>
        </row>
        <row r="83">
          <cell r="D83" t="str">
            <v>Eq. Medico Cientifico</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row>
        <row r="84">
          <cell r="D84" t="str">
            <v>Otros Arriendos</v>
          </cell>
          <cell r="E84">
            <v>8844.2028800000007</v>
          </cell>
          <cell r="F84">
            <v>710.46288000000004</v>
          </cell>
          <cell r="G84">
            <v>1567.74</v>
          </cell>
          <cell r="H84">
            <v>6566</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row>
        <row r="85">
          <cell r="D85" t="str">
            <v>CONTRIBUCIONES Y AFILIACIONES</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row>
        <row r="86">
          <cell r="D86" t="str">
            <v>Afiliac. Sostenimien</v>
          </cell>
          <cell r="E86">
            <v>1173</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1173</v>
          </cell>
        </row>
        <row r="87">
          <cell r="D87" t="str">
            <v>SEGUROS</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row>
        <row r="88">
          <cell r="D88" t="str">
            <v>Cumplimiento</v>
          </cell>
          <cell r="E88">
            <v>793.32514000000015</v>
          </cell>
          <cell r="F88">
            <v>149.55010000000001</v>
          </cell>
          <cell r="G88">
            <v>0</v>
          </cell>
          <cell r="H88">
            <v>0</v>
          </cell>
          <cell r="I88">
            <v>0</v>
          </cell>
          <cell r="J88">
            <v>0</v>
          </cell>
          <cell r="K88">
            <v>174</v>
          </cell>
          <cell r="L88">
            <v>0</v>
          </cell>
          <cell r="M88">
            <v>0</v>
          </cell>
          <cell r="N88">
            <v>314.07270000000005</v>
          </cell>
          <cell r="O88">
            <v>0</v>
          </cell>
          <cell r="P88">
            <v>0</v>
          </cell>
          <cell r="Q88">
            <v>314.07270000000005</v>
          </cell>
          <cell r="R88">
            <v>0</v>
          </cell>
          <cell r="S88">
            <v>0</v>
          </cell>
          <cell r="T88">
            <v>0</v>
          </cell>
          <cell r="U88">
            <v>0</v>
          </cell>
          <cell r="V88">
            <v>0</v>
          </cell>
          <cell r="W88">
            <v>0</v>
          </cell>
          <cell r="X88">
            <v>0</v>
          </cell>
          <cell r="Y88">
            <v>122.50314</v>
          </cell>
          <cell r="Z88">
            <v>33.199200000000005</v>
          </cell>
          <cell r="AA88">
            <v>0</v>
          </cell>
        </row>
        <row r="89">
          <cell r="D89" t="str">
            <v>Respon.Civil y Extra</v>
          </cell>
          <cell r="E89">
            <v>55.075479999999999</v>
          </cell>
          <cell r="F89">
            <v>0</v>
          </cell>
          <cell r="G89">
            <v>55.075479999999999</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row>
        <row r="90">
          <cell r="D90" t="str">
            <v>Seguro Arrendamiento</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row>
        <row r="91">
          <cell r="D91" t="str">
            <v>Seguro por Riesgos</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row>
        <row r="92">
          <cell r="D92" t="str">
            <v>Seguro accidente est</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row>
        <row r="93">
          <cell r="D93" t="str">
            <v>Garantias</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row>
        <row r="94">
          <cell r="D94" t="str">
            <v>SERVICIOS</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row>
        <row r="95">
          <cell r="D95" t="str">
            <v>Aseo</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row>
        <row r="96">
          <cell r="D96" t="str">
            <v>Vigilancia</v>
          </cell>
          <cell r="E96">
            <v>401.02556000000004</v>
          </cell>
          <cell r="F96">
            <v>0</v>
          </cell>
          <cell r="G96">
            <v>0</v>
          </cell>
          <cell r="H96">
            <v>0</v>
          </cell>
          <cell r="I96">
            <v>0</v>
          </cell>
          <cell r="J96">
            <v>0</v>
          </cell>
          <cell r="K96">
            <v>200.51278000000002</v>
          </cell>
          <cell r="L96">
            <v>0</v>
          </cell>
          <cell r="M96">
            <v>0</v>
          </cell>
          <cell r="N96">
            <v>0</v>
          </cell>
          <cell r="O96">
            <v>0</v>
          </cell>
          <cell r="P96">
            <v>0</v>
          </cell>
          <cell r="Q96">
            <v>0</v>
          </cell>
          <cell r="R96">
            <v>0</v>
          </cell>
          <cell r="S96">
            <v>0</v>
          </cell>
          <cell r="T96">
            <v>0</v>
          </cell>
          <cell r="U96">
            <v>0</v>
          </cell>
          <cell r="V96">
            <v>0</v>
          </cell>
          <cell r="W96">
            <v>200.51278000000002</v>
          </cell>
          <cell r="X96">
            <v>0</v>
          </cell>
          <cell r="Y96">
            <v>0</v>
          </cell>
          <cell r="Z96">
            <v>0</v>
          </cell>
          <cell r="AA96">
            <v>0</v>
          </cell>
        </row>
        <row r="97">
          <cell r="D97" t="str">
            <v>Asistencia Tecnica</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row>
        <row r="98">
          <cell r="D98" t="str">
            <v>Proces. Electronico Datos</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row>
        <row r="99">
          <cell r="D99" t="str">
            <v>Acueduc y Alcantar</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row>
        <row r="100">
          <cell r="D100" t="str">
            <v>Energia Electricar</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row>
        <row r="101">
          <cell r="D101" t="str">
            <v>Telefonos</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row>
        <row r="102">
          <cell r="D102" t="str">
            <v>Correo, Portes,Teleg</v>
          </cell>
          <cell r="E102">
            <v>9962.6702800000003</v>
          </cell>
          <cell r="F102">
            <v>671.95202000000006</v>
          </cell>
          <cell r="G102">
            <v>0</v>
          </cell>
          <cell r="H102">
            <v>3811.76</v>
          </cell>
          <cell r="I102">
            <v>0</v>
          </cell>
          <cell r="J102">
            <v>0</v>
          </cell>
          <cell r="K102">
            <v>0</v>
          </cell>
          <cell r="L102">
            <v>0</v>
          </cell>
          <cell r="M102">
            <v>482.95826</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4996</v>
          </cell>
        </row>
        <row r="103">
          <cell r="D103" t="str">
            <v>Transp, Fletes, Acar</v>
          </cell>
          <cell r="E103">
            <v>7.42</v>
          </cell>
          <cell r="F103">
            <v>0</v>
          </cell>
          <cell r="G103">
            <v>7.42</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row>
        <row r="104">
          <cell r="D104" t="str">
            <v>Gas</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row>
        <row r="105">
          <cell r="D105" t="str">
            <v>Empaste Documentos</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row>
        <row r="106">
          <cell r="D106" t="str">
            <v>Servicios Audiovisua</v>
          </cell>
          <cell r="E106">
            <v>4779.15416</v>
          </cell>
          <cell r="F106">
            <v>2129.2071599999999</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1059.9470000000001</v>
          </cell>
          <cell r="V106">
            <v>0</v>
          </cell>
          <cell r="W106">
            <v>1590</v>
          </cell>
          <cell r="X106">
            <v>0</v>
          </cell>
          <cell r="Y106">
            <v>0</v>
          </cell>
          <cell r="Z106">
            <v>0</v>
          </cell>
          <cell r="AA106">
            <v>0</v>
          </cell>
        </row>
        <row r="107">
          <cell r="D107" t="str">
            <v>Servicio Laboratorio</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row>
        <row r="108">
          <cell r="D108" t="str">
            <v>Impresos y Publicaci</v>
          </cell>
          <cell r="E108">
            <v>3996.2000000000003</v>
          </cell>
          <cell r="F108">
            <v>0</v>
          </cell>
          <cell r="G108">
            <v>0</v>
          </cell>
          <cell r="H108">
            <v>0</v>
          </cell>
          <cell r="I108">
            <v>3996.2000000000003</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row>
        <row r="109">
          <cell r="D109" t="str">
            <v>Propaganda y Divulga</v>
          </cell>
          <cell r="E109">
            <v>14206.8544</v>
          </cell>
          <cell r="F109">
            <v>723.00480000000005</v>
          </cell>
          <cell r="G109">
            <v>0</v>
          </cell>
          <cell r="H109">
            <v>4672.4800000000005</v>
          </cell>
          <cell r="I109">
            <v>0</v>
          </cell>
          <cell r="J109">
            <v>339.36960000000005</v>
          </cell>
          <cell r="K109">
            <v>0</v>
          </cell>
          <cell r="L109">
            <v>0</v>
          </cell>
          <cell r="M109">
            <v>0</v>
          </cell>
          <cell r="N109">
            <v>0</v>
          </cell>
          <cell r="O109">
            <v>0</v>
          </cell>
          <cell r="P109">
            <v>0</v>
          </cell>
          <cell r="Q109">
            <v>0</v>
          </cell>
          <cell r="R109">
            <v>0</v>
          </cell>
          <cell r="S109">
            <v>0</v>
          </cell>
          <cell r="T109">
            <v>0</v>
          </cell>
          <cell r="U109">
            <v>0</v>
          </cell>
          <cell r="V109">
            <v>0</v>
          </cell>
          <cell r="W109">
            <v>8472</v>
          </cell>
          <cell r="X109">
            <v>0</v>
          </cell>
          <cell r="Y109">
            <v>0</v>
          </cell>
          <cell r="Z109">
            <v>0</v>
          </cell>
          <cell r="AA109">
            <v>0</v>
          </cell>
        </row>
        <row r="110">
          <cell r="D110" t="str">
            <v>Avisos en Prensa</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row>
        <row r="111">
          <cell r="D111" t="str">
            <v>Internet y Base Dato</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row>
        <row r="112">
          <cell r="D112" t="str">
            <v>Admon Loc,Oficin,Cas</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row>
        <row r="113">
          <cell r="D113" t="str">
            <v>Lavanderia</v>
          </cell>
          <cell r="E113">
            <v>74.123699999999999</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74.123699999999999</v>
          </cell>
          <cell r="AA113">
            <v>0</v>
          </cell>
        </row>
        <row r="114">
          <cell r="D114" t="str">
            <v>Proceso Admisiones</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row>
        <row r="115">
          <cell r="D115" t="str">
            <v>Serv.Bienestar Unive</v>
          </cell>
          <cell r="E115">
            <v>14483.658800000001</v>
          </cell>
          <cell r="F115">
            <v>7318.4912200000008</v>
          </cell>
          <cell r="G115">
            <v>1350.44</v>
          </cell>
          <cell r="H115">
            <v>1064.3884</v>
          </cell>
          <cell r="I115">
            <v>0</v>
          </cell>
          <cell r="J115">
            <v>0</v>
          </cell>
          <cell r="K115">
            <v>0</v>
          </cell>
          <cell r="L115">
            <v>0</v>
          </cell>
          <cell r="M115">
            <v>0</v>
          </cell>
          <cell r="N115">
            <v>0</v>
          </cell>
          <cell r="O115">
            <v>0</v>
          </cell>
          <cell r="P115">
            <v>0</v>
          </cell>
          <cell r="Q115">
            <v>0</v>
          </cell>
          <cell r="R115">
            <v>0</v>
          </cell>
          <cell r="S115">
            <v>0</v>
          </cell>
          <cell r="T115">
            <v>0</v>
          </cell>
          <cell r="U115">
            <v>424.00317999999999</v>
          </cell>
          <cell r="V115">
            <v>0</v>
          </cell>
          <cell r="W115">
            <v>0</v>
          </cell>
          <cell r="X115">
            <v>0</v>
          </cell>
          <cell r="Y115">
            <v>0</v>
          </cell>
          <cell r="Z115">
            <v>4326.3360000000002</v>
          </cell>
          <cell r="AA115">
            <v>0</v>
          </cell>
        </row>
        <row r="116">
          <cell r="D116" t="str">
            <v>Mantenimto Software</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row>
        <row r="117">
          <cell r="D117" t="str">
            <v>Mto. Licencias</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row>
        <row r="118">
          <cell r="D118" t="str">
            <v>Serv. Señalizacion</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row>
        <row r="119">
          <cell r="D119" t="str">
            <v>Servicios Participacion Cursos/Seminarios</v>
          </cell>
          <cell r="E119">
            <v>520840.66683000006</v>
          </cell>
          <cell r="F119">
            <v>187472</v>
          </cell>
          <cell r="G119">
            <v>42782.514779999998</v>
          </cell>
          <cell r="H119">
            <v>6000</v>
          </cell>
          <cell r="I119">
            <v>8855.6958000000013</v>
          </cell>
          <cell r="J119">
            <v>8688.9058600000008</v>
          </cell>
          <cell r="K119">
            <v>82181</v>
          </cell>
          <cell r="L119">
            <v>7136.9651600000007</v>
          </cell>
          <cell r="M119">
            <v>11773.498440000001</v>
          </cell>
          <cell r="N119">
            <v>105600.96515999999</v>
          </cell>
          <cell r="O119">
            <v>7136.9651600000007</v>
          </cell>
          <cell r="P119">
            <v>8500</v>
          </cell>
          <cell r="Q119">
            <v>78789</v>
          </cell>
          <cell r="R119">
            <v>11175</v>
          </cell>
          <cell r="S119">
            <v>0</v>
          </cell>
          <cell r="T119">
            <v>0</v>
          </cell>
          <cell r="U119">
            <v>12477.702260000002</v>
          </cell>
          <cell r="V119">
            <v>8500</v>
          </cell>
          <cell r="W119">
            <v>0</v>
          </cell>
          <cell r="X119">
            <v>1000</v>
          </cell>
          <cell r="Y119">
            <v>14942.461720000001</v>
          </cell>
          <cell r="Z119">
            <v>23428.957650000004</v>
          </cell>
          <cell r="AA119">
            <v>0</v>
          </cell>
        </row>
        <row r="120">
          <cell r="D120" t="str">
            <v>Servicios Varios</v>
          </cell>
          <cell r="E120">
            <v>100.7</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100.7</v>
          </cell>
          <cell r="X120">
            <v>0</v>
          </cell>
          <cell r="Y120">
            <v>0</v>
          </cell>
          <cell r="Z120">
            <v>0</v>
          </cell>
          <cell r="AA120">
            <v>0</v>
          </cell>
        </row>
        <row r="121">
          <cell r="D121" t="str">
            <v>Ap EPS - ARP Estudia</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row>
        <row r="122">
          <cell r="D122" t="str">
            <v>GASTOS LEGALES</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row>
        <row r="123">
          <cell r="D123" t="str">
            <v>Notariales</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row>
        <row r="124">
          <cell r="D124" t="str">
            <v>Tramites y Licencias</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row>
        <row r="125">
          <cell r="D125" t="str">
            <v>Aduaneros</v>
          </cell>
          <cell r="E125">
            <v>4087</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4087</v>
          </cell>
          <cell r="AA125">
            <v>0</v>
          </cell>
        </row>
        <row r="126">
          <cell r="D126" t="str">
            <v>Consulares</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row>
        <row r="127">
          <cell r="D127" t="str">
            <v>Formu,Certific.Const</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row>
        <row r="128">
          <cell r="D128" t="str">
            <v>MANT. REPARAC. Y ADECUACIONES</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row>
        <row r="129">
          <cell r="D129" t="str">
            <v>Construc. Edificac.</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row>
        <row r="130">
          <cell r="D130" t="str">
            <v>Maquinaria y Equipo</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row>
        <row r="131">
          <cell r="D131" t="str">
            <v>Eq.Enseres Deportes</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row>
        <row r="132">
          <cell r="D132" t="str">
            <v>Eq.Instrum.Musicales</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row>
        <row r="133">
          <cell r="D133" t="str">
            <v>Eq.Aseo,Cocina.Mant.</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row>
        <row r="134">
          <cell r="D134" t="str">
            <v>Eq.Varios oficina</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row>
        <row r="135">
          <cell r="D135" t="str">
            <v>Eq.  de Comp.Com</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row>
        <row r="136">
          <cell r="D136" t="str">
            <v>Eq.Medico Cientifico</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row>
        <row r="137">
          <cell r="D137" t="str">
            <v>Acueducto, Plantas y Redes.</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row>
        <row r="138">
          <cell r="D138" t="str">
            <v>Reparac. Locativas</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row>
        <row r="139">
          <cell r="D139" t="str">
            <v>Otros Adecua.Instal.</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row>
        <row r="140">
          <cell r="D140" t="str">
            <v>GASTOS DE VIAJE</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row>
        <row r="141">
          <cell r="D141" t="str">
            <v>Alojamie.y Manunten.</v>
          </cell>
          <cell r="E141">
            <v>21804.51324</v>
          </cell>
          <cell r="F141">
            <v>13903.48576</v>
          </cell>
          <cell r="G141">
            <v>997.24800000000005</v>
          </cell>
          <cell r="H141">
            <v>0</v>
          </cell>
          <cell r="I141">
            <v>238.96640000000002</v>
          </cell>
          <cell r="J141">
            <v>0</v>
          </cell>
          <cell r="K141">
            <v>0</v>
          </cell>
          <cell r="L141">
            <v>0</v>
          </cell>
          <cell r="M141">
            <v>862.73824000000002</v>
          </cell>
          <cell r="N141">
            <v>0</v>
          </cell>
          <cell r="O141">
            <v>0</v>
          </cell>
          <cell r="P141">
            <v>0</v>
          </cell>
          <cell r="Q141">
            <v>0</v>
          </cell>
          <cell r="R141">
            <v>0</v>
          </cell>
          <cell r="S141">
            <v>0</v>
          </cell>
          <cell r="T141">
            <v>0</v>
          </cell>
          <cell r="U141">
            <v>0</v>
          </cell>
          <cell r="V141">
            <v>0</v>
          </cell>
          <cell r="W141">
            <v>4612.0748400000002</v>
          </cell>
          <cell r="X141">
            <v>0</v>
          </cell>
          <cell r="Y141">
            <v>190</v>
          </cell>
          <cell r="Z141">
            <v>0</v>
          </cell>
          <cell r="AA141">
            <v>1000</v>
          </cell>
        </row>
        <row r="142">
          <cell r="D142" t="str">
            <v>Pasajes Aereos</v>
          </cell>
          <cell r="E142">
            <v>75715.088800000012</v>
          </cell>
          <cell r="F142">
            <v>29089.326659999999</v>
          </cell>
          <cell r="G142">
            <v>5287.5746800000006</v>
          </cell>
          <cell r="H142">
            <v>6590.3698000000004</v>
          </cell>
          <cell r="I142">
            <v>2629.9098200000003</v>
          </cell>
          <cell r="J142">
            <v>0</v>
          </cell>
          <cell r="K142">
            <v>0</v>
          </cell>
          <cell r="L142">
            <v>0</v>
          </cell>
          <cell r="M142">
            <v>3946.4648000000002</v>
          </cell>
          <cell r="N142">
            <v>0</v>
          </cell>
          <cell r="O142">
            <v>0</v>
          </cell>
          <cell r="P142">
            <v>0</v>
          </cell>
          <cell r="Q142">
            <v>0</v>
          </cell>
          <cell r="R142">
            <v>0</v>
          </cell>
          <cell r="S142">
            <v>0</v>
          </cell>
          <cell r="T142">
            <v>0</v>
          </cell>
          <cell r="U142">
            <v>5300</v>
          </cell>
          <cell r="V142">
            <v>0</v>
          </cell>
          <cell r="W142">
            <v>19632.412640000002</v>
          </cell>
          <cell r="X142">
            <v>0</v>
          </cell>
          <cell r="Y142">
            <v>223</v>
          </cell>
          <cell r="Z142">
            <v>0</v>
          </cell>
          <cell r="AA142">
            <v>3016.0304000000001</v>
          </cell>
        </row>
        <row r="143">
          <cell r="D143" t="str">
            <v>Pasajes Terrestres</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row>
        <row r="144">
          <cell r="D144" t="str">
            <v>Otr.Gtos  Viaje Sali</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row>
        <row r="145">
          <cell r="D145" t="str">
            <v>Peajes  Tramites</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row>
        <row r="146">
          <cell r="D146" t="str">
            <v>AMORTIZACIONES</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row>
        <row r="147">
          <cell r="D147" t="str">
            <v>Biblioteca</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row>
        <row r="148">
          <cell r="D148" t="str">
            <v>GASTOS DIVERSOS</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row>
        <row r="149">
          <cell r="D149" t="str">
            <v>Comisiones</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row>
        <row r="150">
          <cell r="D150" t="str">
            <v>Libr,Susc,Per.Revist</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row>
        <row r="151">
          <cell r="D151" t="str">
            <v>Gas.Repr.Relac.Publi</v>
          </cell>
          <cell r="E151">
            <v>241136.02589999998</v>
          </cell>
          <cell r="F151">
            <v>76947.438379999992</v>
          </cell>
          <cell r="G151">
            <v>12440.531000000001</v>
          </cell>
          <cell r="H151">
            <v>35226.731960000005</v>
          </cell>
          <cell r="I151">
            <v>5698.8567999999996</v>
          </cell>
          <cell r="J151">
            <v>3320.1743999999999</v>
          </cell>
          <cell r="K151">
            <v>50225.971519999999</v>
          </cell>
          <cell r="L151">
            <v>900.25800000000004</v>
          </cell>
          <cell r="M151">
            <v>6916.3134399999999</v>
          </cell>
          <cell r="N151">
            <v>18956.658000000003</v>
          </cell>
          <cell r="O151">
            <v>900.25800000000004</v>
          </cell>
          <cell r="P151">
            <v>1500</v>
          </cell>
          <cell r="Q151">
            <v>15666</v>
          </cell>
          <cell r="R151">
            <v>890.40000000000009</v>
          </cell>
          <cell r="S151">
            <v>0</v>
          </cell>
          <cell r="T151">
            <v>0</v>
          </cell>
          <cell r="U151">
            <v>1025</v>
          </cell>
          <cell r="V151">
            <v>1500</v>
          </cell>
          <cell r="W151">
            <v>8485.6391999999996</v>
          </cell>
          <cell r="X151">
            <v>0</v>
          </cell>
          <cell r="Y151">
            <v>3511</v>
          </cell>
          <cell r="Z151">
            <v>15617.439200000003</v>
          </cell>
          <cell r="AA151">
            <v>364.01400000000001</v>
          </cell>
        </row>
        <row r="152">
          <cell r="D152" t="str">
            <v>Elemen.Aseo Cafeter</v>
          </cell>
          <cell r="E152">
            <v>2974.5865300000005</v>
          </cell>
          <cell r="F152">
            <v>519.94590000000005</v>
          </cell>
          <cell r="G152">
            <v>737.6561200000001</v>
          </cell>
          <cell r="H152">
            <v>16.693940000000001</v>
          </cell>
          <cell r="I152">
            <v>0</v>
          </cell>
          <cell r="J152">
            <v>109.42486</v>
          </cell>
          <cell r="K152">
            <v>270.17492000000004</v>
          </cell>
          <cell r="L152">
            <v>65.254660000000001</v>
          </cell>
          <cell r="M152">
            <v>158.24104</v>
          </cell>
          <cell r="N152">
            <v>97.254660000000001</v>
          </cell>
          <cell r="O152">
            <v>65.254660000000001</v>
          </cell>
          <cell r="P152">
            <v>0</v>
          </cell>
          <cell r="Q152">
            <v>32</v>
          </cell>
          <cell r="R152">
            <v>0</v>
          </cell>
          <cell r="S152">
            <v>0</v>
          </cell>
          <cell r="T152">
            <v>0</v>
          </cell>
          <cell r="U152">
            <v>177</v>
          </cell>
          <cell r="V152">
            <v>0</v>
          </cell>
          <cell r="W152">
            <v>670.67578000000003</v>
          </cell>
          <cell r="X152">
            <v>0</v>
          </cell>
          <cell r="Y152">
            <v>139</v>
          </cell>
          <cell r="Z152">
            <v>13.26465</v>
          </cell>
          <cell r="AA152">
            <v>0</v>
          </cell>
        </row>
        <row r="153">
          <cell r="D153" t="str">
            <v>Utiles, Papel.Fotoco</v>
          </cell>
          <cell r="E153">
            <v>8261.9330699999991</v>
          </cell>
          <cell r="F153">
            <v>2479.4714399999998</v>
          </cell>
          <cell r="G153">
            <v>414.09748000000002</v>
          </cell>
          <cell r="H153">
            <v>109.56372</v>
          </cell>
          <cell r="I153">
            <v>40.978540000000002</v>
          </cell>
          <cell r="J153">
            <v>216.69368</v>
          </cell>
          <cell r="K153">
            <v>2872.1071000000002</v>
          </cell>
          <cell r="L153">
            <v>44.972619999999999</v>
          </cell>
          <cell r="M153">
            <v>141.62554000000003</v>
          </cell>
          <cell r="N153">
            <v>276.78932000000003</v>
          </cell>
          <cell r="O153">
            <v>44.972619999999999</v>
          </cell>
          <cell r="P153">
            <v>0</v>
          </cell>
          <cell r="Q153">
            <v>212</v>
          </cell>
          <cell r="R153">
            <v>19.816700000000001</v>
          </cell>
          <cell r="S153">
            <v>0</v>
          </cell>
          <cell r="T153">
            <v>0</v>
          </cell>
          <cell r="U153">
            <v>84</v>
          </cell>
          <cell r="V153">
            <v>0</v>
          </cell>
          <cell r="W153">
            <v>135.59096</v>
          </cell>
          <cell r="X153">
            <v>0</v>
          </cell>
          <cell r="Y153">
            <v>236</v>
          </cell>
          <cell r="Z153">
            <v>792.80579999999998</v>
          </cell>
          <cell r="AA153">
            <v>417.23687000000001</v>
          </cell>
        </row>
        <row r="154">
          <cell r="D154" t="str">
            <v>Combustib. y Lubric</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row>
        <row r="155">
          <cell r="D155" t="str">
            <v>Taxis y buses</v>
          </cell>
          <cell r="E155">
            <v>3560.9439800000005</v>
          </cell>
          <cell r="F155">
            <v>0</v>
          </cell>
          <cell r="G155">
            <v>0</v>
          </cell>
          <cell r="H155">
            <v>320.65000000000003</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1127.8400000000001</v>
          </cell>
          <cell r="X155">
            <v>0</v>
          </cell>
          <cell r="Y155">
            <v>0</v>
          </cell>
          <cell r="Z155">
            <v>32.885440000000003</v>
          </cell>
          <cell r="AA155">
            <v>2079.5685400000002</v>
          </cell>
        </row>
        <row r="156">
          <cell r="D156" t="str">
            <v>Estampillas</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row>
        <row r="157">
          <cell r="D157" t="str">
            <v>Impresos y Publicaci</v>
          </cell>
          <cell r="E157">
            <v>13419.608859999998</v>
          </cell>
          <cell r="F157">
            <v>7076.2239800000007</v>
          </cell>
          <cell r="G157">
            <v>1604.2633599999999</v>
          </cell>
          <cell r="H157">
            <v>1072.6617000000001</v>
          </cell>
          <cell r="I157">
            <v>591.68670000000009</v>
          </cell>
          <cell r="J157">
            <v>770.37090000000001</v>
          </cell>
          <cell r="K157">
            <v>657.64944000000003</v>
          </cell>
          <cell r="L157">
            <v>55</v>
          </cell>
          <cell r="M157">
            <v>174.49402000000001</v>
          </cell>
          <cell r="N157">
            <v>290.26535999999999</v>
          </cell>
          <cell r="O157">
            <v>55</v>
          </cell>
          <cell r="P157">
            <v>0</v>
          </cell>
          <cell r="Q157">
            <v>198</v>
          </cell>
          <cell r="R157">
            <v>37.265360000000001</v>
          </cell>
          <cell r="S157">
            <v>0</v>
          </cell>
          <cell r="T157">
            <v>0</v>
          </cell>
          <cell r="U157">
            <v>101</v>
          </cell>
          <cell r="V157">
            <v>0</v>
          </cell>
          <cell r="W157">
            <v>0</v>
          </cell>
          <cell r="X157">
            <v>0</v>
          </cell>
          <cell r="Y157">
            <v>149</v>
          </cell>
          <cell r="Z157">
            <v>735.49232000000006</v>
          </cell>
          <cell r="AA157">
            <v>141.50108</v>
          </cell>
        </row>
        <row r="158">
          <cell r="D158" t="str">
            <v>Elem.Laborat. Enseñ</v>
          </cell>
          <cell r="E158">
            <v>4967.1312400000006</v>
          </cell>
          <cell r="F158">
            <v>0</v>
          </cell>
          <cell r="G158">
            <v>3461.65472</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1360</v>
          </cell>
          <cell r="Z158">
            <v>145.47651999999999</v>
          </cell>
          <cell r="AA158">
            <v>0</v>
          </cell>
        </row>
        <row r="159">
          <cell r="D159" t="str">
            <v>Elementos Audivisual</v>
          </cell>
          <cell r="E159">
            <v>397.29078000000004</v>
          </cell>
          <cell r="F159">
            <v>94.06016000000001</v>
          </cell>
          <cell r="G159">
            <v>13.609340000000001</v>
          </cell>
          <cell r="H159">
            <v>0</v>
          </cell>
          <cell r="I159">
            <v>0</v>
          </cell>
          <cell r="J159">
            <v>0</v>
          </cell>
          <cell r="K159">
            <v>13.609340000000001</v>
          </cell>
          <cell r="L159">
            <v>0</v>
          </cell>
          <cell r="M159">
            <v>17.011939999999999</v>
          </cell>
          <cell r="N159">
            <v>129</v>
          </cell>
          <cell r="O159">
            <v>0</v>
          </cell>
          <cell r="P159">
            <v>0</v>
          </cell>
          <cell r="Q159">
            <v>129</v>
          </cell>
          <cell r="R159">
            <v>0</v>
          </cell>
          <cell r="S159">
            <v>0</v>
          </cell>
          <cell r="T159">
            <v>0</v>
          </cell>
          <cell r="U159">
            <v>0</v>
          </cell>
          <cell r="V159">
            <v>0</v>
          </cell>
          <cell r="W159">
            <v>0</v>
          </cell>
          <cell r="X159">
            <v>0</v>
          </cell>
          <cell r="Y159">
            <v>25</v>
          </cell>
          <cell r="Z159">
            <v>105</v>
          </cell>
          <cell r="AA159">
            <v>0</v>
          </cell>
        </row>
        <row r="160">
          <cell r="D160" t="str">
            <v>Elem.Rope.Lenc.Menaj</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row>
        <row r="161">
          <cell r="D161" t="str">
            <v>Implem. Deportivos</v>
          </cell>
          <cell r="E161">
            <v>323.99960000000004</v>
          </cell>
          <cell r="F161">
            <v>323.99960000000004</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row>
        <row r="162">
          <cell r="D162" t="str">
            <v>Parqueaderos</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row>
        <row r="163">
          <cell r="D163" t="str">
            <v>Imple.Bienestar Univ</v>
          </cell>
          <cell r="E163">
            <v>270.512</v>
          </cell>
          <cell r="F163">
            <v>270.512</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row>
        <row r="164">
          <cell r="D164" t="str">
            <v>Materiales y Repues</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row>
        <row r="165">
          <cell r="D165" t="str">
            <v>Herramientas</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row>
        <row r="166">
          <cell r="D166" t="str">
            <v>Impl.Devol.Eq.Comput</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row>
        <row r="167">
          <cell r="D167" t="str">
            <v>Impl.Devol. Eq.Instr</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row>
        <row r="168">
          <cell r="D168" t="str">
            <v>Im.Dev.Mue.Ens,Eq.Of</v>
          </cell>
          <cell r="E168">
            <v>448.07320000000004</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448.07320000000004</v>
          </cell>
        </row>
        <row r="169">
          <cell r="D169" t="str">
            <v>Impl.Dev.Eq.Comunic.</v>
          </cell>
          <cell r="E169">
            <v>658.84608000000003</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658.84608000000003</v>
          </cell>
        </row>
        <row r="170">
          <cell r="D170" t="str">
            <v>Implem.Devol.Libros</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row>
        <row r="171">
          <cell r="D171" t="str">
            <v>Material Didactico</v>
          </cell>
          <cell r="E171">
            <v>55002.083550000003</v>
          </cell>
          <cell r="F171">
            <v>0</v>
          </cell>
          <cell r="G171">
            <v>0</v>
          </cell>
          <cell r="H171">
            <v>0</v>
          </cell>
          <cell r="I171">
            <v>0</v>
          </cell>
          <cell r="J171">
            <v>0</v>
          </cell>
          <cell r="K171">
            <v>0</v>
          </cell>
          <cell r="L171">
            <v>0</v>
          </cell>
          <cell r="M171">
            <v>0</v>
          </cell>
          <cell r="N171">
            <v>3816</v>
          </cell>
          <cell r="O171">
            <v>0</v>
          </cell>
          <cell r="P171">
            <v>0</v>
          </cell>
          <cell r="Q171">
            <v>3816</v>
          </cell>
          <cell r="R171">
            <v>0</v>
          </cell>
          <cell r="S171">
            <v>0</v>
          </cell>
          <cell r="T171">
            <v>0</v>
          </cell>
          <cell r="U171">
            <v>0</v>
          </cell>
          <cell r="V171">
            <v>0</v>
          </cell>
          <cell r="W171">
            <v>0</v>
          </cell>
          <cell r="X171">
            <v>0</v>
          </cell>
          <cell r="Y171">
            <v>0</v>
          </cell>
          <cell r="Z171">
            <v>51186.083550000003</v>
          </cell>
          <cell r="AA171">
            <v>0</v>
          </cell>
        </row>
        <row r="172">
          <cell r="D172" t="str">
            <v>Elemen Y Sumin Vario</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row>
        <row r="173">
          <cell r="D173" t="str">
            <v>Elemen. Decorativos</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row>
        <row r="174">
          <cell r="D174" t="str">
            <v>Mater e Implem dev. Inst Music.</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row>
        <row r="175">
          <cell r="D175" t="str">
            <v>May.Vr.Can.Men.Vr.Re</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row>
        <row r="176">
          <cell r="D176" t="str">
            <v>TOTAL GRALES ADMON</v>
          </cell>
          <cell r="E176">
            <v>1024319.9388600001</v>
          </cell>
          <cell r="F176">
            <v>333156.01605999994</v>
          </cell>
          <cell r="G176">
            <v>71580.544959999999</v>
          </cell>
          <cell r="H176">
            <v>65451.29952</v>
          </cell>
          <cell r="I176">
            <v>22052.29406</v>
          </cell>
          <cell r="J176">
            <v>13444.9393</v>
          </cell>
          <cell r="K176">
            <v>140313.33549999999</v>
          </cell>
          <cell r="L176">
            <v>8202.4504400000005</v>
          </cell>
          <cell r="M176">
            <v>24473.345720000001</v>
          </cell>
          <cell r="N176">
            <v>129481.00520000001</v>
          </cell>
          <cell r="O176">
            <v>8202.4504400000005</v>
          </cell>
          <cell r="P176">
            <v>10000</v>
          </cell>
          <cell r="Q176">
            <v>99156.072700000004</v>
          </cell>
          <cell r="R176">
            <v>12122.482059999998</v>
          </cell>
          <cell r="S176">
            <v>0</v>
          </cell>
          <cell r="T176">
            <v>0</v>
          </cell>
          <cell r="U176">
            <v>20648.652440000002</v>
          </cell>
          <cell r="V176">
            <v>10000</v>
          </cell>
          <cell r="W176">
            <v>48745.756599999993</v>
          </cell>
          <cell r="X176">
            <v>1000</v>
          </cell>
          <cell r="Y176">
            <v>20897.96486</v>
          </cell>
          <cell r="Z176">
            <v>100578.06403000001</v>
          </cell>
          <cell r="AA176">
            <v>14294.27017</v>
          </cell>
        </row>
        <row r="177">
          <cell r="D177" t="str">
            <v>TOTAL GTOS OPNALES DIRECTOS</v>
          </cell>
          <cell r="E177">
            <v>3149723.1946072783</v>
          </cell>
          <cell r="F177">
            <v>818481.16304000001</v>
          </cell>
          <cell r="G177">
            <v>105839.73118</v>
          </cell>
          <cell r="H177">
            <v>120856.70452</v>
          </cell>
          <cell r="I177">
            <v>59757.119460000002</v>
          </cell>
          <cell r="J177">
            <v>23164.6093</v>
          </cell>
          <cell r="K177">
            <v>418097.19731999998</v>
          </cell>
          <cell r="L177">
            <v>60452.826440000004</v>
          </cell>
          <cell r="M177">
            <v>67396.182239999995</v>
          </cell>
          <cell r="N177">
            <v>415809.92102000001</v>
          </cell>
          <cell r="O177">
            <v>60452.826440000004</v>
          </cell>
          <cell r="P177">
            <v>28500</v>
          </cell>
          <cell r="Q177">
            <v>281119.12719999999</v>
          </cell>
          <cell r="R177">
            <v>45737.967380000002</v>
          </cell>
          <cell r="S177">
            <v>0</v>
          </cell>
          <cell r="T177">
            <v>0</v>
          </cell>
          <cell r="U177">
            <v>70051.478840000011</v>
          </cell>
          <cell r="V177">
            <v>28500</v>
          </cell>
          <cell r="W177">
            <v>54153.143079999994</v>
          </cell>
          <cell r="X177">
            <v>2590</v>
          </cell>
          <cell r="Y177">
            <v>91832.861700000009</v>
          </cell>
          <cell r="Z177">
            <v>269708.06403000001</v>
          </cell>
          <cell r="AA177">
            <v>543032.19243727799</v>
          </cell>
        </row>
        <row r="178">
          <cell r="D178" t="str">
            <v>OPERACIONALES INDIRECTOS</v>
          </cell>
          <cell r="E178">
            <v>0</v>
          </cell>
          <cell r="F178" t="str">
            <v xml:space="preserve"> </v>
          </cell>
          <cell r="G178" t="str">
            <v xml:space="preserve"> </v>
          </cell>
          <cell r="H178" t="str">
            <v xml:space="preserve"> </v>
          </cell>
          <cell r="I178" t="str">
            <v xml:space="preserve"> </v>
          </cell>
          <cell r="J178" t="str">
            <v xml:space="preserve"> </v>
          </cell>
          <cell r="K178" t="str">
            <v xml:space="preserve"> </v>
          </cell>
          <cell r="L178" t="str">
            <v xml:space="preserve"> </v>
          </cell>
          <cell r="M178" t="str">
            <v xml:space="preserve"> </v>
          </cell>
          <cell r="N178" t="str">
            <v xml:space="preserve"> </v>
          </cell>
          <cell r="O178" t="str">
            <v xml:space="preserve"> </v>
          </cell>
          <cell r="P178" t="str">
            <v xml:space="preserve"> </v>
          </cell>
          <cell r="Q178" t="str">
            <v xml:space="preserve"> </v>
          </cell>
          <cell r="R178" t="str">
            <v xml:space="preserve"> </v>
          </cell>
          <cell r="S178" t="str">
            <v xml:space="preserve"> </v>
          </cell>
          <cell r="T178" t="str">
            <v xml:space="preserve"> </v>
          </cell>
          <cell r="U178" t="str">
            <v xml:space="preserve"> </v>
          </cell>
          <cell r="V178">
            <v>0</v>
          </cell>
          <cell r="W178" t="str">
            <v xml:space="preserve"> </v>
          </cell>
          <cell r="X178" t="str">
            <v xml:space="preserve"> </v>
          </cell>
          <cell r="Y178" t="str">
            <v xml:space="preserve"> </v>
          </cell>
          <cell r="Z178" t="str">
            <v xml:space="preserve"> </v>
          </cell>
          <cell r="AA178" t="str">
            <v xml:space="preserve"> </v>
          </cell>
        </row>
        <row r="179">
          <cell r="D179" t="str">
            <v>UNIDADES  APOYO ACADEMICAS</v>
          </cell>
          <cell r="E179">
            <v>0</v>
          </cell>
          <cell r="F179" t="str">
            <v xml:space="preserve"> </v>
          </cell>
          <cell r="G179" t="str">
            <v xml:space="preserve"> </v>
          </cell>
          <cell r="H179" t="str">
            <v xml:space="preserve"> </v>
          </cell>
          <cell r="I179" t="str">
            <v xml:space="preserve"> </v>
          </cell>
          <cell r="J179" t="str">
            <v xml:space="preserve"> </v>
          </cell>
          <cell r="K179" t="str">
            <v xml:space="preserve"> </v>
          </cell>
          <cell r="L179" t="str">
            <v xml:space="preserve"> </v>
          </cell>
          <cell r="M179" t="str">
            <v xml:space="preserve"> </v>
          </cell>
          <cell r="N179" t="str">
            <v xml:space="preserve"> </v>
          </cell>
          <cell r="O179" t="str">
            <v xml:space="preserve"> </v>
          </cell>
          <cell r="P179" t="str">
            <v xml:space="preserve"> </v>
          </cell>
          <cell r="Q179" t="str">
            <v xml:space="preserve"> </v>
          </cell>
          <cell r="R179" t="str">
            <v xml:space="preserve"> </v>
          </cell>
          <cell r="S179" t="str">
            <v xml:space="preserve"> </v>
          </cell>
          <cell r="T179" t="str">
            <v xml:space="preserve"> </v>
          </cell>
          <cell r="U179" t="str">
            <v xml:space="preserve"> </v>
          </cell>
          <cell r="V179">
            <v>0</v>
          </cell>
          <cell r="W179" t="str">
            <v xml:space="preserve"> </v>
          </cell>
          <cell r="X179" t="str">
            <v xml:space="preserve"> </v>
          </cell>
          <cell r="Y179" t="str">
            <v xml:space="preserve"> </v>
          </cell>
          <cell r="Z179" t="str">
            <v xml:space="preserve"> </v>
          </cell>
          <cell r="AA179">
            <v>0</v>
          </cell>
        </row>
        <row r="180">
          <cell r="D180" t="str">
            <v>Admon Facultad Educación</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row>
        <row r="181">
          <cell r="D181" t="str">
            <v>Admon Facultad  Ingenierias</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row>
        <row r="182">
          <cell r="D182" t="str">
            <v>Admon Facultad de Artes</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row>
        <row r="183">
          <cell r="D183" t="str">
            <v>Admon Facultad de Ciencias</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row>
        <row r="184">
          <cell r="D184" t="str">
            <v>Admisiones Y Publici</v>
          </cell>
          <cell r="E184">
            <v>2722.2785019999997</v>
          </cell>
          <cell r="F184">
            <v>724.22454200000004</v>
          </cell>
          <cell r="G184">
            <v>75.307805999999999</v>
          </cell>
          <cell r="H184">
            <v>77.576099999999997</v>
          </cell>
          <cell r="I184">
            <v>69.546176000000003</v>
          </cell>
          <cell r="J184">
            <v>21.738479999999999</v>
          </cell>
          <cell r="K184">
            <v>740</v>
          </cell>
          <cell r="L184">
            <v>10.86924</v>
          </cell>
          <cell r="M184">
            <v>65.204840000000004</v>
          </cell>
          <cell r="N184">
            <v>523.13202319999994</v>
          </cell>
          <cell r="O184">
            <v>10.86924</v>
          </cell>
          <cell r="P184">
            <v>38</v>
          </cell>
          <cell r="Q184">
            <v>380.37887999999998</v>
          </cell>
          <cell r="R184">
            <v>93.883903200000006</v>
          </cell>
          <cell r="S184">
            <v>0</v>
          </cell>
          <cell r="T184">
            <v>0</v>
          </cell>
          <cell r="U184">
            <v>53.865638399999995</v>
          </cell>
          <cell r="V184">
            <v>38</v>
          </cell>
          <cell r="W184">
            <v>10.86924</v>
          </cell>
          <cell r="X184">
            <v>1.7390783999999999</v>
          </cell>
          <cell r="Y184">
            <v>77.682417999999998</v>
          </cell>
          <cell r="Z184">
            <v>232.52292000000003</v>
          </cell>
          <cell r="AA184">
            <v>0</v>
          </cell>
        </row>
        <row r="185">
          <cell r="D185" t="str">
            <v>Atencion Usuario</v>
          </cell>
          <cell r="E185">
            <v>7024.9820772000012</v>
          </cell>
          <cell r="F185">
            <v>1864.1412280000004</v>
          </cell>
          <cell r="G185">
            <v>193.82627879999998</v>
          </cell>
          <cell r="H185">
            <v>199.7149392</v>
          </cell>
          <cell r="I185">
            <v>178.97888</v>
          </cell>
          <cell r="J185">
            <v>55.989200000000004</v>
          </cell>
          <cell r="K185">
            <v>1900</v>
          </cell>
          <cell r="L185">
            <v>27.994600000000002</v>
          </cell>
          <cell r="M185">
            <v>167.81390000000002</v>
          </cell>
          <cell r="N185">
            <v>1345.5847272000001</v>
          </cell>
          <cell r="O185">
            <v>27.994600000000002</v>
          </cell>
          <cell r="P185">
            <v>97</v>
          </cell>
          <cell r="Q185">
            <v>978.93543999999997</v>
          </cell>
          <cell r="R185">
            <v>241.65468720000004</v>
          </cell>
          <cell r="S185">
            <v>0</v>
          </cell>
          <cell r="T185">
            <v>0</v>
          </cell>
          <cell r="U185">
            <v>143.189888</v>
          </cell>
          <cell r="V185">
            <v>97</v>
          </cell>
          <cell r="W185">
            <v>27.994600000000002</v>
          </cell>
          <cell r="X185">
            <v>8.9582720000000009</v>
          </cell>
          <cell r="Y185">
            <v>215.36486400000004</v>
          </cell>
          <cell r="Z185">
            <v>598.4307</v>
          </cell>
          <cell r="AA185">
            <v>0</v>
          </cell>
        </row>
        <row r="186">
          <cell r="D186" t="str">
            <v>Recursos Audiovisules</v>
          </cell>
          <cell r="E186">
            <v>439.33344</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439.33344</v>
          </cell>
        </row>
        <row r="187">
          <cell r="D187" t="str">
            <v>Biblioteca</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row>
        <row r="188">
          <cell r="D188" t="str">
            <v>Bienestar Universitario</v>
          </cell>
          <cell r="E188">
            <v>50676.539164000002</v>
          </cell>
          <cell r="F188">
            <v>13409.101336</v>
          </cell>
          <cell r="G188">
            <v>1394.2221552000001</v>
          </cell>
          <cell r="H188">
            <v>1436.5680952</v>
          </cell>
          <cell r="I188">
            <v>1287.6133760000002</v>
          </cell>
          <cell r="J188">
            <v>402.35904000000005</v>
          </cell>
          <cell r="K188">
            <v>13800</v>
          </cell>
          <cell r="L188">
            <v>201.17952000000002</v>
          </cell>
          <cell r="M188">
            <v>1207.1333000000002</v>
          </cell>
          <cell r="N188">
            <v>9684.9864008000004</v>
          </cell>
          <cell r="O188">
            <v>201.17952000000002</v>
          </cell>
          <cell r="P188">
            <v>704</v>
          </cell>
          <cell r="Q188">
            <v>7041.541416</v>
          </cell>
          <cell r="R188">
            <v>1738.2654648000002</v>
          </cell>
          <cell r="S188">
            <v>0</v>
          </cell>
          <cell r="T188">
            <v>0</v>
          </cell>
          <cell r="U188">
            <v>1030.0187903999999</v>
          </cell>
          <cell r="V188">
            <v>704</v>
          </cell>
          <cell r="W188">
            <v>201.17952000000002</v>
          </cell>
          <cell r="X188">
            <v>64.377446400000011</v>
          </cell>
          <cell r="Y188">
            <v>1549.1172840000002</v>
          </cell>
          <cell r="Z188">
            <v>4304.6829000000007</v>
          </cell>
          <cell r="AA188">
            <v>0</v>
          </cell>
        </row>
        <row r="189">
          <cell r="D189" t="str">
            <v>Admon  Clinicas Odon</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row>
        <row r="190">
          <cell r="D190" t="str">
            <v>Direcc.Tecnología</v>
          </cell>
          <cell r="E190">
            <v>24905.640895999997</v>
          </cell>
          <cell r="F190">
            <v>6606.079106000001</v>
          </cell>
          <cell r="G190">
            <v>686.88171720000003</v>
          </cell>
          <cell r="H190">
            <v>707.65549120000003</v>
          </cell>
          <cell r="I190">
            <v>634.29043200000012</v>
          </cell>
          <cell r="J190">
            <v>198.22424000000001</v>
          </cell>
          <cell r="K190">
            <v>6740</v>
          </cell>
          <cell r="L190">
            <v>99.112120000000004</v>
          </cell>
          <cell r="M190">
            <v>594.69392000000005</v>
          </cell>
          <cell r="N190">
            <v>4770.5242487999994</v>
          </cell>
          <cell r="O190">
            <v>99.112120000000004</v>
          </cell>
          <cell r="P190">
            <v>346</v>
          </cell>
          <cell r="Q190">
            <v>3469.0547919999999</v>
          </cell>
          <cell r="R190">
            <v>856.3573368000001</v>
          </cell>
          <cell r="S190">
            <v>0</v>
          </cell>
          <cell r="T190">
            <v>0</v>
          </cell>
          <cell r="U190">
            <v>507.48967039999997</v>
          </cell>
          <cell r="V190">
            <v>346</v>
          </cell>
          <cell r="W190">
            <v>99.112120000000004</v>
          </cell>
          <cell r="X190">
            <v>31.715878400000001</v>
          </cell>
          <cell r="Y190">
            <v>763.16099200000008</v>
          </cell>
          <cell r="Z190">
            <v>2120.7009600000001</v>
          </cell>
          <cell r="AA190">
            <v>0</v>
          </cell>
        </row>
        <row r="191">
          <cell r="D191" t="str">
            <v>Division Investigacion</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row>
        <row r="192">
          <cell r="D192" t="str">
            <v>Lab. Medicina</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row>
        <row r="193">
          <cell r="D193" t="str">
            <v>Relac. Internal y Egresa</v>
          </cell>
          <cell r="E193">
            <v>18505.142553600002</v>
          </cell>
          <cell r="F193">
            <v>4944.0728820000004</v>
          </cell>
          <cell r="G193">
            <v>491.20563240000007</v>
          </cell>
          <cell r="H193">
            <v>506.16450079999998</v>
          </cell>
          <cell r="I193">
            <v>453.72070400000007</v>
          </cell>
          <cell r="J193">
            <v>141.76015999999998</v>
          </cell>
          <cell r="K193">
            <v>5100</v>
          </cell>
          <cell r="L193">
            <v>70.880079999999992</v>
          </cell>
          <cell r="M193">
            <v>460.73218000000003</v>
          </cell>
          <cell r="N193">
            <v>3559.6927912000001</v>
          </cell>
          <cell r="O193">
            <v>70.880079999999992</v>
          </cell>
          <cell r="P193">
            <v>258</v>
          </cell>
          <cell r="Q193">
            <v>2580.1209840000001</v>
          </cell>
          <cell r="R193">
            <v>650.69172720000006</v>
          </cell>
          <cell r="S193">
            <v>0</v>
          </cell>
          <cell r="T193">
            <v>0</v>
          </cell>
          <cell r="U193">
            <v>362.87548159999994</v>
          </cell>
          <cell r="V193">
            <v>258</v>
          </cell>
          <cell r="W193">
            <v>70.880079999999992</v>
          </cell>
          <cell r="X193">
            <v>22.681625599999997</v>
          </cell>
          <cell r="Y193">
            <v>545.82325600000001</v>
          </cell>
          <cell r="Z193">
            <v>1516.65318</v>
          </cell>
          <cell r="AA193">
            <v>0</v>
          </cell>
        </row>
        <row r="194">
          <cell r="D194" t="str">
            <v>Rectoría</v>
          </cell>
          <cell r="E194">
            <v>14701.994449200001</v>
          </cell>
          <cell r="F194">
            <v>3891.7741000000001</v>
          </cell>
          <cell r="G194">
            <v>404.66409480000004</v>
          </cell>
          <cell r="H194">
            <v>416.84224399999999</v>
          </cell>
          <cell r="I194">
            <v>373.68307200000004</v>
          </cell>
          <cell r="J194">
            <v>116.76536000000002</v>
          </cell>
          <cell r="K194">
            <v>4000</v>
          </cell>
          <cell r="L194">
            <v>58.382680000000008</v>
          </cell>
          <cell r="M194">
            <v>350.34166000000005</v>
          </cell>
          <cell r="N194">
            <v>2810.6181431999998</v>
          </cell>
          <cell r="O194">
            <v>58.382680000000008</v>
          </cell>
          <cell r="P194">
            <v>204</v>
          </cell>
          <cell r="Q194">
            <v>2043.7232479999998</v>
          </cell>
          <cell r="R194">
            <v>504.51221520000007</v>
          </cell>
          <cell r="S194">
            <v>0</v>
          </cell>
          <cell r="T194">
            <v>0</v>
          </cell>
          <cell r="U194">
            <v>298.94476159999999</v>
          </cell>
          <cell r="V194">
            <v>204</v>
          </cell>
          <cell r="W194">
            <v>58.382680000000008</v>
          </cell>
          <cell r="X194">
            <v>18.682457600000003</v>
          </cell>
          <cell r="Y194">
            <v>449.581616</v>
          </cell>
          <cell r="Z194">
            <v>1249.3315800000003</v>
          </cell>
          <cell r="AA194">
            <v>0</v>
          </cell>
        </row>
        <row r="195">
          <cell r="D195" t="str">
            <v>Vicerrect. Academica</v>
          </cell>
          <cell r="E195">
            <v>18305.167907600004</v>
          </cell>
          <cell r="F195">
            <v>4902.9321620000001</v>
          </cell>
          <cell r="G195">
            <v>463.43183040000002</v>
          </cell>
          <cell r="H195">
            <v>525.25200559999996</v>
          </cell>
          <cell r="I195">
            <v>470.80960000000005</v>
          </cell>
          <cell r="J195">
            <v>147.11528000000001</v>
          </cell>
          <cell r="K195">
            <v>5000</v>
          </cell>
          <cell r="L195">
            <v>73.557640000000006</v>
          </cell>
          <cell r="M195">
            <v>441.37234000000001</v>
          </cell>
          <cell r="N195">
            <v>3540.790536</v>
          </cell>
          <cell r="O195">
            <v>73.557640000000006</v>
          </cell>
          <cell r="P195">
            <v>257</v>
          </cell>
          <cell r="Q195">
            <v>2574.662832</v>
          </cell>
          <cell r="R195">
            <v>635.570064</v>
          </cell>
          <cell r="S195">
            <v>0</v>
          </cell>
          <cell r="T195">
            <v>0</v>
          </cell>
          <cell r="U195">
            <v>376.59985280000001</v>
          </cell>
          <cell r="V195">
            <v>257</v>
          </cell>
          <cell r="W195">
            <v>73.557640000000006</v>
          </cell>
          <cell r="X195">
            <v>23.538444800000004</v>
          </cell>
          <cell r="Y195">
            <v>566.41481599999997</v>
          </cell>
          <cell r="Z195">
            <v>1442.7957600000002</v>
          </cell>
          <cell r="AA195">
            <v>0</v>
          </cell>
        </row>
        <row r="196">
          <cell r="D196" t="str">
            <v>Admon Postgrados</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row>
        <row r="197">
          <cell r="D197" t="str">
            <v>Admon Postg Educacion</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row>
        <row r="198">
          <cell r="D198" t="str">
            <v>Admon Postg Odontolog</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row>
        <row r="199">
          <cell r="D199" t="str">
            <v>Admon Postg Psicologia</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row>
        <row r="200">
          <cell r="D200" t="str">
            <v>Dpto Bioetica</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row>
        <row r="201">
          <cell r="D201" t="str">
            <v>Admon Postgr Medicin</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row>
        <row r="202">
          <cell r="D202" t="str">
            <v>Admon   Educ Continu</v>
          </cell>
          <cell r="E202">
            <v>-6484.7663160001393</v>
          </cell>
          <cell r="F202">
            <v>267814</v>
          </cell>
          <cell r="G202">
            <v>28222</v>
          </cell>
          <cell r="H202">
            <v>40289</v>
          </cell>
          <cell r="I202">
            <v>7527.1329280000009</v>
          </cell>
          <cell r="J202">
            <v>1146.7664</v>
          </cell>
          <cell r="K202">
            <v>56100</v>
          </cell>
          <cell r="L202">
            <v>26821</v>
          </cell>
          <cell r="M202">
            <v>9127.4384599999994</v>
          </cell>
          <cell r="N202">
            <v>74778</v>
          </cell>
          <cell r="O202">
            <v>24113</v>
          </cell>
          <cell r="P202">
            <v>2415</v>
          </cell>
          <cell r="Q202">
            <v>44150</v>
          </cell>
          <cell r="R202">
            <v>4100</v>
          </cell>
          <cell r="S202">
            <v>0</v>
          </cell>
          <cell r="T202">
            <v>0</v>
          </cell>
          <cell r="U202">
            <v>10956.295679999999</v>
          </cell>
          <cell r="V202">
            <v>2415</v>
          </cell>
          <cell r="W202">
            <v>1930.0162</v>
          </cell>
          <cell r="X202">
            <v>823.48262399999999</v>
          </cell>
          <cell r="Y202">
            <v>17249.701391999999</v>
          </cell>
          <cell r="Z202">
            <v>42332.4</v>
          </cell>
          <cell r="AA202">
            <v>-594017</v>
          </cell>
        </row>
        <row r="203">
          <cell r="D203" t="str">
            <v>Lab. Ambiental</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row>
        <row r="204">
          <cell r="D204" t="str">
            <v>Lab. Física</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row>
        <row r="205">
          <cell r="D205" t="str">
            <v>Lab. Psicometría</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row>
        <row r="206">
          <cell r="D206" t="str">
            <v>Lab. Control</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row>
        <row r="207">
          <cell r="D207" t="str">
            <v>Centro de Diseño</v>
          </cell>
          <cell r="E207">
            <v>36871.558000000005</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36871.558000000005</v>
          </cell>
        </row>
        <row r="208">
          <cell r="D208" t="str">
            <v>Centro de Lenguas</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row>
        <row r="209">
          <cell r="D209" t="str">
            <v>D. Humanidades</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row>
        <row r="210">
          <cell r="D210" t="str">
            <v>D. Bioetica Servicios</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row>
        <row r="211">
          <cell r="D211" t="str">
            <v>Laboratorio de Simulacion Clinica</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row>
        <row r="212">
          <cell r="D212" t="str">
            <v>Aportes Investigaciones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row>
        <row r="213">
          <cell r="D213" t="str">
            <v>Facultad de Ciencias</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row>
        <row r="214">
          <cell r="D214" t="str">
            <v>Aportes Plan de Desarrollo</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row>
        <row r="215">
          <cell r="D215" t="str">
            <v>Laboratorio de Psicometria</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row>
        <row r="216">
          <cell r="D216" t="str">
            <v>Clinicas Odontologicas</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row>
        <row r="217">
          <cell r="D217" t="str">
            <v>Materias Electivas</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row>
        <row r="218">
          <cell r="D218" t="str">
            <v>TOTAL UNID.APOYO ACADEMICO</v>
          </cell>
          <cell r="E218">
            <v>167667.87067359989</v>
          </cell>
          <cell r="F218">
            <v>304156.32535599999</v>
          </cell>
          <cell r="G218">
            <v>31931.539514799999</v>
          </cell>
          <cell r="H218">
            <v>44158.773375999997</v>
          </cell>
          <cell r="I218">
            <v>10995.775168000002</v>
          </cell>
          <cell r="J218">
            <v>2230.7181600000004</v>
          </cell>
          <cell r="K218">
            <v>93380</v>
          </cell>
          <cell r="L218">
            <v>27362.975880000002</v>
          </cell>
          <cell r="M218">
            <v>12414.730599999999</v>
          </cell>
          <cell r="N218">
            <v>101013.3288704</v>
          </cell>
          <cell r="O218">
            <v>24654.975880000002</v>
          </cell>
          <cell r="P218">
            <v>4319</v>
          </cell>
          <cell r="Q218">
            <v>63218.417591999998</v>
          </cell>
          <cell r="R218">
            <v>8820.9353984000008</v>
          </cell>
          <cell r="S218">
            <v>0</v>
          </cell>
          <cell r="T218">
            <v>0</v>
          </cell>
          <cell r="U218">
            <v>13729.2797632</v>
          </cell>
          <cell r="V218">
            <v>4319</v>
          </cell>
          <cell r="W218">
            <v>2471.99208</v>
          </cell>
          <cell r="X218">
            <v>995.17582719999996</v>
          </cell>
          <cell r="Y218">
            <v>21416.846637999999</v>
          </cell>
          <cell r="Z218">
            <v>53797.518000000004</v>
          </cell>
          <cell r="AA218">
            <v>-556706.10856000008</v>
          </cell>
        </row>
        <row r="219">
          <cell r="D219" t="str">
            <v>UNIDADES APOYO ADDTIVO</v>
          </cell>
          <cell r="E219">
            <v>0</v>
          </cell>
          <cell r="F219" t="str">
            <v xml:space="preserve"> </v>
          </cell>
          <cell r="G219" t="str">
            <v xml:space="preserve"> </v>
          </cell>
          <cell r="H219" t="str">
            <v xml:space="preserve"> </v>
          </cell>
          <cell r="I219" t="str">
            <v xml:space="preserve"> </v>
          </cell>
          <cell r="J219" t="str">
            <v xml:space="preserve"> </v>
          </cell>
          <cell r="K219" t="str">
            <v xml:space="preserve"> </v>
          </cell>
          <cell r="L219" t="str">
            <v xml:space="preserve"> </v>
          </cell>
          <cell r="M219" t="str">
            <v xml:space="preserve"> </v>
          </cell>
          <cell r="N219" t="str">
            <v xml:space="preserve"> </v>
          </cell>
          <cell r="O219" t="str">
            <v xml:space="preserve"> </v>
          </cell>
          <cell r="P219" t="str">
            <v xml:space="preserve"> </v>
          </cell>
          <cell r="Q219" t="str">
            <v xml:space="preserve"> </v>
          </cell>
          <cell r="R219" t="str">
            <v xml:space="preserve"> </v>
          </cell>
          <cell r="S219" t="str">
            <v xml:space="preserve"> </v>
          </cell>
          <cell r="T219" t="str">
            <v xml:space="preserve"> </v>
          </cell>
          <cell r="U219" t="str">
            <v xml:space="preserve"> </v>
          </cell>
          <cell r="V219">
            <v>0</v>
          </cell>
          <cell r="W219" t="str">
            <v xml:space="preserve"> </v>
          </cell>
          <cell r="X219" t="str">
            <v xml:space="preserve"> </v>
          </cell>
          <cell r="Y219" t="str">
            <v xml:space="preserve"> </v>
          </cell>
          <cell r="Z219" t="str">
            <v xml:space="preserve"> </v>
          </cell>
          <cell r="AA219" t="str">
            <v xml:space="preserve"> </v>
          </cell>
        </row>
        <row r="220">
          <cell r="D220" t="str">
            <v>ALmacen</v>
          </cell>
          <cell r="E220">
            <v>4115.1370592000003</v>
          </cell>
          <cell r="F220">
            <v>1118.7581320000002</v>
          </cell>
          <cell r="G220">
            <v>116.3280888</v>
          </cell>
          <cell r="H220">
            <v>119.84309119999999</v>
          </cell>
          <cell r="I220">
            <v>107.39411200000002</v>
          </cell>
          <cell r="J220">
            <v>33.559600000000003</v>
          </cell>
          <cell r="K220">
            <v>1040</v>
          </cell>
          <cell r="L220">
            <v>16.779800000000002</v>
          </cell>
          <cell r="M220">
            <v>100.70529999999999</v>
          </cell>
          <cell r="N220">
            <v>807.2848712</v>
          </cell>
          <cell r="O220">
            <v>16.779800000000002</v>
          </cell>
          <cell r="P220">
            <v>58</v>
          </cell>
          <cell r="Q220">
            <v>587.48295199999995</v>
          </cell>
          <cell r="R220">
            <v>145.02211920000002</v>
          </cell>
          <cell r="S220">
            <v>0</v>
          </cell>
          <cell r="T220">
            <v>0</v>
          </cell>
          <cell r="U220">
            <v>85.97872000000001</v>
          </cell>
          <cell r="V220">
            <v>58</v>
          </cell>
          <cell r="W220">
            <v>16.779800000000002</v>
          </cell>
          <cell r="X220">
            <v>5.369536000000001</v>
          </cell>
          <cell r="Y220">
            <v>129.23710800000003</v>
          </cell>
          <cell r="Z220">
            <v>359.1189</v>
          </cell>
          <cell r="AA220">
            <v>0</v>
          </cell>
        </row>
        <row r="221">
          <cell r="D221" t="str">
            <v>Claustro</v>
          </cell>
          <cell r="E221">
            <v>606.96447999999987</v>
          </cell>
          <cell r="F221">
            <v>212.86050800000001</v>
          </cell>
          <cell r="G221">
            <v>22.136234400000003</v>
          </cell>
          <cell r="H221">
            <v>22.796020800000001</v>
          </cell>
          <cell r="I221">
            <v>20.430016000000002</v>
          </cell>
          <cell r="J221">
            <v>6.3811999999999998</v>
          </cell>
          <cell r="K221">
            <v>20</v>
          </cell>
          <cell r="L221">
            <v>3.1905999999999999</v>
          </cell>
          <cell r="M221">
            <v>19.158440000000002</v>
          </cell>
          <cell r="N221">
            <v>154.54740079999999</v>
          </cell>
          <cell r="O221">
            <v>3.1905999999999999</v>
          </cell>
          <cell r="P221">
            <v>12</v>
          </cell>
          <cell r="Q221">
            <v>111.76597599999998</v>
          </cell>
          <cell r="R221">
            <v>27.590824800000004</v>
          </cell>
          <cell r="S221">
            <v>0</v>
          </cell>
          <cell r="T221">
            <v>0</v>
          </cell>
          <cell r="U221">
            <v>16.351136</v>
          </cell>
          <cell r="V221">
            <v>12</v>
          </cell>
          <cell r="W221">
            <v>3.1905999999999999</v>
          </cell>
          <cell r="X221">
            <v>1.0209919999999999</v>
          </cell>
          <cell r="Y221">
            <v>24.581612000000003</v>
          </cell>
          <cell r="Z221">
            <v>68.319720000000004</v>
          </cell>
          <cell r="AA221">
            <v>0</v>
          </cell>
        </row>
        <row r="222">
          <cell r="D222" t="str">
            <v>Compras</v>
          </cell>
          <cell r="E222">
            <v>5067.4327252000003</v>
          </cell>
          <cell r="F222">
            <v>1333.4489420000002</v>
          </cell>
          <cell r="G222">
            <v>138.64062240000001</v>
          </cell>
          <cell r="H222">
            <v>142.88130080000002</v>
          </cell>
          <cell r="I222">
            <v>128.02086400000002</v>
          </cell>
          <cell r="J222">
            <v>40.046800000000005</v>
          </cell>
          <cell r="K222">
            <v>1400</v>
          </cell>
          <cell r="L222">
            <v>20.023400000000002</v>
          </cell>
          <cell r="M222">
            <v>120.05348000000001</v>
          </cell>
          <cell r="N222">
            <v>963.15239600000007</v>
          </cell>
          <cell r="O222">
            <v>20.023400000000002</v>
          </cell>
          <cell r="P222">
            <v>70</v>
          </cell>
          <cell r="Q222">
            <v>700.26991999999996</v>
          </cell>
          <cell r="R222">
            <v>172.85907600000004</v>
          </cell>
          <cell r="S222">
            <v>0</v>
          </cell>
          <cell r="T222">
            <v>0</v>
          </cell>
          <cell r="U222">
            <v>102.52489599999998</v>
          </cell>
          <cell r="V222">
            <v>70</v>
          </cell>
          <cell r="W222">
            <v>20.023400000000002</v>
          </cell>
          <cell r="X222">
            <v>6.4074880000000007</v>
          </cell>
          <cell r="Y222">
            <v>154.09389600000003</v>
          </cell>
          <cell r="Z222">
            <v>428.11524000000003</v>
          </cell>
          <cell r="AA222">
            <v>0</v>
          </cell>
        </row>
        <row r="223">
          <cell r="D223" t="str">
            <v>Consejo Directivo</v>
          </cell>
          <cell r="E223">
            <v>4359.9023139999999</v>
          </cell>
          <cell r="F223">
            <v>1190.1333380000001</v>
          </cell>
          <cell r="G223">
            <v>123.7326552</v>
          </cell>
          <cell r="H223">
            <v>127.49726639999999</v>
          </cell>
          <cell r="I223">
            <v>114.33075200000002</v>
          </cell>
          <cell r="J223">
            <v>35.628720000000001</v>
          </cell>
          <cell r="K223">
            <v>1200</v>
          </cell>
          <cell r="L223">
            <v>17.814360000000001</v>
          </cell>
          <cell r="M223">
            <v>107.13950000000001</v>
          </cell>
          <cell r="N223">
            <v>803.07696400000009</v>
          </cell>
          <cell r="O223">
            <v>17.814360000000001</v>
          </cell>
          <cell r="P223">
            <v>6</v>
          </cell>
          <cell r="Q223">
            <v>624.98363200000006</v>
          </cell>
          <cell r="R223">
            <v>154.27897200000001</v>
          </cell>
          <cell r="S223">
            <v>0</v>
          </cell>
          <cell r="T223">
            <v>0</v>
          </cell>
          <cell r="U223">
            <v>91.463923199999996</v>
          </cell>
          <cell r="V223">
            <v>6</v>
          </cell>
          <cell r="W223">
            <v>17.814360000000001</v>
          </cell>
          <cell r="X223">
            <v>5.7005952000000004</v>
          </cell>
          <cell r="Y223">
            <v>137.50638000000001</v>
          </cell>
          <cell r="Z223">
            <v>382.06350000000003</v>
          </cell>
          <cell r="AA223">
            <v>0</v>
          </cell>
        </row>
        <row r="224">
          <cell r="D224" t="str">
            <v>Contabilidad</v>
          </cell>
          <cell r="E224">
            <v>5453.2727704000008</v>
          </cell>
          <cell r="F224">
            <v>1460.140672</v>
          </cell>
          <cell r="G224">
            <v>138.0289176</v>
          </cell>
          <cell r="H224">
            <v>156.44387359999999</v>
          </cell>
          <cell r="I224">
            <v>140.20492800000002</v>
          </cell>
          <cell r="J224">
            <v>43.782240000000002</v>
          </cell>
          <cell r="K224">
            <v>1490</v>
          </cell>
          <cell r="L224">
            <v>21.891120000000001</v>
          </cell>
          <cell r="M224">
            <v>131.43682000000001</v>
          </cell>
          <cell r="N224">
            <v>1054.9433224000002</v>
          </cell>
          <cell r="O224">
            <v>21.891120000000001</v>
          </cell>
          <cell r="P224">
            <v>77</v>
          </cell>
          <cell r="Q224">
            <v>766.75608800000009</v>
          </cell>
          <cell r="R224">
            <v>189.29611440000005</v>
          </cell>
          <cell r="S224">
            <v>0</v>
          </cell>
          <cell r="T224">
            <v>0</v>
          </cell>
          <cell r="U224">
            <v>112.19447039999999</v>
          </cell>
          <cell r="V224">
            <v>77</v>
          </cell>
          <cell r="W224">
            <v>21.891120000000001</v>
          </cell>
          <cell r="X224">
            <v>7.0051584</v>
          </cell>
          <cell r="Y224">
            <v>168.68288800000002</v>
          </cell>
          <cell r="Z224">
            <v>429.62724000000003</v>
          </cell>
          <cell r="AA224">
            <v>0</v>
          </cell>
        </row>
        <row r="225">
          <cell r="D225" t="str">
            <v>Correspondencia</v>
          </cell>
          <cell r="E225">
            <v>1512.73711</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1512.73711</v>
          </cell>
        </row>
        <row r="226">
          <cell r="D226" t="str">
            <v>Credito y Cartera</v>
          </cell>
          <cell r="E226">
            <v>14072.9071296</v>
          </cell>
          <cell r="F226">
            <v>4230.2386720000004</v>
          </cell>
          <cell r="G226">
            <v>0</v>
          </cell>
          <cell r="H226">
            <v>0</v>
          </cell>
          <cell r="I226">
            <v>0</v>
          </cell>
          <cell r="J226">
            <v>0</v>
          </cell>
          <cell r="K226">
            <v>2500</v>
          </cell>
          <cell r="L226">
            <v>308.35824000000002</v>
          </cell>
          <cell r="M226">
            <v>0</v>
          </cell>
          <cell r="N226">
            <v>1751.4447775999997</v>
          </cell>
          <cell r="O226">
            <v>308.35824000000002</v>
          </cell>
          <cell r="P226">
            <v>97</v>
          </cell>
          <cell r="Q226">
            <v>971.40265599999987</v>
          </cell>
          <cell r="R226">
            <v>374.68388160000001</v>
          </cell>
          <cell r="S226">
            <v>0</v>
          </cell>
          <cell r="T226">
            <v>0</v>
          </cell>
          <cell r="U226">
            <v>3367.4877120000006</v>
          </cell>
          <cell r="V226">
            <v>97</v>
          </cell>
          <cell r="W226">
            <v>0</v>
          </cell>
          <cell r="X226">
            <v>0</v>
          </cell>
          <cell r="Y226">
            <v>1543.4318680000003</v>
          </cell>
          <cell r="Z226">
            <v>274.94586000000004</v>
          </cell>
          <cell r="AA226">
            <v>0</v>
          </cell>
        </row>
        <row r="227">
          <cell r="D227" t="str">
            <v>Dllo Físico y Mtto.</v>
          </cell>
          <cell r="E227">
            <v>636.26694000000009</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636.26694000000009</v>
          </cell>
        </row>
        <row r="228">
          <cell r="D228" t="str">
            <v>Evaluac y Planeacion</v>
          </cell>
          <cell r="E228">
            <v>14728.008778000001</v>
          </cell>
          <cell r="F228">
            <v>4409.7101340000008</v>
          </cell>
          <cell r="G228">
            <v>458.49545280000001</v>
          </cell>
          <cell r="H228">
            <v>472.40439119999996</v>
          </cell>
          <cell r="I228">
            <v>423.41657600000002</v>
          </cell>
          <cell r="J228">
            <v>132.32616000000002</v>
          </cell>
          <cell r="K228">
            <v>2600</v>
          </cell>
          <cell r="L228">
            <v>66.163080000000008</v>
          </cell>
          <cell r="M228">
            <v>396.96894000000003</v>
          </cell>
          <cell r="N228">
            <v>3185.4276288000001</v>
          </cell>
          <cell r="O228">
            <v>66.163080000000008</v>
          </cell>
          <cell r="P228">
            <v>232</v>
          </cell>
          <cell r="Q228">
            <v>2315.6246959999999</v>
          </cell>
          <cell r="R228">
            <v>571.63985279999997</v>
          </cell>
          <cell r="S228">
            <v>0</v>
          </cell>
          <cell r="T228">
            <v>0</v>
          </cell>
          <cell r="U228">
            <v>338.72952959999998</v>
          </cell>
          <cell r="V228">
            <v>232</v>
          </cell>
          <cell r="W228">
            <v>66.163080000000008</v>
          </cell>
          <cell r="X228">
            <v>21.172185600000002</v>
          </cell>
          <cell r="Y228">
            <v>509.42540000000008</v>
          </cell>
          <cell r="Z228">
            <v>1415.6062200000003</v>
          </cell>
          <cell r="AA228">
            <v>0</v>
          </cell>
        </row>
        <row r="229">
          <cell r="D229" t="str">
            <v>Edificios, Dep Mto.</v>
          </cell>
          <cell r="E229">
            <v>3465.97289</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3465.97289</v>
          </cell>
        </row>
        <row r="230">
          <cell r="D230" t="str">
            <v>Eq.Computo Subreparto</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row>
        <row r="231">
          <cell r="D231" t="str">
            <v>Eq.Telecom Dep Mto.</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row>
        <row r="232">
          <cell r="D232" t="str">
            <v>Fund. Salud Bosque</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row>
        <row r="233">
          <cell r="D233" t="str">
            <v>Generales Admon</v>
          </cell>
          <cell r="E233">
            <v>293710.64287680003</v>
          </cell>
          <cell r="F233">
            <v>79910.226254000008</v>
          </cell>
          <cell r="G233">
            <v>8308.7609220000013</v>
          </cell>
          <cell r="H233">
            <v>8560.4608263999999</v>
          </cell>
          <cell r="I233">
            <v>7673.3247360000014</v>
          </cell>
          <cell r="J233">
            <v>2397.8387200000002</v>
          </cell>
          <cell r="K233">
            <v>81500</v>
          </cell>
          <cell r="L233">
            <v>1198.9193600000001</v>
          </cell>
          <cell r="M233">
            <v>7193.7059000000008</v>
          </cell>
          <cell r="N233">
            <v>53941.256696000004</v>
          </cell>
          <cell r="O233">
            <v>1198.9193600000001</v>
          </cell>
          <cell r="P233">
            <v>420</v>
          </cell>
          <cell r="Q233">
            <v>41963.385576000001</v>
          </cell>
          <cell r="R233">
            <v>10358.951760000002</v>
          </cell>
          <cell r="S233">
            <v>0</v>
          </cell>
          <cell r="T233">
            <v>0</v>
          </cell>
          <cell r="U233">
            <v>6138.6299391999992</v>
          </cell>
          <cell r="V233">
            <v>420</v>
          </cell>
          <cell r="W233">
            <v>1198.9193600000001</v>
          </cell>
          <cell r="X233">
            <v>383.65419520000006</v>
          </cell>
          <cell r="Y233">
            <v>9231.9192680000033</v>
          </cell>
          <cell r="Z233">
            <v>25653.026700000002</v>
          </cell>
          <cell r="AA233">
            <v>0</v>
          </cell>
        </row>
        <row r="234">
          <cell r="D234" t="str">
            <v>Presupuesto</v>
          </cell>
          <cell r="E234">
            <v>5517.5014412</v>
          </cell>
          <cell r="F234">
            <v>1480.0965500000002</v>
          </cell>
          <cell r="G234">
            <v>139.90142880000002</v>
          </cell>
          <cell r="H234">
            <v>158.62357280000001</v>
          </cell>
          <cell r="I234">
            <v>142.13158400000003</v>
          </cell>
          <cell r="J234">
            <v>44.392800000000008</v>
          </cell>
          <cell r="K234">
            <v>1500</v>
          </cell>
          <cell r="L234">
            <v>22.196400000000004</v>
          </cell>
          <cell r="M234">
            <v>133.23776000000001</v>
          </cell>
          <cell r="N234">
            <v>1069.3477856000002</v>
          </cell>
          <cell r="O234">
            <v>22.196400000000004</v>
          </cell>
          <cell r="P234">
            <v>78</v>
          </cell>
          <cell r="Q234">
            <v>777.28061600000001</v>
          </cell>
          <cell r="R234">
            <v>191.87076960000005</v>
          </cell>
          <cell r="S234">
            <v>0</v>
          </cell>
          <cell r="T234">
            <v>0</v>
          </cell>
          <cell r="U234">
            <v>113.73715200000001</v>
          </cell>
          <cell r="V234">
            <v>78</v>
          </cell>
          <cell r="W234">
            <v>22.196400000000004</v>
          </cell>
          <cell r="X234">
            <v>7.1028480000000016</v>
          </cell>
          <cell r="Y234">
            <v>171.00556000000003</v>
          </cell>
          <cell r="Z234">
            <v>435.53160000000003</v>
          </cell>
          <cell r="AA234">
            <v>0</v>
          </cell>
        </row>
        <row r="235">
          <cell r="D235" t="str">
            <v>Recursos Humanos</v>
          </cell>
          <cell r="E235">
            <v>22947.073915600002</v>
          </cell>
          <cell r="F235">
            <v>9225.6520180000007</v>
          </cell>
          <cell r="G235">
            <v>986.78936160000012</v>
          </cell>
          <cell r="H235">
            <v>1304.7063848000003</v>
          </cell>
          <cell r="I235">
            <v>375.93196800000004</v>
          </cell>
          <cell r="J235">
            <v>0</v>
          </cell>
          <cell r="K235">
            <v>1300</v>
          </cell>
          <cell r="L235">
            <v>861.48532</v>
          </cell>
          <cell r="M235">
            <v>430.74266</v>
          </cell>
          <cell r="N235">
            <v>2152.472448</v>
          </cell>
          <cell r="O235">
            <v>861.48532</v>
          </cell>
          <cell r="P235">
            <v>110</v>
          </cell>
          <cell r="Q235">
            <v>1096.420752</v>
          </cell>
          <cell r="R235">
            <v>84.56637600000002</v>
          </cell>
          <cell r="S235">
            <v>0</v>
          </cell>
          <cell r="T235">
            <v>0</v>
          </cell>
          <cell r="U235">
            <v>588.95736959999999</v>
          </cell>
          <cell r="V235">
            <v>110</v>
          </cell>
          <cell r="W235">
            <v>78.310680000000005</v>
          </cell>
          <cell r="X235">
            <v>25.059417600000003</v>
          </cell>
          <cell r="Y235">
            <v>775.35268800000006</v>
          </cell>
          <cell r="Z235">
            <v>139.62942000000001</v>
          </cell>
          <cell r="AA235">
            <v>4591.9841799999995</v>
          </cell>
        </row>
        <row r="236">
          <cell r="D236" t="str">
            <v>Secretaría General</v>
          </cell>
          <cell r="E236">
            <v>10521.654813599998</v>
          </cell>
          <cell r="F236">
            <v>2789.2520939999999</v>
          </cell>
          <cell r="G236">
            <v>290.00817720000003</v>
          </cell>
          <cell r="H236">
            <v>298.79034080000002</v>
          </cell>
          <cell r="I236">
            <v>267.795008</v>
          </cell>
          <cell r="J236">
            <v>83.680640000000011</v>
          </cell>
          <cell r="K236">
            <v>2850</v>
          </cell>
          <cell r="L236">
            <v>41.840320000000006</v>
          </cell>
          <cell r="M236">
            <v>251.09492000000003</v>
          </cell>
          <cell r="N236">
            <v>2015.0936288</v>
          </cell>
          <cell r="O236">
            <v>41.840320000000006</v>
          </cell>
          <cell r="P236">
            <v>147</v>
          </cell>
          <cell r="Q236">
            <v>1464.684256</v>
          </cell>
          <cell r="R236">
            <v>361.56905280000007</v>
          </cell>
          <cell r="S236">
            <v>0</v>
          </cell>
          <cell r="T236">
            <v>0</v>
          </cell>
          <cell r="U236">
            <v>214.25805440000002</v>
          </cell>
          <cell r="V236">
            <v>147</v>
          </cell>
          <cell r="W236">
            <v>41.840320000000006</v>
          </cell>
          <cell r="X236">
            <v>13.388902400000003</v>
          </cell>
          <cell r="Y236">
            <v>322.19844800000004</v>
          </cell>
          <cell r="Z236">
            <v>895.41395999999997</v>
          </cell>
          <cell r="AA236">
            <v>0</v>
          </cell>
        </row>
        <row r="237">
          <cell r="D237" t="str">
            <v>Seguridad</v>
          </cell>
          <cell r="E237">
            <v>10.851940000000001</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10.851940000000001</v>
          </cell>
        </row>
        <row r="238">
          <cell r="D238" t="str">
            <v>Servicios Generales</v>
          </cell>
          <cell r="E238">
            <v>560.96033999999997</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560.96033999999997</v>
          </cell>
        </row>
        <row r="239">
          <cell r="D239" t="str">
            <v>Teléfonos Subreparto</v>
          </cell>
          <cell r="E239">
            <v>3981.5277800000003</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3981.5277800000003</v>
          </cell>
        </row>
        <row r="240">
          <cell r="D240" t="str">
            <v>Tesorería</v>
          </cell>
          <cell r="E240">
            <v>11141.3964376</v>
          </cell>
          <cell r="F240">
            <v>2962.7200340000004</v>
          </cell>
          <cell r="G240">
            <v>280.05795720000003</v>
          </cell>
          <cell r="H240">
            <v>317.36824000000001</v>
          </cell>
          <cell r="I240">
            <v>284.49382400000002</v>
          </cell>
          <cell r="J240">
            <v>88.908560000000008</v>
          </cell>
          <cell r="K240">
            <v>3100</v>
          </cell>
          <cell r="L240">
            <v>44.454280000000004</v>
          </cell>
          <cell r="M240">
            <v>266.70872000000003</v>
          </cell>
          <cell r="N240">
            <v>2140.3205512</v>
          </cell>
          <cell r="O240">
            <v>44.454280000000004</v>
          </cell>
          <cell r="P240">
            <v>156</v>
          </cell>
          <cell r="Q240">
            <v>1555.787016</v>
          </cell>
          <cell r="R240">
            <v>384.07925520000009</v>
          </cell>
          <cell r="S240">
            <v>0</v>
          </cell>
          <cell r="T240">
            <v>0</v>
          </cell>
          <cell r="U240">
            <v>227.56520959999997</v>
          </cell>
          <cell r="V240">
            <v>156</v>
          </cell>
          <cell r="W240">
            <v>44.454280000000004</v>
          </cell>
          <cell r="X240">
            <v>14.225369600000002</v>
          </cell>
          <cell r="Y240">
            <v>342.269972</v>
          </cell>
          <cell r="Z240">
            <v>871.84944000000007</v>
          </cell>
          <cell r="AA240">
            <v>0</v>
          </cell>
        </row>
        <row r="241">
          <cell r="D241" t="str">
            <v>Vicerrect. Administr</v>
          </cell>
          <cell r="E241">
            <v>7077.2777268</v>
          </cell>
          <cell r="F241">
            <v>1889.4204259999999</v>
          </cell>
          <cell r="G241">
            <v>178.60444559999999</v>
          </cell>
          <cell r="H241">
            <v>202.38910720000001</v>
          </cell>
          <cell r="I241">
            <v>181.45843200000002</v>
          </cell>
          <cell r="J241">
            <v>56.676080000000006</v>
          </cell>
          <cell r="K241">
            <v>1950</v>
          </cell>
          <cell r="L241">
            <v>28.338040000000003</v>
          </cell>
          <cell r="M241">
            <v>170.10032000000001</v>
          </cell>
          <cell r="N241">
            <v>1364.4738344</v>
          </cell>
          <cell r="O241">
            <v>28.338040000000003</v>
          </cell>
          <cell r="P241">
            <v>99</v>
          </cell>
          <cell r="Q241">
            <v>992.2023999999999</v>
          </cell>
          <cell r="R241">
            <v>244.93339440000003</v>
          </cell>
          <cell r="S241">
            <v>0</v>
          </cell>
          <cell r="T241">
            <v>0</v>
          </cell>
          <cell r="U241">
            <v>145.13655680000002</v>
          </cell>
          <cell r="V241">
            <v>99</v>
          </cell>
          <cell r="W241">
            <v>28.338040000000003</v>
          </cell>
          <cell r="X241">
            <v>9.068172800000001</v>
          </cell>
          <cell r="Y241">
            <v>218.28919200000004</v>
          </cell>
          <cell r="Z241">
            <v>555.98508000000004</v>
          </cell>
          <cell r="AA241">
            <v>0</v>
          </cell>
        </row>
        <row r="242">
          <cell r="D242" t="str">
            <v>TOTAL UNID.APOYO ADTTIVO</v>
          </cell>
          <cell r="E242">
            <v>409487.48946800007</v>
          </cell>
          <cell r="F242">
            <v>112212.65777399999</v>
          </cell>
          <cell r="G242">
            <v>11181.484263600001</v>
          </cell>
          <cell r="H242">
            <v>11884.204415999999</v>
          </cell>
          <cell r="I242">
            <v>9858.9328000000005</v>
          </cell>
          <cell r="J242">
            <v>2963.2215200000005</v>
          </cell>
          <cell r="K242">
            <v>102450</v>
          </cell>
          <cell r="L242">
            <v>2651.4543199999998</v>
          </cell>
          <cell r="M242">
            <v>9321.0527600000005</v>
          </cell>
          <cell r="N242">
            <v>71402.842304799997</v>
          </cell>
          <cell r="O242">
            <v>2651.4543199999998</v>
          </cell>
          <cell r="P242">
            <v>1562</v>
          </cell>
          <cell r="Q242">
            <v>53928.046536000002</v>
          </cell>
          <cell r="R242">
            <v>13261.341448800003</v>
          </cell>
          <cell r="S242">
            <v>0</v>
          </cell>
          <cell r="T242">
            <v>0</v>
          </cell>
          <cell r="U242">
            <v>11543.014668799999</v>
          </cell>
          <cell r="V242">
            <v>1562</v>
          </cell>
          <cell r="W242">
            <v>1559.9214400000003</v>
          </cell>
          <cell r="X242">
            <v>499.17486080000015</v>
          </cell>
          <cell r="Y242">
            <v>13727.994280000004</v>
          </cell>
          <cell r="Z242">
            <v>31909.232880000003</v>
          </cell>
          <cell r="AA242">
            <v>14760.30118</v>
          </cell>
        </row>
        <row r="243">
          <cell r="D243" t="str">
            <v>TOTAL GTOS OPNALES INDIRECTOS</v>
          </cell>
          <cell r="E243">
            <v>577155.36014160002</v>
          </cell>
          <cell r="F243">
            <v>416368.98312999995</v>
          </cell>
          <cell r="G243">
            <v>43113.023778399998</v>
          </cell>
          <cell r="H243">
            <v>56042.977791999998</v>
          </cell>
          <cell r="I243">
            <v>20854.707968000002</v>
          </cell>
          <cell r="J243">
            <v>5193.9396800000013</v>
          </cell>
          <cell r="K243">
            <v>195830</v>
          </cell>
          <cell r="L243">
            <v>30014.430200000003</v>
          </cell>
          <cell r="M243">
            <v>21735.783360000001</v>
          </cell>
          <cell r="N243">
            <v>172416.1711752</v>
          </cell>
          <cell r="O243">
            <v>27306.430200000003</v>
          </cell>
          <cell r="P243">
            <v>5881</v>
          </cell>
          <cell r="Q243">
            <v>117146.46412799999</v>
          </cell>
          <cell r="R243">
            <v>22082.276847200003</v>
          </cell>
          <cell r="S243">
            <v>0</v>
          </cell>
          <cell r="T243">
            <v>0</v>
          </cell>
          <cell r="U243">
            <v>25272.294431999999</v>
          </cell>
          <cell r="V243">
            <v>5881</v>
          </cell>
          <cell r="W243">
            <v>4031.9135200000001</v>
          </cell>
          <cell r="X243">
            <v>1494.350688</v>
          </cell>
          <cell r="Y243">
            <v>35144.840918000002</v>
          </cell>
          <cell r="Z243">
            <v>85706.750880000007</v>
          </cell>
          <cell r="AA243">
            <v>-541945.80738000013</v>
          </cell>
        </row>
        <row r="244">
          <cell r="D244" t="str">
            <v>TOTAL GASTOS OPERACIONALES</v>
          </cell>
          <cell r="E244">
            <v>3726878.5547488783</v>
          </cell>
          <cell r="F244">
            <v>1234850.1461700001</v>
          </cell>
          <cell r="G244">
            <v>148952.75495840001</v>
          </cell>
          <cell r="H244">
            <v>176899.68231199999</v>
          </cell>
          <cell r="I244">
            <v>80611.827428000004</v>
          </cell>
          <cell r="J244">
            <v>28358.54898</v>
          </cell>
          <cell r="K244">
            <v>613927.19732000004</v>
          </cell>
          <cell r="L244">
            <v>90467.256640000007</v>
          </cell>
          <cell r="M244">
            <v>89131.965599999996</v>
          </cell>
          <cell r="N244">
            <v>588226.09219520004</v>
          </cell>
          <cell r="O244">
            <v>87759.256640000007</v>
          </cell>
          <cell r="P244">
            <v>34381</v>
          </cell>
          <cell r="Q244">
            <v>398265.59132799995</v>
          </cell>
          <cell r="R244">
            <v>67820.244227200004</v>
          </cell>
          <cell r="S244">
            <v>0</v>
          </cell>
          <cell r="T244">
            <v>0</v>
          </cell>
          <cell r="U244">
            <v>95323.773272000006</v>
          </cell>
          <cell r="V244">
            <v>34381</v>
          </cell>
          <cell r="W244">
            <v>58185.056599999996</v>
          </cell>
          <cell r="X244">
            <v>4084.350688</v>
          </cell>
          <cell r="Y244">
            <v>126977.70261800001</v>
          </cell>
          <cell r="Z244">
            <v>355414.81491000002</v>
          </cell>
          <cell r="AA244">
            <v>1086.3850572778611</v>
          </cell>
        </row>
        <row r="245">
          <cell r="D245" t="str">
            <v>RDTO OPNAL</v>
          </cell>
          <cell r="E245">
            <v>384065.98037112132</v>
          </cell>
          <cell r="F245">
            <v>90763.413829999976</v>
          </cell>
          <cell r="G245">
            <v>-2873.3549584000139</v>
          </cell>
          <cell r="H245">
            <v>15958.627808000019</v>
          </cell>
          <cell r="I245">
            <v>11181.172571999996</v>
          </cell>
          <cell r="J245">
            <v>-9691.4489799999974</v>
          </cell>
          <cell r="K245">
            <v>154743.28267999995</v>
          </cell>
          <cell r="L245">
            <v>7532.7433599999931</v>
          </cell>
          <cell r="M245">
            <v>6718.9344000000128</v>
          </cell>
          <cell r="N245">
            <v>72864.657804799965</v>
          </cell>
          <cell r="O245">
            <v>231.34335999999894</v>
          </cell>
          <cell r="P245">
            <v>5619</v>
          </cell>
          <cell r="Q245">
            <v>46957.908672000049</v>
          </cell>
          <cell r="R245">
            <v>20056.40577279999</v>
          </cell>
          <cell r="S245">
            <v>0</v>
          </cell>
          <cell r="T245">
            <v>0</v>
          </cell>
          <cell r="U245">
            <v>34823.226727999994</v>
          </cell>
          <cell r="V245">
            <v>5619</v>
          </cell>
          <cell r="W245">
            <v>-58185.056599999996</v>
          </cell>
          <cell r="X245">
            <v>2275.649312</v>
          </cell>
          <cell r="Y245">
            <v>30972.367381999997</v>
          </cell>
          <cell r="Z245">
            <v>21362.15009000001</v>
          </cell>
          <cell r="AA245">
            <v>0.61494272213894874</v>
          </cell>
        </row>
        <row r="246">
          <cell r="D246" t="str">
            <v>INGRESOS NO OPERACIONALES</v>
          </cell>
          <cell r="E246">
            <v>0</v>
          </cell>
          <cell r="F246" t="str">
            <v xml:space="preserve"> </v>
          </cell>
          <cell r="G246" t="str">
            <v xml:space="preserve"> </v>
          </cell>
          <cell r="H246" t="str">
            <v xml:space="preserve"> </v>
          </cell>
          <cell r="I246" t="str">
            <v xml:space="preserve"> </v>
          </cell>
          <cell r="J246" t="str">
            <v xml:space="preserve"> </v>
          </cell>
          <cell r="K246" t="str">
            <v xml:space="preserve"> </v>
          </cell>
          <cell r="L246" t="str">
            <v xml:space="preserve"> </v>
          </cell>
          <cell r="M246" t="str">
            <v xml:space="preserve"> </v>
          </cell>
          <cell r="N246" t="str">
            <v xml:space="preserve"> </v>
          </cell>
          <cell r="O246" t="str">
            <v xml:space="preserve"> </v>
          </cell>
          <cell r="P246" t="str">
            <v xml:space="preserve"> </v>
          </cell>
          <cell r="Q246" t="str">
            <v xml:space="preserve"> </v>
          </cell>
          <cell r="R246" t="str">
            <v xml:space="preserve"> </v>
          </cell>
          <cell r="S246" t="str">
            <v xml:space="preserve"> </v>
          </cell>
          <cell r="T246" t="str">
            <v xml:space="preserve"> </v>
          </cell>
          <cell r="U246" t="str">
            <v xml:space="preserve"> </v>
          </cell>
          <cell r="V246">
            <v>0</v>
          </cell>
          <cell r="W246" t="str">
            <v xml:space="preserve"> </v>
          </cell>
          <cell r="X246" t="str">
            <v xml:space="preserve"> </v>
          </cell>
          <cell r="Y246" t="str">
            <v xml:space="preserve"> </v>
          </cell>
          <cell r="Z246" t="str">
            <v xml:space="preserve"> </v>
          </cell>
          <cell r="AA246" t="str">
            <v xml:space="preserve"> </v>
          </cell>
        </row>
        <row r="247">
          <cell r="D247" t="str">
            <v>FINANCIEROS</v>
          </cell>
          <cell r="E247" t="str">
            <v xml:space="preserve"> </v>
          </cell>
          <cell r="F247" t="str">
            <v xml:space="preserve"> </v>
          </cell>
          <cell r="G247" t="str">
            <v xml:space="preserve"> </v>
          </cell>
          <cell r="H247" t="str">
            <v xml:space="preserve"> </v>
          </cell>
          <cell r="I247" t="str">
            <v xml:space="preserve"> </v>
          </cell>
          <cell r="J247" t="str">
            <v xml:space="preserve"> </v>
          </cell>
          <cell r="K247" t="str">
            <v xml:space="preserve"> </v>
          </cell>
          <cell r="L247" t="str">
            <v xml:space="preserve"> </v>
          </cell>
          <cell r="M247" t="str">
            <v xml:space="preserve"> </v>
          </cell>
          <cell r="N247" t="str">
            <v xml:space="preserve"> </v>
          </cell>
          <cell r="O247" t="str">
            <v xml:space="preserve"> </v>
          </cell>
          <cell r="P247" t="str">
            <v xml:space="preserve"> </v>
          </cell>
          <cell r="Q247" t="str">
            <v xml:space="preserve"> </v>
          </cell>
          <cell r="R247" t="str">
            <v xml:space="preserve"> </v>
          </cell>
          <cell r="S247" t="str">
            <v xml:space="preserve"> </v>
          </cell>
          <cell r="T247" t="str">
            <v xml:space="preserve"> </v>
          </cell>
          <cell r="U247" t="str">
            <v xml:space="preserve"> </v>
          </cell>
          <cell r="V247">
            <v>0</v>
          </cell>
          <cell r="W247" t="str">
            <v xml:space="preserve"> </v>
          </cell>
          <cell r="X247" t="str">
            <v xml:space="preserve"> </v>
          </cell>
          <cell r="Y247" t="str">
            <v xml:space="preserve"> </v>
          </cell>
          <cell r="Z247" t="str">
            <v xml:space="preserve"> </v>
          </cell>
          <cell r="AA247" t="str">
            <v xml:space="preserve"> </v>
          </cell>
        </row>
        <row r="248">
          <cell r="D248" t="str">
            <v>Particul. y Empresas</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row>
        <row r="249">
          <cell r="D249" t="str">
            <v>Clientes (Estudian.)</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row>
        <row r="250">
          <cell r="D250" t="str">
            <v>Cuentas de Ahorro</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row>
        <row r="251">
          <cell r="D251" t="str">
            <v>Depositos a Término</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row>
        <row r="252">
          <cell r="D252" t="str">
            <v>Derechos Fiduciarios</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row>
        <row r="253">
          <cell r="D253" t="str">
            <v>Cuentas Corrientes</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row>
        <row r="254">
          <cell r="D254" t="str">
            <v>Inversiones Diversos</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row>
        <row r="255">
          <cell r="D255" t="str">
            <v>Bonos</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row>
        <row r="256">
          <cell r="D256" t="str">
            <v>Diferencia en Cambio</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row>
        <row r="257">
          <cell r="D257" t="str">
            <v>Descuentos Comerciales Cond.</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row>
        <row r="258">
          <cell r="D258" t="str">
            <v>San.Cheques Devuelto</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row>
        <row r="259">
          <cell r="D259" t="str">
            <v>Formulario Inscripcion Proveedores</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row>
        <row r="260">
          <cell r="D260" t="str">
            <v>Mr Vr Reci.Mr Vr Can</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row>
        <row r="261">
          <cell r="D261" t="str">
            <v>ARRENDAMIENTOS</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row>
        <row r="262">
          <cell r="D262" t="str">
            <v>Predios CL 134 7B41</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row>
        <row r="263">
          <cell r="D263" t="str">
            <v>Oficinas</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row>
        <row r="264">
          <cell r="D264" t="str">
            <v>Cafeterias</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row>
        <row r="265">
          <cell r="D265" t="str">
            <v>Bodega</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row>
        <row r="266">
          <cell r="D266" t="str">
            <v>Parqueaderos</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row>
        <row r="267">
          <cell r="D267" t="str">
            <v>Alquiler Espacios</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row>
        <row r="268">
          <cell r="D268" t="str">
            <v>Tienda Universitaria</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row>
        <row r="269">
          <cell r="D269" t="str">
            <v>Otros Inmuebles</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row>
        <row r="270">
          <cell r="D270" t="str">
            <v>Equipos Computacion y Comunicacion</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row>
        <row r="271">
          <cell r="D271" t="str">
            <v>HONORARIOS</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row>
        <row r="272">
          <cell r="D272" t="str">
            <v>Asesorias</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row>
        <row r="273">
          <cell r="D273" t="str">
            <v>Asistencia Tecnica</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row>
        <row r="274">
          <cell r="D274" t="str">
            <v>SERVICIOS</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row>
        <row r="275">
          <cell r="D275" t="str">
            <v>Transporte</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row>
        <row r="276">
          <cell r="D276" t="str">
            <v>Administrativos</v>
          </cell>
          <cell r="E276">
            <v>101687.92</v>
          </cell>
          <cell r="F276">
            <v>101687.92</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row>
        <row r="277">
          <cell r="D277" t="str">
            <v>Por Contrato</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row>
        <row r="278">
          <cell r="D278" t="str">
            <v>Lockers</v>
          </cell>
          <cell r="E278">
            <v>0</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row>
        <row r="279">
          <cell r="D279" t="str">
            <v>Stands</v>
          </cell>
          <cell r="E279">
            <v>117997</v>
          </cell>
          <cell r="F279">
            <v>65190</v>
          </cell>
          <cell r="G279">
            <v>6572</v>
          </cell>
          <cell r="H279">
            <v>20140</v>
          </cell>
          <cell r="I279">
            <v>0</v>
          </cell>
          <cell r="J279">
            <v>12190</v>
          </cell>
          <cell r="K279">
            <v>0</v>
          </cell>
          <cell r="L279">
            <v>0</v>
          </cell>
          <cell r="M279">
            <v>0</v>
          </cell>
          <cell r="N279">
            <v>13905</v>
          </cell>
          <cell r="O279">
            <v>0</v>
          </cell>
          <cell r="P279">
            <v>0</v>
          </cell>
          <cell r="Q279">
            <v>13905</v>
          </cell>
          <cell r="R279">
            <v>0</v>
          </cell>
          <cell r="S279">
            <v>0</v>
          </cell>
          <cell r="T279">
            <v>0</v>
          </cell>
          <cell r="U279">
            <v>0</v>
          </cell>
          <cell r="V279">
            <v>0</v>
          </cell>
          <cell r="W279">
            <v>0</v>
          </cell>
          <cell r="X279">
            <v>0</v>
          </cell>
          <cell r="Y279">
            <v>0</v>
          </cell>
          <cell r="Z279">
            <v>0</v>
          </cell>
          <cell r="AA279">
            <v>0</v>
          </cell>
        </row>
        <row r="280">
          <cell r="D280" t="str">
            <v>Cons.Tratam.Odontol.</v>
          </cell>
          <cell r="E280">
            <v>0</v>
          </cell>
          <cell r="F280">
            <v>0</v>
          </cell>
          <cell r="G280">
            <v>0</v>
          </cell>
          <cell r="H280">
            <v>0</v>
          </cell>
          <cell r="I280">
            <v>0</v>
          </cell>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row>
        <row r="281">
          <cell r="D281" t="str">
            <v>Serv.Comité Etica</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row>
        <row r="282">
          <cell r="D282" t="str">
            <v>Certificac.Carnetiza</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row>
        <row r="283">
          <cell r="D283" t="str">
            <v>Alojamiento, Manutencion y Otros</v>
          </cell>
          <cell r="E283">
            <v>0</v>
          </cell>
          <cell r="F283">
            <v>0</v>
          </cell>
          <cell r="G283">
            <v>0</v>
          </cell>
          <cell r="H283">
            <v>0</v>
          </cell>
          <cell r="I283">
            <v>0</v>
          </cell>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row>
        <row r="284">
          <cell r="D284" t="str">
            <v>De Provision</v>
          </cell>
          <cell r="E284">
            <v>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row>
        <row r="285">
          <cell r="D285" t="str">
            <v>Rein.Otros Cost.Gast</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row>
        <row r="286">
          <cell r="D286" t="str">
            <v>Por Siniestro</v>
          </cell>
          <cell r="E286">
            <v>0</v>
          </cell>
          <cell r="F286">
            <v>0</v>
          </cell>
          <cell r="G286">
            <v>0</v>
          </cell>
          <cell r="H286">
            <v>0</v>
          </cell>
          <cell r="I286">
            <v>0</v>
          </cell>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row>
        <row r="287">
          <cell r="D287" t="str">
            <v>AÑOS ANTERIORES</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row>
        <row r="288">
          <cell r="D288" t="str">
            <v>Acti.Relac.Educacion</v>
          </cell>
          <cell r="E288">
            <v>0</v>
          </cell>
          <cell r="F288">
            <v>0</v>
          </cell>
          <cell r="G288">
            <v>0</v>
          </cell>
          <cell r="H288">
            <v>0</v>
          </cell>
          <cell r="I288">
            <v>0</v>
          </cell>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row>
        <row r="289">
          <cell r="D289" t="str">
            <v>Servicios</v>
          </cell>
          <cell r="E289">
            <v>0</v>
          </cell>
          <cell r="F289">
            <v>0</v>
          </cell>
          <cell r="G289">
            <v>0</v>
          </cell>
          <cell r="H289">
            <v>0</v>
          </cell>
          <cell r="I289">
            <v>0</v>
          </cell>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row>
        <row r="290">
          <cell r="D290" t="str">
            <v>Recuperaciones</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row>
        <row r="291">
          <cell r="D291" t="str">
            <v>Subvenciones y Obsequios</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row>
        <row r="292">
          <cell r="D292" t="str">
            <v>OTROS INGRESOS</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row>
        <row r="293">
          <cell r="D293" t="str">
            <v>Aprovechamientos</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row>
        <row r="294">
          <cell r="D294" t="str">
            <v>Auxilios y Obsequios</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row>
        <row r="295">
          <cell r="D295" t="str">
            <v>Proyecto Investigaci</v>
          </cell>
          <cell r="E295">
            <v>0</v>
          </cell>
          <cell r="F295">
            <v>0</v>
          </cell>
          <cell r="G295">
            <v>0</v>
          </cell>
          <cell r="H295">
            <v>0</v>
          </cell>
          <cell r="I295">
            <v>0</v>
          </cell>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row>
        <row r="296">
          <cell r="D296" t="str">
            <v>Ingresos Invest. Y Desarrollo</v>
          </cell>
          <cell r="E296">
            <v>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row>
        <row r="297">
          <cell r="D297" t="str">
            <v>TOTAL INGRESOS NO OPERACIONALES</v>
          </cell>
          <cell r="E297">
            <v>219684.91999999998</v>
          </cell>
          <cell r="F297">
            <v>166877.91999999998</v>
          </cell>
          <cell r="G297">
            <v>6572</v>
          </cell>
          <cell r="H297">
            <v>20140</v>
          </cell>
          <cell r="I297">
            <v>0</v>
          </cell>
          <cell r="J297">
            <v>12190</v>
          </cell>
          <cell r="K297">
            <v>0</v>
          </cell>
          <cell r="L297">
            <v>0</v>
          </cell>
          <cell r="M297">
            <v>0</v>
          </cell>
          <cell r="N297">
            <v>13905</v>
          </cell>
          <cell r="O297">
            <v>0</v>
          </cell>
          <cell r="P297">
            <v>0</v>
          </cell>
          <cell r="Q297">
            <v>13905</v>
          </cell>
          <cell r="R297">
            <v>0</v>
          </cell>
          <cell r="S297">
            <v>0</v>
          </cell>
          <cell r="T297">
            <v>0</v>
          </cell>
          <cell r="U297">
            <v>0</v>
          </cell>
          <cell r="V297">
            <v>0</v>
          </cell>
          <cell r="W297">
            <v>0</v>
          </cell>
          <cell r="X297">
            <v>0</v>
          </cell>
          <cell r="Y297">
            <v>0</v>
          </cell>
          <cell r="Z297">
            <v>0</v>
          </cell>
          <cell r="AA297">
            <v>0</v>
          </cell>
        </row>
        <row r="298">
          <cell r="D298" t="str">
            <v>GASTOS NO OPERACIONALES DIRECTOS</v>
          </cell>
          <cell r="E298" t="str">
            <v xml:space="preserve"> </v>
          </cell>
          <cell r="F298" t="str">
            <v xml:space="preserve"> </v>
          </cell>
          <cell r="G298" t="str">
            <v xml:space="preserve"> </v>
          </cell>
          <cell r="H298" t="str">
            <v xml:space="preserve"> </v>
          </cell>
          <cell r="I298" t="str">
            <v xml:space="preserve"> </v>
          </cell>
          <cell r="J298" t="str">
            <v xml:space="preserve"> </v>
          </cell>
          <cell r="K298" t="str">
            <v xml:space="preserve"> </v>
          </cell>
          <cell r="L298" t="str">
            <v xml:space="preserve"> </v>
          </cell>
          <cell r="M298" t="str">
            <v xml:space="preserve"> </v>
          </cell>
          <cell r="N298" t="str">
            <v xml:space="preserve"> </v>
          </cell>
          <cell r="O298" t="str">
            <v xml:space="preserve"> </v>
          </cell>
          <cell r="P298" t="str">
            <v xml:space="preserve"> </v>
          </cell>
          <cell r="Q298" t="str">
            <v xml:space="preserve"> </v>
          </cell>
          <cell r="R298" t="str">
            <v xml:space="preserve"> </v>
          </cell>
          <cell r="S298" t="str">
            <v xml:space="preserve"> </v>
          </cell>
          <cell r="T298" t="str">
            <v xml:space="preserve"> </v>
          </cell>
          <cell r="U298" t="str">
            <v xml:space="preserve"> </v>
          </cell>
          <cell r="V298">
            <v>0</v>
          </cell>
          <cell r="W298" t="str">
            <v xml:space="preserve"> </v>
          </cell>
          <cell r="X298" t="str">
            <v xml:space="preserve"> </v>
          </cell>
          <cell r="Y298" t="str">
            <v xml:space="preserve"> </v>
          </cell>
          <cell r="Z298" t="str">
            <v xml:space="preserve"> </v>
          </cell>
          <cell r="AA298" t="str">
            <v xml:space="preserve"> </v>
          </cell>
        </row>
        <row r="299">
          <cell r="D299" t="str">
            <v>FINANCIEROS Y EXTRAORDINARIOS</v>
          </cell>
          <cell r="E299" t="str">
            <v xml:space="preserve"> </v>
          </cell>
          <cell r="F299" t="str">
            <v xml:space="preserve"> </v>
          </cell>
          <cell r="G299" t="str">
            <v xml:space="preserve"> </v>
          </cell>
          <cell r="H299" t="str">
            <v xml:space="preserve"> </v>
          </cell>
          <cell r="I299" t="str">
            <v xml:space="preserve"> </v>
          </cell>
          <cell r="J299" t="str">
            <v xml:space="preserve"> </v>
          </cell>
          <cell r="K299" t="str">
            <v xml:space="preserve"> </v>
          </cell>
          <cell r="L299" t="str">
            <v xml:space="preserve"> </v>
          </cell>
          <cell r="M299" t="str">
            <v xml:space="preserve"> </v>
          </cell>
          <cell r="N299" t="str">
            <v xml:space="preserve"> </v>
          </cell>
          <cell r="O299" t="str">
            <v xml:space="preserve"> </v>
          </cell>
          <cell r="P299" t="str">
            <v xml:space="preserve"> </v>
          </cell>
          <cell r="Q299" t="str">
            <v xml:space="preserve"> </v>
          </cell>
          <cell r="R299" t="str">
            <v xml:space="preserve"> </v>
          </cell>
          <cell r="S299" t="str">
            <v xml:space="preserve"> </v>
          </cell>
          <cell r="T299" t="str">
            <v xml:space="preserve"> </v>
          </cell>
          <cell r="U299" t="str">
            <v xml:space="preserve"> </v>
          </cell>
          <cell r="V299">
            <v>0</v>
          </cell>
          <cell r="W299" t="str">
            <v xml:space="preserve"> </v>
          </cell>
          <cell r="X299" t="str">
            <v xml:space="preserve"> </v>
          </cell>
          <cell r="Y299" t="str">
            <v xml:space="preserve"> </v>
          </cell>
          <cell r="Z299" t="str">
            <v xml:space="preserve"> </v>
          </cell>
          <cell r="AA299" t="str">
            <v xml:space="preserve"> </v>
          </cell>
        </row>
        <row r="300">
          <cell r="D300" t="str">
            <v>FINANCIEROS Y EXTRAORDINARIOS</v>
          </cell>
          <cell r="E300" t="str">
            <v xml:space="preserve"> </v>
          </cell>
          <cell r="F300" t="str">
            <v xml:space="preserve"> </v>
          </cell>
          <cell r="G300" t="str">
            <v xml:space="preserve"> </v>
          </cell>
          <cell r="H300" t="str">
            <v xml:space="preserve"> </v>
          </cell>
          <cell r="I300" t="str">
            <v xml:space="preserve"> </v>
          </cell>
          <cell r="J300" t="str">
            <v xml:space="preserve"> </v>
          </cell>
          <cell r="K300" t="str">
            <v xml:space="preserve"> </v>
          </cell>
          <cell r="L300" t="str">
            <v xml:space="preserve"> </v>
          </cell>
          <cell r="M300" t="str">
            <v xml:space="preserve"> </v>
          </cell>
          <cell r="N300" t="str">
            <v xml:space="preserve"> </v>
          </cell>
          <cell r="O300" t="str">
            <v xml:space="preserve"> </v>
          </cell>
          <cell r="P300" t="str">
            <v xml:space="preserve"> </v>
          </cell>
          <cell r="Q300" t="str">
            <v xml:space="preserve"> </v>
          </cell>
          <cell r="R300" t="str">
            <v xml:space="preserve"> </v>
          </cell>
          <cell r="S300" t="str">
            <v xml:space="preserve"> </v>
          </cell>
          <cell r="T300" t="str">
            <v xml:space="preserve"> </v>
          </cell>
          <cell r="U300" t="str">
            <v xml:space="preserve"> </v>
          </cell>
          <cell r="V300">
            <v>0</v>
          </cell>
          <cell r="W300" t="str">
            <v xml:space="preserve"> </v>
          </cell>
          <cell r="X300" t="str">
            <v xml:space="preserve"> </v>
          </cell>
          <cell r="Y300" t="str">
            <v xml:space="preserve"> </v>
          </cell>
          <cell r="Z300" t="str">
            <v xml:space="preserve"> </v>
          </cell>
          <cell r="AA300">
            <v>0</v>
          </cell>
        </row>
        <row r="301">
          <cell r="D301" t="str">
            <v>Gastos Bancarios</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row>
        <row r="302">
          <cell r="D302" t="str">
            <v>Cheq.Libreta Papeler</v>
          </cell>
          <cell r="E302">
            <v>0</v>
          </cell>
          <cell r="F302">
            <v>0</v>
          </cell>
          <cell r="G302">
            <v>0</v>
          </cell>
          <cell r="H302">
            <v>0</v>
          </cell>
          <cell r="I302">
            <v>0</v>
          </cell>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row>
        <row r="303">
          <cell r="D303" t="str">
            <v>Servicios Remesas</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row>
        <row r="304">
          <cell r="D304" t="str">
            <v>Cuota Man.Tarjet.Emp</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row>
        <row r="305">
          <cell r="D305" t="str">
            <v>Comisiones</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row>
        <row r="306">
          <cell r="D306" t="str">
            <v>Intereses Ordinarios</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row>
        <row r="307">
          <cell r="D307" t="str">
            <v>Intereses por Mora</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row>
        <row r="308">
          <cell r="D308" t="str">
            <v>Diferencia en Cambio</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row>
        <row r="309">
          <cell r="D309" t="str">
            <v>Actividades culturales y Civicas</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row>
        <row r="310">
          <cell r="D310" t="str">
            <v>Costos y Gastos Ejercicios Anteriores</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row>
        <row r="311">
          <cell r="D311" t="str">
            <v>Gastos Rel.Educacion</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row>
        <row r="312">
          <cell r="D312" t="str">
            <v>Gastos de Personal</v>
          </cell>
          <cell r="E312">
            <v>0</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row>
        <row r="313">
          <cell r="D313" t="str">
            <v>Honorarios</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row>
        <row r="314">
          <cell r="D314" t="str">
            <v>Contrib.Afiliaciones</v>
          </cell>
          <cell r="E314">
            <v>0</v>
          </cell>
          <cell r="F314">
            <v>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row>
        <row r="315">
          <cell r="D315" t="str">
            <v>Otros Servicios</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row>
        <row r="316">
          <cell r="D316" t="str">
            <v>Diversos</v>
          </cell>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row>
        <row r="317">
          <cell r="D317" t="str">
            <v>Impuestos Asumidos</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row>
        <row r="318">
          <cell r="D318" t="str">
            <v>Convenios</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row>
        <row r="319">
          <cell r="D319" t="str">
            <v>Auxilios Educativos</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row>
        <row r="320">
          <cell r="D320" t="str">
            <v>Becas</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row>
        <row r="321">
          <cell r="D321" t="str">
            <v>Apoyo Movilidad Academica</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row>
        <row r="322">
          <cell r="D322" t="str">
            <v>Apoyo Fondo Sostenibilidad</v>
          </cell>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row>
        <row r="323">
          <cell r="D323" t="str">
            <v>Donaciones, Apoyos, patrocinio</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row>
        <row r="324">
          <cell r="D324" t="str">
            <v>Vent.Utile.Mater.Var</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row>
        <row r="325">
          <cell r="D325" t="str">
            <v>Diversos</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row>
        <row r="326">
          <cell r="D326" t="str">
            <v>TOTAL GASTOS NO OPERACIONALES</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row>
        <row r="327">
          <cell r="D327" t="str">
            <v>RDTO NO OPERACIONAL</v>
          </cell>
          <cell r="E327">
            <v>219684.91999999998</v>
          </cell>
          <cell r="F327">
            <v>166877.91999999998</v>
          </cell>
          <cell r="G327">
            <v>6572</v>
          </cell>
          <cell r="H327">
            <v>20140</v>
          </cell>
          <cell r="I327">
            <v>0</v>
          </cell>
          <cell r="J327">
            <v>12190</v>
          </cell>
          <cell r="K327">
            <v>0</v>
          </cell>
          <cell r="L327">
            <v>0</v>
          </cell>
          <cell r="M327">
            <v>0</v>
          </cell>
          <cell r="N327">
            <v>13905</v>
          </cell>
          <cell r="O327">
            <v>0</v>
          </cell>
          <cell r="P327">
            <v>0</v>
          </cell>
          <cell r="Q327">
            <v>13905</v>
          </cell>
          <cell r="R327">
            <v>0</v>
          </cell>
          <cell r="S327">
            <v>0</v>
          </cell>
          <cell r="T327">
            <v>0</v>
          </cell>
          <cell r="U327">
            <v>0</v>
          </cell>
          <cell r="V327">
            <v>0</v>
          </cell>
          <cell r="W327">
            <v>0</v>
          </cell>
          <cell r="X327">
            <v>0</v>
          </cell>
          <cell r="Y327">
            <v>0</v>
          </cell>
          <cell r="Z327">
            <v>0</v>
          </cell>
          <cell r="AA327">
            <v>0</v>
          </cell>
        </row>
        <row r="328">
          <cell r="D328" t="str">
            <v>RDTO NETO</v>
          </cell>
          <cell r="E328">
            <v>603750.90037112124</v>
          </cell>
          <cell r="F328">
            <v>257641.33382999996</v>
          </cell>
          <cell r="G328">
            <v>3698.6450415999861</v>
          </cell>
          <cell r="H328">
            <v>36098.627808000019</v>
          </cell>
          <cell r="I328">
            <v>11181.172571999996</v>
          </cell>
          <cell r="J328">
            <v>2498.5510200000026</v>
          </cell>
          <cell r="K328">
            <v>154743.28267999995</v>
          </cell>
          <cell r="L328">
            <v>7532.7433599999931</v>
          </cell>
          <cell r="M328">
            <v>6718.9344000000128</v>
          </cell>
          <cell r="N328">
            <v>86769.657804799965</v>
          </cell>
          <cell r="O328">
            <v>231.34335999999894</v>
          </cell>
          <cell r="P328">
            <v>5619</v>
          </cell>
          <cell r="Q328">
            <v>60862.908672000049</v>
          </cell>
          <cell r="R328">
            <v>20056.40577279999</v>
          </cell>
          <cell r="S328">
            <v>0</v>
          </cell>
          <cell r="T328">
            <v>0</v>
          </cell>
          <cell r="U328">
            <v>34823.226727999994</v>
          </cell>
          <cell r="V328">
            <v>5619</v>
          </cell>
          <cell r="W328">
            <v>-58185.056599999996</v>
          </cell>
          <cell r="X328">
            <v>2275.649312</v>
          </cell>
          <cell r="Y328">
            <v>30972.367381999997</v>
          </cell>
          <cell r="Z328">
            <v>21362.15009000001</v>
          </cell>
          <cell r="AA328">
            <v>0.61494272213894874</v>
          </cell>
        </row>
        <row r="329">
          <cell r="D329" t="str">
            <v>INVERSIONES UNIDADES ACADEMICAS</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row>
        <row r="330">
          <cell r="D330" t="str">
            <v>Muebles y Enseres</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row>
        <row r="331">
          <cell r="D331" t="str">
            <v>Equipos de Computo -Tecnologia-licencias-Sotfware</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row>
        <row r="332">
          <cell r="D332" t="str">
            <v>Equipos Medicos-Odontologicos-Laboratorios-Otros</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row>
        <row r="333">
          <cell r="D333" t="str">
            <v xml:space="preserve"> Adecuaciones Locativas</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row>
        <row r="334">
          <cell r="D334" t="str">
            <v>TOTAL INVERSIONES UNIDAD ACADEMICA</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row>
        <row r="335">
          <cell r="D335" t="str">
            <v>INVERSIONES INSTITUCIONALES</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row>
        <row r="336">
          <cell r="D336" t="str">
            <v>Adquisicion Propiedades Campus Calle 134</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row>
        <row r="337">
          <cell r="D337" t="str">
            <v>Desarrollo Segundo Campus</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row>
        <row r="338">
          <cell r="D338" t="str">
            <v>PLAN DE MEJORA Y DESARROLLO INSTITUCIONAL</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row>
        <row r="339">
          <cell r="D339" t="str">
            <v>Clinica Nueva</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row>
        <row r="340">
          <cell r="D340" t="str">
            <v>TOTAL INVERSIONES INSTITUCIONALES</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row>
        <row r="341">
          <cell r="D341" t="str">
            <v xml:space="preserve">TOTAL INVERSIONES </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row>
        <row r="342">
          <cell r="D342" t="str">
            <v>Recursos de Credito</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row>
        <row r="343">
          <cell r="D343" t="str">
            <v>Recursos de Balance</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row>
        <row r="344">
          <cell r="D344" t="str">
            <v>Cuota Credito</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row>
        <row r="345">
          <cell r="D345" t="str">
            <v>RENDIMIENTO O SUBVENCION PRESUPUESTAL</v>
          </cell>
          <cell r="E345">
            <v>603750.90037112124</v>
          </cell>
          <cell r="F345">
            <v>257641.33382999996</v>
          </cell>
          <cell r="G345">
            <v>3698.6450415999861</v>
          </cell>
          <cell r="H345">
            <v>36098.627808000019</v>
          </cell>
          <cell r="I345">
            <v>11181.172571999996</v>
          </cell>
          <cell r="J345">
            <v>2498.5510200000026</v>
          </cell>
          <cell r="K345">
            <v>154743.28267999995</v>
          </cell>
          <cell r="L345">
            <v>7532.7433599999931</v>
          </cell>
          <cell r="M345">
            <v>6718.9344000000128</v>
          </cell>
          <cell r="N345">
            <v>86769.657804799965</v>
          </cell>
          <cell r="O345">
            <v>231.34335999999894</v>
          </cell>
          <cell r="P345">
            <v>5619</v>
          </cell>
          <cell r="Q345">
            <v>60862.908672000049</v>
          </cell>
          <cell r="R345">
            <v>20056.40577279999</v>
          </cell>
          <cell r="S345">
            <v>0</v>
          </cell>
          <cell r="T345">
            <v>0</v>
          </cell>
          <cell r="U345">
            <v>34823.226727999994</v>
          </cell>
          <cell r="V345">
            <v>5619</v>
          </cell>
          <cell r="W345">
            <v>-58185.056599999996</v>
          </cell>
          <cell r="X345">
            <v>2275.649312</v>
          </cell>
          <cell r="Y345">
            <v>30972.367381999997</v>
          </cell>
          <cell r="Z345">
            <v>21362.15009000001</v>
          </cell>
          <cell r="AA345">
            <v>0.61494272213894874</v>
          </cell>
        </row>
        <row r="346">
          <cell r="H346">
            <v>0</v>
          </cell>
        </row>
        <row r="347">
          <cell r="E347">
            <v>690520.55817592202</v>
          </cell>
        </row>
        <row r="348">
          <cell r="D348" t="str">
            <v>PORC. DE GASTOS DE NOMINA / ING OPERACIO.</v>
          </cell>
          <cell r="E348">
            <v>0.12861713840949301</v>
          </cell>
          <cell r="F348">
            <v>0</v>
          </cell>
          <cell r="G348">
            <v>0</v>
          </cell>
          <cell r="H348">
            <v>0</v>
          </cell>
          <cell r="I348">
            <v>0</v>
          </cell>
          <cell r="J348">
            <v>0</v>
          </cell>
          <cell r="K348">
            <v>0</v>
          </cell>
          <cell r="L348">
            <v>0</v>
          </cell>
          <cell r="M348">
            <v>0</v>
          </cell>
          <cell r="N348">
            <v>0</v>
          </cell>
          <cell r="O348">
            <v>0</v>
          </cell>
          <cell r="P348">
            <v>0</v>
          </cell>
          <cell r="Q348">
            <v>0</v>
          </cell>
          <cell r="R348">
            <v>0</v>
          </cell>
          <cell r="S348" t="e">
            <v>#DIV/0!</v>
          </cell>
          <cell r="T348" t="e">
            <v>#DIV/0!</v>
          </cell>
          <cell r="U348">
            <v>0</v>
          </cell>
          <cell r="V348">
            <v>0</v>
          </cell>
          <cell r="W348" t="e">
            <v>#DIV/0!</v>
          </cell>
          <cell r="X348">
            <v>0</v>
          </cell>
          <cell r="Y348">
            <v>0</v>
          </cell>
          <cell r="Z348">
            <v>0</v>
          </cell>
          <cell r="AA348">
            <v>486.41943170862737</v>
          </cell>
        </row>
        <row r="349">
          <cell r="D349" t="str">
            <v>PORC. DE GASTOS DE NOMINA / ING TOTALES</v>
          </cell>
          <cell r="E349">
            <v>0.12209262596737841</v>
          </cell>
          <cell r="F349">
            <v>0</v>
          </cell>
          <cell r="G349">
            <v>0</v>
          </cell>
          <cell r="H349">
            <v>0</v>
          </cell>
          <cell r="I349">
            <v>0</v>
          </cell>
          <cell r="J349">
            <v>0</v>
          </cell>
          <cell r="K349">
            <v>0</v>
          </cell>
          <cell r="L349">
            <v>0</v>
          </cell>
          <cell r="M349">
            <v>0</v>
          </cell>
          <cell r="N349">
            <v>0</v>
          </cell>
          <cell r="O349">
            <v>0</v>
          </cell>
          <cell r="P349">
            <v>0</v>
          </cell>
          <cell r="Q349">
            <v>0</v>
          </cell>
          <cell r="R349">
            <v>0</v>
          </cell>
          <cell r="S349" t="e">
            <v>#DIV/0!</v>
          </cell>
          <cell r="T349" t="e">
            <v>#DIV/0!</v>
          </cell>
          <cell r="U349">
            <v>0</v>
          </cell>
          <cell r="V349">
            <v>0</v>
          </cell>
          <cell r="W349" t="e">
            <v>#DIV/0!</v>
          </cell>
          <cell r="X349">
            <v>0</v>
          </cell>
          <cell r="Y349">
            <v>0</v>
          </cell>
          <cell r="Z349">
            <v>0</v>
          </cell>
          <cell r="AA349">
            <v>486.41943170862737</v>
          </cell>
        </row>
        <row r="350">
          <cell r="D350" t="str">
            <v>PORC. DE GASTOS HONORARIOS / ING OPERAC.</v>
          </cell>
          <cell r="E350">
            <v>0.38839379121747086</v>
          </cell>
          <cell r="F350">
            <v>0.36611359571487789</v>
          </cell>
          <cell r="G350">
            <v>0.23452441767970025</v>
          </cell>
          <cell r="H350">
            <v>0.28728554639686377</v>
          </cell>
          <cell r="I350">
            <v>0.41075926704650684</v>
          </cell>
          <cell r="J350">
            <v>0.52068451982364694</v>
          </cell>
          <cell r="K350">
            <v>0.3613822425182765</v>
          </cell>
          <cell r="L350">
            <v>0.53316710204081641</v>
          </cell>
          <cell r="M350">
            <v>0.44780838281122026</v>
          </cell>
          <cell r="N350">
            <v>0.43311590098636232</v>
          </cell>
          <cell r="O350">
            <v>0.59381770325466587</v>
          </cell>
          <cell r="P350">
            <v>0.46250000000000002</v>
          </cell>
          <cell r="Q350">
            <v>0.40870047178551894</v>
          </cell>
          <cell r="R350">
            <v>0.38253034588824231</v>
          </cell>
          <cell r="S350" t="e">
            <v>#DIV/0!</v>
          </cell>
          <cell r="T350" t="e">
            <v>#DIV/0!</v>
          </cell>
          <cell r="U350">
            <v>0.37959251000791416</v>
          </cell>
          <cell r="V350">
            <v>0.46250000000000002</v>
          </cell>
          <cell r="W350" t="e">
            <v>#DIV/0!</v>
          </cell>
          <cell r="X350">
            <v>0.25</v>
          </cell>
          <cell r="Y350">
            <v>0.44909696361641371</v>
          </cell>
          <cell r="Z350">
            <v>0.44888625290561485</v>
          </cell>
          <cell r="AA350">
            <v>0</v>
          </cell>
        </row>
        <row r="351">
          <cell r="D351" t="str">
            <v>PORC. DE COSTOS INDIRECTOS / ING OPERAC</v>
          </cell>
          <cell r="E351" t="str">
            <v xml:space="preserve"> </v>
          </cell>
          <cell r="F351">
            <v>0.31409529571348072</v>
          </cell>
          <cell r="G351">
            <v>0.29513417893556521</v>
          </cell>
          <cell r="H351">
            <v>0.29059145938346664</v>
          </cell>
          <cell r="I351">
            <v>0.22719279213011889</v>
          </cell>
          <cell r="J351">
            <v>0.27824030942138844</v>
          </cell>
          <cell r="K351">
            <v>0.2547645643943553</v>
          </cell>
          <cell r="L351">
            <v>0.30626969591836739</v>
          </cell>
          <cell r="M351">
            <v>0.2267666068863203</v>
          </cell>
          <cell r="N351">
            <v>0.26080560221905996</v>
          </cell>
          <cell r="O351">
            <v>0.31033349244123803</v>
          </cell>
          <cell r="P351">
            <v>0.14702499999999999</v>
          </cell>
          <cell r="Q351">
            <v>0.2631183307439971</v>
          </cell>
          <cell r="R351">
            <v>0.25128719457557841</v>
          </cell>
          <cell r="S351" t="e">
            <v>#DIV/0!</v>
          </cell>
          <cell r="T351" t="e">
            <v>#DIV/0!</v>
          </cell>
          <cell r="U351">
            <v>0.19418268905161087</v>
          </cell>
          <cell r="V351">
            <v>0.14702499999999999</v>
          </cell>
          <cell r="W351" t="e">
            <v>#DIV/0!</v>
          </cell>
          <cell r="X351">
            <v>0.2349608</v>
          </cell>
          <cell r="Y351">
            <v>0.22250601673047693</v>
          </cell>
          <cell r="Z351">
            <v>0.22747343612155271</v>
          </cell>
          <cell r="AA351">
            <v>-498.57019998160087</v>
          </cell>
        </row>
        <row r="352">
          <cell r="D352" t="str">
            <v>PORC. DE COSTOS INDIRECTOS / ING TOTALES</v>
          </cell>
          <cell r="E352" t="str">
            <v xml:space="preserve"> </v>
          </cell>
          <cell r="F352">
            <v>0.27897578559711439</v>
          </cell>
          <cell r="G352">
            <v>0.28242796186867597</v>
          </cell>
          <cell r="H352">
            <v>0.26311465926854649</v>
          </cell>
          <cell r="I352">
            <v>0.22719279213011889</v>
          </cell>
          <cell r="J352">
            <v>0.16832235304030518</v>
          </cell>
          <cell r="K352">
            <v>0.2547645643943553</v>
          </cell>
          <cell r="L352">
            <v>0.30626969591836739</v>
          </cell>
          <cell r="M352">
            <v>0.2267666068863203</v>
          </cell>
          <cell r="N352">
            <v>0.25543297298568174</v>
          </cell>
          <cell r="O352">
            <v>0.31033349244123803</v>
          </cell>
          <cell r="P352">
            <v>0.14702499999999999</v>
          </cell>
          <cell r="Q352">
            <v>0.25514962396801766</v>
          </cell>
          <cell r="R352">
            <v>0.25128719457557841</v>
          </cell>
          <cell r="S352" t="e">
            <v>#DIV/0!</v>
          </cell>
          <cell r="T352" t="e">
            <v>#DIV/0!</v>
          </cell>
          <cell r="U352">
            <v>0.19418268905161087</v>
          </cell>
          <cell r="V352">
            <v>0.14702499999999999</v>
          </cell>
          <cell r="W352" t="e">
            <v>#DIV/0!</v>
          </cell>
          <cell r="X352">
            <v>0.2349608</v>
          </cell>
          <cell r="Y352">
            <v>0.22250601673047693</v>
          </cell>
          <cell r="Z352">
            <v>0.22747343612155271</v>
          </cell>
          <cell r="AA352">
            <v>-498.57019998160087</v>
          </cell>
        </row>
        <row r="353">
          <cell r="D353" t="str">
            <v>PORC. RENDIMIENTO NETO / ING TOTALES</v>
          </cell>
          <cell r="E353">
            <v>0.13941412134841527</v>
          </cell>
          <cell r="F353">
            <v>0.17262499470348733</v>
          </cell>
          <cell r="G353">
            <v>2.4229355522451718E-2</v>
          </cell>
          <cell r="H353">
            <v>0.16947847045200781</v>
          </cell>
          <cell r="I353">
            <v>0.12180855372414014</v>
          </cell>
          <cell r="J353">
            <v>8.097167329399077E-2</v>
          </cell>
          <cell r="K353">
            <v>0.20131289896809873</v>
          </cell>
          <cell r="L353">
            <v>7.6864728163265242E-2</v>
          </cell>
          <cell r="M353">
            <v>7.0097770599963194E-2</v>
          </cell>
          <cell r="N353">
            <v>0.12854845057142947</v>
          </cell>
          <cell r="O353">
            <v>2.6291826626935028E-3</v>
          </cell>
          <cell r="P353">
            <v>0.14047499999999999</v>
          </cell>
          <cell r="Q353">
            <v>0.13256181803569164</v>
          </cell>
          <cell r="R353">
            <v>0.2282336180635014</v>
          </cell>
          <cell r="S353" t="e">
            <v>#DIV/0!</v>
          </cell>
          <cell r="T353" t="e">
            <v>#DIV/0!</v>
          </cell>
          <cell r="U353">
            <v>0.26756841669804138</v>
          </cell>
          <cell r="V353">
            <v>0.14047499999999999</v>
          </cell>
          <cell r="W353" t="e">
            <v>#DIV/0!</v>
          </cell>
          <cell r="X353">
            <v>0.35780649559748429</v>
          </cell>
          <cell r="Y353">
            <v>0.19608960845664705</v>
          </cell>
          <cell r="Z353">
            <v>5.6697070347705596E-2</v>
          </cell>
          <cell r="AA353">
            <v>5.6572467538081766E-4</v>
          </cell>
        </row>
        <row r="354">
          <cell r="D354" t="str">
            <v>PORC. DE RENDIM PTAL / ING TOTALES</v>
          </cell>
          <cell r="E354">
            <v>0.13941412134841527</v>
          </cell>
          <cell r="F354">
            <v>0.17262499470348733</v>
          </cell>
          <cell r="G354">
            <v>2.4229355522451718E-2</v>
          </cell>
          <cell r="H354">
            <v>0.16947847045200781</v>
          </cell>
          <cell r="I354">
            <v>0.12180855372414014</v>
          </cell>
          <cell r="J354">
            <v>8.097167329399077E-2</v>
          </cell>
          <cell r="K354">
            <v>0.20131289896809873</v>
          </cell>
          <cell r="L354">
            <v>7.6864728163265242E-2</v>
          </cell>
          <cell r="M354">
            <v>7.0097770599963194E-2</v>
          </cell>
          <cell r="N354">
            <v>0.12854845057142947</v>
          </cell>
          <cell r="O354">
            <v>2.6291826626935028E-3</v>
          </cell>
          <cell r="P354">
            <v>0.14047499999999999</v>
          </cell>
          <cell r="Q354">
            <v>0.13256181803569164</v>
          </cell>
          <cell r="R354">
            <v>0.2282336180635014</v>
          </cell>
          <cell r="S354" t="e">
            <v>#DIV/0!</v>
          </cell>
          <cell r="T354" t="e">
            <v>#DIV/0!</v>
          </cell>
          <cell r="U354">
            <v>0.26756841669804138</v>
          </cell>
          <cell r="V354">
            <v>0.14047499999999999</v>
          </cell>
          <cell r="W354" t="e">
            <v>#DIV/0!</v>
          </cell>
          <cell r="X354">
            <v>0.35780649559748429</v>
          </cell>
          <cell r="Y354">
            <v>0.19608960845664705</v>
          </cell>
          <cell r="Z354">
            <v>5.6697070347705596E-2</v>
          </cell>
          <cell r="AA354">
            <v>5.6572467538081766E-4</v>
          </cell>
        </row>
        <row r="355">
          <cell r="D355" t="str">
            <v>PORC. INVERSIONES UNID ACADEM/ING.OPERAC.</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t="e">
            <v>#DIV/0!</v>
          </cell>
          <cell r="T355" t="e">
            <v>#DIV/0!</v>
          </cell>
          <cell r="U355">
            <v>0</v>
          </cell>
          <cell r="V355">
            <v>0</v>
          </cell>
          <cell r="W355" t="e">
            <v>#DIV/0!</v>
          </cell>
          <cell r="X355">
            <v>0</v>
          </cell>
          <cell r="Y355">
            <v>0</v>
          </cell>
          <cell r="Z355">
            <v>0</v>
          </cell>
          <cell r="AA355">
            <v>0</v>
          </cell>
        </row>
        <row r="356">
          <cell r="D356" t="str">
            <v>PORC. INVERSIONES UNID ACADEM/ING.TOTAL</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t="e">
            <v>#DIV/0!</v>
          </cell>
          <cell r="T356" t="e">
            <v>#DIV/0!</v>
          </cell>
          <cell r="U356">
            <v>0</v>
          </cell>
          <cell r="V356">
            <v>0</v>
          </cell>
          <cell r="W356" t="e">
            <v>#DIV/0!</v>
          </cell>
          <cell r="X356">
            <v>0</v>
          </cell>
          <cell r="Y356">
            <v>0</v>
          </cell>
          <cell r="Z356">
            <v>0</v>
          </cell>
          <cell r="AA356">
            <v>0</v>
          </cell>
        </row>
        <row r="357">
          <cell r="D357" t="str">
            <v>PORC. INVERSIONES INSTITUCIONAL/ING.OPERAC</v>
          </cell>
          <cell r="E357">
            <v>0</v>
          </cell>
        </row>
        <row r="358">
          <cell r="D358" t="str">
            <v>PORC. INVERSIONES INSTITUCIONAL/ING.TOTAL</v>
          </cell>
          <cell r="E358">
            <v>0</v>
          </cell>
        </row>
        <row r="359">
          <cell r="D359" t="str">
            <v>PORC. INVERSIONES /ING.OPERAC</v>
          </cell>
          <cell r="E359">
            <v>0</v>
          </cell>
        </row>
        <row r="360">
          <cell r="D360" t="str">
            <v>PORC. INVERSIONES INSTITUCIONAL/ING.TOTAL</v>
          </cell>
          <cell r="E360">
            <v>0</v>
          </cell>
        </row>
        <row r="361">
          <cell r="E361">
            <v>0</v>
          </cell>
        </row>
        <row r="362">
          <cell r="D362">
            <v>0</v>
          </cell>
          <cell r="E362">
            <v>0</v>
          </cell>
          <cell r="F362">
            <v>0</v>
          </cell>
          <cell r="G362">
            <v>0</v>
          </cell>
          <cell r="H362">
            <v>0</v>
          </cell>
          <cell r="I362">
            <v>0</v>
          </cell>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row>
        <row r="363">
          <cell r="E363">
            <v>0</v>
          </cell>
        </row>
      </sheetData>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efreshError="1"/>
      <sheetData sheetId="1">
        <row r="1">
          <cell r="A1" t="str">
            <v>ANALISTA PROGRAMADOR 1</v>
          </cell>
        </row>
        <row r="2">
          <cell r="A2" t="str">
            <v>ANALISTA PROGRAMADOR 2</v>
          </cell>
        </row>
        <row r="3">
          <cell r="A3" t="str">
            <v>ANALISTA PROGRAMADOR 3</v>
          </cell>
        </row>
        <row r="4">
          <cell r="A4" t="str">
            <v>ANALISTAS DE CALIDAD</v>
          </cell>
        </row>
        <row r="5">
          <cell r="A5" t="str">
            <v>ANALISTAS DE DOCUMENTACION</v>
          </cell>
        </row>
        <row r="6">
          <cell r="A6" t="str">
            <v>ANALISTAS DE INVESTIGACION</v>
          </cell>
        </row>
        <row r="7">
          <cell r="A7" t="str">
            <v>ANALISTAS DE PROCESOS</v>
          </cell>
        </row>
        <row r="8">
          <cell r="A8" t="str">
            <v>AUXILIAR ADMINISTRATIVO Y FINANCIERO</v>
          </cell>
        </row>
        <row r="9">
          <cell r="A9" t="str">
            <v>AUXILIAR DE INFRAESTRUCTURA Y SERVICIOS</v>
          </cell>
        </row>
        <row r="10">
          <cell r="A10" t="str">
            <v>DISEÑADOR GRAFICO</v>
          </cell>
        </row>
        <row r="11">
          <cell r="A11" t="str">
            <v>EJECUTIVO DE TALENTO HUMANO</v>
          </cell>
        </row>
        <row r="12">
          <cell r="A12" t="str">
            <v>GERENTE GENERAL</v>
          </cell>
        </row>
        <row r="13">
          <cell r="A13" t="str">
            <v>GERENTE REGIONAL</v>
          </cell>
        </row>
        <row r="14">
          <cell r="A14" t="str">
            <v>JEFE ADMINISTRATIVO Y FINANCIERO</v>
          </cell>
        </row>
        <row r="15">
          <cell r="A15" t="str">
            <v>JEFE DE CALIDAD DEL SOFTWARE</v>
          </cell>
        </row>
        <row r="16">
          <cell r="A16" t="str">
            <v>JEFE DE DESARROLLO</v>
          </cell>
        </row>
        <row r="17">
          <cell r="A17" t="str">
            <v>JEFE DE INFRAESTRUCTURA Y SERVICIOS</v>
          </cell>
        </row>
        <row r="18">
          <cell r="A18" t="str">
            <v>JEFE DE INVESTIGACION</v>
          </cell>
        </row>
        <row r="19">
          <cell r="A19" t="str">
            <v>JEFE DE PROCESOS Y CALIDAD</v>
          </cell>
        </row>
        <row r="20">
          <cell r="A20" t="str">
            <v>LIDER ADMINISTRATIVO</v>
          </cell>
        </row>
        <row r="21">
          <cell r="A21" t="str">
            <v>LIDER DE PROYECTOS 1</v>
          </cell>
        </row>
        <row r="22">
          <cell r="A22" t="str">
            <v>LIDER DE PROYECTOS 2</v>
          </cell>
        </row>
        <row r="23">
          <cell r="A23" t="str">
            <v>SECRETARIA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RESUPUESTO"/>
      <sheetName val="RES.GESTION"/>
      <sheetName val="ALUMNOS"/>
      <sheetName val="MAT."/>
      <sheetName val="NOMINA"/>
      <sheetName val="HONORARIOS"/>
      <sheetName val="CONVENIOS"/>
      <sheetName val="EDUC.CONT."/>
      <sheetName val="ASESOR.Y.CONSULT."/>
      <sheetName val="PROY INVEST."/>
      <sheetName val="P.PROY.SOCIAL"/>
      <sheetName val="GEST.REC.HUM."/>
      <sheetName val="OTROS PROY."/>
      <sheetName val="SALIDAS"/>
      <sheetName val="BIBLIOTECA"/>
      <sheetName val="AFILIACIONES"/>
      <sheetName val="IMPRESOS.PUBLIC"/>
      <sheetName val="MANTEN.EQUIP."/>
      <sheetName val="INVER.EQUIPO.COMP"/>
      <sheetName val="INVER.OTROS.EQUIPOS"/>
      <sheetName val="INVER.MUEBLES"/>
      <sheetName val="ADECUAC.LOCATIVAS"/>
      <sheetName val="Hoja1"/>
      <sheetName val="Base 1"/>
      <sheetName val="Base 2"/>
      <sheetName val="Base 3"/>
      <sheetName val="BA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9">
          <cell r="B19">
            <v>0</v>
          </cell>
          <cell r="C19">
            <v>1</v>
          </cell>
          <cell r="D19" t="str">
            <v>NO APLICA</v>
          </cell>
        </row>
        <row r="20">
          <cell r="B20">
            <v>38</v>
          </cell>
          <cell r="C20">
            <v>2</v>
          </cell>
          <cell r="D20" t="str">
            <v>PROFESOR TITULAR</v>
          </cell>
        </row>
        <row r="21">
          <cell r="B21">
            <v>39</v>
          </cell>
          <cell r="C21">
            <v>3</v>
          </cell>
          <cell r="D21" t="str">
            <v>PROFESOR ESPECIAL</v>
          </cell>
        </row>
        <row r="22">
          <cell r="B22">
            <v>40</v>
          </cell>
          <cell r="C22">
            <v>4</v>
          </cell>
          <cell r="D22" t="str">
            <v>PROFESOR ASOCIADO</v>
          </cell>
        </row>
        <row r="23">
          <cell r="B23">
            <v>41</v>
          </cell>
          <cell r="C23">
            <v>5</v>
          </cell>
          <cell r="D23" t="str">
            <v>PROFESOR  ASISTENTE</v>
          </cell>
        </row>
        <row r="24">
          <cell r="B24">
            <v>42</v>
          </cell>
          <cell r="C24">
            <v>6</v>
          </cell>
          <cell r="D24" t="str">
            <v>INSTRUCTOR ASOCIADO</v>
          </cell>
        </row>
        <row r="25">
          <cell r="B25">
            <v>43</v>
          </cell>
          <cell r="C25">
            <v>7</v>
          </cell>
          <cell r="D25" t="str">
            <v>INSTRUCTOR ASISTENTE</v>
          </cell>
        </row>
        <row r="26">
          <cell r="B26">
            <v>36</v>
          </cell>
          <cell r="D26" t="str">
            <v>JOVEN INVESTIGADOR</v>
          </cell>
        </row>
        <row r="27">
          <cell r="B27">
            <v>45</v>
          </cell>
          <cell r="D27" t="str">
            <v>SERVICIO SOCIAL OBLIG.</v>
          </cell>
        </row>
        <row r="28">
          <cell r="B28">
            <v>46</v>
          </cell>
          <cell r="D28" t="str">
            <v>MONITOR</v>
          </cell>
        </row>
        <row r="29">
          <cell r="B29">
            <v>49</v>
          </cell>
          <cell r="D29" t="str">
            <v>INSTRUCTOR</v>
          </cell>
        </row>
        <row r="30">
          <cell r="B30">
            <v>50</v>
          </cell>
          <cell r="D30" t="str">
            <v>PROFESOR</v>
          </cell>
        </row>
        <row r="31">
          <cell r="B31">
            <v>51</v>
          </cell>
          <cell r="D31" t="str">
            <v>DOCENTE</v>
          </cell>
        </row>
        <row r="32">
          <cell r="B32">
            <v>72</v>
          </cell>
          <cell r="D32" t="str">
            <v>PROF. BIENESTAR UNIV.</v>
          </cell>
        </row>
        <row r="33">
          <cell r="B33">
            <v>78</v>
          </cell>
          <cell r="D33" t="str">
            <v>ORQUESTA SINFONICA</v>
          </cell>
        </row>
        <row r="34">
          <cell r="B34">
            <v>80</v>
          </cell>
          <cell r="D34" t="str">
            <v>INVESTIGADOR</v>
          </cell>
        </row>
      </sheetData>
      <sheetData sheetId="25">
        <row r="3">
          <cell r="G3" t="str">
            <v>Operativo</v>
          </cell>
        </row>
        <row r="4">
          <cell r="G4" t="str">
            <v>Mejoramiento</v>
          </cell>
        </row>
        <row r="5">
          <cell r="G5" t="str">
            <v>Gestion</v>
          </cell>
        </row>
        <row r="15">
          <cell r="B15">
            <v>1</v>
          </cell>
          <cell r="C15" t="str">
            <v>SEMESTRAL</v>
          </cell>
        </row>
        <row r="16">
          <cell r="B16">
            <v>2</v>
          </cell>
          <cell r="C16" t="str">
            <v>ANUAL</v>
          </cell>
        </row>
        <row r="17">
          <cell r="B17">
            <v>3</v>
          </cell>
          <cell r="C17" t="str">
            <v>INDEFINIDO</v>
          </cell>
        </row>
      </sheetData>
      <sheetData sheetId="26"/>
      <sheetData sheetId="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RESUPUESTO"/>
      <sheetName val="RES.GESTION"/>
      <sheetName val="ALUMNOS"/>
      <sheetName val="MAT."/>
      <sheetName val="NOMINA"/>
      <sheetName val="HONORARIOS"/>
      <sheetName val="CONVENIOS"/>
      <sheetName val="EDUC.CONT."/>
      <sheetName val="ASESOR.Y.CONSULT."/>
      <sheetName val="PROY INVEST."/>
      <sheetName val="P.PROY.SOCIAL"/>
      <sheetName val="GEST.REC.HUM."/>
      <sheetName val="OTROS PROY."/>
      <sheetName val="SALIDAS"/>
      <sheetName val="BIBLIOTECA"/>
      <sheetName val="AFILIACIONES"/>
      <sheetName val="IMPRESOS.PUBLIC"/>
      <sheetName val="MANTEN.EQUIP."/>
      <sheetName val="INVER.EQUIPO.COMP"/>
      <sheetName val="INVER.OTROS.EQUIPOS"/>
      <sheetName val="INVER.MUEBLES"/>
      <sheetName val="ADECUAC.LOCATIVAS"/>
      <sheetName val="Hoja1"/>
      <sheetName val="Base 1"/>
      <sheetName val="Base 2"/>
      <sheetName val="Base 3"/>
      <sheetName val="BA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9">
          <cell r="B19">
            <v>0</v>
          </cell>
          <cell r="C19">
            <v>1</v>
          </cell>
          <cell r="D19" t="str">
            <v>NO APLICA</v>
          </cell>
        </row>
        <row r="20">
          <cell r="B20">
            <v>38</v>
          </cell>
          <cell r="C20">
            <v>2</v>
          </cell>
          <cell r="D20" t="str">
            <v>PROFESOR TITULAR</v>
          </cell>
        </row>
        <row r="21">
          <cell r="B21">
            <v>39</v>
          </cell>
          <cell r="C21">
            <v>3</v>
          </cell>
          <cell r="D21" t="str">
            <v>PROFESOR ESPECIAL</v>
          </cell>
        </row>
        <row r="22">
          <cell r="B22">
            <v>40</v>
          </cell>
          <cell r="C22">
            <v>4</v>
          </cell>
          <cell r="D22" t="str">
            <v>PROFESOR ASOCIADO</v>
          </cell>
        </row>
        <row r="23">
          <cell r="B23">
            <v>41</v>
          </cell>
          <cell r="C23">
            <v>5</v>
          </cell>
          <cell r="D23" t="str">
            <v>PROFESOR  ASISTENTE</v>
          </cell>
        </row>
        <row r="24">
          <cell r="B24">
            <v>42</v>
          </cell>
          <cell r="C24">
            <v>6</v>
          </cell>
          <cell r="D24" t="str">
            <v>INSTRUCTOR ASOCIADO</v>
          </cell>
        </row>
        <row r="25">
          <cell r="B25">
            <v>43</v>
          </cell>
          <cell r="C25">
            <v>7</v>
          </cell>
          <cell r="D25" t="str">
            <v>INSTRUCTOR ASISTENTE</v>
          </cell>
        </row>
        <row r="26">
          <cell r="B26">
            <v>36</v>
          </cell>
          <cell r="D26" t="str">
            <v>JOVEN INVESTIGADOR</v>
          </cell>
        </row>
        <row r="27">
          <cell r="B27">
            <v>45</v>
          </cell>
          <cell r="D27" t="str">
            <v>SERVICIO SOCIAL OBLIG.</v>
          </cell>
        </row>
        <row r="28">
          <cell r="B28">
            <v>46</v>
          </cell>
          <cell r="D28" t="str">
            <v>MONITOR</v>
          </cell>
        </row>
        <row r="29">
          <cell r="B29">
            <v>49</v>
          </cell>
          <cell r="D29" t="str">
            <v>INSTRUCTOR</v>
          </cell>
        </row>
        <row r="30">
          <cell r="B30">
            <v>50</v>
          </cell>
          <cell r="D30" t="str">
            <v>PROFESOR</v>
          </cell>
        </row>
        <row r="31">
          <cell r="B31">
            <v>51</v>
          </cell>
          <cell r="D31" t="str">
            <v>DOCENTE</v>
          </cell>
        </row>
        <row r="32">
          <cell r="B32">
            <v>72</v>
          </cell>
          <cell r="D32" t="str">
            <v>PROF. BIENESTAR UNIV.</v>
          </cell>
        </row>
        <row r="33">
          <cell r="B33">
            <v>78</v>
          </cell>
          <cell r="D33" t="str">
            <v>ORQUESTA SINFONICA</v>
          </cell>
        </row>
        <row r="34">
          <cell r="B34">
            <v>80</v>
          </cell>
          <cell r="D34" t="str">
            <v>INVESTIGADOR</v>
          </cell>
        </row>
      </sheetData>
      <sheetData sheetId="25">
        <row r="3">
          <cell r="G3" t="str">
            <v>Operativo</v>
          </cell>
        </row>
        <row r="4">
          <cell r="G4" t="str">
            <v>Mejoramiento</v>
          </cell>
        </row>
        <row r="5">
          <cell r="G5" t="str">
            <v>Gestion</v>
          </cell>
        </row>
        <row r="15">
          <cell r="B15">
            <v>1</v>
          </cell>
          <cell r="C15" t="str">
            <v>SEMESTRAL</v>
          </cell>
        </row>
        <row r="16">
          <cell r="B16">
            <v>2</v>
          </cell>
          <cell r="C16" t="str">
            <v>ANUAL</v>
          </cell>
        </row>
        <row r="17">
          <cell r="B17">
            <v>3</v>
          </cell>
          <cell r="C17" t="str">
            <v>INDEFINIDO</v>
          </cell>
        </row>
      </sheetData>
      <sheetData sheetId="26"/>
      <sheetData sheetId="2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1 - 2008"/>
      <sheetName val="41 - 2009"/>
      <sheetName val="41 - 2009 (2)"/>
      <sheetName val="41 "/>
      <sheetName val="ING MATRICULAS"/>
      <sheetName val="CBE"/>
    </sheetNames>
    <sheetDataSet>
      <sheetData sheetId="0"/>
      <sheetData sheetId="1"/>
      <sheetData sheetId="2"/>
      <sheetData sheetId="3"/>
      <sheetData sheetId="4"/>
      <sheetData sheetId="5">
        <row r="1">
          <cell r="A1" t="str">
            <v>AE000090</v>
          </cell>
          <cell r="B1" t="str">
            <v>In Prog Artes Esc</v>
          </cell>
        </row>
        <row r="2">
          <cell r="A2" t="str">
            <v>AE400000</v>
          </cell>
          <cell r="B2" t="str">
            <v>In Edu Cont Artes E</v>
          </cell>
        </row>
        <row r="3">
          <cell r="A3" t="str">
            <v>AE500000</v>
          </cell>
          <cell r="B3" t="str">
            <v>In Prog Esp Artes E</v>
          </cell>
        </row>
        <row r="4">
          <cell r="A4" t="str">
            <v>AM000090</v>
          </cell>
          <cell r="B4" t="str">
            <v>In Prog Admin Empr</v>
          </cell>
        </row>
        <row r="5">
          <cell r="A5" t="str">
            <v>AM400000</v>
          </cell>
          <cell r="B5" t="str">
            <v>In Edu Cont Adm Em</v>
          </cell>
        </row>
        <row r="6">
          <cell r="A6" t="str">
            <v>AM500000</v>
          </cell>
          <cell r="B6" t="str">
            <v>In Prog Esp Adm Em</v>
          </cell>
        </row>
        <row r="7">
          <cell r="A7" t="str">
            <v>AP000090</v>
          </cell>
          <cell r="B7" t="str">
            <v>In Prog Artes Plást</v>
          </cell>
        </row>
        <row r="8">
          <cell r="A8" t="str">
            <v>AP400000</v>
          </cell>
          <cell r="B8" t="str">
            <v>In Edu Cont Artes P</v>
          </cell>
        </row>
        <row r="9">
          <cell r="A9" t="str">
            <v>AP500000</v>
          </cell>
          <cell r="B9" t="str">
            <v>In Prog Esp Artes P</v>
          </cell>
        </row>
        <row r="10">
          <cell r="A10" t="str">
            <v>BE100190</v>
          </cell>
          <cell r="B10" t="str">
            <v>In Prog Bioética</v>
          </cell>
        </row>
        <row r="11">
          <cell r="A11" t="str">
            <v>BE200190</v>
          </cell>
          <cell r="B11" t="str">
            <v>In Maestría Bioética</v>
          </cell>
        </row>
        <row r="12">
          <cell r="A12" t="str">
            <v>BE300190</v>
          </cell>
          <cell r="B12" t="str">
            <v>In Doc Bioética</v>
          </cell>
        </row>
        <row r="13">
          <cell r="A13" t="str">
            <v>BE400000</v>
          </cell>
          <cell r="B13" t="str">
            <v>In Edu Cont Bioética</v>
          </cell>
        </row>
        <row r="14">
          <cell r="A14" t="str">
            <v>BE700190</v>
          </cell>
          <cell r="B14" t="str">
            <v>In Dpto Bioética</v>
          </cell>
        </row>
        <row r="15">
          <cell r="A15" t="str">
            <v>BI000090</v>
          </cell>
          <cell r="B15" t="str">
            <v>In Prog de Biología</v>
          </cell>
        </row>
        <row r="16">
          <cell r="A16" t="str">
            <v>BI400000</v>
          </cell>
          <cell r="B16" t="str">
            <v>In Edu Cont Biología</v>
          </cell>
        </row>
        <row r="17">
          <cell r="A17" t="str">
            <v>BI500000</v>
          </cell>
          <cell r="B17" t="str">
            <v>In Prog Esp Biología</v>
          </cell>
        </row>
        <row r="18">
          <cell r="A18" t="str">
            <v>CI400100</v>
          </cell>
          <cell r="B18" t="str">
            <v>In Edu Cont Inst V</v>
          </cell>
        </row>
        <row r="19">
          <cell r="A19" t="str">
            <v>CI400200</v>
          </cell>
          <cell r="B19" t="str">
            <v>In Edu Cont Bio Mol</v>
          </cell>
        </row>
        <row r="20">
          <cell r="A20" t="str">
            <v>CI400300</v>
          </cell>
          <cell r="B20" t="str">
            <v>In Edu Cont Ins GM</v>
          </cell>
        </row>
        <row r="21">
          <cell r="A21" t="str">
            <v>CI400400</v>
          </cell>
          <cell r="B21" t="str">
            <v>In Edu Cont UIBO</v>
          </cell>
        </row>
        <row r="22">
          <cell r="A22" t="str">
            <v>CI400500</v>
          </cell>
          <cell r="B22" t="str">
            <v>In Edu Cont Div Inve</v>
          </cell>
        </row>
        <row r="23">
          <cell r="A23" t="str">
            <v>CI400600</v>
          </cell>
          <cell r="B23" t="str">
            <v>In Edu C. Inst Salud</v>
          </cell>
        </row>
        <row r="24">
          <cell r="A24" t="str">
            <v>CI500100</v>
          </cell>
          <cell r="B24" t="str">
            <v>In Prog Esp Inst Vir</v>
          </cell>
        </row>
        <row r="25">
          <cell r="A25" t="str">
            <v>CI500200</v>
          </cell>
          <cell r="B25" t="str">
            <v>In Prog Esp Bio Mol</v>
          </cell>
        </row>
        <row r="26">
          <cell r="A26" t="str">
            <v>CI500300</v>
          </cell>
          <cell r="B26" t="str">
            <v>In Prog Esp Ins GM</v>
          </cell>
        </row>
        <row r="27">
          <cell r="A27" t="str">
            <v>CI500400</v>
          </cell>
          <cell r="B27" t="str">
            <v>In Prog Esp UIBO</v>
          </cell>
        </row>
        <row r="28">
          <cell r="A28" t="str">
            <v>CI500500</v>
          </cell>
          <cell r="B28" t="str">
            <v>In Prog Esp DIV INVE</v>
          </cell>
        </row>
        <row r="29">
          <cell r="A29" t="str">
            <v>CI750190</v>
          </cell>
          <cell r="B29" t="str">
            <v>In Instituto Virolog</v>
          </cell>
        </row>
        <row r="30">
          <cell r="A30" t="str">
            <v>CI750290</v>
          </cell>
          <cell r="B30" t="str">
            <v>In Instituto Bio Mol</v>
          </cell>
        </row>
        <row r="31">
          <cell r="A31" t="str">
            <v>CI750390</v>
          </cell>
          <cell r="B31" t="str">
            <v>In Instituto Gen Mol</v>
          </cell>
        </row>
        <row r="32">
          <cell r="A32" t="str">
            <v>CI750490</v>
          </cell>
          <cell r="B32" t="str">
            <v>In Instituto UIBO</v>
          </cell>
        </row>
        <row r="33">
          <cell r="A33" t="str">
            <v>CI750590</v>
          </cell>
          <cell r="B33" t="str">
            <v>In Lab Detecion tem</v>
          </cell>
        </row>
        <row r="34">
          <cell r="A34" t="str">
            <v>CI750690</v>
          </cell>
          <cell r="B34" t="str">
            <v>In Ing instituto S y</v>
          </cell>
        </row>
        <row r="35">
          <cell r="A35" t="str">
            <v>CI750790</v>
          </cell>
          <cell r="B35" t="str">
            <v>In Instituto Neuroci</v>
          </cell>
        </row>
        <row r="36">
          <cell r="A36" t="str">
            <v>CI750890</v>
          </cell>
          <cell r="B36" t="str">
            <v>In Un.Gene.Res.Antib</v>
          </cell>
        </row>
        <row r="37">
          <cell r="A37" t="str">
            <v>CL650090</v>
          </cell>
          <cell r="B37" t="str">
            <v>In Clínicas Odont</v>
          </cell>
        </row>
        <row r="38">
          <cell r="A38" t="str">
            <v>CL650190</v>
          </cell>
          <cell r="B38" t="str">
            <v>In Clínica Pregrado</v>
          </cell>
        </row>
        <row r="39">
          <cell r="A39" t="str">
            <v>CL650290</v>
          </cell>
          <cell r="B39" t="str">
            <v>In Clínica1 Cir Max</v>
          </cell>
        </row>
        <row r="40">
          <cell r="A40" t="str">
            <v>CL650390</v>
          </cell>
          <cell r="B40" t="str">
            <v>In Clínica 2 maxilof</v>
          </cell>
        </row>
        <row r="41">
          <cell r="A41" t="str">
            <v>CL650490</v>
          </cell>
          <cell r="B41" t="str">
            <v>In Clínicaortodoncia</v>
          </cell>
        </row>
        <row r="42">
          <cell r="A42" t="str">
            <v>CL650590</v>
          </cell>
          <cell r="B42" t="str">
            <v>In Clínica patologia</v>
          </cell>
        </row>
        <row r="43">
          <cell r="A43" t="str">
            <v>CL650690</v>
          </cell>
          <cell r="B43" t="str">
            <v>In  Clínica odontope</v>
          </cell>
        </row>
        <row r="44">
          <cell r="A44" t="str">
            <v>CL650790</v>
          </cell>
          <cell r="B44" t="str">
            <v>In Clínica prostodon</v>
          </cell>
        </row>
        <row r="45">
          <cell r="A45" t="str">
            <v>CL650890</v>
          </cell>
          <cell r="B45" t="str">
            <v>In Clínica endodonci</v>
          </cell>
        </row>
        <row r="46">
          <cell r="A46" t="str">
            <v>CL650990</v>
          </cell>
          <cell r="B46" t="str">
            <v>In clinica 3</v>
          </cell>
        </row>
        <row r="47">
          <cell r="A47" t="str">
            <v>CL651090</v>
          </cell>
          <cell r="B47" t="str">
            <v>In hosp san jose</v>
          </cell>
        </row>
        <row r="48">
          <cell r="A48" t="str">
            <v>CL651190</v>
          </cell>
          <cell r="B48" t="str">
            <v>In Cons. saludbosq</v>
          </cell>
        </row>
        <row r="49">
          <cell r="A49" t="str">
            <v>CL651290</v>
          </cell>
          <cell r="B49" t="str">
            <v>In con ext clin 1</v>
          </cell>
        </row>
        <row r="50">
          <cell r="A50" t="str">
            <v>CL651390</v>
          </cell>
          <cell r="B50" t="str">
            <v>In con ext clin 2</v>
          </cell>
        </row>
        <row r="51">
          <cell r="A51" t="str">
            <v>CL651490</v>
          </cell>
          <cell r="B51" t="str">
            <v>In con ext clin 3</v>
          </cell>
        </row>
        <row r="52">
          <cell r="A52" t="str">
            <v>CL651590</v>
          </cell>
          <cell r="B52" t="str">
            <v>In med diag clin 1</v>
          </cell>
        </row>
        <row r="53">
          <cell r="A53" t="str">
            <v>CL651690</v>
          </cell>
          <cell r="B53" t="str">
            <v>In med diag clin 2</v>
          </cell>
        </row>
        <row r="54">
          <cell r="A54" t="str">
            <v>CL651790</v>
          </cell>
          <cell r="B54" t="str">
            <v>In med diag clin 3</v>
          </cell>
        </row>
        <row r="55">
          <cell r="A55" t="str">
            <v>CL651890</v>
          </cell>
          <cell r="B55" t="str">
            <v>In unidad oseointegr</v>
          </cell>
        </row>
        <row r="56">
          <cell r="A56" t="str">
            <v>CL651990</v>
          </cell>
          <cell r="B56" t="str">
            <v>In clinica periodonc</v>
          </cell>
        </row>
        <row r="57">
          <cell r="A57" t="str">
            <v>CL652090</v>
          </cell>
          <cell r="B57" t="str">
            <v>In hosp Infanil Sn J</v>
          </cell>
        </row>
        <row r="58">
          <cell r="A58" t="str">
            <v>CL652190</v>
          </cell>
          <cell r="B58" t="str">
            <v>Clin.Operatoria Dent</v>
          </cell>
        </row>
        <row r="59">
          <cell r="A59" t="str">
            <v>CL652290</v>
          </cell>
          <cell r="B59" t="str">
            <v>Clin. Nobel Biocare</v>
          </cell>
        </row>
        <row r="60">
          <cell r="A60" t="str">
            <v>DI000090</v>
          </cell>
          <cell r="B60" t="str">
            <v>In Prog Diseño Ind</v>
          </cell>
        </row>
        <row r="61">
          <cell r="A61" t="str">
            <v>DI400000</v>
          </cell>
          <cell r="B61" t="str">
            <v>In Edu Cont Dis Ind</v>
          </cell>
        </row>
        <row r="62">
          <cell r="A62" t="str">
            <v>DI500000</v>
          </cell>
          <cell r="B62" t="str">
            <v>In Prog Esp Dis Ind</v>
          </cell>
        </row>
        <row r="63">
          <cell r="A63" t="str">
            <v>DI600190</v>
          </cell>
          <cell r="B63" t="str">
            <v>In Lab Diseño</v>
          </cell>
        </row>
        <row r="64">
          <cell r="A64" t="str">
            <v>DUMMY</v>
          </cell>
          <cell r="B64" t="str">
            <v>DUMMY</v>
          </cell>
        </row>
        <row r="65">
          <cell r="A65" t="str">
            <v>EN000090</v>
          </cell>
          <cell r="B65" t="str">
            <v>In Prog Enfermería</v>
          </cell>
        </row>
        <row r="66">
          <cell r="A66" t="str">
            <v>EN200190</v>
          </cell>
          <cell r="B66" t="str">
            <v>In Maes Salud Sexual</v>
          </cell>
        </row>
        <row r="67">
          <cell r="A67" t="str">
            <v>EN400000</v>
          </cell>
          <cell r="B67" t="str">
            <v>In Edu Cont Enferm</v>
          </cell>
        </row>
        <row r="68">
          <cell r="A68" t="str">
            <v>EN500000</v>
          </cell>
          <cell r="B68" t="str">
            <v>In Prog Esp Enferm</v>
          </cell>
        </row>
        <row r="69">
          <cell r="A69" t="str">
            <v>FE000090</v>
          </cell>
          <cell r="B69" t="str">
            <v>In Fac Educación</v>
          </cell>
        </row>
        <row r="70">
          <cell r="A70" t="str">
            <v>FE000190</v>
          </cell>
          <cell r="B70" t="str">
            <v>In Lic Edu Básica</v>
          </cell>
        </row>
        <row r="71">
          <cell r="A71" t="str">
            <v>FE000290</v>
          </cell>
          <cell r="B71" t="str">
            <v>In Lic Ped Infantil</v>
          </cell>
        </row>
        <row r="72">
          <cell r="A72" t="str">
            <v>FE000390</v>
          </cell>
          <cell r="B72" t="str">
            <v>In Lic Edu Bilingüe</v>
          </cell>
        </row>
        <row r="73">
          <cell r="A73" t="str">
            <v>FE000490</v>
          </cell>
          <cell r="B73" t="str">
            <v>In Centro Lenguas</v>
          </cell>
        </row>
        <row r="74">
          <cell r="A74" t="str">
            <v>FE100090</v>
          </cell>
          <cell r="B74" t="str">
            <v>In Postgrados Edu</v>
          </cell>
        </row>
        <row r="75">
          <cell r="A75" t="str">
            <v>FE100190</v>
          </cell>
          <cell r="B75" t="str">
            <v>In Doc Universitaria</v>
          </cell>
        </row>
        <row r="76">
          <cell r="A76" t="str">
            <v>FE100290</v>
          </cell>
          <cell r="B76" t="str">
            <v>In Ped Lenguaje</v>
          </cell>
        </row>
        <row r="77">
          <cell r="A77" t="str">
            <v>FE100390</v>
          </cell>
          <cell r="B77" t="str">
            <v>In Esp Edu Biling</v>
          </cell>
        </row>
        <row r="78">
          <cell r="A78" t="str">
            <v>FE100490</v>
          </cell>
          <cell r="B78" t="str">
            <v>In Ges Amb Mun</v>
          </cell>
        </row>
        <row r="79">
          <cell r="A79" t="str">
            <v>FE100590</v>
          </cell>
          <cell r="B79" t="str">
            <v>In Didac Pens Crea</v>
          </cell>
        </row>
        <row r="80">
          <cell r="A80" t="str">
            <v>FE400000</v>
          </cell>
          <cell r="B80" t="str">
            <v>In Edu Cont Fac Edu</v>
          </cell>
        </row>
        <row r="81">
          <cell r="A81" t="str">
            <v>FE500000</v>
          </cell>
          <cell r="B81" t="str">
            <v>In Prog Esp Fac Edu</v>
          </cell>
        </row>
        <row r="82">
          <cell r="A82" t="str">
            <v>FE800090</v>
          </cell>
          <cell r="B82" t="str">
            <v>In Edu a Distancia</v>
          </cell>
        </row>
        <row r="83">
          <cell r="A83" t="str">
            <v>FE800101</v>
          </cell>
          <cell r="B83" t="str">
            <v>Lic Cien Nat y Ed Am</v>
          </cell>
        </row>
        <row r="84">
          <cell r="A84" t="str">
            <v>FE800201</v>
          </cell>
          <cell r="B84" t="str">
            <v>Lic. leng ext e ing</v>
          </cell>
        </row>
        <row r="85">
          <cell r="A85" t="str">
            <v>FE800301</v>
          </cell>
          <cell r="B85" t="str">
            <v>LIC. ENFASIS MAT E I</v>
          </cell>
        </row>
        <row r="86">
          <cell r="A86" t="str">
            <v>FE800401</v>
          </cell>
          <cell r="B86" t="str">
            <v>LIC. ENFASIS EDU ART</v>
          </cell>
        </row>
        <row r="87">
          <cell r="A87" t="str">
            <v>FE800501</v>
          </cell>
          <cell r="B87" t="str">
            <v>LIC CIENCIAS SOCIALE</v>
          </cell>
        </row>
        <row r="88">
          <cell r="A88" t="str">
            <v>FE800601</v>
          </cell>
          <cell r="B88" t="str">
            <v>LIC ESPAÑOL Y LITERA</v>
          </cell>
        </row>
        <row r="89">
          <cell r="A89" t="str">
            <v>FE800701</v>
          </cell>
          <cell r="B89" t="str">
            <v>LIC. ETICA Y DESARRO</v>
          </cell>
        </row>
        <row r="90">
          <cell r="A90" t="str">
            <v>FE800801</v>
          </cell>
          <cell r="B90" t="str">
            <v>LIC. GESTION DLLO PR</v>
          </cell>
        </row>
        <row r="91">
          <cell r="A91" t="str">
            <v>FE800901</v>
          </cell>
          <cell r="B91" t="str">
            <v>PROG ESP PEDAGOGIA</v>
          </cell>
        </row>
        <row r="92">
          <cell r="A92" t="str">
            <v>FE801001</v>
          </cell>
          <cell r="B92" t="str">
            <v>PROG ESP DOC UNIVER</v>
          </cell>
        </row>
        <row r="93">
          <cell r="A93" t="str">
            <v>FE801101</v>
          </cell>
          <cell r="B93" t="str">
            <v>PROG ESP EDU AMBIENT</v>
          </cell>
        </row>
        <row r="94">
          <cell r="A94" t="str">
            <v>FE801201</v>
          </cell>
          <cell r="B94" t="str">
            <v>PROG ESP ART Y FOLKL</v>
          </cell>
        </row>
        <row r="95">
          <cell r="A95" t="str">
            <v>FE801301</v>
          </cell>
          <cell r="B95" t="str">
            <v>PROG ESP EVA Y EDU</v>
          </cell>
        </row>
        <row r="96">
          <cell r="A96" t="str">
            <v>FE801401</v>
          </cell>
          <cell r="B96" t="str">
            <v>ORIEN DLLO HUMANO</v>
          </cell>
        </row>
        <row r="97">
          <cell r="A97" t="str">
            <v>FE801501</v>
          </cell>
          <cell r="B97" t="str">
            <v>ESP CIENCIAS SOCIALE</v>
          </cell>
        </row>
        <row r="98">
          <cell r="A98" t="str">
            <v>FE801601</v>
          </cell>
          <cell r="B98" t="str">
            <v>ESP PEDAGOGIA LENGUA</v>
          </cell>
        </row>
        <row r="99">
          <cell r="A99" t="str">
            <v>FE801701</v>
          </cell>
          <cell r="B99" t="str">
            <v>ESP PEDA LENG AUDIOV</v>
          </cell>
        </row>
        <row r="100">
          <cell r="A100" t="str">
            <v>FE801801</v>
          </cell>
          <cell r="B100" t="str">
            <v>ESP GOBIERNO ESCOLAR</v>
          </cell>
        </row>
        <row r="101">
          <cell r="A101" t="str">
            <v>FE801901</v>
          </cell>
          <cell r="B101" t="str">
            <v>ESP EDUCACION A DIST</v>
          </cell>
        </row>
        <row r="102">
          <cell r="A102" t="str">
            <v>FE802001</v>
          </cell>
          <cell r="B102" t="str">
            <v>ESP DERCHOS HUMANOS</v>
          </cell>
        </row>
        <row r="103">
          <cell r="A103" t="str">
            <v>FE802101</v>
          </cell>
          <cell r="B103" t="str">
            <v>LIC PEDAGOGIA INFANT</v>
          </cell>
        </row>
        <row r="104">
          <cell r="A104" t="str">
            <v>FE802201</v>
          </cell>
          <cell r="B104" t="str">
            <v>LIC EDUCAION A DISTA</v>
          </cell>
        </row>
        <row r="105">
          <cell r="A105" t="str">
            <v>FI000090</v>
          </cell>
          <cell r="B105" t="str">
            <v>In Prog de Física</v>
          </cell>
        </row>
        <row r="106">
          <cell r="A106" t="str">
            <v>FI400000</v>
          </cell>
          <cell r="B106" t="str">
            <v>In Edu Cont Física</v>
          </cell>
        </row>
        <row r="107">
          <cell r="A107" t="str">
            <v>FI500000</v>
          </cell>
          <cell r="B107" t="str">
            <v>In Prog Esp Física</v>
          </cell>
        </row>
        <row r="108">
          <cell r="A108" t="str">
            <v>HU000090</v>
          </cell>
          <cell r="B108" t="str">
            <v>Filosofía</v>
          </cell>
        </row>
        <row r="109">
          <cell r="A109" t="str">
            <v>HU000190</v>
          </cell>
          <cell r="B109" t="str">
            <v>Lic. Basica Humanida</v>
          </cell>
        </row>
        <row r="110">
          <cell r="A110" t="str">
            <v>HU100190</v>
          </cell>
          <cell r="B110" t="str">
            <v>In Prog Fil Ciencia</v>
          </cell>
        </row>
        <row r="111">
          <cell r="A111" t="str">
            <v>HU400000</v>
          </cell>
          <cell r="B111" t="str">
            <v>Edu Cont Humanidades</v>
          </cell>
        </row>
        <row r="112">
          <cell r="A112" t="str">
            <v>HU700390</v>
          </cell>
          <cell r="B112" t="str">
            <v>In Dpto Human</v>
          </cell>
        </row>
        <row r="113">
          <cell r="A113" t="str">
            <v>IA000090</v>
          </cell>
          <cell r="B113" t="str">
            <v>In Prog Ing Amb</v>
          </cell>
        </row>
        <row r="114">
          <cell r="A114" t="str">
            <v>IA100190</v>
          </cell>
          <cell r="B114" t="str">
            <v>Esp. Salud y Ambient</v>
          </cell>
        </row>
        <row r="115">
          <cell r="A115" t="str">
            <v>IA400000</v>
          </cell>
          <cell r="B115" t="str">
            <v>In Edu Cont Ing Amb</v>
          </cell>
        </row>
        <row r="116">
          <cell r="A116" t="str">
            <v>IA500000</v>
          </cell>
          <cell r="B116" t="str">
            <v>In Prog Esp Ing Amb</v>
          </cell>
        </row>
        <row r="117">
          <cell r="A117" t="str">
            <v>IA600190</v>
          </cell>
          <cell r="B117" t="str">
            <v>In Lab Ambiental</v>
          </cell>
        </row>
        <row r="118">
          <cell r="A118" t="str">
            <v>IE000090</v>
          </cell>
          <cell r="B118" t="str">
            <v>In Prog Ing Elec D.</v>
          </cell>
        </row>
        <row r="119">
          <cell r="A119" t="str">
            <v>IE000290</v>
          </cell>
          <cell r="B119" t="str">
            <v>Ing Electronica Noct</v>
          </cell>
        </row>
        <row r="120">
          <cell r="A120" t="str">
            <v>IE400000</v>
          </cell>
          <cell r="B120" t="str">
            <v>In Edu Cont Ing Elec</v>
          </cell>
        </row>
        <row r="121">
          <cell r="A121" t="str">
            <v>IE500000</v>
          </cell>
          <cell r="B121" t="str">
            <v>In Prog Esp Ing Elec</v>
          </cell>
        </row>
        <row r="122">
          <cell r="A122" t="str">
            <v>IE600190</v>
          </cell>
          <cell r="B122" t="str">
            <v>In Lab Cisco</v>
          </cell>
        </row>
        <row r="123">
          <cell r="A123" t="str">
            <v>IE600290</v>
          </cell>
          <cell r="B123" t="str">
            <v>In Lab Física</v>
          </cell>
        </row>
        <row r="124">
          <cell r="A124" t="str">
            <v>IE600390</v>
          </cell>
          <cell r="B124" t="str">
            <v>In Lab Control</v>
          </cell>
        </row>
        <row r="125">
          <cell r="A125" t="str">
            <v>IE600490</v>
          </cell>
          <cell r="B125" t="str">
            <v>In Lab Telecom</v>
          </cell>
        </row>
        <row r="126">
          <cell r="A126" t="str">
            <v>II000090</v>
          </cell>
          <cell r="B126" t="str">
            <v>In Prog Ing Ind</v>
          </cell>
        </row>
        <row r="127">
          <cell r="A127" t="str">
            <v>II100190</v>
          </cell>
          <cell r="B127" t="str">
            <v>In Gerencia Proy</v>
          </cell>
        </row>
        <row r="128">
          <cell r="A128" t="str">
            <v>II100290</v>
          </cell>
          <cell r="B128" t="str">
            <v>In Ger Pro y Produc</v>
          </cell>
        </row>
        <row r="129">
          <cell r="A129" t="str">
            <v>II400000</v>
          </cell>
          <cell r="B129" t="str">
            <v>In Edu Cont Ing Ind</v>
          </cell>
        </row>
        <row r="130">
          <cell r="A130" t="str">
            <v>II500000</v>
          </cell>
          <cell r="B130" t="str">
            <v>In Prog Esp Ing Ind</v>
          </cell>
        </row>
        <row r="131">
          <cell r="A131" t="str">
            <v>IQ000090</v>
          </cell>
          <cell r="B131" t="str">
            <v>In Prog Inst.Quirurg</v>
          </cell>
        </row>
        <row r="132">
          <cell r="A132" t="str">
            <v>IQ400000</v>
          </cell>
          <cell r="B132" t="str">
            <v>Edu Cont Inst.Quirur</v>
          </cell>
        </row>
        <row r="133">
          <cell r="A133" t="str">
            <v>IQ500000</v>
          </cell>
          <cell r="B133" t="str">
            <v>In Prog Esp Inst.Qui</v>
          </cell>
        </row>
        <row r="134">
          <cell r="A134" t="str">
            <v>IS000190</v>
          </cell>
          <cell r="B134" t="str">
            <v>In Prog Ing Sis D</v>
          </cell>
        </row>
        <row r="135">
          <cell r="A135" t="str">
            <v>IS000290</v>
          </cell>
          <cell r="B135" t="str">
            <v>In Prog Ing Sis N</v>
          </cell>
        </row>
        <row r="136">
          <cell r="A136" t="str">
            <v>IS400000</v>
          </cell>
          <cell r="B136" t="str">
            <v>In Edu Cont Ing Sis</v>
          </cell>
        </row>
        <row r="137">
          <cell r="A137" t="str">
            <v>IS500000</v>
          </cell>
          <cell r="B137" t="str">
            <v>In Prog Esp Ing Sis</v>
          </cell>
        </row>
        <row r="138">
          <cell r="A138" t="str">
            <v>LG000190</v>
          </cell>
          <cell r="B138" t="str">
            <v>In Prog Psicología D</v>
          </cell>
        </row>
        <row r="139">
          <cell r="A139" t="str">
            <v>LG000290</v>
          </cell>
          <cell r="B139" t="str">
            <v>In Prog Psicología N</v>
          </cell>
        </row>
        <row r="140">
          <cell r="A140" t="str">
            <v>LG100090</v>
          </cell>
          <cell r="B140" t="str">
            <v>In Postgrados Psi</v>
          </cell>
        </row>
        <row r="141">
          <cell r="A141" t="str">
            <v>LG100190</v>
          </cell>
          <cell r="B141" t="str">
            <v>In Prog Psi Sal</v>
          </cell>
        </row>
        <row r="142">
          <cell r="A142" t="str">
            <v>LG100290</v>
          </cell>
          <cell r="B142" t="str">
            <v>In Prog P L y Org</v>
          </cell>
        </row>
        <row r="143">
          <cell r="A143" t="str">
            <v>LG100390</v>
          </cell>
          <cell r="B143" t="str">
            <v>In Prog Ps D y E</v>
          </cell>
        </row>
        <row r="144">
          <cell r="A144" t="str">
            <v>LG100490</v>
          </cell>
          <cell r="B144" t="str">
            <v>In Prog Ps Social</v>
          </cell>
        </row>
        <row r="145">
          <cell r="A145" t="str">
            <v>LG100590</v>
          </cell>
          <cell r="B145" t="str">
            <v>In Prog Ps Cli. A. P</v>
          </cell>
        </row>
        <row r="146">
          <cell r="A146" t="str">
            <v>LG100690</v>
          </cell>
          <cell r="B146" t="str">
            <v>In Prog Ps Cli. D.I.</v>
          </cell>
        </row>
        <row r="147">
          <cell r="A147" t="str">
            <v>LG200190</v>
          </cell>
          <cell r="B147" t="str">
            <v>In Maes Psicología</v>
          </cell>
        </row>
        <row r="148">
          <cell r="A148" t="str">
            <v>LG400000</v>
          </cell>
          <cell r="B148" t="str">
            <v>In Edu Cont Psico</v>
          </cell>
        </row>
        <row r="149">
          <cell r="A149" t="str">
            <v>LG500000</v>
          </cell>
          <cell r="B149" t="str">
            <v>In Prog Esp Psico</v>
          </cell>
        </row>
        <row r="150">
          <cell r="A150" t="str">
            <v>LG600190</v>
          </cell>
          <cell r="B150" t="str">
            <v>In Lab Psicometría</v>
          </cell>
        </row>
        <row r="151">
          <cell r="A151" t="str">
            <v>MA000090</v>
          </cell>
          <cell r="B151" t="str">
            <v>In Matemáticas</v>
          </cell>
        </row>
        <row r="152">
          <cell r="A152" t="str">
            <v>MA400000</v>
          </cell>
          <cell r="B152" t="str">
            <v>In Edu Cont Matem</v>
          </cell>
        </row>
        <row r="153">
          <cell r="A153" t="str">
            <v>MA500000</v>
          </cell>
          <cell r="B153" t="str">
            <v>In Prog Esp Matem</v>
          </cell>
        </row>
        <row r="154">
          <cell r="A154" t="str">
            <v>ME000090</v>
          </cell>
          <cell r="B154" t="str">
            <v>In Prog de Medicina</v>
          </cell>
        </row>
        <row r="155">
          <cell r="A155" t="str">
            <v>ME100090</v>
          </cell>
          <cell r="B155" t="str">
            <v>In Postgrados Med</v>
          </cell>
        </row>
        <row r="156">
          <cell r="A156" t="str">
            <v>ME110190</v>
          </cell>
          <cell r="B156" t="str">
            <v>In Prog Anes y Rea</v>
          </cell>
        </row>
        <row r="157">
          <cell r="A157" t="str">
            <v>ME110290</v>
          </cell>
          <cell r="B157" t="str">
            <v>In Prog Cardiol adul</v>
          </cell>
        </row>
        <row r="158">
          <cell r="A158" t="str">
            <v>ME110390</v>
          </cell>
          <cell r="B158" t="str">
            <v>In Prog Card Ped</v>
          </cell>
        </row>
        <row r="159">
          <cell r="A159" t="str">
            <v>ME110490</v>
          </cell>
          <cell r="B159" t="str">
            <v>In Prog Cir Tórax</v>
          </cell>
        </row>
        <row r="160">
          <cell r="A160" t="str">
            <v>ME110590</v>
          </cell>
          <cell r="B160" t="str">
            <v>In Prog Cir General</v>
          </cell>
        </row>
        <row r="161">
          <cell r="A161" t="str">
            <v>ME110690</v>
          </cell>
          <cell r="B161" t="str">
            <v>In Prog Dermat</v>
          </cell>
        </row>
        <row r="162">
          <cell r="A162" t="str">
            <v>ME110790</v>
          </cell>
          <cell r="B162" t="str">
            <v>In Prog Med Fam</v>
          </cell>
        </row>
        <row r="163">
          <cell r="A163" t="str">
            <v>ME110890</v>
          </cell>
          <cell r="B163" t="str">
            <v>In Prog Neonat</v>
          </cell>
        </row>
        <row r="164">
          <cell r="A164" t="str">
            <v>ME110990</v>
          </cell>
          <cell r="B164" t="str">
            <v>In Prog Ginec y Obs</v>
          </cell>
        </row>
        <row r="165">
          <cell r="A165" t="str">
            <v>ME111090</v>
          </cell>
          <cell r="B165" t="str">
            <v>In Prog Med Dep</v>
          </cell>
        </row>
        <row r="166">
          <cell r="A166" t="str">
            <v>ME111190</v>
          </cell>
          <cell r="B166" t="str">
            <v>In Prog Med Interna</v>
          </cell>
        </row>
        <row r="167">
          <cell r="A167" t="str">
            <v>ME111290</v>
          </cell>
          <cell r="B167" t="str">
            <v>In Prog Neumolog</v>
          </cell>
        </row>
        <row r="168">
          <cell r="A168" t="str">
            <v>ME111390</v>
          </cell>
          <cell r="B168" t="str">
            <v>In Prog Neum Ped</v>
          </cell>
        </row>
        <row r="169">
          <cell r="A169" t="str">
            <v>ME111490</v>
          </cell>
          <cell r="B169" t="str">
            <v>In Prog Neurocir</v>
          </cell>
        </row>
        <row r="170">
          <cell r="A170" t="str">
            <v>ME111590</v>
          </cell>
          <cell r="B170" t="str">
            <v>In Prog Neurol Cl</v>
          </cell>
        </row>
        <row r="171">
          <cell r="A171" t="str">
            <v>ME111690</v>
          </cell>
          <cell r="B171" t="str">
            <v>In Prog Oftalm</v>
          </cell>
        </row>
        <row r="172">
          <cell r="A172" t="str">
            <v>ME111790</v>
          </cell>
          <cell r="B172" t="str">
            <v>In Prog Onc Clín</v>
          </cell>
        </row>
        <row r="173">
          <cell r="A173" t="str">
            <v>ME111890</v>
          </cell>
          <cell r="B173" t="str">
            <v>In Prog Ort y Traum</v>
          </cell>
        </row>
        <row r="174">
          <cell r="A174" t="str">
            <v>ME111990</v>
          </cell>
          <cell r="B174" t="str">
            <v>In Prog Pediatría</v>
          </cell>
        </row>
        <row r="175">
          <cell r="A175" t="str">
            <v>ME112090</v>
          </cell>
          <cell r="B175" t="str">
            <v>In Prog Psiquiatría</v>
          </cell>
        </row>
        <row r="176">
          <cell r="A176" t="str">
            <v>ME112190</v>
          </cell>
          <cell r="B176" t="str">
            <v>In Prog Psiq Infanti</v>
          </cell>
        </row>
        <row r="177">
          <cell r="A177" t="str">
            <v>ME112290</v>
          </cell>
          <cell r="B177" t="str">
            <v>In Prog Psiq Enl</v>
          </cell>
        </row>
        <row r="178">
          <cell r="A178" t="str">
            <v>ME112390</v>
          </cell>
          <cell r="B178" t="str">
            <v>PROG RAD IM Y DIAG</v>
          </cell>
        </row>
        <row r="179">
          <cell r="A179" t="str">
            <v>ME112490</v>
          </cell>
          <cell r="B179" t="str">
            <v>DOC PROG MED FIS RE</v>
          </cell>
        </row>
        <row r="180">
          <cell r="A180" t="str">
            <v>ME112590</v>
          </cell>
          <cell r="B180" t="str">
            <v>In Prog Urologia</v>
          </cell>
        </row>
        <row r="181">
          <cell r="A181" t="str">
            <v>ME112690</v>
          </cell>
          <cell r="B181" t="str">
            <v>In Prog Cir Plás</v>
          </cell>
        </row>
        <row r="182">
          <cell r="A182" t="str">
            <v>ME112790</v>
          </cell>
          <cell r="B182" t="str">
            <v>Cirug Vascular y Ang</v>
          </cell>
        </row>
        <row r="183">
          <cell r="A183" t="str">
            <v>ME112890</v>
          </cell>
          <cell r="B183" t="str">
            <v>Med Crit cuid int pe</v>
          </cell>
        </row>
        <row r="184">
          <cell r="A184" t="str">
            <v>ME112990</v>
          </cell>
          <cell r="B184" t="str">
            <v>Med Dolor y cuiad pa</v>
          </cell>
        </row>
        <row r="185">
          <cell r="A185" t="str">
            <v>ME113090</v>
          </cell>
          <cell r="B185" t="str">
            <v>Reumatologia Pediatr</v>
          </cell>
        </row>
        <row r="186">
          <cell r="A186" t="str">
            <v>ME120190</v>
          </cell>
          <cell r="B186" t="str">
            <v>In Prog Epidem</v>
          </cell>
        </row>
        <row r="187">
          <cell r="A187" t="str">
            <v>ME120290</v>
          </cell>
          <cell r="B187" t="str">
            <v>In Prog Hig Ind</v>
          </cell>
        </row>
        <row r="188">
          <cell r="A188" t="str">
            <v>ME120390</v>
          </cell>
          <cell r="B188" t="str">
            <v>In Prog Ger Cal Sal</v>
          </cell>
        </row>
        <row r="189">
          <cell r="A189" t="str">
            <v>ME120490</v>
          </cell>
          <cell r="B189" t="str">
            <v>In Prog Fil Ciencia</v>
          </cell>
        </row>
        <row r="190">
          <cell r="A190" t="str">
            <v>ME120590</v>
          </cell>
          <cell r="B190" t="str">
            <v>In Prog Salud Ocup</v>
          </cell>
        </row>
        <row r="191">
          <cell r="A191" t="str">
            <v>ME120690</v>
          </cell>
          <cell r="B191" t="str">
            <v>In Prog Salud Fam</v>
          </cell>
        </row>
        <row r="192">
          <cell r="A192" t="str">
            <v>ME120790</v>
          </cell>
          <cell r="B192" t="str">
            <v>In Prog Salud Amb</v>
          </cell>
        </row>
        <row r="193">
          <cell r="A193" t="str">
            <v>ME120890</v>
          </cell>
          <cell r="B193" t="str">
            <v>In Prog Epidem Clini</v>
          </cell>
        </row>
        <row r="194">
          <cell r="A194" t="str">
            <v>ME130190</v>
          </cell>
          <cell r="B194" t="str">
            <v>In Prog Cir Mano</v>
          </cell>
        </row>
        <row r="195">
          <cell r="A195" t="str">
            <v>ME130290</v>
          </cell>
          <cell r="B195" t="str">
            <v>In Prog Gastr Ped</v>
          </cell>
        </row>
        <row r="196">
          <cell r="A196" t="str">
            <v>ME130390</v>
          </cell>
          <cell r="B196" t="str">
            <v>In Prog Cir Columna</v>
          </cell>
        </row>
        <row r="197">
          <cell r="A197" t="str">
            <v>ME130490</v>
          </cell>
          <cell r="B197" t="str">
            <v>In Prog Ergonomía</v>
          </cell>
        </row>
        <row r="198">
          <cell r="A198" t="str">
            <v>ME130590</v>
          </cell>
          <cell r="B198" t="str">
            <v>In Prog Cir Vasc</v>
          </cell>
        </row>
        <row r="199">
          <cell r="A199" t="str">
            <v>ME130690</v>
          </cell>
          <cell r="B199" t="str">
            <v>In Prog. Nefr Ped</v>
          </cell>
        </row>
        <row r="200">
          <cell r="A200" t="str">
            <v>ME130790</v>
          </cell>
          <cell r="B200" t="str">
            <v>In Prog.Anes Card To</v>
          </cell>
        </row>
        <row r="201">
          <cell r="A201" t="str">
            <v>ME200190</v>
          </cell>
          <cell r="B201" t="str">
            <v>MAES PSIQ. FOREN</v>
          </cell>
        </row>
        <row r="202">
          <cell r="A202" t="str">
            <v>ME200290</v>
          </cell>
          <cell r="B202" t="str">
            <v>ING MAES C BAS BIOME</v>
          </cell>
        </row>
        <row r="203">
          <cell r="A203" t="str">
            <v>ME400000</v>
          </cell>
          <cell r="B203" t="str">
            <v>In Edu Cont Medicina</v>
          </cell>
        </row>
        <row r="204">
          <cell r="A204" t="str">
            <v>ME500000</v>
          </cell>
          <cell r="B204" t="str">
            <v>In Prog Esp Medicina</v>
          </cell>
        </row>
        <row r="205">
          <cell r="A205" t="str">
            <v>ME600090</v>
          </cell>
          <cell r="B205" t="str">
            <v>In Lab Medicina</v>
          </cell>
        </row>
        <row r="206">
          <cell r="A206" t="str">
            <v>ME600190</v>
          </cell>
          <cell r="B206" t="str">
            <v>In Lab Cir Exp</v>
          </cell>
        </row>
        <row r="207">
          <cell r="A207" t="str">
            <v>ME600290</v>
          </cell>
          <cell r="B207" t="str">
            <v>In Lab Anatomía</v>
          </cell>
        </row>
        <row r="208">
          <cell r="A208" t="str">
            <v>ME600390</v>
          </cell>
          <cell r="B208" t="str">
            <v>In Lab Bioquímica</v>
          </cell>
        </row>
        <row r="209">
          <cell r="A209" t="str">
            <v>ME600490</v>
          </cell>
          <cell r="B209" t="str">
            <v>In Lab Microb</v>
          </cell>
        </row>
        <row r="210">
          <cell r="A210" t="str">
            <v>ME600590</v>
          </cell>
          <cell r="B210" t="str">
            <v>In Lab Histología</v>
          </cell>
        </row>
        <row r="211">
          <cell r="A211" t="str">
            <v>ME600690</v>
          </cell>
          <cell r="B211" t="str">
            <v>In Lab Fisiología</v>
          </cell>
        </row>
        <row r="212">
          <cell r="A212" t="str">
            <v>MU000070</v>
          </cell>
          <cell r="B212" t="str">
            <v>In Orquesta Sinfónic</v>
          </cell>
        </row>
        <row r="213">
          <cell r="A213" t="str">
            <v>MU000090</v>
          </cell>
          <cell r="B213" t="str">
            <v>In Prog For Musical</v>
          </cell>
        </row>
        <row r="214">
          <cell r="A214" t="str">
            <v>MU400000</v>
          </cell>
          <cell r="B214" t="str">
            <v>In Edu Cont Form M</v>
          </cell>
        </row>
        <row r="215">
          <cell r="A215" t="str">
            <v>MU500000</v>
          </cell>
          <cell r="B215" t="str">
            <v>In Prog Esp Form M</v>
          </cell>
        </row>
        <row r="216">
          <cell r="A216" t="str">
            <v>OD000090</v>
          </cell>
          <cell r="B216" t="str">
            <v>In Prog Odontología</v>
          </cell>
        </row>
        <row r="217">
          <cell r="A217" t="str">
            <v>OD100090</v>
          </cell>
          <cell r="B217" t="str">
            <v>In Postgrados Odonto</v>
          </cell>
        </row>
        <row r="218">
          <cell r="A218" t="str">
            <v>OD100190</v>
          </cell>
          <cell r="B218" t="str">
            <v>In Prog Cir Oral Max</v>
          </cell>
        </row>
        <row r="219">
          <cell r="A219" t="str">
            <v>OD100290</v>
          </cell>
          <cell r="B219" t="str">
            <v>In Prog Periodoncia</v>
          </cell>
        </row>
        <row r="220">
          <cell r="A220" t="str">
            <v>OD100390</v>
          </cell>
          <cell r="B220" t="str">
            <v>In Prog Ortodoncia</v>
          </cell>
        </row>
        <row r="221">
          <cell r="A221" t="str">
            <v>OD100490</v>
          </cell>
          <cell r="B221" t="str">
            <v>In Prog Patología</v>
          </cell>
        </row>
        <row r="222">
          <cell r="A222" t="str">
            <v>OD100590</v>
          </cell>
          <cell r="B222" t="str">
            <v>In Prog Odont Ped</v>
          </cell>
        </row>
        <row r="223">
          <cell r="A223" t="str">
            <v>OD100690</v>
          </cell>
          <cell r="B223" t="str">
            <v>In Prog Prostod</v>
          </cell>
        </row>
        <row r="224">
          <cell r="A224" t="str">
            <v>OD100790</v>
          </cell>
          <cell r="B224" t="str">
            <v>In Prog Endodonc</v>
          </cell>
        </row>
        <row r="225">
          <cell r="A225" t="str">
            <v>OD100890</v>
          </cell>
          <cell r="B225" t="str">
            <v>In Prog Oper.Dent.Es</v>
          </cell>
        </row>
        <row r="226">
          <cell r="A226" t="str">
            <v>OD400000</v>
          </cell>
          <cell r="B226" t="str">
            <v>In Edu Cont Odonto</v>
          </cell>
        </row>
        <row r="227">
          <cell r="A227" t="str">
            <v>OD500000</v>
          </cell>
          <cell r="B227" t="str">
            <v>In Prog Esp Odonto</v>
          </cell>
        </row>
        <row r="228">
          <cell r="A228" t="str">
            <v>OD500100</v>
          </cell>
          <cell r="B228" t="str">
            <v>In Pro Nobel Biocare</v>
          </cell>
        </row>
        <row r="229">
          <cell r="A229" t="str">
            <v>OP000090</v>
          </cell>
          <cell r="B229" t="str">
            <v>In Prog Optometría</v>
          </cell>
        </row>
        <row r="230">
          <cell r="A230" t="str">
            <v>OP400000</v>
          </cell>
          <cell r="B230" t="str">
            <v>In Edu Cont Optometr</v>
          </cell>
        </row>
        <row r="231">
          <cell r="A231" t="str">
            <v>OP500000</v>
          </cell>
          <cell r="B231" t="str">
            <v>In Prog Esp Optometr</v>
          </cell>
        </row>
        <row r="232">
          <cell r="A232" t="str">
            <v>PB000090</v>
          </cell>
          <cell r="B232" t="str">
            <v>In Curso Básico</v>
          </cell>
        </row>
        <row r="233">
          <cell r="A233" t="str">
            <v>PB000290</v>
          </cell>
          <cell r="B233" t="str">
            <v>In Curso Pre-Icfes</v>
          </cell>
        </row>
        <row r="234">
          <cell r="A234" t="str">
            <v>PC000090</v>
          </cell>
          <cell r="B234" t="str">
            <v>In Prog Edu Media</v>
          </cell>
        </row>
        <row r="235">
          <cell r="A235" t="str">
            <v>PE000090</v>
          </cell>
          <cell r="B235" t="str">
            <v>ADM EDUCAION CONTIN</v>
          </cell>
        </row>
        <row r="236">
          <cell r="A236" t="str">
            <v>QU000090</v>
          </cell>
          <cell r="B236" t="str">
            <v>In Prog de Química</v>
          </cell>
        </row>
        <row r="237">
          <cell r="A237" t="str">
            <v>QU400000</v>
          </cell>
          <cell r="B237" t="str">
            <v>In Edu Cont Química</v>
          </cell>
        </row>
        <row r="238">
          <cell r="A238" t="str">
            <v>QU500000</v>
          </cell>
          <cell r="B238" t="str">
            <v>In Edu Cont Química</v>
          </cell>
        </row>
        <row r="239">
          <cell r="A239" t="str">
            <v>SI400000</v>
          </cell>
          <cell r="B239" t="str">
            <v>In Edu Cont Sim</v>
          </cell>
        </row>
        <row r="240">
          <cell r="A240" t="str">
            <v>SI500000</v>
          </cell>
          <cell r="B240" t="str">
            <v>PROG ESP LAB SIMULAC</v>
          </cell>
        </row>
        <row r="241">
          <cell r="A241" t="str">
            <v>SI700290</v>
          </cell>
          <cell r="B241" t="str">
            <v>In Dpto Simulación</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RESUPUESTO"/>
      <sheetName val="RES.GESTION"/>
      <sheetName val="ALUMNOS"/>
      <sheetName val="MAT."/>
      <sheetName val="NOMINA"/>
      <sheetName val="Hoja2"/>
      <sheetName val="HONORARIOS"/>
      <sheetName val="CONVENIOS"/>
      <sheetName val="EDUC.CONT."/>
      <sheetName val="ASESOR.Y.CONSULT."/>
      <sheetName val="PROY INVEST."/>
      <sheetName val="P.PROY.SOCIAL"/>
      <sheetName val="GEST.REC.HUM."/>
      <sheetName val="OTROS PROY."/>
      <sheetName val="SALIDAS"/>
      <sheetName val="BIBLIOTECA"/>
      <sheetName val="AFILIACIONES"/>
      <sheetName val="IMPRESOS.PUBLIC"/>
      <sheetName val="MANTEN.EQUIP."/>
      <sheetName val="INVER.EQUIPO.COMP"/>
      <sheetName val="INVER.OTROS.EQUIPOS"/>
      <sheetName val="INVER.MUEBLES"/>
      <sheetName val="ADECUAC.LOCATIVAS"/>
      <sheetName val="Base 3"/>
      <sheetName val="BASE"/>
    </sheetNames>
    <sheetDataSet>
      <sheetData sheetId="0"/>
      <sheetData sheetId="1"/>
      <sheetData sheetId="2"/>
      <sheetData sheetId="3"/>
      <sheetData sheetId="4"/>
      <sheetData sheetId="5">
        <row r="21">
          <cell r="B21" t="str">
            <v>Desarrollo</v>
          </cell>
          <cell r="D21" t="str">
            <v>UNIVERSITARIO</v>
          </cell>
          <cell r="E21">
            <v>6</v>
          </cell>
          <cell r="H21">
            <v>2</v>
          </cell>
        </row>
        <row r="22">
          <cell r="B22" t="str">
            <v>Operativo</v>
          </cell>
          <cell r="D22" t="str">
            <v>UNIVERSITARIO</v>
          </cell>
          <cell r="E22">
            <v>5</v>
          </cell>
          <cell r="H22">
            <v>2</v>
          </cell>
        </row>
        <row r="23">
          <cell r="B23" t="str">
            <v>Desarrollo</v>
          </cell>
          <cell r="D23" t="str">
            <v>UNIVERSITARIO</v>
          </cell>
          <cell r="E23">
            <v>5</v>
          </cell>
          <cell r="H23">
            <v>2</v>
          </cell>
        </row>
        <row r="24">
          <cell r="B24" t="str">
            <v>Desarrollo</v>
          </cell>
          <cell r="D24" t="str">
            <v>UNIVERSITARIO</v>
          </cell>
          <cell r="E24">
            <v>4</v>
          </cell>
          <cell r="H24">
            <v>2</v>
          </cell>
        </row>
        <row r="25">
          <cell r="B25" t="str">
            <v>Desarrollo</v>
          </cell>
          <cell r="D25" t="str">
            <v>UNIVERSITARIO</v>
          </cell>
          <cell r="E25">
            <v>4</v>
          </cell>
          <cell r="H25">
            <v>2</v>
          </cell>
        </row>
        <row r="26">
          <cell r="B26" t="str">
            <v>Operativo</v>
          </cell>
          <cell r="D26" t="str">
            <v>UNIVERSITARIO</v>
          </cell>
          <cell r="E26">
            <v>6</v>
          </cell>
          <cell r="H26">
            <v>2</v>
          </cell>
        </row>
        <row r="27">
          <cell r="B27" t="str">
            <v>Desarrollo</v>
          </cell>
          <cell r="D27" t="str">
            <v>UNIVERSITARIO</v>
          </cell>
          <cell r="E27">
            <v>4</v>
          </cell>
          <cell r="H27">
            <v>2</v>
          </cell>
        </row>
        <row r="28">
          <cell r="B28" t="str">
            <v>Desarrollo</v>
          </cell>
          <cell r="D28" t="str">
            <v>UNIVERSITARIO</v>
          </cell>
          <cell r="E28">
            <v>4</v>
          </cell>
          <cell r="H28">
            <v>2</v>
          </cell>
        </row>
        <row r="29">
          <cell r="B29" t="str">
            <v>Operativo</v>
          </cell>
          <cell r="D29" t="str">
            <v>UNIVERSITARIO</v>
          </cell>
          <cell r="E29">
            <v>3</v>
          </cell>
          <cell r="H29">
            <v>2</v>
          </cell>
        </row>
        <row r="30">
          <cell r="B30" t="str">
            <v>Operativo</v>
          </cell>
          <cell r="D30" t="str">
            <v>UNIVERSITARIO</v>
          </cell>
          <cell r="E30">
            <v>4</v>
          </cell>
          <cell r="H30">
            <v>2</v>
          </cell>
        </row>
        <row r="31">
          <cell r="B31">
            <v>0</v>
          </cell>
          <cell r="D31">
            <v>0</v>
          </cell>
          <cell r="E31">
            <v>0</v>
          </cell>
          <cell r="H31" t="str">
            <v>TOTAL</v>
          </cell>
        </row>
        <row r="32">
          <cell r="B32">
            <v>0</v>
          </cell>
          <cell r="D32">
            <v>0</v>
          </cell>
          <cell r="E32">
            <v>0</v>
          </cell>
          <cell r="H32">
            <v>0</v>
          </cell>
        </row>
        <row r="33">
          <cell r="B33" t="str">
            <v>Operativo</v>
          </cell>
          <cell r="D33" t="str">
            <v>UNIVERSITARIO</v>
          </cell>
          <cell r="E33">
            <v>6</v>
          </cell>
          <cell r="H33">
            <v>2</v>
          </cell>
        </row>
        <row r="34">
          <cell r="B34">
            <v>0</v>
          </cell>
          <cell r="D34">
            <v>0</v>
          </cell>
          <cell r="E34">
            <v>0</v>
          </cell>
          <cell r="H34" t="str">
            <v>TOTAL</v>
          </cell>
        </row>
        <row r="35">
          <cell r="B35">
            <v>0</v>
          </cell>
          <cell r="D35">
            <v>0</v>
          </cell>
          <cell r="E35">
            <v>0</v>
          </cell>
          <cell r="H35">
            <v>0</v>
          </cell>
        </row>
        <row r="36">
          <cell r="B36" t="str">
            <v>Operativo</v>
          </cell>
          <cell r="D36" t="str">
            <v>UNIVERSITARIO</v>
          </cell>
          <cell r="E36">
            <v>6</v>
          </cell>
          <cell r="H36">
            <v>2</v>
          </cell>
        </row>
        <row r="37">
          <cell r="B37">
            <v>0</v>
          </cell>
          <cell r="E37">
            <v>0</v>
          </cell>
          <cell r="H37" t="str">
            <v>TOTAL</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RESUPUESTO"/>
      <sheetName val="RES.GESTION"/>
      <sheetName val="ALUMNOS"/>
      <sheetName val="MAT."/>
      <sheetName val="NOMINA"/>
      <sheetName val="Hoja2"/>
      <sheetName val="HONORARIOS"/>
      <sheetName val="CONVENIOS"/>
      <sheetName val="EDUC.CONT."/>
      <sheetName val="ASESOR.Y.CONSULT."/>
      <sheetName val="PROY INVEST."/>
      <sheetName val="P.PROY.SOCIAL"/>
      <sheetName val="GEST.REC.HUM."/>
      <sheetName val="OTROS PROY."/>
      <sheetName val="SALIDAS"/>
      <sheetName val="BIBLIOTECA"/>
      <sheetName val="AFILIACIONES"/>
      <sheetName val="IMPRESOS.PUBLIC"/>
      <sheetName val="MANTEN.EQUIP."/>
      <sheetName val="INVER.EQUIPO.COMP"/>
      <sheetName val="INVER.OTROS.EQUIPOS"/>
      <sheetName val="INVER.MUEBLES"/>
      <sheetName val="ADECUAC.LOCATIVAS"/>
      <sheetName val="Base 3"/>
      <sheetName val="BASE"/>
    </sheetNames>
    <sheetDataSet>
      <sheetData sheetId="0"/>
      <sheetData sheetId="1"/>
      <sheetData sheetId="2"/>
      <sheetData sheetId="3"/>
      <sheetData sheetId="4"/>
      <sheetData sheetId="5">
        <row r="21">
          <cell r="B21" t="str">
            <v>Desarrollo</v>
          </cell>
          <cell r="D21" t="str">
            <v>UNIVERSITARIO</v>
          </cell>
          <cell r="E21">
            <v>6</v>
          </cell>
          <cell r="H21">
            <v>2</v>
          </cell>
        </row>
        <row r="22">
          <cell r="B22" t="str">
            <v>Operativo</v>
          </cell>
          <cell r="D22" t="str">
            <v>UNIVERSITARIO</v>
          </cell>
          <cell r="E22">
            <v>5</v>
          </cell>
          <cell r="H22">
            <v>2</v>
          </cell>
        </row>
        <row r="23">
          <cell r="B23" t="str">
            <v>Desarrollo</v>
          </cell>
          <cell r="D23" t="str">
            <v>UNIVERSITARIO</v>
          </cell>
          <cell r="E23">
            <v>5</v>
          </cell>
          <cell r="H23">
            <v>2</v>
          </cell>
        </row>
        <row r="24">
          <cell r="B24" t="str">
            <v>Desarrollo</v>
          </cell>
          <cell r="D24" t="str">
            <v>UNIVERSITARIO</v>
          </cell>
          <cell r="E24">
            <v>4</v>
          </cell>
          <cell r="H24">
            <v>2</v>
          </cell>
        </row>
        <row r="25">
          <cell r="B25" t="str">
            <v>Desarrollo</v>
          </cell>
          <cell r="D25" t="str">
            <v>UNIVERSITARIO</v>
          </cell>
          <cell r="E25">
            <v>4</v>
          </cell>
          <cell r="H25">
            <v>2</v>
          </cell>
        </row>
        <row r="26">
          <cell r="B26" t="str">
            <v>Operativo</v>
          </cell>
          <cell r="D26" t="str">
            <v>UNIVERSITARIO</v>
          </cell>
          <cell r="E26">
            <v>6</v>
          </cell>
          <cell r="H26">
            <v>2</v>
          </cell>
        </row>
        <row r="27">
          <cell r="B27" t="str">
            <v>Desarrollo</v>
          </cell>
          <cell r="D27" t="str">
            <v>UNIVERSITARIO</v>
          </cell>
          <cell r="E27">
            <v>4</v>
          </cell>
          <cell r="H27">
            <v>2</v>
          </cell>
        </row>
        <row r="28">
          <cell r="B28" t="str">
            <v>Desarrollo</v>
          </cell>
          <cell r="D28" t="str">
            <v>UNIVERSITARIO</v>
          </cell>
          <cell r="E28">
            <v>4</v>
          </cell>
          <cell r="H28">
            <v>2</v>
          </cell>
        </row>
        <row r="29">
          <cell r="B29" t="str">
            <v>Operativo</v>
          </cell>
          <cell r="D29" t="str">
            <v>UNIVERSITARIO</v>
          </cell>
          <cell r="E29">
            <v>3</v>
          </cell>
          <cell r="H29">
            <v>2</v>
          </cell>
        </row>
        <row r="30">
          <cell r="B30" t="str">
            <v>Operativo</v>
          </cell>
          <cell r="D30" t="str">
            <v>UNIVERSITARIO</v>
          </cell>
          <cell r="E30">
            <v>4</v>
          </cell>
          <cell r="H30">
            <v>2</v>
          </cell>
        </row>
        <row r="31">
          <cell r="B31">
            <v>0</v>
          </cell>
          <cell r="D31">
            <v>0</v>
          </cell>
          <cell r="E31">
            <v>0</v>
          </cell>
          <cell r="H31" t="str">
            <v>TOTAL</v>
          </cell>
        </row>
        <row r="32">
          <cell r="B32">
            <v>0</v>
          </cell>
          <cell r="D32">
            <v>0</v>
          </cell>
          <cell r="E32">
            <v>0</v>
          </cell>
          <cell r="H32">
            <v>0</v>
          </cell>
        </row>
        <row r="33">
          <cell r="B33" t="str">
            <v>Operativo</v>
          </cell>
          <cell r="D33" t="str">
            <v>UNIVERSITARIO</v>
          </cell>
          <cell r="E33">
            <v>6</v>
          </cell>
          <cell r="H33">
            <v>2</v>
          </cell>
        </row>
        <row r="34">
          <cell r="B34">
            <v>0</v>
          </cell>
          <cell r="D34">
            <v>0</v>
          </cell>
          <cell r="E34">
            <v>0</v>
          </cell>
          <cell r="H34" t="str">
            <v>TOTAL</v>
          </cell>
        </row>
        <row r="35">
          <cell r="B35">
            <v>0</v>
          </cell>
          <cell r="D35">
            <v>0</v>
          </cell>
          <cell r="E35">
            <v>0</v>
          </cell>
          <cell r="H35">
            <v>0</v>
          </cell>
        </row>
        <row r="36">
          <cell r="B36" t="str">
            <v>Operativo</v>
          </cell>
          <cell r="D36" t="str">
            <v>UNIVERSITARIO</v>
          </cell>
          <cell r="E36">
            <v>6</v>
          </cell>
          <cell r="H36">
            <v>2</v>
          </cell>
        </row>
        <row r="37">
          <cell r="B37">
            <v>0</v>
          </cell>
          <cell r="E37">
            <v>0</v>
          </cell>
          <cell r="H37" t="str">
            <v>TOTAL</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JE CONS."/>
      <sheetName val="Inversiones 2010"/>
      <sheetName val="Hoja20"/>
      <sheetName val="GRAF.EJEC.CONS"/>
      <sheetName val="Grafica de Ingresos"/>
      <sheetName val="Grafica de Gastos"/>
      <sheetName val="RESUMEN"/>
      <sheetName val="EJEC. INGRESOS"/>
      <sheetName val="GRAF EJEC INGRESOS"/>
      <sheetName val="EJEC.GASTOS"/>
      <sheetName val="GRAF EJEC GASTOS"/>
      <sheetName val="EJEC.EXCEDENTES"/>
      <sheetName val="GRAF EJEC EXCEDENTES"/>
      <sheetName val="MEDICINA"/>
      <sheetName val="Preg MED"/>
      <sheetName val="Anestesia y Ream"/>
      <sheetName val="Anestesia C y T"/>
      <sheetName val="Cardiología"/>
      <sheetName val="Card. Ped."/>
      <sheetName val="Cir. Columna"/>
      <sheetName val="Cir. Mano"/>
      <sheetName val="Cir. Torax"/>
      <sheetName val="Cir. Gral"/>
      <sheetName val="Cir. Plas"/>
      <sheetName val="Cir. Vascular"/>
      <sheetName val="Dermatologia"/>
      <sheetName val="Epid. Clinica"/>
      <sheetName val="Epid. Gral"/>
      <sheetName val="Ergonomia"/>
      <sheetName val="Gastro. Ped."/>
      <sheetName val="Ger. Calidad S"/>
      <sheetName val="Gine. y Obs."/>
      <sheetName val="M. interna"/>
      <sheetName val="Higiene I."/>
      <sheetName val="Med. Critica"/>
      <sheetName val="Med. Deporte"/>
      <sheetName val="Med. Dolor"/>
      <sheetName val="Med. Fam"/>
      <sheetName val="Med. Fisi y R"/>
      <sheetName val="Nefro. P."/>
      <sheetName val="Neonatologia"/>
      <sheetName val="Neumologia"/>
      <sheetName val="Neumologia P"/>
      <sheetName val="Neurocirugia"/>
      <sheetName val="Neurologia"/>
      <sheetName val="Oftalmologia"/>
      <sheetName val="Oncologia"/>
      <sheetName val="Ortopedia"/>
      <sheetName val="Psiquiatria"/>
      <sheetName val="Pediatria"/>
      <sheetName val="Psi. Inf."/>
      <sheetName val="Psi. Enlace"/>
      <sheetName val="Radiologia"/>
      <sheetName val="Reumatologia"/>
      <sheetName val="Salud Fam."/>
      <sheetName val="Salud Ocup."/>
      <sheetName val="Urologia"/>
      <sheetName val="Maestria Ciencias B"/>
      <sheetName val="Admon Post.M"/>
      <sheetName val="Lab. Med"/>
      <sheetName val="E. Continuda M"/>
      <sheetName val="Prog. Esp. Med."/>
      <sheetName val="Lab. Cir. Exper."/>
      <sheetName val="ODONTOL."/>
      <sheetName val="Preg ODO"/>
      <sheetName val="Cir.O"/>
      <sheetName val="Perio"/>
      <sheetName val="Ortod"/>
      <sheetName val="Odontp"/>
      <sheetName val="Prost"/>
      <sheetName val="End"/>
      <sheetName val="Oper.D"/>
      <sheetName val="Ad.Pos ODO"/>
      <sheetName val="Clin ODO"/>
      <sheetName val="Edu.Cont ODO"/>
      <sheetName val="Prog.Esp ODO"/>
      <sheetName val="ENFERM"/>
      <sheetName val="PREG ENF"/>
      <sheetName val="MAEST ENF"/>
      <sheetName val="EDUCONT ENF"/>
      <sheetName val="INST.QUIR."/>
      <sheetName val="Preg INST"/>
      <sheetName val="OPTOM."/>
      <sheetName val="Preg OPT"/>
      <sheetName val="BIOLOGIA"/>
      <sheetName val="PREG BIOL"/>
      <sheetName val="PROG.ESP BIOL"/>
      <sheetName val="EDUCONT BIOL"/>
      <sheetName val="ADMON EMP"/>
      <sheetName val="PREG ADM"/>
      <sheetName val="EDUCONT ADM"/>
      <sheetName val="DISEÑO"/>
      <sheetName val="PREG DIS"/>
      <sheetName val="CTRO DIS"/>
      <sheetName val="PROG.ESP DIS"/>
      <sheetName val="EDUCONT DIS"/>
      <sheetName val="PSICOL"/>
      <sheetName val="Preg.D PSIC"/>
      <sheetName val="Preg.N PSIC"/>
      <sheetName val="Ps.Salu"/>
      <sheetName val="Ps.Ocu"/>
      <sheetName val="Ps.Dep"/>
      <sheetName val="Ps.Soc"/>
      <sheetName val="Ps.Cl.Aut"/>
      <sheetName val="Ps.Cl.Inf"/>
      <sheetName val="Maes"/>
      <sheetName val="A.Post PSIC"/>
      <sheetName val="Labor PSIC"/>
      <sheetName val="Educ.C PSIC"/>
      <sheetName val="ING AMB."/>
      <sheetName val="Preg AMB"/>
      <sheetName val="Sal.y Amb"/>
      <sheetName val="Labor AMB"/>
      <sheetName val="Educ.Cont AMB"/>
      <sheetName val="Prog.Esp AMB"/>
      <sheetName val="SISTEMAS"/>
      <sheetName val="Preg.D SIS"/>
      <sheetName val="Preg.N SIS"/>
      <sheetName val="Educ.Cont SIS"/>
      <sheetName val="ING ELEC."/>
      <sheetName val="Preg.D ELEC"/>
      <sheetName val="Preg.N ELE"/>
      <sheetName val="Educ.Cont ELE"/>
      <sheetName val="Labor ELEC"/>
      <sheetName val="INDUST."/>
      <sheetName val="PREG IIND"/>
      <sheetName val="Ger.Proy"/>
      <sheetName val="GER.PROD"/>
      <sheetName val="Educ.Cont IIND"/>
      <sheetName val="MUSICA"/>
      <sheetName val="Preg MUS"/>
      <sheetName val="Orqu"/>
      <sheetName val="Educ.Cont MUS"/>
      <sheetName val="ARTE DRAM."/>
      <sheetName val="PREG ARTE D"/>
      <sheetName val="EDUCONT DRAM"/>
      <sheetName val="ART. PLAST."/>
      <sheetName val="PREG ART PLAS"/>
      <sheetName val="EDUCONT ART PLA"/>
      <sheetName val="FAC EDUC."/>
      <sheetName val="lic.educ.bil"/>
      <sheetName val="lic.ped.inf"/>
      <sheetName val="Esp.Educ.Bil"/>
      <sheetName val="Ctro.Leng"/>
      <sheetName val="Prog.Esp EDU"/>
      <sheetName val="Educ.D"/>
      <sheetName val="Adm.F.Educ"/>
      <sheetName val="Educ.Con EDU"/>
      <sheetName val="Esp.Doc.Univ"/>
      <sheetName val="BIOETICA"/>
      <sheetName val="ESPEC BIOE"/>
      <sheetName val="MAEST BIOE"/>
      <sheetName val="DOCT BIOE"/>
      <sheetName val="EDUCONT BIOE"/>
      <sheetName val="DPTO BIOE"/>
      <sheetName val="HUMAN."/>
      <sheetName val="Preg HUM"/>
      <sheetName val="Esp.Fil"/>
      <sheetName val="Dpto HUM"/>
      <sheetName val="Educ.Cont HUM"/>
      <sheetName val="COLEGIO"/>
      <sheetName val="COLEG"/>
      <sheetName val="BASICO"/>
      <sheetName val="BASIC"/>
      <sheetName val="PRE-ICFES"/>
      <sheetName val="SIM CLIN"/>
      <sheetName val="Educ.Cont SIM"/>
      <sheetName val="Dpto SIM"/>
      <sheetName val="INVEST."/>
      <sheetName val="UIBO"/>
      <sheetName val="Biolog.M"/>
      <sheetName val="Gen.Mol"/>
      <sheetName val="Neuroc"/>
      <sheetName val="Sal.Amb"/>
      <sheetName val="UGRA"/>
      <sheetName val="Virol"/>
      <sheetName val="Admon INV"/>
      <sheetName val="Educont INV."/>
      <sheetName val="ADMON GEN."/>
      <sheetName val="AdmonGral"/>
      <sheetName val="Bienestar"/>
      <sheetName val="Tecnol"/>
      <sheetName val="Bibliot"/>
      <sheetName val="Audiov"/>
      <sheetName val="Admon Post"/>
      <sheetName val="Admon Educont"/>
      <sheetName val="Clin.Nva"/>
      <sheetName val="Matem"/>
      <sheetName val="ESP-MAE-DOCT"/>
      <sheetName val="EDU.CONT"/>
      <sheetName val="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3">
          <cell r="E3">
            <v>0</v>
          </cell>
        </row>
        <row r="4">
          <cell r="E4">
            <v>464460</v>
          </cell>
        </row>
        <row r="5">
          <cell r="E5">
            <v>42875</v>
          </cell>
        </row>
        <row r="6">
          <cell r="E6">
            <v>672</v>
          </cell>
        </row>
        <row r="7">
          <cell r="E7">
            <v>1633</v>
          </cell>
        </row>
        <row r="8">
          <cell r="E8">
            <v>4300</v>
          </cell>
        </row>
        <row r="9">
          <cell r="E9">
            <v>0</v>
          </cell>
        </row>
        <row r="10">
          <cell r="E10">
            <v>0</v>
          </cell>
        </row>
        <row r="12">
          <cell r="E12">
            <v>27021.047999999999</v>
          </cell>
        </row>
        <row r="13">
          <cell r="E13">
            <v>2.4E-2</v>
          </cell>
        </row>
        <row r="14">
          <cell r="E14">
            <v>-33522.432999999997</v>
          </cell>
        </row>
        <row r="15">
          <cell r="E15">
            <v>-79.533000000000001</v>
          </cell>
        </row>
        <row r="16">
          <cell r="E16">
            <v>-2476.4</v>
          </cell>
        </row>
        <row r="17">
          <cell r="E17">
            <v>-3659</v>
          </cell>
        </row>
        <row r="18">
          <cell r="E18">
            <v>-395.17200000000003</v>
          </cell>
        </row>
        <row r="19">
          <cell r="E19">
            <v>-3293.1039999999998</v>
          </cell>
        </row>
        <row r="20">
          <cell r="E20">
            <v>-2502.8670000000002</v>
          </cell>
        </row>
        <row r="21">
          <cell r="E21">
            <v>-800</v>
          </cell>
        </row>
        <row r="22">
          <cell r="E22">
            <v>-198.1</v>
          </cell>
        </row>
        <row r="23">
          <cell r="E23">
            <v>-3701.0410000000002</v>
          </cell>
        </row>
        <row r="24">
          <cell r="E24">
            <v>-5146.241</v>
          </cell>
        </row>
        <row r="25">
          <cell r="E25">
            <v>-1466.1</v>
          </cell>
        </row>
        <row r="26">
          <cell r="E26">
            <v>-1098.48</v>
          </cell>
        </row>
        <row r="27">
          <cell r="E27">
            <v>-733.2</v>
          </cell>
        </row>
        <row r="28">
          <cell r="E28">
            <v>-994.44799999999998</v>
          </cell>
        </row>
        <row r="29">
          <cell r="E29">
            <v>-211594.26500000001</v>
          </cell>
        </row>
        <row r="30">
          <cell r="E30">
            <v>-266.05599999999998</v>
          </cell>
        </row>
        <row r="31">
          <cell r="E31">
            <v>-3358.9209999999998</v>
          </cell>
        </row>
        <row r="32">
          <cell r="E32">
            <v>-187.4</v>
          </cell>
        </row>
        <row r="33">
          <cell r="E33">
            <v>-3.609</v>
          </cell>
        </row>
        <row r="34">
          <cell r="E34">
            <v>-22165.794000000002</v>
          </cell>
        </row>
        <row r="35">
          <cell r="E35">
            <v>-42364.66</v>
          </cell>
        </row>
        <row r="36">
          <cell r="E36">
            <v>-709.19100000000003</v>
          </cell>
        </row>
        <row r="37">
          <cell r="E37">
            <v>-789.59</v>
          </cell>
        </row>
        <row r="38">
          <cell r="E38">
            <v>-1139.463</v>
          </cell>
        </row>
        <row r="39">
          <cell r="E39">
            <v>-403.67599999999999</v>
          </cell>
        </row>
        <row r="40">
          <cell r="E40">
            <v>-1077.9490000000001</v>
          </cell>
        </row>
        <row r="41">
          <cell r="E41">
            <v>-6827.3519999999999</v>
          </cell>
        </row>
        <row r="42">
          <cell r="E42">
            <v>-189.05600000000001</v>
          </cell>
        </row>
        <row r="43">
          <cell r="E43">
            <v>-714.72</v>
          </cell>
        </row>
        <row r="44">
          <cell r="E44">
            <v>-286.77100000000002</v>
          </cell>
        </row>
        <row r="45">
          <cell r="E45">
            <v>-879.76300000000003</v>
          </cell>
        </row>
        <row r="46">
          <cell r="E46">
            <v>-496.24599999999998</v>
          </cell>
        </row>
        <row r="47">
          <cell r="E47">
            <v>-4659.63</v>
          </cell>
        </row>
        <row r="48">
          <cell r="E48">
            <v>-509.51400000000001</v>
          </cell>
        </row>
        <row r="49">
          <cell r="E49">
            <v>-962.38800000000003</v>
          </cell>
        </row>
        <row r="50">
          <cell r="E50">
            <v>-75.965999999999994</v>
          </cell>
        </row>
        <row r="51">
          <cell r="E51">
            <v>-1807.625</v>
          </cell>
        </row>
        <row r="52">
          <cell r="E52">
            <v>-40027.438000000002</v>
          </cell>
        </row>
        <row r="53">
          <cell r="E53">
            <v>-5696.2479999999996</v>
          </cell>
        </row>
        <row r="54">
          <cell r="E54">
            <v>-950.33199999999999</v>
          </cell>
        </row>
        <row r="55">
          <cell r="E55">
            <v>-1572.635</v>
          </cell>
        </row>
        <row r="56">
          <cell r="E56">
            <v>-1031.03</v>
          </cell>
        </row>
        <row r="57">
          <cell r="E57">
            <v>-456.41199999999998</v>
          </cell>
        </row>
        <row r="58">
          <cell r="E58">
            <v>-1371.905</v>
          </cell>
        </row>
        <row r="59">
          <cell r="E59">
            <v>-309.91800000000001</v>
          </cell>
        </row>
        <row r="60">
          <cell r="E60">
            <v>-404.30599999999998</v>
          </cell>
        </row>
        <row r="61">
          <cell r="E61">
            <v>-216.374</v>
          </cell>
        </row>
        <row r="62">
          <cell r="E62">
            <v>-576</v>
          </cell>
        </row>
        <row r="63">
          <cell r="E63">
            <v>-12848.5</v>
          </cell>
        </row>
        <row r="64">
          <cell r="E64">
            <v>-1160.711</v>
          </cell>
        </row>
        <row r="65">
          <cell r="E65">
            <v>-1200.692</v>
          </cell>
        </row>
        <row r="66">
          <cell r="E66">
            <v>-1412.338</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MENU"/>
      <sheetName val="PRESUPUESTO"/>
      <sheetName val="RES.GESTION"/>
      <sheetName val="ALUMNOS"/>
      <sheetName val="MAT."/>
      <sheetName val="NOMINA"/>
      <sheetName val="Hoja2"/>
      <sheetName val="HONORARIOS"/>
      <sheetName val="CONVENIOS"/>
      <sheetName val="EDUC.CONT."/>
      <sheetName val="ASESOR.Y.CONSULT."/>
      <sheetName val="PROY INVEST."/>
      <sheetName val="P.PROY.SOCIAL"/>
      <sheetName val="GEST.REC.HUM."/>
      <sheetName val="OTROS PROY."/>
      <sheetName val="SALIDAS"/>
      <sheetName val="BIBLIOTECA"/>
      <sheetName val="AFILIACIONES"/>
      <sheetName val="IMPRESOS.PUBLIC"/>
      <sheetName val="MANTEN.EQUIP."/>
      <sheetName val="INVER.EQUIPO.COMP"/>
      <sheetName val="INVER.OTROS.EQUIPOS"/>
      <sheetName val="INVER.MUEBLES"/>
      <sheetName val="ADECUAC.LOCATIVAS"/>
      <sheetName val="Base 3"/>
      <sheetName val="BASE"/>
    </sheetNames>
    <sheetDataSet>
      <sheetData sheetId="0">
        <row r="1">
          <cell r="A1">
            <v>0</v>
          </cell>
        </row>
      </sheetData>
      <sheetData sheetId="1"/>
      <sheetData sheetId="2"/>
      <sheetData sheetId="3">
        <row r="6">
          <cell r="E6">
            <v>17776000</v>
          </cell>
        </row>
      </sheetData>
      <sheetData sheetId="4"/>
      <sheetData sheetId="5">
        <row r="37">
          <cell r="C37">
            <v>70</v>
          </cell>
        </row>
      </sheetData>
      <sheetData sheetId="6">
        <row r="21">
          <cell r="B21" t="str">
            <v>Operativo</v>
          </cell>
        </row>
      </sheetData>
      <sheetData sheetId="7"/>
      <sheetData sheetId="8"/>
      <sheetData sheetId="9">
        <row r="53">
          <cell r="E53">
            <v>0</v>
          </cell>
        </row>
      </sheetData>
      <sheetData sheetId="10"/>
      <sheetData sheetId="11">
        <row r="8">
          <cell r="D8">
            <v>0</v>
          </cell>
        </row>
      </sheetData>
      <sheetData sheetId="12">
        <row r="8">
          <cell r="K8">
            <v>0</v>
          </cell>
        </row>
      </sheetData>
      <sheetData sheetId="13">
        <row r="8">
          <cell r="K8">
            <v>0</v>
          </cell>
        </row>
      </sheetData>
      <sheetData sheetId="14"/>
      <sheetData sheetId="15"/>
      <sheetData sheetId="16">
        <row r="17">
          <cell r="V17">
            <v>0</v>
          </cell>
        </row>
      </sheetData>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Z378"/>
  <sheetViews>
    <sheetView zoomScale="85" zoomScaleNormal="85" workbookViewId="0">
      <pane xSplit="4" ySplit="5" topLeftCell="E258" activePane="bottomRight" state="frozen"/>
      <selection activeCell="I25" sqref="I25"/>
      <selection pane="topRight" activeCell="I25" sqref="I25"/>
      <selection pane="bottomLeft" activeCell="I25" sqref="I25"/>
      <selection pane="bottomRight" activeCell="N354" sqref="N354"/>
    </sheetView>
  </sheetViews>
  <sheetFormatPr baseColWidth="10" defaultRowHeight="12.75" outlineLevelRow="1"/>
  <cols>
    <col min="1" max="1" width="2.5703125" style="17" customWidth="1"/>
    <col min="2" max="2" width="3.5703125" style="115" customWidth="1"/>
    <col min="3" max="3" width="3.140625" style="16" customWidth="1"/>
    <col min="4" max="4" width="43.5703125" style="16" customWidth="1"/>
    <col min="5" max="5" width="15.28515625" style="23" hidden="1" customWidth="1"/>
    <col min="6" max="6" width="13.7109375" style="23" hidden="1" customWidth="1"/>
    <col min="7" max="7" width="10.7109375" style="125" hidden="1" customWidth="1"/>
    <col min="8" max="8" width="13.7109375" style="23" hidden="1" customWidth="1"/>
    <col min="9" max="9" width="11.7109375" style="125" hidden="1" customWidth="1"/>
    <col min="10" max="10" width="12.5703125" style="23" hidden="1" customWidth="1"/>
    <col min="11" max="11" width="10.7109375" style="125" hidden="1" customWidth="1"/>
    <col min="12" max="12" width="14.85546875" style="23" customWidth="1"/>
    <col min="13" max="13" width="11.7109375" style="125" hidden="1" customWidth="1"/>
    <col min="14" max="14" width="15" style="17" customWidth="1"/>
    <col min="15" max="15" width="10.85546875" style="126" customWidth="1"/>
    <col min="16" max="16" width="15.42578125" style="17" customWidth="1"/>
    <col min="17" max="17" width="11.7109375" style="126" customWidth="1"/>
    <col min="18" max="18" width="14.7109375" style="17" customWidth="1"/>
    <col min="19" max="19" width="11.7109375" style="126" customWidth="1"/>
    <col min="20" max="20" width="14.7109375" style="17" customWidth="1"/>
    <col min="21" max="21" width="11.7109375" style="126" customWidth="1"/>
    <col min="22" max="22" width="15.140625" style="17" customWidth="1"/>
    <col min="23" max="23" width="11.7109375" style="126" customWidth="1"/>
    <col min="24" max="16384" width="11.42578125" style="17"/>
  </cols>
  <sheetData>
    <row r="1" spans="1:23">
      <c r="B1" s="114"/>
    </row>
    <row r="2" spans="1:23" ht="19.5" thickBot="1">
      <c r="D2" s="347" t="s">
        <v>416</v>
      </c>
      <c r="E2" s="347"/>
      <c r="F2" s="347"/>
      <c r="G2" s="348"/>
      <c r="H2" s="347"/>
      <c r="I2" s="348"/>
      <c r="J2" s="347"/>
      <c r="K2" s="348"/>
      <c r="L2" s="347"/>
      <c r="M2" s="348"/>
      <c r="N2" s="347"/>
      <c r="O2" s="348"/>
      <c r="P2" s="347"/>
      <c r="Q2" s="348"/>
      <c r="R2" s="347"/>
      <c r="S2" s="348"/>
      <c r="T2" s="347"/>
      <c r="U2" s="348"/>
      <c r="V2" s="347"/>
      <c r="W2" s="127"/>
    </row>
    <row r="3" spans="1:23" s="134" customFormat="1" ht="26.25" customHeight="1" thickBot="1">
      <c r="B3" s="115"/>
      <c r="C3" s="128" t="s">
        <v>106</v>
      </c>
      <c r="D3" s="129" t="s">
        <v>686</v>
      </c>
      <c r="E3" s="130"/>
      <c r="F3" s="130"/>
      <c r="G3" s="131"/>
      <c r="H3" s="130"/>
      <c r="I3" s="131"/>
      <c r="J3" s="130"/>
      <c r="K3" s="131"/>
      <c r="L3" s="129" t="s">
        <v>687</v>
      </c>
      <c r="M3" s="131"/>
      <c r="N3" s="132"/>
      <c r="O3" s="131"/>
      <c r="P3" s="132"/>
      <c r="Q3" s="131"/>
      <c r="R3" s="132"/>
      <c r="S3" s="131"/>
      <c r="T3" s="132"/>
      <c r="U3" s="131"/>
      <c r="V3" s="132"/>
      <c r="W3" s="133"/>
    </row>
    <row r="4" spans="1:23" ht="43.5" customHeight="1" thickBot="1">
      <c r="A4" s="17" t="s">
        <v>638</v>
      </c>
      <c r="B4" s="115" t="s">
        <v>643</v>
      </c>
      <c r="C4" s="18" t="s">
        <v>106</v>
      </c>
      <c r="D4" s="19" t="s">
        <v>576</v>
      </c>
      <c r="E4" s="20" t="s">
        <v>577</v>
      </c>
      <c r="F4" s="20" t="s">
        <v>578</v>
      </c>
      <c r="G4" s="135" t="s">
        <v>579</v>
      </c>
      <c r="H4" s="20" t="s">
        <v>580</v>
      </c>
      <c r="I4" s="135" t="s">
        <v>581</v>
      </c>
      <c r="J4" s="20" t="s">
        <v>107</v>
      </c>
      <c r="K4" s="135" t="s">
        <v>582</v>
      </c>
      <c r="L4" s="136" t="s">
        <v>405</v>
      </c>
      <c r="M4" s="137" t="s">
        <v>583</v>
      </c>
      <c r="N4" s="136" t="s">
        <v>584</v>
      </c>
      <c r="O4" s="137" t="s">
        <v>585</v>
      </c>
      <c r="P4" s="136" t="s">
        <v>586</v>
      </c>
      <c r="Q4" s="137" t="s">
        <v>587</v>
      </c>
      <c r="R4" s="136" t="s">
        <v>588</v>
      </c>
      <c r="S4" s="137" t="s">
        <v>670</v>
      </c>
      <c r="T4" s="136" t="s">
        <v>589</v>
      </c>
      <c r="U4" s="137" t="s">
        <v>671</v>
      </c>
      <c r="V4" s="136" t="s">
        <v>590</v>
      </c>
      <c r="W4" s="137" t="s">
        <v>591</v>
      </c>
    </row>
    <row r="5" spans="1:23" ht="13.5" thickBot="1">
      <c r="B5" s="116"/>
      <c r="C5" s="21"/>
      <c r="D5" s="22"/>
      <c r="G5" s="138"/>
      <c r="N5" s="23"/>
      <c r="O5" s="125"/>
      <c r="P5" s="23"/>
      <c r="Q5" s="125"/>
      <c r="R5" s="23"/>
      <c r="S5" s="125"/>
      <c r="T5" s="23"/>
      <c r="U5" s="125"/>
      <c r="V5" s="23"/>
      <c r="W5" s="125"/>
    </row>
    <row r="6" spans="1:23" ht="14.25">
      <c r="B6" s="116"/>
      <c r="C6" s="24">
        <v>4</v>
      </c>
      <c r="D6" s="25" t="s">
        <v>108</v>
      </c>
      <c r="E6" s="139"/>
      <c r="F6" s="139"/>
      <c r="G6" s="140"/>
      <c r="H6" s="139"/>
      <c r="I6" s="140"/>
      <c r="J6" s="139"/>
      <c r="K6" s="140"/>
      <c r="L6" s="139"/>
      <c r="M6" s="140"/>
      <c r="N6" s="139"/>
      <c r="O6" s="140"/>
      <c r="P6" s="139"/>
      <c r="Q6" s="140"/>
      <c r="R6" s="139"/>
      <c r="S6" s="140"/>
      <c r="T6" s="139"/>
      <c r="U6" s="140"/>
      <c r="V6" s="139"/>
      <c r="W6" s="140"/>
    </row>
    <row r="7" spans="1:23" ht="14.25" hidden="1" customHeight="1">
      <c r="B7" s="116"/>
      <c r="C7" s="21">
        <v>41</v>
      </c>
      <c r="D7" s="26" t="s">
        <v>109</v>
      </c>
      <c r="E7" s="39"/>
      <c r="F7" s="39"/>
      <c r="G7" s="141"/>
      <c r="H7" s="39"/>
      <c r="I7" s="141"/>
      <c r="J7" s="39"/>
      <c r="K7" s="141"/>
      <c r="L7" s="39"/>
      <c r="M7" s="141"/>
      <c r="N7" s="39"/>
      <c r="O7" s="141"/>
      <c r="P7" s="39"/>
      <c r="Q7" s="141"/>
      <c r="R7" s="39"/>
      <c r="S7" s="141"/>
      <c r="T7" s="39"/>
      <c r="U7" s="141"/>
      <c r="V7" s="39"/>
      <c r="W7" s="141"/>
    </row>
    <row r="8" spans="1:23" ht="12.75" customHeight="1" outlineLevel="1">
      <c r="A8" s="17" t="s">
        <v>426</v>
      </c>
      <c r="B8" s="117">
        <v>4160050100</v>
      </c>
      <c r="C8" s="21">
        <v>4160050100</v>
      </c>
      <c r="D8" s="27" t="s">
        <v>110</v>
      </c>
      <c r="E8" s="142">
        <v>92224.267999999996</v>
      </c>
      <c r="F8" s="142">
        <v>108213.947</v>
      </c>
      <c r="G8" s="143">
        <f t="shared" ref="G8:G31" si="0">IF(F8=0,"",IF(E8=0,"",(F8/E8)-1))</f>
        <v>0.17337821537385367</v>
      </c>
      <c r="H8" s="142">
        <v>122236.486</v>
      </c>
      <c r="I8" s="143">
        <f t="shared" ref="I8:I31" si="1">IF(H8=0,"",IF(F8=0,"",(H8/F8)-1))</f>
        <v>0.12958162407660812</v>
      </c>
      <c r="J8" s="142">
        <v>139171.72700000001</v>
      </c>
      <c r="K8" s="143">
        <f t="shared" ref="K8:K31" si="2">IF(J8=0,"",IF(H8=0,"",(J8/H8)-1))</f>
        <v>0.13854489403433945</v>
      </c>
      <c r="L8" s="142">
        <v>156861.98651144505</v>
      </c>
      <c r="M8" s="143">
        <f t="shared" ref="M8:M31" si="3">IF(L8=0,"",IF(J8=0,"",(L8/J8)-1))</f>
        <v>0.12711101523835389</v>
      </c>
      <c r="N8" s="142">
        <v>182816</v>
      </c>
      <c r="O8" s="143">
        <f t="shared" ref="O8:O31" si="4">IF(N8=0,"",IF(L8=0,"",(N8/L8)-1))</f>
        <v>0.16545763614093523</v>
      </c>
      <c r="P8" s="142">
        <v>212003</v>
      </c>
      <c r="Q8" s="143">
        <f t="shared" ref="Q8:Q31" si="5">IF(P8=0,"",IF(N8=0,"",(P8/N8)-1))</f>
        <v>0.15965232802380536</v>
      </c>
      <c r="R8" s="142">
        <v>243319</v>
      </c>
      <c r="S8" s="143">
        <f t="shared" ref="S8:S31" si="6">IF(R8=0,"",IF(P8=0,"",(R8/P8)-1))</f>
        <v>0.1477148908270165</v>
      </c>
      <c r="T8" s="142">
        <v>274030</v>
      </c>
      <c r="U8" s="143">
        <f t="shared" ref="U8:U31" si="7">IF(T8=0,"",IF(R8=0,"",(T8/R8)-1))</f>
        <v>0.12621702374249444</v>
      </c>
      <c r="V8" s="142">
        <v>306722</v>
      </c>
      <c r="W8" s="143">
        <f t="shared" ref="W8:W31" si="8">IF(V8=0,"",IF(T8=0,"",(V8/T8)-1))</f>
        <v>0.11930080648104213</v>
      </c>
    </row>
    <row r="9" spans="1:23" ht="12.75" customHeight="1" outlineLevel="1">
      <c r="A9" s="17" t="s">
        <v>426</v>
      </c>
      <c r="B9" s="117">
        <v>4160050200</v>
      </c>
      <c r="C9" s="21">
        <v>4160050200</v>
      </c>
      <c r="D9" s="27" t="s">
        <v>111</v>
      </c>
      <c r="E9" s="142">
        <v>0</v>
      </c>
      <c r="F9" s="142">
        <v>0</v>
      </c>
      <c r="G9" s="143" t="str">
        <f t="shared" si="0"/>
        <v/>
      </c>
      <c r="H9" s="142">
        <v>0</v>
      </c>
      <c r="I9" s="143" t="str">
        <f t="shared" si="1"/>
        <v/>
      </c>
      <c r="J9" s="142">
        <v>-58.48</v>
      </c>
      <c r="K9" s="143" t="str">
        <f t="shared" si="2"/>
        <v/>
      </c>
      <c r="L9" s="142">
        <v>0</v>
      </c>
      <c r="M9" s="143" t="str">
        <f t="shared" si="3"/>
        <v/>
      </c>
      <c r="N9" s="142">
        <v>-70</v>
      </c>
      <c r="O9" s="143" t="str">
        <f t="shared" si="4"/>
        <v/>
      </c>
      <c r="P9" s="142">
        <f>+N9*1.07</f>
        <v>-74.900000000000006</v>
      </c>
      <c r="Q9" s="143">
        <f t="shared" si="5"/>
        <v>7.0000000000000062E-2</v>
      </c>
      <c r="R9" s="142">
        <f>+P9*1.07</f>
        <v>-80.143000000000015</v>
      </c>
      <c r="S9" s="143">
        <f t="shared" si="6"/>
        <v>7.0000000000000062E-2</v>
      </c>
      <c r="T9" s="142">
        <f>+R9*1.07</f>
        <v>-85.753010000000017</v>
      </c>
      <c r="U9" s="143">
        <f t="shared" si="7"/>
        <v>7.0000000000000062E-2</v>
      </c>
      <c r="V9" s="142">
        <f>+T9*1.07</f>
        <v>-91.755720700000026</v>
      </c>
      <c r="W9" s="143">
        <f t="shared" si="8"/>
        <v>7.0000000000000062E-2</v>
      </c>
    </row>
    <row r="10" spans="1:23" ht="14.25" outlineLevel="1">
      <c r="A10" s="17" t="s">
        <v>426</v>
      </c>
      <c r="B10" s="117">
        <v>4160050300</v>
      </c>
      <c r="C10" s="21">
        <v>4160050300</v>
      </c>
      <c r="D10" s="27" t="s">
        <v>112</v>
      </c>
      <c r="E10" s="142">
        <v>1405.9469999999999</v>
      </c>
      <c r="F10" s="142">
        <v>1691.414</v>
      </c>
      <c r="G10" s="143">
        <f t="shared" si="0"/>
        <v>0.20304250444718042</v>
      </c>
      <c r="H10" s="142">
        <v>1972.607</v>
      </c>
      <c r="I10" s="143">
        <f t="shared" si="1"/>
        <v>0.16624729368445568</v>
      </c>
      <c r="J10" s="142">
        <v>2131.6080000000002</v>
      </c>
      <c r="K10" s="143">
        <f t="shared" si="2"/>
        <v>8.0604499527782369E-2</v>
      </c>
      <c r="L10" s="142">
        <v>2350.2460281200006</v>
      </c>
      <c r="M10" s="143">
        <f t="shared" si="3"/>
        <v>0.10256952878765713</v>
      </c>
      <c r="N10" s="142">
        <f>+IF(L10&lt;0,0,L10*(1+'[14]Ind. Crecimiento'!$C$4))</f>
        <v>2514.7632500884006</v>
      </c>
      <c r="O10" s="143">
        <f t="shared" si="4"/>
        <v>7.0000000000000062E-2</v>
      </c>
      <c r="P10" s="142">
        <f>+IF(N10&lt;0,0,N10*(1+'[14]Ind. Crecimiento'!$D$4))</f>
        <v>2690.7966775945888</v>
      </c>
      <c r="Q10" s="143">
        <f t="shared" si="5"/>
        <v>7.0000000000000062E-2</v>
      </c>
      <c r="R10" s="142">
        <f>+IF(P10&lt;0,0,P10*(1+'[14]Ind. Crecimiento'!$E$4))</f>
        <v>2879.15244502621</v>
      </c>
      <c r="S10" s="143">
        <f t="shared" si="6"/>
        <v>7.0000000000000062E-2</v>
      </c>
      <c r="T10" s="142">
        <f>+IF(R10&lt;0,0,R10*(1+'[14]Ind. Crecimiento'!$F$4))</f>
        <v>3080.6931161780449</v>
      </c>
      <c r="U10" s="143">
        <f t="shared" si="7"/>
        <v>7.0000000000000062E-2</v>
      </c>
      <c r="V10" s="142">
        <f>+IF(T10&lt;0,0,T10*(1+'[14]Ind. Crecimiento'!$G$4))</f>
        <v>3296.3416343105082</v>
      </c>
      <c r="W10" s="143">
        <f t="shared" si="8"/>
        <v>7.0000000000000062E-2</v>
      </c>
    </row>
    <row r="11" spans="1:23" ht="14.25" outlineLevel="1">
      <c r="A11" s="17" t="s">
        <v>426</v>
      </c>
      <c r="B11" s="117">
        <v>4160050500</v>
      </c>
      <c r="C11" s="21">
        <v>4160050500</v>
      </c>
      <c r="D11" s="27" t="s">
        <v>113</v>
      </c>
      <c r="E11" s="142">
        <v>689.75</v>
      </c>
      <c r="F11" s="142">
        <v>768.76199999999994</v>
      </c>
      <c r="G11" s="143">
        <f t="shared" si="0"/>
        <v>0.11455164914824212</v>
      </c>
      <c r="H11" s="142">
        <v>1050.7360000000001</v>
      </c>
      <c r="I11" s="143">
        <f t="shared" si="1"/>
        <v>0.36678972165637758</v>
      </c>
      <c r="J11" s="142">
        <v>1056.8889999999999</v>
      </c>
      <c r="K11" s="143">
        <f t="shared" si="2"/>
        <v>5.8558952962493027E-3</v>
      </c>
      <c r="L11" s="142">
        <v>1130.8714568400001</v>
      </c>
      <c r="M11" s="143">
        <f t="shared" si="3"/>
        <v>7.0000214629918789E-2</v>
      </c>
      <c r="N11" s="142">
        <f>+IF(L11&lt;0,0,L11*(1+'[14]Ind. Crecimiento'!$C$4))</f>
        <v>1210.0324588188003</v>
      </c>
      <c r="O11" s="143">
        <f t="shared" si="4"/>
        <v>7.0000000000000062E-2</v>
      </c>
      <c r="P11" s="142">
        <f>+IF(N11&lt;0,0,N11*(1+'[14]Ind. Crecimiento'!$D$4))</f>
        <v>1294.7347309361164</v>
      </c>
      <c r="Q11" s="143">
        <f t="shared" si="5"/>
        <v>7.0000000000000062E-2</v>
      </c>
      <c r="R11" s="142">
        <f>+IF(P11&lt;0,0,P11*(1+'[14]Ind. Crecimiento'!$E$4))</f>
        <v>1385.3661621016447</v>
      </c>
      <c r="S11" s="143">
        <f t="shared" si="6"/>
        <v>7.0000000000000062E-2</v>
      </c>
      <c r="T11" s="142">
        <f>+IF(R11&lt;0,0,R11*(1+'[14]Ind. Crecimiento'!$F$4))</f>
        <v>1482.34179344876</v>
      </c>
      <c r="U11" s="143">
        <f t="shared" si="7"/>
        <v>7.0000000000000062E-2</v>
      </c>
      <c r="V11" s="142">
        <f>+IF(T11&lt;0,0,T11*(1+'[14]Ind. Crecimiento'!$G$4))</f>
        <v>1586.1057189901733</v>
      </c>
      <c r="W11" s="143">
        <f t="shared" si="8"/>
        <v>7.0000000000000062E-2</v>
      </c>
    </row>
    <row r="12" spans="1:23" ht="14.25" outlineLevel="1">
      <c r="A12" s="17" t="s">
        <v>426</v>
      </c>
      <c r="B12" s="117">
        <v>4160050600</v>
      </c>
      <c r="C12" s="21">
        <v>4160050600</v>
      </c>
      <c r="D12" s="27" t="s">
        <v>114</v>
      </c>
      <c r="E12" s="142">
        <v>151.05000000000001</v>
      </c>
      <c r="F12" s="142">
        <v>105.148</v>
      </c>
      <c r="G12" s="143">
        <f t="shared" si="0"/>
        <v>-0.3038861304203907</v>
      </c>
      <c r="H12" s="142">
        <v>170.02500000000001</v>
      </c>
      <c r="I12" s="143">
        <f t="shared" si="1"/>
        <v>0.6170065051165976</v>
      </c>
      <c r="J12" s="142">
        <v>166.999</v>
      </c>
      <c r="K12" s="143">
        <f t="shared" si="2"/>
        <v>-1.7797382737832712E-2</v>
      </c>
      <c r="L12" s="142">
        <v>169.6695</v>
      </c>
      <c r="M12" s="143">
        <f t="shared" si="3"/>
        <v>1.5991113719243888E-2</v>
      </c>
      <c r="N12" s="142">
        <f>+IF(L12&lt;0,0,L12*(1+'[14]Ind. Crecimiento'!$C$4))</f>
        <v>181.54636500000001</v>
      </c>
      <c r="O12" s="143">
        <f t="shared" si="4"/>
        <v>7.0000000000000062E-2</v>
      </c>
      <c r="P12" s="142">
        <f>+IF(N12&lt;0,0,N12*(1+'[14]Ind. Crecimiento'!$D$4))</f>
        <v>194.25461055000002</v>
      </c>
      <c r="Q12" s="143">
        <f t="shared" si="5"/>
        <v>7.0000000000000062E-2</v>
      </c>
      <c r="R12" s="142">
        <f>+IF(P12&lt;0,0,P12*(1+'[14]Ind. Crecimiento'!$E$4))</f>
        <v>207.85243328850004</v>
      </c>
      <c r="S12" s="143">
        <f t="shared" si="6"/>
        <v>7.0000000000000062E-2</v>
      </c>
      <c r="T12" s="142">
        <f>+IF(R12&lt;0,0,R12*(1+'[14]Ind. Crecimiento'!$F$4))</f>
        <v>222.40210361869507</v>
      </c>
      <c r="U12" s="143">
        <f t="shared" si="7"/>
        <v>7.0000000000000062E-2</v>
      </c>
      <c r="V12" s="142">
        <f>+IF(T12&lt;0,0,T12*(1+'[14]Ind. Crecimiento'!$G$4))</f>
        <v>237.97025087200373</v>
      </c>
      <c r="W12" s="143">
        <f t="shared" si="8"/>
        <v>7.0000000000000062E-2</v>
      </c>
    </row>
    <row r="13" spans="1:23" ht="14.25" outlineLevel="1">
      <c r="A13" s="17" t="s">
        <v>426</v>
      </c>
      <c r="B13" s="117">
        <v>4160050700</v>
      </c>
      <c r="C13" s="21">
        <v>4160050700</v>
      </c>
      <c r="D13" s="27" t="s">
        <v>115</v>
      </c>
      <c r="E13" s="142">
        <v>228.25299999999999</v>
      </c>
      <c r="F13" s="142">
        <v>232.916</v>
      </c>
      <c r="G13" s="143">
        <f t="shared" si="0"/>
        <v>2.0429085269416003E-2</v>
      </c>
      <c r="H13" s="142">
        <v>257.25400000000002</v>
      </c>
      <c r="I13" s="143">
        <f t="shared" si="1"/>
        <v>0.10449260677669203</v>
      </c>
      <c r="J13" s="142">
        <v>257.39</v>
      </c>
      <c r="K13" s="143">
        <f t="shared" si="2"/>
        <v>5.2866039012022803E-4</v>
      </c>
      <c r="L13" s="142">
        <v>267.59494333333333</v>
      </c>
      <c r="M13" s="143">
        <f t="shared" si="3"/>
        <v>3.9647784814224929E-2</v>
      </c>
      <c r="N13" s="142">
        <f>+IF(L13&lt;0,0,L13*(1+'[14]Ind. Crecimiento'!$C$4))</f>
        <v>286.32658936666667</v>
      </c>
      <c r="O13" s="143">
        <f t="shared" si="4"/>
        <v>7.0000000000000062E-2</v>
      </c>
      <c r="P13" s="142">
        <f>+IF(N13&lt;0,0,N13*(1+'[14]Ind. Crecimiento'!$D$4))</f>
        <v>306.36945062233337</v>
      </c>
      <c r="Q13" s="143">
        <f t="shared" si="5"/>
        <v>7.0000000000000062E-2</v>
      </c>
      <c r="R13" s="142">
        <f>+IF(P13&lt;0,0,P13*(1+'[14]Ind. Crecimiento'!$E$4))</f>
        <v>327.81531216589673</v>
      </c>
      <c r="S13" s="143">
        <f t="shared" si="6"/>
        <v>7.0000000000000062E-2</v>
      </c>
      <c r="T13" s="142">
        <f>+IF(R13&lt;0,0,R13*(1+'[14]Ind. Crecimiento'!$F$4))</f>
        <v>350.76238401750953</v>
      </c>
      <c r="U13" s="143">
        <f t="shared" si="7"/>
        <v>7.0000000000000062E-2</v>
      </c>
      <c r="V13" s="142">
        <f>+IF(T13&lt;0,0,T13*(1+'[14]Ind. Crecimiento'!$G$4))</f>
        <v>375.31575089873525</v>
      </c>
      <c r="W13" s="143">
        <f t="shared" si="8"/>
        <v>7.0000000000000062E-2</v>
      </c>
    </row>
    <row r="14" spans="1:23" ht="14.25" outlineLevel="1">
      <c r="A14" s="17" t="s">
        <v>426</v>
      </c>
      <c r="B14" s="117">
        <v>4160050800</v>
      </c>
      <c r="C14" s="21">
        <v>4160050800</v>
      </c>
      <c r="D14" s="27" t="s">
        <v>116</v>
      </c>
      <c r="E14" s="142">
        <v>715.55</v>
      </c>
      <c r="F14" s="142">
        <v>847.44299999999998</v>
      </c>
      <c r="G14" s="143">
        <f t="shared" si="0"/>
        <v>0.18432394661449236</v>
      </c>
      <c r="H14" s="142">
        <v>912.15099999999995</v>
      </c>
      <c r="I14" s="143">
        <f t="shared" si="1"/>
        <v>7.6356757917641627E-2</v>
      </c>
      <c r="J14" s="142">
        <v>1150.7660000000001</v>
      </c>
      <c r="K14" s="143">
        <f t="shared" si="2"/>
        <v>0.26159594189997071</v>
      </c>
      <c r="L14" s="142">
        <v>1231.3197805</v>
      </c>
      <c r="M14" s="143">
        <f t="shared" si="3"/>
        <v>7.0000139472316647E-2</v>
      </c>
      <c r="N14" s="142">
        <f>+IF(L14&lt;0,0,L14*(1+'[14]Ind. Crecimiento'!$C$4))</f>
        <v>1317.512165135</v>
      </c>
      <c r="O14" s="143">
        <f t="shared" si="4"/>
        <v>7.0000000000000062E-2</v>
      </c>
      <c r="P14" s="142">
        <f>+IF(N14&lt;0,0,N14*(1+'[14]Ind. Crecimiento'!$D$4))</f>
        <v>1409.7380166944502</v>
      </c>
      <c r="Q14" s="143">
        <f t="shared" si="5"/>
        <v>7.0000000000000062E-2</v>
      </c>
      <c r="R14" s="142">
        <f>+IF(P14&lt;0,0,P14*(1+'[14]Ind. Crecimiento'!$E$4))</f>
        <v>1508.4196778630617</v>
      </c>
      <c r="S14" s="143">
        <f t="shared" si="6"/>
        <v>7.0000000000000062E-2</v>
      </c>
      <c r="T14" s="142">
        <f>+IF(R14&lt;0,0,R14*(1+'[14]Ind. Crecimiento'!$F$4))</f>
        <v>1614.009055313476</v>
      </c>
      <c r="U14" s="143">
        <f t="shared" si="7"/>
        <v>7.0000000000000062E-2</v>
      </c>
      <c r="V14" s="142">
        <f>+IF(T14&lt;0,0,T14*(1+'[14]Ind. Crecimiento'!$G$4))</f>
        <v>1726.9896891854194</v>
      </c>
      <c r="W14" s="143">
        <f t="shared" si="8"/>
        <v>7.0000000000000062E-2</v>
      </c>
    </row>
    <row r="15" spans="1:23" ht="14.25" outlineLevel="1">
      <c r="A15" s="17" t="s">
        <v>426</v>
      </c>
      <c r="B15" s="117">
        <v>4160050900</v>
      </c>
      <c r="C15" s="21">
        <v>4160050900</v>
      </c>
      <c r="D15" s="27" t="s">
        <v>117</v>
      </c>
      <c r="E15" s="142">
        <v>19.052</v>
      </c>
      <c r="F15" s="142">
        <v>24.771999999999998</v>
      </c>
      <c r="G15" s="143">
        <f t="shared" si="0"/>
        <v>0.30023094688221708</v>
      </c>
      <c r="H15" s="142">
        <v>21.59</v>
      </c>
      <c r="I15" s="143">
        <f t="shared" si="1"/>
        <v>-0.12845147747456798</v>
      </c>
      <c r="J15" s="142">
        <v>22.939</v>
      </c>
      <c r="K15" s="143">
        <f t="shared" si="2"/>
        <v>6.248263084761474E-2</v>
      </c>
      <c r="L15" s="142">
        <v>23.646466666666669</v>
      </c>
      <c r="M15" s="143">
        <f t="shared" si="3"/>
        <v>3.0841216559861717E-2</v>
      </c>
      <c r="N15" s="142">
        <f>+IF(L15&lt;0,0,L15*(1+'[14]Ind. Crecimiento'!$C$4))</f>
        <v>25.301719333333338</v>
      </c>
      <c r="O15" s="143">
        <f t="shared" si="4"/>
        <v>7.0000000000000062E-2</v>
      </c>
      <c r="P15" s="142">
        <f>+IF(N15&lt;0,0,N15*(1+'[14]Ind. Crecimiento'!$D$4))</f>
        <v>27.072839686666672</v>
      </c>
      <c r="Q15" s="143">
        <f t="shared" si="5"/>
        <v>7.0000000000000062E-2</v>
      </c>
      <c r="R15" s="142">
        <f>+IF(P15&lt;0,0,P15*(1+'[14]Ind. Crecimiento'!$E$4))</f>
        <v>28.96793846473334</v>
      </c>
      <c r="S15" s="143">
        <f t="shared" si="6"/>
        <v>7.0000000000000062E-2</v>
      </c>
      <c r="T15" s="142">
        <f>+IF(R15&lt;0,0,R15*(1+'[14]Ind. Crecimiento'!$F$4))</f>
        <v>30.995694157264676</v>
      </c>
      <c r="U15" s="143">
        <f t="shared" si="7"/>
        <v>7.0000000000000062E-2</v>
      </c>
      <c r="V15" s="142">
        <f>+IF(T15&lt;0,0,T15*(1+'[14]Ind. Crecimiento'!$G$4))</f>
        <v>33.165392748273206</v>
      </c>
      <c r="W15" s="143">
        <f t="shared" si="8"/>
        <v>7.0000000000000062E-2</v>
      </c>
    </row>
    <row r="16" spans="1:23" ht="14.25" outlineLevel="1">
      <c r="A16" s="17" t="s">
        <v>426</v>
      </c>
      <c r="B16" s="117">
        <v>4160051100</v>
      </c>
      <c r="C16" s="21">
        <v>4160051100</v>
      </c>
      <c r="D16" s="27" t="s">
        <v>118</v>
      </c>
      <c r="E16" s="142">
        <v>107.636</v>
      </c>
      <c r="F16" s="142">
        <v>118.819</v>
      </c>
      <c r="G16" s="143">
        <f t="shared" si="0"/>
        <v>0.10389646586643875</v>
      </c>
      <c r="H16" s="142">
        <v>133.07400000000001</v>
      </c>
      <c r="I16" s="143">
        <f t="shared" si="1"/>
        <v>0.1199723949873337</v>
      </c>
      <c r="J16" s="142">
        <v>147.93</v>
      </c>
      <c r="K16" s="143">
        <f t="shared" si="2"/>
        <v>0.11163713422606958</v>
      </c>
      <c r="L16" s="142">
        <v>153.57589999999999</v>
      </c>
      <c r="M16" s="143">
        <f t="shared" si="3"/>
        <v>3.8166024471033566E-2</v>
      </c>
      <c r="N16" s="142">
        <f>+IF(L16&lt;0,0,L16*(1+'[14]Ind. Crecimiento'!$C$4))</f>
        <v>164.326213</v>
      </c>
      <c r="O16" s="143">
        <f t="shared" si="4"/>
        <v>7.0000000000000062E-2</v>
      </c>
      <c r="P16" s="142">
        <f>+IF(N16&lt;0,0,N16*(1+'[14]Ind. Crecimiento'!$D$4))</f>
        <v>175.82904791000001</v>
      </c>
      <c r="Q16" s="143">
        <f t="shared" si="5"/>
        <v>7.0000000000000062E-2</v>
      </c>
      <c r="R16" s="142">
        <f>+IF(P16&lt;0,0,P16*(1+'[14]Ind. Crecimiento'!$E$4))</f>
        <v>188.13708126370003</v>
      </c>
      <c r="S16" s="143">
        <f t="shared" si="6"/>
        <v>7.0000000000000062E-2</v>
      </c>
      <c r="T16" s="142">
        <f>+IF(R16&lt;0,0,R16*(1+'[14]Ind. Crecimiento'!$F$4))</f>
        <v>201.30667695215905</v>
      </c>
      <c r="U16" s="143">
        <f t="shared" si="7"/>
        <v>7.0000000000000062E-2</v>
      </c>
      <c r="V16" s="142">
        <f>+IF(T16&lt;0,0,T16*(1+'[14]Ind. Crecimiento'!$G$4))</f>
        <v>215.3981443388102</v>
      </c>
      <c r="W16" s="143">
        <f t="shared" si="8"/>
        <v>7.0000000000000062E-2</v>
      </c>
    </row>
    <row r="17" spans="1:23" ht="14.25" outlineLevel="1">
      <c r="A17" s="17" t="s">
        <v>426</v>
      </c>
      <c r="B17" s="117">
        <v>4160051200</v>
      </c>
      <c r="C17" s="21">
        <v>4160051200</v>
      </c>
      <c r="D17" s="27" t="s">
        <v>119</v>
      </c>
      <c r="E17" s="142">
        <v>157.161</v>
      </c>
      <c r="F17" s="142">
        <v>176.87899999999999</v>
      </c>
      <c r="G17" s="143">
        <f t="shared" si="0"/>
        <v>0.12546369646413535</v>
      </c>
      <c r="H17" s="142">
        <v>243.63499999999999</v>
      </c>
      <c r="I17" s="143">
        <f t="shared" si="1"/>
        <v>0.37741054619259495</v>
      </c>
      <c r="J17" s="142">
        <v>126.4</v>
      </c>
      <c r="K17" s="143">
        <f t="shared" si="2"/>
        <v>-0.48119112606973546</v>
      </c>
      <c r="L17" s="142">
        <v>129.82374999999999</v>
      </c>
      <c r="M17" s="143">
        <f t="shared" si="3"/>
        <v>2.7086629746835289E-2</v>
      </c>
      <c r="N17" s="142">
        <f>+IF(L17&lt;0,0,L17*(1+'[14]Ind. Crecimiento'!$C$4))</f>
        <v>138.91141249999998</v>
      </c>
      <c r="O17" s="143">
        <f t="shared" si="4"/>
        <v>7.0000000000000062E-2</v>
      </c>
      <c r="P17" s="142">
        <f>+IF(N17&lt;0,0,N17*(1+'[14]Ind. Crecimiento'!$D$4))</f>
        <v>148.63521137499998</v>
      </c>
      <c r="Q17" s="143">
        <f t="shared" si="5"/>
        <v>7.0000000000000062E-2</v>
      </c>
      <c r="R17" s="142">
        <f>+IF(P17&lt;0,0,P17*(1+'[14]Ind. Crecimiento'!$E$4))</f>
        <v>159.03967617124999</v>
      </c>
      <c r="S17" s="143">
        <f t="shared" si="6"/>
        <v>7.0000000000000062E-2</v>
      </c>
      <c r="T17" s="142">
        <f>+IF(R17&lt;0,0,R17*(1+'[14]Ind. Crecimiento'!$F$4))</f>
        <v>170.17245350323751</v>
      </c>
      <c r="U17" s="143">
        <f t="shared" si="7"/>
        <v>7.0000000000000062E-2</v>
      </c>
      <c r="V17" s="142">
        <f>+IF(T17&lt;0,0,T17*(1+'[14]Ind. Crecimiento'!$G$4))</f>
        <v>182.08452524846413</v>
      </c>
      <c r="W17" s="143">
        <f t="shared" si="8"/>
        <v>7.0000000000000062E-2</v>
      </c>
    </row>
    <row r="18" spans="1:23" ht="14.25" outlineLevel="1">
      <c r="A18" s="17" t="s">
        <v>426</v>
      </c>
      <c r="B18" s="117">
        <v>4160051300</v>
      </c>
      <c r="C18" s="21">
        <v>4160051300</v>
      </c>
      <c r="D18" s="27" t="s">
        <v>120</v>
      </c>
      <c r="E18" s="142">
        <v>442.95299999999997</v>
      </c>
      <c r="F18" s="142">
        <v>510.803</v>
      </c>
      <c r="G18" s="143">
        <f t="shared" si="0"/>
        <v>0.15317652211408439</v>
      </c>
      <c r="H18" s="142">
        <v>541.70000000000005</v>
      </c>
      <c r="I18" s="143">
        <f t="shared" si="1"/>
        <v>6.0487115384991963E-2</v>
      </c>
      <c r="J18" s="142">
        <v>612.18399999999997</v>
      </c>
      <c r="K18" s="143">
        <f t="shared" si="2"/>
        <v>0.13011630053535161</v>
      </c>
      <c r="L18" s="142">
        <v>630.1060500000001</v>
      </c>
      <c r="M18" s="143">
        <f t="shared" si="3"/>
        <v>2.9275593612378081E-2</v>
      </c>
      <c r="N18" s="142">
        <f>+IF(L18&lt;0,0,L18*(1+'[14]Ind. Crecimiento'!$C$4))</f>
        <v>674.21347350000019</v>
      </c>
      <c r="O18" s="143">
        <f t="shared" si="4"/>
        <v>7.0000000000000062E-2</v>
      </c>
      <c r="P18" s="142">
        <f>+IF(N18&lt;0,0,N18*(1+'[14]Ind. Crecimiento'!$D$4))</f>
        <v>721.40841664500022</v>
      </c>
      <c r="Q18" s="143">
        <f t="shared" si="5"/>
        <v>7.0000000000000062E-2</v>
      </c>
      <c r="R18" s="142">
        <f>+IF(P18&lt;0,0,P18*(1+'[14]Ind. Crecimiento'!$E$4))</f>
        <v>771.90700581015028</v>
      </c>
      <c r="S18" s="143">
        <f t="shared" si="6"/>
        <v>7.0000000000000062E-2</v>
      </c>
      <c r="T18" s="142">
        <f>+IF(R18&lt;0,0,R18*(1+'[14]Ind. Crecimiento'!$F$4))</f>
        <v>825.94049621686088</v>
      </c>
      <c r="U18" s="143">
        <f t="shared" si="7"/>
        <v>7.0000000000000062E-2</v>
      </c>
      <c r="V18" s="142">
        <f>+IF(T18&lt;0,0,T18*(1+'[14]Ind. Crecimiento'!$G$4))</f>
        <v>883.75633095204114</v>
      </c>
      <c r="W18" s="143">
        <f t="shared" si="8"/>
        <v>7.0000000000000062E-2</v>
      </c>
    </row>
    <row r="19" spans="1:23" ht="14.25" outlineLevel="1">
      <c r="A19" s="17" t="s">
        <v>426</v>
      </c>
      <c r="B19" s="117">
        <v>4160053000</v>
      </c>
      <c r="C19" s="21">
        <v>4160053000</v>
      </c>
      <c r="D19" s="27" t="s">
        <v>121</v>
      </c>
      <c r="E19" s="142">
        <v>0</v>
      </c>
      <c r="F19" s="142">
        <v>0</v>
      </c>
      <c r="G19" s="143" t="str">
        <f t="shared" si="0"/>
        <v/>
      </c>
      <c r="H19" s="142">
        <v>0</v>
      </c>
      <c r="I19" s="143" t="str">
        <f t="shared" si="1"/>
        <v/>
      </c>
      <c r="J19" s="142">
        <v>0</v>
      </c>
      <c r="K19" s="143" t="str">
        <f t="shared" si="2"/>
        <v/>
      </c>
      <c r="L19" s="142">
        <v>0</v>
      </c>
      <c r="M19" s="143" t="str">
        <f t="shared" si="3"/>
        <v/>
      </c>
      <c r="N19" s="142">
        <f>+IF(L19&lt;0,0,L19*(1+'[14]Ind. Crecimiento'!$C$4))</f>
        <v>0</v>
      </c>
      <c r="O19" s="143" t="str">
        <f t="shared" si="4"/>
        <v/>
      </c>
      <c r="P19" s="142">
        <f>+IF(N19&lt;0,0,N19*(1+'[14]Ind. Crecimiento'!$D$4))</f>
        <v>0</v>
      </c>
      <c r="Q19" s="143" t="str">
        <f t="shared" si="5"/>
        <v/>
      </c>
      <c r="R19" s="142">
        <f>+IF(P19&lt;0,0,P19*(1+'[14]Ind. Crecimiento'!$E$4))</f>
        <v>0</v>
      </c>
      <c r="S19" s="143" t="str">
        <f t="shared" si="6"/>
        <v/>
      </c>
      <c r="T19" s="142">
        <f>+IF(R19&lt;0,0,R19*(1+'[14]Ind. Crecimiento'!$F$4))</f>
        <v>0</v>
      </c>
      <c r="U19" s="143" t="str">
        <f t="shared" si="7"/>
        <v/>
      </c>
      <c r="V19" s="142">
        <f>+IF(T19&lt;0,0,T19*(1+'[14]Ind. Crecimiento'!$G$4))</f>
        <v>0</v>
      </c>
      <c r="W19" s="143" t="str">
        <f t="shared" si="8"/>
        <v/>
      </c>
    </row>
    <row r="20" spans="1:23" ht="14.25" outlineLevel="1">
      <c r="A20" s="17" t="s">
        <v>426</v>
      </c>
      <c r="B20" s="117">
        <v>4160950100</v>
      </c>
      <c r="C20" s="21">
        <v>4160950100</v>
      </c>
      <c r="D20" s="27" t="s">
        <v>122</v>
      </c>
      <c r="E20" s="142">
        <v>94.265000000000001</v>
      </c>
      <c r="F20" s="142">
        <v>162.256</v>
      </c>
      <c r="G20" s="143">
        <f t="shared" si="0"/>
        <v>0.72127512862674381</v>
      </c>
      <c r="H20" s="142">
        <v>251.595</v>
      </c>
      <c r="I20" s="143">
        <f t="shared" si="1"/>
        <v>0.55060521644808214</v>
      </c>
      <c r="J20" s="142">
        <v>399.49700000000001</v>
      </c>
      <c r="K20" s="143">
        <f t="shared" si="2"/>
        <v>0.58785746934557537</v>
      </c>
      <c r="L20" s="142">
        <v>632.59352000000001</v>
      </c>
      <c r="M20" s="143">
        <f t="shared" si="3"/>
        <v>0.58347501983744565</v>
      </c>
      <c r="N20" s="142">
        <f>+IF(L20&lt;0,0,L20*(1+'[14]Ind. Crecimiento'!$C$4))</f>
        <v>676.87506640000004</v>
      </c>
      <c r="O20" s="143">
        <f t="shared" si="4"/>
        <v>7.0000000000000062E-2</v>
      </c>
      <c r="P20" s="142">
        <f>+IF(N20&lt;0,0,N20*(1+'[14]Ind. Crecimiento'!$D$4))</f>
        <v>724.25632104800013</v>
      </c>
      <c r="Q20" s="143">
        <f t="shared" si="5"/>
        <v>7.0000000000000062E-2</v>
      </c>
      <c r="R20" s="142">
        <f>+IF(P20&lt;0,0,P20*(1+'[14]Ind. Crecimiento'!$E$4))</f>
        <v>774.95426352136019</v>
      </c>
      <c r="S20" s="143">
        <f t="shared" si="6"/>
        <v>7.0000000000000062E-2</v>
      </c>
      <c r="T20" s="142">
        <f>+IF(R20&lt;0,0,R20*(1+'[14]Ind. Crecimiento'!$F$4))</f>
        <v>829.20106196785548</v>
      </c>
      <c r="U20" s="143">
        <f t="shared" si="7"/>
        <v>7.0000000000000062E-2</v>
      </c>
      <c r="V20" s="142">
        <f>+IF(T20&lt;0,0,T20*(1+'[14]Ind. Crecimiento'!$G$4))</f>
        <v>887.24513630560546</v>
      </c>
      <c r="W20" s="143">
        <f t="shared" si="8"/>
        <v>7.0000000000000062E-2</v>
      </c>
    </row>
    <row r="21" spans="1:23" ht="14.25" outlineLevel="1">
      <c r="A21" s="17" t="s">
        <v>426</v>
      </c>
      <c r="B21" s="117">
        <v>4160950200</v>
      </c>
      <c r="C21" s="21">
        <v>4160950200</v>
      </c>
      <c r="D21" s="27" t="s">
        <v>123</v>
      </c>
      <c r="E21" s="142">
        <v>37.536999999999999</v>
      </c>
      <c r="F21" s="142">
        <v>39.823</v>
      </c>
      <c r="G21" s="143">
        <f t="shared" si="0"/>
        <v>6.0899912086741059E-2</v>
      </c>
      <c r="H21" s="142">
        <v>54.182000000000002</v>
      </c>
      <c r="I21" s="143">
        <f t="shared" si="1"/>
        <v>0.36057052457122762</v>
      </c>
      <c r="J21" s="142">
        <v>59.168999999999997</v>
      </c>
      <c r="K21" s="143">
        <f t="shared" si="2"/>
        <v>9.2041637444169488E-2</v>
      </c>
      <c r="L21" s="142">
        <v>63.310295000000004</v>
      </c>
      <c r="M21" s="143">
        <f t="shared" si="3"/>
        <v>6.9990958103060885E-2</v>
      </c>
      <c r="N21" s="142">
        <f>+IF(L21&lt;0,0,L21*(1+'[14]Ind. Crecimiento'!$C$4))</f>
        <v>67.742015650000013</v>
      </c>
      <c r="O21" s="143">
        <f t="shared" si="4"/>
        <v>7.0000000000000062E-2</v>
      </c>
      <c r="P21" s="142">
        <f>+IF(N21&lt;0,0,N21*(1+'[14]Ind. Crecimiento'!$D$4))</f>
        <v>72.483956745500024</v>
      </c>
      <c r="Q21" s="143">
        <f t="shared" si="5"/>
        <v>7.0000000000000062E-2</v>
      </c>
      <c r="R21" s="142">
        <f>+IF(P21&lt;0,0,P21*(1+'[14]Ind. Crecimiento'!$E$4))</f>
        <v>77.557833717685028</v>
      </c>
      <c r="S21" s="143">
        <f t="shared" si="6"/>
        <v>7.0000000000000062E-2</v>
      </c>
      <c r="T21" s="142">
        <f>+IF(R21&lt;0,0,R21*(1+'[14]Ind. Crecimiento'!$F$4))</f>
        <v>82.986882077922985</v>
      </c>
      <c r="U21" s="143">
        <f t="shared" si="7"/>
        <v>7.0000000000000062E-2</v>
      </c>
      <c r="V21" s="142">
        <f>+IF(T21&lt;0,0,T21*(1+'[14]Ind. Crecimiento'!$G$4))</f>
        <v>88.795963823377605</v>
      </c>
      <c r="W21" s="143">
        <f t="shared" si="8"/>
        <v>7.0000000000000062E-2</v>
      </c>
    </row>
    <row r="22" spans="1:23" ht="14.25" outlineLevel="1">
      <c r="A22" s="17" t="s">
        <v>426</v>
      </c>
      <c r="B22" s="117">
        <v>4160950300</v>
      </c>
      <c r="C22" s="21">
        <v>4160950300</v>
      </c>
      <c r="D22" s="27" t="s">
        <v>124</v>
      </c>
      <c r="E22" s="142">
        <v>13.920999999999999</v>
      </c>
      <c r="F22" s="142">
        <v>6.0449999999999999</v>
      </c>
      <c r="G22" s="143">
        <f t="shared" si="0"/>
        <v>-0.56576395373895549</v>
      </c>
      <c r="H22" s="142">
        <v>6.0339999999999998</v>
      </c>
      <c r="I22" s="143">
        <f t="shared" si="1"/>
        <v>-1.8196856906534942E-3</v>
      </c>
      <c r="J22" s="142">
        <v>7.8879999999999999</v>
      </c>
      <c r="K22" s="143">
        <f t="shared" si="2"/>
        <v>0.30725886642359956</v>
      </c>
      <c r="L22" s="142">
        <v>8.4401600000000006</v>
      </c>
      <c r="M22" s="143">
        <f t="shared" si="3"/>
        <v>7.0000000000000062E-2</v>
      </c>
      <c r="N22" s="142">
        <f>+IF(L22&lt;0,0,L22*(1+'[14]Ind. Crecimiento'!$C$4))</f>
        <v>9.0309712000000015</v>
      </c>
      <c r="O22" s="143">
        <f t="shared" si="4"/>
        <v>7.0000000000000062E-2</v>
      </c>
      <c r="P22" s="142">
        <f>+IF(N22&lt;0,0,N22*(1+'[14]Ind. Crecimiento'!$D$4))</f>
        <v>9.663139184000002</v>
      </c>
      <c r="Q22" s="143">
        <f t="shared" si="5"/>
        <v>7.0000000000000062E-2</v>
      </c>
      <c r="R22" s="142">
        <f>+IF(P22&lt;0,0,P22*(1+'[14]Ind. Crecimiento'!$E$4))</f>
        <v>10.339558926880002</v>
      </c>
      <c r="S22" s="143">
        <f t="shared" si="6"/>
        <v>7.0000000000000062E-2</v>
      </c>
      <c r="T22" s="142">
        <f>+IF(R22&lt;0,0,R22*(1+'[14]Ind. Crecimiento'!$F$4))</f>
        <v>11.063328051761603</v>
      </c>
      <c r="U22" s="143">
        <f t="shared" si="7"/>
        <v>7.0000000000000062E-2</v>
      </c>
      <c r="V22" s="142">
        <f>+IF(T22&lt;0,0,T22*(1+'[14]Ind. Crecimiento'!$G$4))</f>
        <v>11.837761015384917</v>
      </c>
      <c r="W22" s="143">
        <f t="shared" si="8"/>
        <v>7.0000000000000062E-2</v>
      </c>
    </row>
    <row r="23" spans="1:23" ht="14.25" outlineLevel="1">
      <c r="A23" s="17" t="s">
        <v>426</v>
      </c>
      <c r="B23" s="117">
        <v>4160950400</v>
      </c>
      <c r="C23" s="144">
        <f>+B23</f>
        <v>4160950400</v>
      </c>
      <c r="D23" s="27" t="s">
        <v>125</v>
      </c>
      <c r="E23" s="142">
        <v>0</v>
      </c>
      <c r="F23" s="142">
        <v>0</v>
      </c>
      <c r="G23" s="143" t="str">
        <f t="shared" si="0"/>
        <v/>
      </c>
      <c r="H23" s="142">
        <v>3.7909999999999999</v>
      </c>
      <c r="I23" s="143" t="str">
        <f t="shared" si="1"/>
        <v/>
      </c>
      <c r="J23" s="142">
        <v>0.72499999999999998</v>
      </c>
      <c r="K23" s="143">
        <f t="shared" si="2"/>
        <v>-0.80875758375098916</v>
      </c>
      <c r="L23" s="142">
        <v>0.77554884000000002</v>
      </c>
      <c r="M23" s="143">
        <f t="shared" si="3"/>
        <v>6.9722537931034445E-2</v>
      </c>
      <c r="N23" s="142">
        <f>+IF(L23&lt;0,0,L23*(1+'[14]Ind. Crecimiento'!$C$4))</f>
        <v>0.82983725880000003</v>
      </c>
      <c r="O23" s="143">
        <f t="shared" si="4"/>
        <v>7.0000000000000062E-2</v>
      </c>
      <c r="P23" s="142">
        <f>+IF(N23&lt;0,0,N23*(1+'[14]Ind. Crecimiento'!$D$4))</f>
        <v>0.88792586691600006</v>
      </c>
      <c r="Q23" s="143">
        <f t="shared" si="5"/>
        <v>7.0000000000000062E-2</v>
      </c>
      <c r="R23" s="142">
        <f>+IF(P23&lt;0,0,P23*(1+'[14]Ind. Crecimiento'!$E$4))</f>
        <v>0.95008067760012016</v>
      </c>
      <c r="S23" s="143">
        <f t="shared" si="6"/>
        <v>7.0000000000000062E-2</v>
      </c>
      <c r="T23" s="142">
        <f>+IF(R23&lt;0,0,R23*(1+'[14]Ind. Crecimiento'!$F$4))</f>
        <v>1.0165863250321285</v>
      </c>
      <c r="U23" s="143">
        <f t="shared" si="7"/>
        <v>7.0000000000000062E-2</v>
      </c>
      <c r="V23" s="142">
        <f>+IF(T23&lt;0,0,T23*(1+'[14]Ind. Crecimiento'!$G$4))</f>
        <v>1.0877473677843776</v>
      </c>
      <c r="W23" s="143">
        <f t="shared" si="8"/>
        <v>7.0000000000000062E-2</v>
      </c>
    </row>
    <row r="24" spans="1:23" ht="14.25" outlineLevel="1">
      <c r="A24" s="17" t="s">
        <v>426</v>
      </c>
      <c r="B24" s="117">
        <v>4160950500</v>
      </c>
      <c r="C24" s="21">
        <v>4160950500</v>
      </c>
      <c r="D24" s="27" t="s">
        <v>126</v>
      </c>
      <c r="E24" s="142">
        <v>15.422000000000001</v>
      </c>
      <c r="F24" s="142">
        <v>6.6989999999999998</v>
      </c>
      <c r="G24" s="143">
        <f t="shared" si="0"/>
        <v>-0.56562054208273893</v>
      </c>
      <c r="H24" s="142">
        <v>6.2270000000000003</v>
      </c>
      <c r="I24" s="143">
        <f t="shared" si="1"/>
        <v>-7.0458277354829013E-2</v>
      </c>
      <c r="J24" s="142">
        <v>8.66</v>
      </c>
      <c r="K24" s="143">
        <f t="shared" si="2"/>
        <v>0.39071784165729873</v>
      </c>
      <c r="L24" s="142">
        <v>9.7282499999999992</v>
      </c>
      <c r="M24" s="143">
        <f t="shared" si="3"/>
        <v>0.12335450346420318</v>
      </c>
      <c r="N24" s="142">
        <f>+IF(L24&lt;0,0,L24*(1+'[14]Ind. Crecimiento'!$C$4))</f>
        <v>10.4092275</v>
      </c>
      <c r="O24" s="143">
        <f t="shared" si="4"/>
        <v>7.0000000000000062E-2</v>
      </c>
      <c r="P24" s="142">
        <f>+IF(N24&lt;0,0,N24*(1+'[14]Ind. Crecimiento'!$D$4))</f>
        <v>11.137873425</v>
      </c>
      <c r="Q24" s="143">
        <f t="shared" si="5"/>
        <v>7.0000000000000062E-2</v>
      </c>
      <c r="R24" s="142">
        <f>+IF(P24&lt;0,0,P24*(1+'[14]Ind. Crecimiento'!$E$4))</f>
        <v>11.917524564750002</v>
      </c>
      <c r="S24" s="143">
        <f t="shared" si="6"/>
        <v>7.0000000000000062E-2</v>
      </c>
      <c r="T24" s="142">
        <f>+IF(R24&lt;0,0,R24*(1+'[14]Ind. Crecimiento'!$F$4))</f>
        <v>12.751751284282502</v>
      </c>
      <c r="U24" s="143">
        <f t="shared" si="7"/>
        <v>7.0000000000000062E-2</v>
      </c>
      <c r="V24" s="142">
        <f>+IF(T24&lt;0,0,T24*(1+'[14]Ind. Crecimiento'!$G$4))</f>
        <v>13.644373874182278</v>
      </c>
      <c r="W24" s="143">
        <f t="shared" si="8"/>
        <v>7.0000000000000062E-2</v>
      </c>
    </row>
    <row r="25" spans="1:23" ht="14.25" outlineLevel="1">
      <c r="A25" s="17" t="s">
        <v>426</v>
      </c>
      <c r="B25" s="117">
        <v>4160950600</v>
      </c>
      <c r="C25" s="21">
        <v>4160950600</v>
      </c>
      <c r="D25" s="27" t="s">
        <v>127</v>
      </c>
      <c r="E25" s="142">
        <v>23.692</v>
      </c>
      <c r="F25" s="142">
        <v>26.175000000000001</v>
      </c>
      <c r="G25" s="143">
        <f t="shared" si="0"/>
        <v>0.10480330913388491</v>
      </c>
      <c r="H25" s="142">
        <v>29.568000000000001</v>
      </c>
      <c r="I25" s="143">
        <f t="shared" si="1"/>
        <v>0.12962750716332372</v>
      </c>
      <c r="J25" s="142">
        <v>32.954999999999998</v>
      </c>
      <c r="K25" s="143">
        <f t="shared" si="2"/>
        <v>0.11454951298701288</v>
      </c>
      <c r="L25" s="142">
        <v>35.261849999999995</v>
      </c>
      <c r="M25" s="143">
        <f t="shared" si="3"/>
        <v>6.999999999999984E-2</v>
      </c>
      <c r="N25" s="142">
        <f>+IF(L25&lt;0,0,L25*(1+'[14]Ind. Crecimiento'!$C$4))</f>
        <v>37.730179499999998</v>
      </c>
      <c r="O25" s="143">
        <f t="shared" si="4"/>
        <v>7.0000000000000062E-2</v>
      </c>
      <c r="P25" s="142">
        <f>+IF(N25&lt;0,0,N25*(1+'[14]Ind. Crecimiento'!$D$4))</f>
        <v>40.371292064999999</v>
      </c>
      <c r="Q25" s="143">
        <f t="shared" si="5"/>
        <v>7.0000000000000062E-2</v>
      </c>
      <c r="R25" s="142">
        <f>+IF(P25&lt;0,0,P25*(1+'[14]Ind. Crecimiento'!$E$4))</f>
        <v>43.19728250955</v>
      </c>
      <c r="S25" s="143">
        <f t="shared" si="6"/>
        <v>7.0000000000000062E-2</v>
      </c>
      <c r="T25" s="142">
        <f>+IF(R25&lt;0,0,R25*(1+'[14]Ind. Crecimiento'!$F$4))</f>
        <v>46.221092285218504</v>
      </c>
      <c r="U25" s="143">
        <f t="shared" si="7"/>
        <v>7.0000000000000062E-2</v>
      </c>
      <c r="V25" s="142">
        <f>+IF(T25&lt;0,0,T25*(1+'[14]Ind. Crecimiento'!$G$4))</f>
        <v>49.456568745183802</v>
      </c>
      <c r="W25" s="143">
        <f t="shared" si="8"/>
        <v>7.0000000000000062E-2</v>
      </c>
    </row>
    <row r="26" spans="1:23" ht="14.25" outlineLevel="1">
      <c r="A26" s="17" t="s">
        <v>62</v>
      </c>
      <c r="B26" s="117">
        <v>4160950700</v>
      </c>
      <c r="C26" s="21">
        <v>4160950700</v>
      </c>
      <c r="D26" s="27" t="s">
        <v>128</v>
      </c>
      <c r="E26" s="142">
        <v>8.9250000000000007</v>
      </c>
      <c r="F26" s="142">
        <v>0</v>
      </c>
      <c r="G26" s="143" t="str">
        <f t="shared" si="0"/>
        <v/>
      </c>
      <c r="H26" s="142">
        <v>0</v>
      </c>
      <c r="I26" s="143" t="str">
        <f t="shared" si="1"/>
        <v/>
      </c>
      <c r="J26" s="142">
        <v>0</v>
      </c>
      <c r="K26" s="143" t="str">
        <f t="shared" si="2"/>
        <v/>
      </c>
      <c r="L26" s="142">
        <v>0</v>
      </c>
      <c r="M26" s="143" t="str">
        <f t="shared" si="3"/>
        <v/>
      </c>
      <c r="N26" s="142">
        <f>+IF(L26&lt;0,0,L26*(1+'[14]Ind. Crecimiento'!$C$4))</f>
        <v>0</v>
      </c>
      <c r="O26" s="143" t="str">
        <f t="shared" si="4"/>
        <v/>
      </c>
      <c r="P26" s="142">
        <f>+IF(N26&lt;0,0,N26*(1+'[14]Ind. Crecimiento'!$D$4))</f>
        <v>0</v>
      </c>
      <c r="Q26" s="143" t="str">
        <f t="shared" si="5"/>
        <v/>
      </c>
      <c r="R26" s="142">
        <f>+IF(P26&lt;0,0,P26*(1+'[14]Ind. Crecimiento'!$E$4))</f>
        <v>0</v>
      </c>
      <c r="S26" s="143" t="str">
        <f t="shared" si="6"/>
        <v/>
      </c>
      <c r="T26" s="142">
        <f>+IF(R26&lt;0,0,R26*(1+'[14]Ind. Crecimiento'!$F$4))</f>
        <v>0</v>
      </c>
      <c r="U26" s="143" t="str">
        <f t="shared" si="7"/>
        <v/>
      </c>
      <c r="V26" s="142">
        <f>+IF(T26&lt;0,0,T26*(1+'[14]Ind. Crecimiento'!$G$4))</f>
        <v>0</v>
      </c>
      <c r="W26" s="143" t="str">
        <f t="shared" si="8"/>
        <v/>
      </c>
    </row>
    <row r="27" spans="1:23" ht="14.25" outlineLevel="1">
      <c r="B27" s="117">
        <v>4160055000</v>
      </c>
      <c r="C27" s="144">
        <f>+B27</f>
        <v>4160055000</v>
      </c>
      <c r="D27" s="27" t="s">
        <v>286</v>
      </c>
      <c r="E27" s="142">
        <v>9.3580000000000005</v>
      </c>
      <c r="F27" s="142">
        <v>0</v>
      </c>
      <c r="G27" s="143" t="str">
        <f t="shared" si="0"/>
        <v/>
      </c>
      <c r="H27" s="142">
        <v>0</v>
      </c>
      <c r="I27" s="143" t="str">
        <f t="shared" si="1"/>
        <v/>
      </c>
      <c r="J27" s="142">
        <v>0</v>
      </c>
      <c r="K27" s="143" t="str">
        <f t="shared" si="2"/>
        <v/>
      </c>
      <c r="L27" s="142">
        <v>0</v>
      </c>
      <c r="M27" s="143" t="str">
        <f t="shared" si="3"/>
        <v/>
      </c>
      <c r="N27" s="142">
        <f>+IF(L27&lt;0,0,L27*(1+'[14]Ind. Crecimiento'!$C$4))</f>
        <v>0</v>
      </c>
      <c r="O27" s="143" t="str">
        <f t="shared" si="4"/>
        <v/>
      </c>
      <c r="P27" s="142">
        <f>+IF(N27&lt;0,0,N27*(1+'[14]Ind. Crecimiento'!$D$4))</f>
        <v>0</v>
      </c>
      <c r="Q27" s="143" t="str">
        <f t="shared" si="5"/>
        <v/>
      </c>
      <c r="R27" s="142">
        <f>+IF(P27&lt;0,0,P27*(1+'[14]Ind. Crecimiento'!$E$4))</f>
        <v>0</v>
      </c>
      <c r="S27" s="143" t="str">
        <f t="shared" si="6"/>
        <v/>
      </c>
      <c r="T27" s="142">
        <f>+IF(R27&lt;0,0,R27*(1+'[14]Ind. Crecimiento'!$F$4))</f>
        <v>0</v>
      </c>
      <c r="U27" s="143" t="str">
        <f t="shared" si="7"/>
        <v/>
      </c>
      <c r="V27" s="142">
        <f>+IF(T27&lt;0,0,T27*(1+'[14]Ind. Crecimiento'!$G$4))</f>
        <v>0</v>
      </c>
      <c r="W27" s="143" t="str">
        <f t="shared" si="8"/>
        <v/>
      </c>
    </row>
    <row r="28" spans="1:23" ht="14.25" outlineLevel="1">
      <c r="A28" s="17" t="s">
        <v>426</v>
      </c>
      <c r="B28" s="117">
        <v>4160950800</v>
      </c>
      <c r="C28" s="144">
        <v>4160950800</v>
      </c>
      <c r="D28" s="27" t="s">
        <v>129</v>
      </c>
      <c r="E28" s="142">
        <v>0</v>
      </c>
      <c r="F28" s="142">
        <v>0</v>
      </c>
      <c r="G28" s="143" t="str">
        <f t="shared" si="0"/>
        <v/>
      </c>
      <c r="H28" s="142">
        <v>0</v>
      </c>
      <c r="I28" s="143" t="str">
        <f t="shared" si="1"/>
        <v/>
      </c>
      <c r="J28" s="142">
        <v>13.423</v>
      </c>
      <c r="K28" s="143" t="str">
        <f t="shared" si="2"/>
        <v/>
      </c>
      <c r="L28" s="142">
        <v>14.238</v>
      </c>
      <c r="M28" s="143">
        <f t="shared" si="3"/>
        <v>6.0716680324815586E-2</v>
      </c>
      <c r="N28" s="142">
        <f>+IF(L28&lt;0,0,L28*(1+'[14]Ind. Crecimiento'!$C$4))</f>
        <v>15.23466</v>
      </c>
      <c r="O28" s="143">
        <f t="shared" si="4"/>
        <v>7.0000000000000062E-2</v>
      </c>
      <c r="P28" s="142">
        <f>+IF(N28&lt;0,0,N28*(1+'[14]Ind. Crecimiento'!$D$4))</f>
        <v>16.3010862</v>
      </c>
      <c r="Q28" s="143">
        <f t="shared" si="5"/>
        <v>7.0000000000000062E-2</v>
      </c>
      <c r="R28" s="142">
        <f>+IF(P28&lt;0,0,P28*(1+'[14]Ind. Crecimiento'!$E$4))</f>
        <v>17.442162234000001</v>
      </c>
      <c r="S28" s="143">
        <f t="shared" si="6"/>
        <v>7.0000000000000062E-2</v>
      </c>
      <c r="T28" s="142">
        <f>+IF(R28&lt;0,0,R28*(1+'[14]Ind. Crecimiento'!$F$4))</f>
        <v>18.663113590380004</v>
      </c>
      <c r="U28" s="143">
        <f t="shared" si="7"/>
        <v>7.0000000000000062E-2</v>
      </c>
      <c r="V28" s="142">
        <f>+IF(T28&lt;0,0,T28*(1+'[14]Ind. Crecimiento'!$G$4))</f>
        <v>19.969531541706605</v>
      </c>
      <c r="W28" s="143">
        <f t="shared" si="8"/>
        <v>7.0000000000000062E-2</v>
      </c>
    </row>
    <row r="29" spans="1:23" ht="14.25" outlineLevel="1">
      <c r="A29" s="17" t="s">
        <v>426</v>
      </c>
      <c r="B29" s="118"/>
      <c r="C29" s="144"/>
      <c r="D29" s="33" t="s">
        <v>592</v>
      </c>
      <c r="E29" s="142"/>
      <c r="F29" s="142"/>
      <c r="G29" s="143"/>
      <c r="H29" s="142"/>
      <c r="I29" s="143"/>
      <c r="J29" s="142"/>
      <c r="K29" s="143"/>
      <c r="L29" s="142"/>
      <c r="M29" s="143"/>
      <c r="N29" s="142">
        <v>33</v>
      </c>
      <c r="O29" s="143"/>
      <c r="P29" s="142">
        <v>286</v>
      </c>
      <c r="Q29" s="143"/>
      <c r="R29" s="142">
        <v>630</v>
      </c>
      <c r="S29" s="143"/>
      <c r="T29" s="142">
        <v>957</v>
      </c>
      <c r="U29" s="143"/>
      <c r="V29" s="142">
        <v>1267</v>
      </c>
      <c r="W29" s="143"/>
    </row>
    <row r="30" spans="1:23" ht="14.25" outlineLevel="1">
      <c r="A30" s="17" t="s">
        <v>42</v>
      </c>
      <c r="B30" s="117">
        <v>4160951000</v>
      </c>
      <c r="C30" s="144">
        <v>4160951000</v>
      </c>
      <c r="D30" s="27" t="s">
        <v>130</v>
      </c>
      <c r="E30" s="142">
        <v>0</v>
      </c>
      <c r="F30" s="142">
        <v>0</v>
      </c>
      <c r="G30" s="143" t="str">
        <f t="shared" si="0"/>
        <v/>
      </c>
      <c r="H30" s="142">
        <v>13.034000000000001</v>
      </c>
      <c r="I30" s="143" t="str">
        <f t="shared" si="1"/>
        <v/>
      </c>
      <c r="J30" s="142">
        <v>2.665</v>
      </c>
      <c r="K30" s="143">
        <f t="shared" si="2"/>
        <v>-0.79553475525548567</v>
      </c>
      <c r="L30" s="142">
        <v>3</v>
      </c>
      <c r="M30" s="143">
        <f t="shared" si="3"/>
        <v>0.12570356472795496</v>
      </c>
      <c r="N30" s="142">
        <f>+IF(L30&lt;0,0,L30*(1+'[14]Ind. Crecimiento'!$C$4))</f>
        <v>3.21</v>
      </c>
      <c r="O30" s="143">
        <f t="shared" si="4"/>
        <v>7.0000000000000062E-2</v>
      </c>
      <c r="P30" s="142">
        <f>+IF(N30&lt;0,0,N30*(1+'[14]Ind. Crecimiento'!$D$4))</f>
        <v>3.4347000000000003</v>
      </c>
      <c r="Q30" s="143">
        <f t="shared" si="5"/>
        <v>7.0000000000000062E-2</v>
      </c>
      <c r="R30" s="142">
        <f>+IF(P30&lt;0,0,P30*(1+'[14]Ind. Crecimiento'!$E$4))</f>
        <v>3.6751290000000005</v>
      </c>
      <c r="S30" s="143">
        <f t="shared" si="6"/>
        <v>7.0000000000000062E-2</v>
      </c>
      <c r="T30" s="142">
        <f>+IF(R30&lt;0,0,R30*(1+'[14]Ind. Crecimiento'!$F$4))</f>
        <v>3.9323880300000007</v>
      </c>
      <c r="U30" s="143">
        <f t="shared" si="7"/>
        <v>7.0000000000000062E-2</v>
      </c>
      <c r="V30" s="142" t="s">
        <v>593</v>
      </c>
      <c r="W30" s="143" t="e">
        <f t="shared" si="8"/>
        <v>#VALUE!</v>
      </c>
    </row>
    <row r="31" spans="1:23" s="32" customFormat="1" ht="14.25">
      <c r="B31" s="117"/>
      <c r="C31" s="29"/>
      <c r="D31" s="30" t="s">
        <v>131</v>
      </c>
      <c r="E31" s="145">
        <f t="shared" ref="E31:V31" si="9">SUM(E8:E30)</f>
        <v>96344.739999999976</v>
      </c>
      <c r="F31" s="145">
        <f t="shared" si="9"/>
        <v>112931.901</v>
      </c>
      <c r="G31" s="146">
        <f t="shared" si="0"/>
        <v>0.17216467655629186</v>
      </c>
      <c r="H31" s="145">
        <f t="shared" si="9"/>
        <v>127903.68899999998</v>
      </c>
      <c r="I31" s="146">
        <f t="shared" si="1"/>
        <v>0.13257359406355862</v>
      </c>
      <c r="J31" s="145">
        <f t="shared" si="9"/>
        <v>145311.33400000006</v>
      </c>
      <c r="K31" s="146">
        <f t="shared" si="2"/>
        <v>0.13609963196604968</v>
      </c>
      <c r="L31" s="145">
        <f t="shared" si="9"/>
        <v>163716.18801074501</v>
      </c>
      <c r="M31" s="146">
        <f t="shared" si="3"/>
        <v>0.12665807617418845</v>
      </c>
      <c r="N31" s="145">
        <f t="shared" si="9"/>
        <v>190112.99560425099</v>
      </c>
      <c r="O31" s="146">
        <f t="shared" si="4"/>
        <v>0.16123517114736075</v>
      </c>
      <c r="P31" s="145">
        <f t="shared" si="9"/>
        <v>220061.4752965486</v>
      </c>
      <c r="Q31" s="146">
        <f t="shared" si="5"/>
        <v>0.15752989214182866</v>
      </c>
      <c r="R31" s="145">
        <f t="shared" si="9"/>
        <v>252265.54856730701</v>
      </c>
      <c r="S31" s="146">
        <f t="shared" si="6"/>
        <v>0.14634125862948566</v>
      </c>
      <c r="T31" s="145">
        <f t="shared" si="9"/>
        <v>283885.7069670186</v>
      </c>
      <c r="U31" s="146">
        <f t="shared" si="7"/>
        <v>0.12534473525731959</v>
      </c>
      <c r="V31" s="145">
        <f t="shared" si="9"/>
        <v>317506.40879951761</v>
      </c>
      <c r="W31" s="146">
        <f t="shared" si="8"/>
        <v>0.11843041409761779</v>
      </c>
    </row>
    <row r="32" spans="1:23" ht="10.5" hidden="1" customHeight="1">
      <c r="B32" s="117"/>
      <c r="C32" s="21"/>
      <c r="D32" s="33"/>
      <c r="E32" s="39"/>
      <c r="F32" s="39"/>
      <c r="G32" s="141" t="e">
        <f>IF(#REF!=0,"",IF(#REF!=0,"",(#REF!/#REF!)-1))</f>
        <v>#REF!</v>
      </c>
      <c r="H32" s="39"/>
      <c r="I32" s="141" t="e">
        <f>IF(#REF!=0,"",IF(#REF!=0,"",(#REF!/#REF!)-1))</f>
        <v>#REF!</v>
      </c>
      <c r="J32" s="39"/>
      <c r="K32" s="141" t="e">
        <f>IF(#REF!=0,"",IF(#REF!=0,"",(#REF!/#REF!)-1))</f>
        <v>#REF!</v>
      </c>
      <c r="L32" s="39"/>
      <c r="M32" s="141" t="e">
        <f>IF(#REF!=0,"",IF(#REF!=0,"",(#REF!/#REF!)-1))</f>
        <v>#REF!</v>
      </c>
      <c r="N32" s="39"/>
      <c r="O32" s="141" t="s">
        <v>106</v>
      </c>
      <c r="P32" s="39"/>
      <c r="Q32" s="141" t="s">
        <v>106</v>
      </c>
      <c r="R32" s="39"/>
      <c r="S32" s="141" t="s">
        <v>106</v>
      </c>
      <c r="T32" s="39"/>
      <c r="U32" s="141" t="s">
        <v>106</v>
      </c>
      <c r="V32" s="39"/>
      <c r="W32" s="141" t="s">
        <v>106</v>
      </c>
    </row>
    <row r="33" spans="1:23" ht="14.25" outlineLevel="1">
      <c r="B33" s="117"/>
      <c r="C33" s="21"/>
      <c r="D33" s="33" t="s">
        <v>292</v>
      </c>
      <c r="E33" s="147"/>
      <c r="F33" s="147"/>
      <c r="G33" s="148"/>
      <c r="H33" s="147"/>
      <c r="I33" s="148"/>
      <c r="J33" s="147"/>
      <c r="K33" s="148"/>
      <c r="L33" s="147"/>
      <c r="M33" s="148"/>
      <c r="N33" s="147"/>
      <c r="O33" s="148"/>
      <c r="P33" s="147"/>
      <c r="Q33" s="148"/>
      <c r="R33" s="147"/>
      <c r="S33" s="148"/>
      <c r="T33" s="147"/>
      <c r="U33" s="148"/>
      <c r="V33" s="147"/>
      <c r="W33" s="148"/>
    </row>
    <row r="34" spans="1:23" ht="14.25" outlineLevel="1">
      <c r="A34" s="17" t="s">
        <v>427</v>
      </c>
      <c r="B34" s="117">
        <v>4210050100</v>
      </c>
      <c r="C34" s="21">
        <v>4210050100</v>
      </c>
      <c r="D34" s="27" t="s">
        <v>293</v>
      </c>
      <c r="E34" s="142">
        <v>4.6E-5</v>
      </c>
      <c r="F34" s="149">
        <v>3.0110000000000001</v>
      </c>
      <c r="G34" s="143">
        <f t="shared" ref="G34:G40" si="10">IF(F34=0,"",IF(E34=0,"",(F34/E34)-1))</f>
        <v>65455.52173913044</v>
      </c>
      <c r="H34" s="142">
        <v>0.26200000000000001</v>
      </c>
      <c r="I34" s="143">
        <f t="shared" ref="I34:I40" si="11">IF(H34=0,"",IF(F34=0,"",(H34/F34)-1))</f>
        <v>-0.91298571903022252</v>
      </c>
      <c r="J34" s="142">
        <v>0</v>
      </c>
      <c r="K34" s="143" t="str">
        <f t="shared" ref="K34:K40" si="12">IF(J34=0,"",IF(H34=0,"",(J34/H34)-1))</f>
        <v/>
      </c>
      <c r="L34" s="142">
        <v>0</v>
      </c>
      <c r="M34" s="143" t="str">
        <f t="shared" ref="M34:M40" si="13">IF(L34=0,"",IF(J34=0,"",(L34/J34)-1))</f>
        <v/>
      </c>
      <c r="N34" s="142">
        <f>+IF(L34&lt;0,0,L34*(1+'[14]Ind. Crecimiento'!$C$4))</f>
        <v>0</v>
      </c>
      <c r="O34" s="143" t="str">
        <f t="shared" ref="O34:O40" si="14">IF(N34=0,"",IF(L34=0,"",(N34/L34)-1))</f>
        <v/>
      </c>
      <c r="P34" s="142">
        <f>+IF(N34&lt;0,0,N34*(1+'[14]Ind. Crecimiento'!$D$4))</f>
        <v>0</v>
      </c>
      <c r="Q34" s="143" t="str">
        <f t="shared" ref="Q34:Q40" si="15">IF(P34=0,"",IF(N34=0,"",(P34/N34)-1))</f>
        <v/>
      </c>
      <c r="R34" s="142">
        <f>+IF(P34&lt;0,0,P34*(1+'[14]Ind. Crecimiento'!$E$4))</f>
        <v>0</v>
      </c>
      <c r="S34" s="143" t="str">
        <f t="shared" ref="S34:S40" si="16">IF(R34=0,"",IF(P34=0,"",(R34/P34)-1))</f>
        <v/>
      </c>
      <c r="T34" s="142">
        <f>+IF(R34&lt;0,0,R34*(1+'[14]Ind. Crecimiento'!$F$4))</f>
        <v>0</v>
      </c>
      <c r="U34" s="143" t="str">
        <f t="shared" ref="U34:U40" si="17">IF(T34=0,"",IF(R34=0,"",(T34/R34)-1))</f>
        <v/>
      </c>
      <c r="V34" s="142">
        <f>+IF(T34&lt;0,0,T34*(1+'[14]Ind. Crecimiento'!$G$4))</f>
        <v>0</v>
      </c>
      <c r="W34" s="143" t="str">
        <f t="shared" ref="W34:W40" si="18">IF(V34=0,"",IF(T34=0,"",(V34/T34)-1))</f>
        <v/>
      </c>
    </row>
    <row r="35" spans="1:23" ht="14.25" outlineLevel="1">
      <c r="A35" s="17" t="s">
        <v>427</v>
      </c>
      <c r="B35" s="117">
        <v>4210050500</v>
      </c>
      <c r="C35" s="21">
        <v>4210050500</v>
      </c>
      <c r="D35" s="27" t="s">
        <v>294</v>
      </c>
      <c r="E35" s="142">
        <v>251.38900000000001</v>
      </c>
      <c r="F35" s="149">
        <v>237.947</v>
      </c>
      <c r="G35" s="143">
        <f t="shared" si="10"/>
        <v>-5.3470915592965462E-2</v>
      </c>
      <c r="H35" s="142">
        <v>261.815</v>
      </c>
      <c r="I35" s="143">
        <f t="shared" si="11"/>
        <v>0.10030805179304636</v>
      </c>
      <c r="J35" s="142">
        <v>290.07</v>
      </c>
      <c r="K35" s="143">
        <f t="shared" si="12"/>
        <v>0.10791971430208358</v>
      </c>
      <c r="L35" s="142">
        <v>310.37514609999999</v>
      </c>
      <c r="M35" s="143">
        <f t="shared" si="13"/>
        <v>7.0000848415899597E-2</v>
      </c>
      <c r="N35" s="142">
        <f>+IF(L35&lt;0,0,L35*(1+'[14]Ind. Crecimiento'!$C$5))</f>
        <v>332.10140632700001</v>
      </c>
      <c r="O35" s="143">
        <f t="shared" si="14"/>
        <v>7.0000000000000062E-2</v>
      </c>
      <c r="P35" s="142">
        <f>+IF(N35&lt;0,0,N35*(1+'[14]Ind. Crecimiento'!$D$5))</f>
        <v>348.70647664335002</v>
      </c>
      <c r="Q35" s="143">
        <f t="shared" si="15"/>
        <v>5.0000000000000044E-2</v>
      </c>
      <c r="R35" s="142">
        <f>+IF(P35&lt;0,0,P35*(1+'[14]Ind. Crecimiento'!$E$5))</f>
        <v>362.65473570908404</v>
      </c>
      <c r="S35" s="143">
        <f t="shared" si="16"/>
        <v>4.0000000000000036E-2</v>
      </c>
      <c r="T35" s="142">
        <f>+IF(R35&lt;0,0,R35*(1+'[14]Ind. Crecimiento'!$F$5))</f>
        <v>377.16092513744741</v>
      </c>
      <c r="U35" s="143">
        <f t="shared" si="17"/>
        <v>4.0000000000000036E-2</v>
      </c>
      <c r="V35" s="142">
        <f>+IF(T35&lt;0,0,T35*(1+'[14]Ind. Crecimiento'!$G$5))</f>
        <v>392.24736214294529</v>
      </c>
      <c r="W35" s="143">
        <f t="shared" si="18"/>
        <v>4.0000000000000036E-2</v>
      </c>
    </row>
    <row r="36" spans="1:23" ht="14.25" outlineLevel="1">
      <c r="A36" s="17" t="s">
        <v>427</v>
      </c>
      <c r="B36" s="117">
        <v>4210050601</v>
      </c>
      <c r="C36" s="21">
        <v>4210050601</v>
      </c>
      <c r="D36" s="27" t="s">
        <v>295</v>
      </c>
      <c r="E36" s="142">
        <v>455.57400000000001</v>
      </c>
      <c r="F36" s="149">
        <v>1120.25</v>
      </c>
      <c r="G36" s="143">
        <f t="shared" si="10"/>
        <v>1.4589858069161101</v>
      </c>
      <c r="H36" s="142">
        <v>517.05700000000002</v>
      </c>
      <c r="I36" s="143">
        <f t="shared" si="11"/>
        <v>-0.53844498995759871</v>
      </c>
      <c r="J36" s="142">
        <v>942.95799999999997</v>
      </c>
      <c r="K36" s="143">
        <f t="shared" si="12"/>
        <v>0.82370222238553947</v>
      </c>
      <c r="L36" s="142">
        <v>1008.9650600000001</v>
      </c>
      <c r="M36" s="143">
        <f t="shared" si="13"/>
        <v>7.0000000000000062E-2</v>
      </c>
      <c r="N36" s="142">
        <f>+IF(L36&lt;0,0,L36*(1+'[14]Ind. Crecimiento'!$C$5))</f>
        <v>1079.5926142000001</v>
      </c>
      <c r="O36" s="143">
        <f t="shared" si="14"/>
        <v>7.0000000000000062E-2</v>
      </c>
      <c r="P36" s="142">
        <f>+IF(N36&lt;0,0,N36*(1+'[14]Ind. Crecimiento'!$D$5))</f>
        <v>1133.5722449100001</v>
      </c>
      <c r="Q36" s="143">
        <f t="shared" si="15"/>
        <v>5.0000000000000044E-2</v>
      </c>
      <c r="R36" s="142">
        <f>+IF(P36&lt;0,0,P36*(1+'[14]Ind. Crecimiento'!$E$5))</f>
        <v>1178.9151347064001</v>
      </c>
      <c r="S36" s="143">
        <f t="shared" si="16"/>
        <v>4.0000000000000036E-2</v>
      </c>
      <c r="T36" s="142">
        <f>+IF(R36&lt;0,0,R36*(1+'[14]Ind. Crecimiento'!$F$5))</f>
        <v>1226.0717400946562</v>
      </c>
      <c r="U36" s="143">
        <f t="shared" si="17"/>
        <v>4.0000000000000036E-2</v>
      </c>
      <c r="V36" s="142">
        <f>+IF(T36&lt;0,0,T36*(1+'[14]Ind. Crecimiento'!$G$5))</f>
        <v>1275.1146096984426</v>
      </c>
      <c r="W36" s="143">
        <f t="shared" si="18"/>
        <v>4.0000000000000036E-2</v>
      </c>
    </row>
    <row r="37" spans="1:23" ht="14.25" outlineLevel="1">
      <c r="A37" s="17" t="s">
        <v>427</v>
      </c>
      <c r="B37" s="117">
        <v>4210050602</v>
      </c>
      <c r="C37" s="21">
        <v>4210050602</v>
      </c>
      <c r="D37" s="27" t="s">
        <v>296</v>
      </c>
      <c r="E37" s="142">
        <v>196.453</v>
      </c>
      <c r="F37" s="149">
        <v>396.28399999999999</v>
      </c>
      <c r="G37" s="143">
        <f t="shared" si="10"/>
        <v>1.017194952482273</v>
      </c>
      <c r="H37" s="142">
        <v>697.62699999999995</v>
      </c>
      <c r="I37" s="143">
        <f t="shared" si="11"/>
        <v>0.76042181869568282</v>
      </c>
      <c r="J37" s="142">
        <v>648.30700000000002</v>
      </c>
      <c r="K37" s="143">
        <f t="shared" si="12"/>
        <v>-7.0696805026181475E-2</v>
      </c>
      <c r="L37" s="142">
        <v>2193.6880000000001</v>
      </c>
      <c r="M37" s="143">
        <f t="shared" si="13"/>
        <v>2.3837178990817622</v>
      </c>
      <c r="N37" s="142">
        <f>+IF(L37&lt;0,0,L37*(1+'[14]Ind. Crecimiento'!$C$5))</f>
        <v>2347.2461600000001</v>
      </c>
      <c r="O37" s="143">
        <f t="shared" si="14"/>
        <v>7.0000000000000062E-2</v>
      </c>
      <c r="P37" s="142">
        <f>+IF(N37&lt;0,0,N37*(1+'[14]Ind. Crecimiento'!$D$5))</f>
        <v>2464.6084680000004</v>
      </c>
      <c r="Q37" s="143">
        <f t="shared" si="15"/>
        <v>5.0000000000000044E-2</v>
      </c>
      <c r="R37" s="142">
        <f>+IF(P37&lt;0,0,P37*(1+'[14]Ind. Crecimiento'!$E$5))</f>
        <v>2563.1928067200006</v>
      </c>
      <c r="S37" s="143">
        <f t="shared" si="16"/>
        <v>4.0000000000000036E-2</v>
      </c>
      <c r="T37" s="142">
        <f>+IF(R37&lt;0,0,R37*(1+'[14]Ind. Crecimiento'!$F$5))</f>
        <v>2665.7205189888009</v>
      </c>
      <c r="U37" s="143">
        <f t="shared" si="17"/>
        <v>4.0000000000000036E-2</v>
      </c>
      <c r="V37" s="142">
        <f>+IF(T37&lt;0,0,T37*(1+'[14]Ind. Crecimiento'!$G$5))</f>
        <v>2772.349339748353</v>
      </c>
      <c r="W37" s="143">
        <f t="shared" si="18"/>
        <v>4.0000000000000036E-2</v>
      </c>
    </row>
    <row r="38" spans="1:23" ht="14.25" outlineLevel="1">
      <c r="A38" s="17" t="s">
        <v>427</v>
      </c>
      <c r="B38" s="117">
        <v>4210050603</v>
      </c>
      <c r="C38" s="21">
        <v>4210050603</v>
      </c>
      <c r="D38" s="27" t="s">
        <v>297</v>
      </c>
      <c r="E38" s="142">
        <v>220.816</v>
      </c>
      <c r="F38" s="149">
        <v>21.643000000000001</v>
      </c>
      <c r="G38" s="143">
        <f t="shared" si="10"/>
        <v>-0.90198626911093394</v>
      </c>
      <c r="H38" s="142">
        <v>93.516999999999996</v>
      </c>
      <c r="I38" s="143">
        <f t="shared" si="11"/>
        <v>3.3208889710298939</v>
      </c>
      <c r="J38" s="142">
        <v>241.54599999999999</v>
      </c>
      <c r="K38" s="143">
        <f t="shared" si="12"/>
        <v>1.5829100591336336</v>
      </c>
      <c r="L38" s="142">
        <v>258.45393645000001</v>
      </c>
      <c r="M38" s="143">
        <f t="shared" si="13"/>
        <v>6.9998826103516709E-2</v>
      </c>
      <c r="N38" s="142">
        <f>+IF(L38&lt;0,0,L38*(1+'[14]Ind. Crecimiento'!$C$5))</f>
        <v>276.54571200150002</v>
      </c>
      <c r="O38" s="143">
        <f t="shared" si="14"/>
        <v>7.0000000000000062E-2</v>
      </c>
      <c r="P38" s="142">
        <f>+IF(N38&lt;0,0,N38*(1+'[14]Ind. Crecimiento'!$D$5))</f>
        <v>290.37299760157504</v>
      </c>
      <c r="Q38" s="143">
        <f t="shared" si="15"/>
        <v>5.0000000000000044E-2</v>
      </c>
      <c r="R38" s="142">
        <f>+IF(P38&lt;0,0,P38*(1+'[14]Ind. Crecimiento'!$E$5))</f>
        <v>301.98791750563805</v>
      </c>
      <c r="S38" s="143">
        <f t="shared" si="16"/>
        <v>4.0000000000000036E-2</v>
      </c>
      <c r="T38" s="142">
        <f>+IF(R38&lt;0,0,R38*(1+'[14]Ind. Crecimiento'!$F$5))</f>
        <v>314.06743420586361</v>
      </c>
      <c r="U38" s="143">
        <f t="shared" si="17"/>
        <v>4.0000000000000036E-2</v>
      </c>
      <c r="V38" s="142">
        <f>+IF(T38&lt;0,0,T38*(1+'[14]Ind. Crecimiento'!$G$5))</f>
        <v>326.63013157409819</v>
      </c>
      <c r="W38" s="143">
        <f t="shared" si="18"/>
        <v>4.0000000000000036E-2</v>
      </c>
    </row>
    <row r="39" spans="1:23" ht="14.25" outlineLevel="1">
      <c r="A39" s="17" t="s">
        <v>427</v>
      </c>
      <c r="B39" s="117">
        <v>4210050604</v>
      </c>
      <c r="C39" s="21">
        <v>4210050604</v>
      </c>
      <c r="D39" s="27" t="s">
        <v>298</v>
      </c>
      <c r="E39" s="142">
        <v>1.3480000000000001</v>
      </c>
      <c r="F39" s="149">
        <v>1.075</v>
      </c>
      <c r="G39" s="143">
        <f t="shared" si="10"/>
        <v>-0.20252225519287848</v>
      </c>
      <c r="H39" s="142">
        <v>0</v>
      </c>
      <c r="I39" s="143" t="str">
        <f t="shared" si="11"/>
        <v/>
      </c>
      <c r="J39" s="142">
        <v>0</v>
      </c>
      <c r="K39" s="143" t="str">
        <f t="shared" si="12"/>
        <v/>
      </c>
      <c r="L39" s="142">
        <v>0</v>
      </c>
      <c r="M39" s="143" t="str">
        <f t="shared" si="13"/>
        <v/>
      </c>
      <c r="N39" s="142">
        <f>+IF(L39&lt;0,0,L39*(1+'[14]Ind. Crecimiento'!$C$5))</f>
        <v>0</v>
      </c>
      <c r="O39" s="143" t="str">
        <f t="shared" si="14"/>
        <v/>
      </c>
      <c r="P39" s="142">
        <f>+IF(N39&lt;0,0,N39*(1+'[14]Ind. Crecimiento'!$D$5))</f>
        <v>0</v>
      </c>
      <c r="Q39" s="143" t="str">
        <f t="shared" si="15"/>
        <v/>
      </c>
      <c r="R39" s="142">
        <f>+IF(P39&lt;0,0,P39*(1+'[14]Ind. Crecimiento'!$E$5))</f>
        <v>0</v>
      </c>
      <c r="S39" s="143" t="str">
        <f t="shared" si="16"/>
        <v/>
      </c>
      <c r="T39" s="142">
        <f>+IF(R39&lt;0,0,R39*(1+'[14]Ind. Crecimiento'!$F$5))</f>
        <v>0</v>
      </c>
      <c r="U39" s="143" t="str">
        <f t="shared" si="17"/>
        <v/>
      </c>
      <c r="V39" s="142">
        <f>+IF(T39&lt;0,0,T39*(1+'[14]Ind. Crecimiento'!$G$5))</f>
        <v>0</v>
      </c>
      <c r="W39" s="143" t="str">
        <f t="shared" si="18"/>
        <v/>
      </c>
    </row>
    <row r="40" spans="1:23" ht="14.25" outlineLevel="1">
      <c r="A40" s="17" t="s">
        <v>427</v>
      </c>
      <c r="B40" s="117">
        <v>4210050605</v>
      </c>
      <c r="C40" s="21">
        <v>4210050605</v>
      </c>
      <c r="D40" s="27" t="s">
        <v>299</v>
      </c>
      <c r="E40" s="142">
        <v>84.668999999999997</v>
      </c>
      <c r="F40" s="149">
        <v>0</v>
      </c>
      <c r="G40" s="143" t="str">
        <f t="shared" si="10"/>
        <v/>
      </c>
      <c r="H40" s="142">
        <v>0</v>
      </c>
      <c r="I40" s="143" t="str">
        <f t="shared" si="11"/>
        <v/>
      </c>
      <c r="J40" s="142">
        <v>0</v>
      </c>
      <c r="K40" s="143" t="str">
        <f t="shared" si="12"/>
        <v/>
      </c>
      <c r="L40" s="142">
        <v>0</v>
      </c>
      <c r="M40" s="143" t="str">
        <f t="shared" si="13"/>
        <v/>
      </c>
      <c r="N40" s="142">
        <f>+IF(L40&lt;0,0,L40*(1+'[14]Ind. Crecimiento'!$C$5))</f>
        <v>0</v>
      </c>
      <c r="O40" s="143" t="str">
        <f t="shared" si="14"/>
        <v/>
      </c>
      <c r="P40" s="142">
        <f>+IF(N40&lt;0,0,N40*(1+'[14]Ind. Crecimiento'!$D$5))</f>
        <v>0</v>
      </c>
      <c r="Q40" s="143" t="str">
        <f t="shared" si="15"/>
        <v/>
      </c>
      <c r="R40" s="142">
        <f>+IF(P40&lt;0,0,P40*(1+'[14]Ind. Crecimiento'!$E$5))</f>
        <v>0</v>
      </c>
      <c r="S40" s="143" t="str">
        <f t="shared" si="16"/>
        <v/>
      </c>
      <c r="T40" s="142">
        <f>+IF(R40&lt;0,0,R40*(1+'[14]Ind. Crecimiento'!$F$5))</f>
        <v>0</v>
      </c>
      <c r="U40" s="143" t="str">
        <f t="shared" si="17"/>
        <v/>
      </c>
      <c r="V40" s="142">
        <f>+IF(T40&lt;0,0,T40*(1+'[14]Ind. Crecimiento'!$G$5))</f>
        <v>0</v>
      </c>
      <c r="W40" s="143" t="str">
        <f t="shared" si="18"/>
        <v/>
      </c>
    </row>
    <row r="41" spans="1:23" ht="14.25" outlineLevel="1">
      <c r="A41" s="17" t="s">
        <v>427</v>
      </c>
      <c r="B41" s="117">
        <v>4210050606</v>
      </c>
      <c r="C41" s="21">
        <f>+B41</f>
        <v>4210050606</v>
      </c>
      <c r="D41" s="27" t="s">
        <v>300</v>
      </c>
      <c r="E41" s="142">
        <v>0</v>
      </c>
      <c r="F41" s="149">
        <v>0</v>
      </c>
      <c r="G41" s="143"/>
      <c r="H41" s="142">
        <v>1.851</v>
      </c>
      <c r="I41" s="143"/>
      <c r="J41" s="142">
        <v>202.52500000000001</v>
      </c>
      <c r="K41" s="143"/>
      <c r="L41" s="142">
        <v>1416.702</v>
      </c>
      <c r="M41" s="143"/>
      <c r="N41" s="142">
        <f>+IF(L41&lt;0,0,L41*(1+'[14]Ind. Crecimiento'!$C$5))</f>
        <v>1515.8711400000002</v>
      </c>
      <c r="O41" s="143"/>
      <c r="P41" s="142">
        <f>+IF(N41&lt;0,0,N41*(1+'[14]Ind. Crecimiento'!$D$5))</f>
        <v>1591.6646970000002</v>
      </c>
      <c r="Q41" s="143"/>
      <c r="R41" s="142">
        <f>+IF(P41&lt;0,0,P41*(1+'[14]Ind. Crecimiento'!$E$5))</f>
        <v>1655.3312848800001</v>
      </c>
      <c r="S41" s="143"/>
      <c r="T41" s="142">
        <f>+IF(R41&lt;0,0,R41*(1+'[14]Ind. Crecimiento'!$F$5))</f>
        <v>1721.5445362752002</v>
      </c>
      <c r="U41" s="143"/>
      <c r="V41" s="142">
        <f>+IF(T41&lt;0,0,T41*(1+'[14]Ind. Crecimiento'!$G$5))</f>
        <v>1790.4063177262083</v>
      </c>
      <c r="W41" s="143"/>
    </row>
    <row r="42" spans="1:23" ht="14.25" outlineLevel="1">
      <c r="A42" s="17" t="s">
        <v>427</v>
      </c>
      <c r="B42" s="117">
        <v>4210050608</v>
      </c>
      <c r="C42" s="21">
        <v>4210050608</v>
      </c>
      <c r="D42" s="27" t="s">
        <v>301</v>
      </c>
      <c r="E42" s="142">
        <v>0</v>
      </c>
      <c r="F42" s="149">
        <v>0</v>
      </c>
      <c r="G42" s="143" t="str">
        <f t="shared" ref="G42:G48" si="19">IF(F42=0,"",IF(E42=0,"",(F42/E42)-1))</f>
        <v/>
      </c>
      <c r="H42" s="142">
        <v>0</v>
      </c>
      <c r="I42" s="143" t="str">
        <f t="shared" ref="I42:I48" si="20">IF(H42=0,"",IF(F42=0,"",(H42/F42)-1))</f>
        <v/>
      </c>
      <c r="J42" s="142">
        <v>5.7560000000000002</v>
      </c>
      <c r="K42" s="143" t="str">
        <f t="shared" ref="K42:K48" si="21">IF(J42=0,"",IF(H42=0,"",(J42/H42)-1))</f>
        <v/>
      </c>
      <c r="L42" s="142">
        <v>6.1591874999999998</v>
      </c>
      <c r="M42" s="143">
        <f t="shared" ref="M42:M48" si="22">IF(L42=0,"",IF(J42=0,"",(L42/J42)-1))</f>
        <v>7.0046473245309215E-2</v>
      </c>
      <c r="N42" s="142">
        <f>+IF(L42&lt;0,0,L42*(1+'[14]Ind. Crecimiento'!$C$5))</f>
        <v>6.590330625</v>
      </c>
      <c r="O42" s="143">
        <f t="shared" ref="O42:O48" si="23">IF(N42=0,"",IF(L42=0,"",(N42/L42)-1))</f>
        <v>7.0000000000000062E-2</v>
      </c>
      <c r="P42" s="142">
        <f>+IF(N42&lt;0,0,N42*(1+'[14]Ind. Crecimiento'!$D$5))</f>
        <v>6.9198471562500004</v>
      </c>
      <c r="Q42" s="143">
        <f t="shared" ref="Q42:Q48" si="24">IF(P42=0,"",IF(N42=0,"",(P42/N42)-1))</f>
        <v>5.0000000000000044E-2</v>
      </c>
      <c r="R42" s="142">
        <f>+IF(P42&lt;0,0,P42*(1+'[14]Ind. Crecimiento'!$E$5))</f>
        <v>7.1966410425000005</v>
      </c>
      <c r="S42" s="143">
        <f t="shared" ref="S42:S48" si="25">IF(R42=0,"",IF(P42=0,"",(R42/P42)-1))</f>
        <v>4.0000000000000036E-2</v>
      </c>
      <c r="T42" s="142">
        <f>+IF(R42&lt;0,0,R42*(1+'[14]Ind. Crecimiento'!$F$5))</f>
        <v>7.4845066842000003</v>
      </c>
      <c r="U42" s="143">
        <f t="shared" ref="U42:U48" si="26">IF(T42=0,"",IF(R42=0,"",(T42/R42)-1))</f>
        <v>4.0000000000000036E-2</v>
      </c>
      <c r="V42" s="142">
        <f>+IF(T42&lt;0,0,T42*(1+'[14]Ind. Crecimiento'!$G$5))</f>
        <v>7.7838869515680003</v>
      </c>
      <c r="W42" s="143">
        <f t="shared" ref="W42:W48" si="27">IF(V42=0,"",IF(T42=0,"",(V42/T42)-1))</f>
        <v>4.0000000000000036E-2</v>
      </c>
    </row>
    <row r="43" spans="1:23" ht="14.25" outlineLevel="1">
      <c r="A43" s="17" t="s">
        <v>427</v>
      </c>
      <c r="B43" s="117">
        <v>4210200000</v>
      </c>
      <c r="C43" s="21">
        <v>4210200000</v>
      </c>
      <c r="D43" s="27" t="s">
        <v>302</v>
      </c>
      <c r="E43" s="142">
        <v>99.751000000000005</v>
      </c>
      <c r="F43" s="149">
        <v>101.02200000000001</v>
      </c>
      <c r="G43" s="143">
        <f t="shared" si="19"/>
        <v>1.2741726899980987E-2</v>
      </c>
      <c r="H43" s="142">
        <v>293.19499999999999</v>
      </c>
      <c r="I43" s="143">
        <f t="shared" si="20"/>
        <v>1.9022886104016945</v>
      </c>
      <c r="J43" s="142">
        <v>552.40499999999997</v>
      </c>
      <c r="K43" s="143">
        <f t="shared" si="21"/>
        <v>0.8840873821177031</v>
      </c>
      <c r="L43" s="142">
        <v>591.07329114999993</v>
      </c>
      <c r="M43" s="143">
        <f t="shared" si="22"/>
        <v>6.9999893465844787E-2</v>
      </c>
      <c r="N43" s="142">
        <f>+IF(L43&lt;0,0,L43*(1+'[14]Ind. Crecimiento'!$C$5))</f>
        <v>632.44842153050001</v>
      </c>
      <c r="O43" s="143">
        <f t="shared" si="23"/>
        <v>7.0000000000000062E-2</v>
      </c>
      <c r="P43" s="142">
        <f>+IF(N43&lt;0,0,N43*(1+'[14]Ind. Crecimiento'!$D$5))</f>
        <v>664.07084260702504</v>
      </c>
      <c r="Q43" s="143">
        <f t="shared" si="24"/>
        <v>5.0000000000000044E-2</v>
      </c>
      <c r="R43" s="142">
        <f>+IF(P43&lt;0,0,P43*(1+'[14]Ind. Crecimiento'!$E$5))</f>
        <v>690.63367631130609</v>
      </c>
      <c r="S43" s="143">
        <f t="shared" si="25"/>
        <v>4.0000000000000036E-2</v>
      </c>
      <c r="T43" s="142">
        <f>+IF(R43&lt;0,0,R43*(1+'[14]Ind. Crecimiento'!$F$5))</f>
        <v>718.25902336375839</v>
      </c>
      <c r="U43" s="143">
        <f t="shared" si="26"/>
        <v>4.0000000000000036E-2</v>
      </c>
      <c r="V43" s="142">
        <f>+IF(T43&lt;0,0,T43*(1+'[14]Ind. Crecimiento'!$G$5))</f>
        <v>746.98938429830878</v>
      </c>
      <c r="W43" s="143">
        <f t="shared" si="27"/>
        <v>4.0000000000000036E-2</v>
      </c>
    </row>
    <row r="44" spans="1:23" ht="14.25" outlineLevel="1">
      <c r="A44" s="17" t="s">
        <v>427</v>
      </c>
      <c r="B44" s="117">
        <v>4210400000</v>
      </c>
      <c r="C44" s="21">
        <v>4210400000</v>
      </c>
      <c r="D44" s="27" t="s">
        <v>303</v>
      </c>
      <c r="E44" s="142">
        <v>19.36</v>
      </c>
      <c r="F44" s="149">
        <v>0.20599999999999999</v>
      </c>
      <c r="G44" s="143">
        <f t="shared" si="19"/>
        <v>-0.98935950413223139</v>
      </c>
      <c r="H44" s="142">
        <v>0.45200000000000001</v>
      </c>
      <c r="I44" s="143">
        <f t="shared" si="20"/>
        <v>1.1941747572815538</v>
      </c>
      <c r="J44" s="142">
        <v>0.55500000000000005</v>
      </c>
      <c r="K44" s="143">
        <f t="shared" si="21"/>
        <v>0.22787610619469034</v>
      </c>
      <c r="L44" s="142">
        <v>0.5933289100000001</v>
      </c>
      <c r="M44" s="143">
        <f t="shared" si="22"/>
        <v>6.9061099099099188E-2</v>
      </c>
      <c r="N44" s="142">
        <f>+IF(L44&lt;0,0,L44*(1+'[14]Ind. Crecimiento'!$C$5))</f>
        <v>0.6348619337000001</v>
      </c>
      <c r="O44" s="143">
        <f t="shared" si="23"/>
        <v>7.0000000000000062E-2</v>
      </c>
      <c r="P44" s="142">
        <f>+IF(N44&lt;0,0,N44*(1+'[14]Ind. Crecimiento'!$D$5))</f>
        <v>0.66660503038500019</v>
      </c>
      <c r="Q44" s="143">
        <f t="shared" si="24"/>
        <v>5.0000000000000044E-2</v>
      </c>
      <c r="R44" s="142">
        <f>+IF(P44&lt;0,0,P44*(1+'[14]Ind. Crecimiento'!$E$5))</f>
        <v>0.69326923160040022</v>
      </c>
      <c r="S44" s="143">
        <f t="shared" si="25"/>
        <v>4.0000000000000036E-2</v>
      </c>
      <c r="T44" s="142">
        <f>+IF(R44&lt;0,0,R44*(1+'[14]Ind. Crecimiento'!$F$5))</f>
        <v>0.72100000086441629</v>
      </c>
      <c r="U44" s="143">
        <f t="shared" si="26"/>
        <v>4.0000000000000036E-2</v>
      </c>
      <c r="V44" s="142">
        <f>+IF(T44&lt;0,0,T44*(1+'[14]Ind. Crecimiento'!$G$5))</f>
        <v>0.74984000089899294</v>
      </c>
      <c r="W44" s="143">
        <f t="shared" si="27"/>
        <v>4.0000000000000036E-2</v>
      </c>
    </row>
    <row r="45" spans="1:23" ht="14.25" outlineLevel="1">
      <c r="A45" s="17" t="s">
        <v>427</v>
      </c>
      <c r="B45" s="117">
        <v>4210600000</v>
      </c>
      <c r="C45" s="21">
        <v>4210600000</v>
      </c>
      <c r="D45" s="27" t="s">
        <v>304</v>
      </c>
      <c r="E45" s="142">
        <v>13.753</v>
      </c>
      <c r="F45" s="149">
        <v>20.585999999999999</v>
      </c>
      <c r="G45" s="143">
        <f t="shared" si="19"/>
        <v>0.49683705373373077</v>
      </c>
      <c r="H45" s="142">
        <v>3.9630000000000001</v>
      </c>
      <c r="I45" s="143">
        <f t="shared" si="20"/>
        <v>-0.80749052754299033</v>
      </c>
      <c r="J45" s="142">
        <v>4.5</v>
      </c>
      <c r="K45" s="143">
        <f t="shared" si="21"/>
        <v>0.13550340651021942</v>
      </c>
      <c r="L45" s="142">
        <v>4.5</v>
      </c>
      <c r="M45" s="143">
        <f t="shared" si="22"/>
        <v>0</v>
      </c>
      <c r="N45" s="142">
        <f>+IF(L45&lt;0,0,L45*(1+'[14]Ind. Crecimiento'!$C$5))</f>
        <v>4.8150000000000004</v>
      </c>
      <c r="O45" s="143">
        <f t="shared" si="23"/>
        <v>7.0000000000000062E-2</v>
      </c>
      <c r="P45" s="142">
        <f>+IF(N45&lt;0,0,N45*(1+'[14]Ind. Crecimiento'!$D$5))</f>
        <v>5.0557500000000006</v>
      </c>
      <c r="Q45" s="143">
        <f t="shared" si="24"/>
        <v>5.0000000000000044E-2</v>
      </c>
      <c r="R45" s="142">
        <f>+IF(P45&lt;0,0,P45*(1+'[14]Ind. Crecimiento'!$E$5))</f>
        <v>5.2579800000000008</v>
      </c>
      <c r="S45" s="143">
        <f t="shared" si="25"/>
        <v>4.0000000000000036E-2</v>
      </c>
      <c r="T45" s="142">
        <f>+IF(R45&lt;0,0,R45*(1+'[14]Ind. Crecimiento'!$F$5))</f>
        <v>5.4682992000000006</v>
      </c>
      <c r="U45" s="143">
        <f t="shared" si="26"/>
        <v>4.0000000000000036E-2</v>
      </c>
      <c r="V45" s="142">
        <f>+IF(T45&lt;0,0,T45*(1+'[14]Ind. Crecimiento'!$G$5))</f>
        <v>5.6870311680000007</v>
      </c>
      <c r="W45" s="143">
        <f t="shared" si="27"/>
        <v>4.0000000000000036E-2</v>
      </c>
    </row>
    <row r="46" spans="1:23" ht="14.25" outlineLevel="1">
      <c r="A46" s="17" t="s">
        <v>427</v>
      </c>
      <c r="B46" s="117">
        <v>4210950200</v>
      </c>
      <c r="C46" s="21">
        <v>4210950300</v>
      </c>
      <c r="D46" s="27" t="s">
        <v>305</v>
      </c>
      <c r="E46" s="142">
        <v>0.29199999999999998</v>
      </c>
      <c r="F46" s="149">
        <v>3.8991999999999999E-2</v>
      </c>
      <c r="G46" s="143">
        <f t="shared" si="19"/>
        <v>-0.86646575342465759</v>
      </c>
      <c r="H46" s="142">
        <v>3.9513E-2</v>
      </c>
      <c r="I46" s="143">
        <f t="shared" si="20"/>
        <v>1.3361715223635606E-2</v>
      </c>
      <c r="J46" s="142">
        <v>1.133993</v>
      </c>
      <c r="K46" s="143">
        <f t="shared" si="21"/>
        <v>27.699238225394176</v>
      </c>
      <c r="L46" s="142">
        <v>1.1499999999999999</v>
      </c>
      <c r="M46" s="143">
        <f t="shared" si="22"/>
        <v>1.4115607415565945E-2</v>
      </c>
      <c r="N46" s="142">
        <f>+IF(L46&lt;0,0,L46*(1+'[14]Ind. Crecimiento'!$C$5))</f>
        <v>1.2304999999999999</v>
      </c>
      <c r="O46" s="143">
        <f t="shared" si="23"/>
        <v>7.0000000000000062E-2</v>
      </c>
      <c r="P46" s="142">
        <f>+IF(N46&lt;0,0,N46*(1+'[14]Ind. Crecimiento'!$D$5))</f>
        <v>1.292025</v>
      </c>
      <c r="Q46" s="143">
        <f t="shared" si="24"/>
        <v>5.0000000000000044E-2</v>
      </c>
      <c r="R46" s="142">
        <f>+IF(P46&lt;0,0,P46*(1+'[14]Ind. Crecimiento'!$E$5))</f>
        <v>1.3437060000000001</v>
      </c>
      <c r="S46" s="143">
        <f t="shared" si="25"/>
        <v>4.0000000000000036E-2</v>
      </c>
      <c r="T46" s="142">
        <f>+IF(R46&lt;0,0,R46*(1+'[14]Ind. Crecimiento'!$F$5))</f>
        <v>1.3974542400000001</v>
      </c>
      <c r="U46" s="143">
        <f t="shared" si="26"/>
        <v>4.0000000000000036E-2</v>
      </c>
      <c r="V46" s="142">
        <f>+IF(T46&lt;0,0,T46*(1+'[14]Ind. Crecimiento'!$G$5))</f>
        <v>1.4533524096000001</v>
      </c>
      <c r="W46" s="143">
        <f t="shared" si="27"/>
        <v>4.0000000000000036E-2</v>
      </c>
    </row>
    <row r="47" spans="1:23" ht="14.25" outlineLevel="1">
      <c r="A47" s="17" t="s">
        <v>427</v>
      </c>
      <c r="B47" s="117">
        <v>4210953502</v>
      </c>
      <c r="C47" s="21">
        <v>4210953502</v>
      </c>
      <c r="D47" s="27" t="s">
        <v>307</v>
      </c>
      <c r="E47" s="142">
        <v>0</v>
      </c>
      <c r="F47" s="149">
        <v>0</v>
      </c>
      <c r="G47" s="143" t="str">
        <f t="shared" si="19"/>
        <v/>
      </c>
      <c r="H47" s="142">
        <v>0</v>
      </c>
      <c r="I47" s="143" t="str">
        <f t="shared" si="20"/>
        <v/>
      </c>
      <c r="J47" s="142">
        <v>1249.9849999999999</v>
      </c>
      <c r="K47" s="143" t="str">
        <f t="shared" si="21"/>
        <v/>
      </c>
      <c r="L47" s="142">
        <v>1337.4839500000003</v>
      </c>
      <c r="M47" s="143">
        <f t="shared" si="22"/>
        <v>7.0000000000000284E-2</v>
      </c>
      <c r="N47" s="142">
        <f>+IF(L47&lt;0,0,L47*(1+'[14]Ind. Crecimiento'!$C$5))</f>
        <v>1431.1078265000003</v>
      </c>
      <c r="O47" s="143">
        <f t="shared" si="23"/>
        <v>7.0000000000000062E-2</v>
      </c>
      <c r="P47" s="142">
        <f>+IF(N47&lt;0,0,N47*(1+'[14]Ind. Crecimiento'!$D$5))</f>
        <v>1502.6632178250004</v>
      </c>
      <c r="Q47" s="143">
        <f t="shared" si="24"/>
        <v>5.0000000000000044E-2</v>
      </c>
      <c r="R47" s="142">
        <f>+IF(P47&lt;0,0,P47*(1+'[14]Ind. Crecimiento'!$E$5))</f>
        <v>1562.7697465380004</v>
      </c>
      <c r="S47" s="143">
        <f t="shared" si="25"/>
        <v>4.0000000000000036E-2</v>
      </c>
      <c r="T47" s="142">
        <f>+IF(R47&lt;0,0,R47*(1+'[14]Ind. Crecimiento'!$F$5))</f>
        <v>1625.2805363995205</v>
      </c>
      <c r="U47" s="143">
        <f t="shared" si="26"/>
        <v>4.0000000000000036E-2</v>
      </c>
      <c r="V47" s="142">
        <f>+IF(T47&lt;0,0,T47*(1+'[14]Ind. Crecimiento'!$G$5))</f>
        <v>1690.2917578555014</v>
      </c>
      <c r="W47" s="143">
        <f t="shared" si="27"/>
        <v>4.0000000000000036E-2</v>
      </c>
    </row>
    <row r="48" spans="1:23" ht="14.25" outlineLevel="1">
      <c r="A48" s="17" t="s">
        <v>427</v>
      </c>
      <c r="B48" s="117">
        <v>4210950300</v>
      </c>
      <c r="C48" s="21">
        <v>4210950200</v>
      </c>
      <c r="D48" s="27" t="s">
        <v>306</v>
      </c>
      <c r="E48" s="142">
        <v>0.6</v>
      </c>
      <c r="F48" s="149">
        <v>0.42</v>
      </c>
      <c r="G48" s="143">
        <f t="shared" si="19"/>
        <v>-0.30000000000000004</v>
      </c>
      <c r="H48" s="142">
        <v>0.9</v>
      </c>
      <c r="I48" s="143">
        <f t="shared" si="20"/>
        <v>1.1428571428571428</v>
      </c>
      <c r="J48" s="142">
        <v>0.66</v>
      </c>
      <c r="K48" s="143">
        <f t="shared" si="21"/>
        <v>-0.26666666666666661</v>
      </c>
      <c r="L48" s="142">
        <v>0.70620000000000005</v>
      </c>
      <c r="M48" s="143">
        <f t="shared" si="22"/>
        <v>7.0000000000000062E-2</v>
      </c>
      <c r="N48" s="142">
        <f>+IF(L48&lt;0,0,L48*(1+'[14]Ind. Crecimiento'!$C$5))</f>
        <v>0.75563400000000014</v>
      </c>
      <c r="O48" s="143">
        <f t="shared" si="23"/>
        <v>7.0000000000000062E-2</v>
      </c>
      <c r="P48" s="142">
        <f>+IF(N48&lt;0,0,N48*(1+'[14]Ind. Crecimiento'!$D$5))</f>
        <v>0.79341570000000017</v>
      </c>
      <c r="Q48" s="143">
        <f t="shared" si="24"/>
        <v>5.0000000000000044E-2</v>
      </c>
      <c r="R48" s="142">
        <f>+IF(P48&lt;0,0,P48*(1+'[14]Ind. Crecimiento'!$E$5))</f>
        <v>0.82515232800000016</v>
      </c>
      <c r="S48" s="143">
        <f t="shared" si="25"/>
        <v>4.0000000000000036E-2</v>
      </c>
      <c r="T48" s="142">
        <f>+IF(R48&lt;0,0,R48*(1+'[14]Ind. Crecimiento'!$F$5))</f>
        <v>0.85815842112000018</v>
      </c>
      <c r="U48" s="143">
        <f t="shared" si="26"/>
        <v>4.0000000000000036E-2</v>
      </c>
      <c r="V48" s="142">
        <f>+IF(T48&lt;0,0,T48*(1+'[14]Ind. Crecimiento'!$G$5))</f>
        <v>0.8924847579648002</v>
      </c>
      <c r="W48" s="143">
        <f t="shared" si="27"/>
        <v>4.0000000000000036E-2</v>
      </c>
    </row>
    <row r="49" spans="1:23" ht="14.25" outlineLevel="1">
      <c r="B49" s="117"/>
      <c r="C49" s="21"/>
      <c r="D49" s="27" t="s">
        <v>187</v>
      </c>
      <c r="E49" s="147"/>
      <c r="F49" s="150"/>
      <c r="G49" s="148"/>
      <c r="H49" s="147"/>
      <c r="I49" s="148"/>
      <c r="J49" s="147"/>
      <c r="K49" s="148"/>
      <c r="L49" s="147"/>
      <c r="M49" s="148"/>
      <c r="N49" s="147"/>
      <c r="O49" s="148"/>
      <c r="P49" s="147"/>
      <c r="Q49" s="148"/>
      <c r="R49" s="147"/>
      <c r="S49" s="148"/>
      <c r="T49" s="147"/>
      <c r="U49" s="148"/>
      <c r="V49" s="147"/>
      <c r="W49" s="148"/>
    </row>
    <row r="50" spans="1:23" ht="14.25" outlineLevel="1">
      <c r="A50" s="17" t="s">
        <v>427</v>
      </c>
      <c r="B50" s="117">
        <v>4220100100</v>
      </c>
      <c r="C50" s="21">
        <v>4220100100</v>
      </c>
      <c r="D50" s="27" t="s">
        <v>308</v>
      </c>
      <c r="E50" s="142">
        <v>1522.3989999999999</v>
      </c>
      <c r="F50" s="149">
        <v>1603.251</v>
      </c>
      <c r="G50" s="143">
        <f t="shared" ref="G50:G57" si="28">IF(F50=0,"",IF(E50=0,"",(F50/E50)-1))</f>
        <v>5.3108285015951884E-2</v>
      </c>
      <c r="H50" s="142">
        <v>1564.951</v>
      </c>
      <c r="I50" s="143">
        <f t="shared" ref="I50:I57" si="29">IF(H50=0,"",IF(F50=0,"",(H50/F50)-1))</f>
        <v>-2.388896061814394E-2</v>
      </c>
      <c r="J50" s="142">
        <v>1564.9480000000001</v>
      </c>
      <c r="K50" s="143">
        <f t="shared" ref="K50:K57" si="30">IF(J50=0,"",IF(H50=0,"",(J50/H50)-1))</f>
        <v>-1.916992928174821E-6</v>
      </c>
      <c r="L50" s="142">
        <v>1674.4941246000003</v>
      </c>
      <c r="M50" s="143">
        <f t="shared" ref="M50:M57" si="31">IF(L50=0,"",IF(J50=0,"",(L50/J50)-1))</f>
        <v>6.9999849579666762E-2</v>
      </c>
      <c r="N50" s="142">
        <f>+IF(L50&lt;0,0,L50*(1+'[14]Ind. Crecimiento'!$C$5))</f>
        <v>1791.7087133220004</v>
      </c>
      <c r="O50" s="143">
        <f t="shared" ref="O50:O57" si="32">IF(N50=0,"",IF(L50=0,"",(N50/L50)-1))</f>
        <v>7.0000000000000062E-2</v>
      </c>
      <c r="P50" s="142">
        <f>+IF(N50&lt;0,0,N50*(1+'[14]Ind. Crecimiento'!$D$5))</f>
        <v>1881.2941489881005</v>
      </c>
      <c r="Q50" s="143">
        <f t="shared" ref="Q50:Q57" si="33">IF(P50=0,"",IF(N50=0,"",(P50/N50)-1))</f>
        <v>5.0000000000000044E-2</v>
      </c>
      <c r="R50" s="142">
        <f>+IF(P50&lt;0,0,P50*(1+'[14]Ind. Crecimiento'!$E$5))</f>
        <v>1956.5459149476246</v>
      </c>
      <c r="S50" s="143">
        <f t="shared" ref="S50:S57" si="34">IF(R50=0,"",IF(P50=0,"",(R50/P50)-1))</f>
        <v>4.0000000000000036E-2</v>
      </c>
      <c r="T50" s="142">
        <f>+IF(R50&lt;0,0,R50*(1+'[14]Ind. Crecimiento'!$F$5))</f>
        <v>2034.8077515455298</v>
      </c>
      <c r="U50" s="143">
        <f t="shared" ref="U50:U57" si="35">IF(T50=0,"",IF(R50=0,"",(T50/R50)-1))</f>
        <v>4.0000000000000036E-2</v>
      </c>
      <c r="V50" s="142">
        <f>+IF(T50&lt;0,0,T50*(1+'[14]Ind. Crecimiento'!$G$5))</f>
        <v>2116.200061607351</v>
      </c>
      <c r="W50" s="143">
        <f t="shared" ref="W50:W57" si="36">IF(V50=0,"",IF(T50=0,"",(V50/T50)-1))</f>
        <v>4.0000000000000036E-2</v>
      </c>
    </row>
    <row r="51" spans="1:23" ht="14.25" outlineLevel="1">
      <c r="A51" s="17" t="s">
        <v>427</v>
      </c>
      <c r="B51" s="117">
        <v>4220100200</v>
      </c>
      <c r="C51" s="21">
        <v>4220100200</v>
      </c>
      <c r="D51" s="27" t="s">
        <v>309</v>
      </c>
      <c r="E51" s="142">
        <v>32.384</v>
      </c>
      <c r="F51" s="149">
        <v>31.218</v>
      </c>
      <c r="G51" s="143">
        <f t="shared" si="28"/>
        <v>-3.6005434782608758E-2</v>
      </c>
      <c r="H51" s="142">
        <v>34.655000000000001</v>
      </c>
      <c r="I51" s="143">
        <f t="shared" si="29"/>
        <v>0.11009673906079831</v>
      </c>
      <c r="J51" s="142">
        <v>35.982999999999997</v>
      </c>
      <c r="K51" s="143">
        <f t="shared" si="30"/>
        <v>3.8320588659644939E-2</v>
      </c>
      <c r="L51" s="142">
        <v>38.502279730000005</v>
      </c>
      <c r="M51" s="143">
        <f t="shared" si="31"/>
        <v>7.0013054220048554E-2</v>
      </c>
      <c r="N51" s="142">
        <f>+IF(L51&lt;0,0,L51*(1+'[14]Ind. Crecimiento'!$C$5))</f>
        <v>41.197439311100005</v>
      </c>
      <c r="O51" s="143">
        <f t="shared" si="32"/>
        <v>7.0000000000000062E-2</v>
      </c>
      <c r="P51" s="142">
        <f>+IF(N51&lt;0,0,N51*(1+'[14]Ind. Crecimiento'!$D$5))</f>
        <v>43.25731127665501</v>
      </c>
      <c r="Q51" s="143">
        <f t="shared" si="33"/>
        <v>5.0000000000000044E-2</v>
      </c>
      <c r="R51" s="142">
        <f>+IF(P51&lt;0,0,P51*(1+'[14]Ind. Crecimiento'!$E$5))</f>
        <v>44.987603727721215</v>
      </c>
      <c r="S51" s="143">
        <f t="shared" si="34"/>
        <v>4.0000000000000036E-2</v>
      </c>
      <c r="T51" s="142">
        <f>+IF(R51&lt;0,0,R51*(1+'[14]Ind. Crecimiento'!$F$5))</f>
        <v>46.787107876830063</v>
      </c>
      <c r="U51" s="143">
        <f t="shared" si="35"/>
        <v>4.0000000000000036E-2</v>
      </c>
      <c r="V51" s="142">
        <f>+IF(T51&lt;0,0,T51*(1+'[14]Ind. Crecimiento'!$G$5))</f>
        <v>48.658592191903267</v>
      </c>
      <c r="W51" s="143">
        <f t="shared" si="36"/>
        <v>4.0000000000000036E-2</v>
      </c>
    </row>
    <row r="52" spans="1:23" ht="14.25" outlineLevel="1">
      <c r="A52" s="17" t="s">
        <v>427</v>
      </c>
      <c r="B52" s="117">
        <v>4220100300</v>
      </c>
      <c r="C52" s="21">
        <v>4220100300</v>
      </c>
      <c r="D52" s="27" t="s">
        <v>310</v>
      </c>
      <c r="E52" s="142">
        <v>135.97999999999999</v>
      </c>
      <c r="F52" s="149">
        <v>115.714</v>
      </c>
      <c r="G52" s="143">
        <f t="shared" si="28"/>
        <v>-0.14903662303279885</v>
      </c>
      <c r="H52" s="142">
        <v>126.45</v>
      </c>
      <c r="I52" s="143">
        <f t="shared" si="29"/>
        <v>9.2780476001175449E-2</v>
      </c>
      <c r="J52" s="142">
        <v>148.9</v>
      </c>
      <c r="K52" s="143">
        <f t="shared" si="30"/>
        <v>0.17754052985369717</v>
      </c>
      <c r="L52" s="142">
        <v>159.32300000000001</v>
      </c>
      <c r="M52" s="143">
        <f t="shared" si="31"/>
        <v>7.0000000000000062E-2</v>
      </c>
      <c r="N52" s="142">
        <f>+IF(L52&lt;0,0,L52*(1+'[14]Ind. Crecimiento'!$C$5))</f>
        <v>170.47561000000002</v>
      </c>
      <c r="O52" s="143">
        <f t="shared" si="32"/>
        <v>7.0000000000000062E-2</v>
      </c>
      <c r="P52" s="142">
        <f>+IF(N52&lt;0,0,N52*(1+'[14]Ind. Crecimiento'!$D$5))</f>
        <v>178.99939050000003</v>
      </c>
      <c r="Q52" s="143">
        <f t="shared" si="33"/>
        <v>5.0000000000000044E-2</v>
      </c>
      <c r="R52" s="142">
        <f>+IF(P52&lt;0,0,P52*(1+'[14]Ind. Crecimiento'!$E$5))</f>
        <v>186.15936612000004</v>
      </c>
      <c r="S52" s="143">
        <f t="shared" si="34"/>
        <v>4.0000000000000036E-2</v>
      </c>
      <c r="T52" s="142">
        <f>+IF(R52&lt;0,0,R52*(1+'[14]Ind. Crecimiento'!$F$5))</f>
        <v>193.60574076480006</v>
      </c>
      <c r="U52" s="143">
        <f t="shared" si="35"/>
        <v>4.0000000000000036E-2</v>
      </c>
      <c r="V52" s="142">
        <f>+IF(T52&lt;0,0,T52*(1+'[14]Ind. Crecimiento'!$G$5))</f>
        <v>201.34997039539206</v>
      </c>
      <c r="W52" s="143">
        <f t="shared" si="36"/>
        <v>4.0000000000000036E-2</v>
      </c>
    </row>
    <row r="53" spans="1:23" ht="14.25" outlineLevel="1">
      <c r="A53" s="17" t="s">
        <v>427</v>
      </c>
      <c r="B53" s="117">
        <v>4220100400</v>
      </c>
      <c r="C53" s="21">
        <v>4220100400</v>
      </c>
      <c r="D53" s="27" t="s">
        <v>311</v>
      </c>
      <c r="E53" s="142">
        <v>40.183999999999997</v>
      </c>
      <c r="F53" s="149">
        <v>41.161999999999999</v>
      </c>
      <c r="G53" s="143">
        <f t="shared" si="28"/>
        <v>2.433804499303216E-2</v>
      </c>
      <c r="H53" s="142">
        <v>42.015000000000001</v>
      </c>
      <c r="I53" s="143">
        <f t="shared" si="29"/>
        <v>2.072299693892421E-2</v>
      </c>
      <c r="J53" s="142">
        <v>39.859000000000002</v>
      </c>
      <c r="K53" s="143">
        <f t="shared" si="30"/>
        <v>-5.1315006545281427E-2</v>
      </c>
      <c r="L53" s="142">
        <v>42.648612120000003</v>
      </c>
      <c r="M53" s="143">
        <f t="shared" si="31"/>
        <v>6.9987007200381424E-2</v>
      </c>
      <c r="N53" s="142">
        <f>+IF(L53&lt;0,0,L53*(1+'[14]Ind. Crecimiento'!$C$5))</f>
        <v>45.634014968400002</v>
      </c>
      <c r="O53" s="143">
        <f t="shared" si="32"/>
        <v>7.0000000000000062E-2</v>
      </c>
      <c r="P53" s="142">
        <f>+IF(N53&lt;0,0,N53*(1+'[14]Ind. Crecimiento'!$D$5))</f>
        <v>47.915715716820003</v>
      </c>
      <c r="Q53" s="143">
        <f t="shared" si="33"/>
        <v>5.0000000000000044E-2</v>
      </c>
      <c r="R53" s="142">
        <f>+IF(P53&lt;0,0,P53*(1+'[14]Ind. Crecimiento'!$E$5))</f>
        <v>49.832344345492807</v>
      </c>
      <c r="S53" s="143">
        <f t="shared" si="34"/>
        <v>4.0000000000000036E-2</v>
      </c>
      <c r="T53" s="142">
        <f>+IF(R53&lt;0,0,R53*(1+'[14]Ind. Crecimiento'!$F$5))</f>
        <v>51.825638119312522</v>
      </c>
      <c r="U53" s="143">
        <f t="shared" si="35"/>
        <v>4.0000000000000036E-2</v>
      </c>
      <c r="V53" s="142">
        <f>+IF(T53&lt;0,0,T53*(1+'[14]Ind. Crecimiento'!$G$5))</f>
        <v>53.898663644085026</v>
      </c>
      <c r="W53" s="143">
        <f t="shared" si="36"/>
        <v>4.0000000000000036E-2</v>
      </c>
    </row>
    <row r="54" spans="1:23" ht="14.25" outlineLevel="1">
      <c r="A54" s="17" t="s">
        <v>427</v>
      </c>
      <c r="B54" s="117">
        <v>4220100500</v>
      </c>
      <c r="C54" s="21">
        <v>4220100500</v>
      </c>
      <c r="D54" s="27" t="s">
        <v>265</v>
      </c>
      <c r="E54" s="142">
        <v>281.45499999999998</v>
      </c>
      <c r="F54" s="149">
        <v>325.18</v>
      </c>
      <c r="G54" s="143">
        <f t="shared" si="28"/>
        <v>0.15535343127675838</v>
      </c>
      <c r="H54" s="142">
        <v>353.774</v>
      </c>
      <c r="I54" s="143">
        <f t="shared" si="29"/>
        <v>8.7932837197859604E-2</v>
      </c>
      <c r="J54" s="142">
        <v>349.45</v>
      </c>
      <c r="K54" s="143">
        <f t="shared" si="30"/>
        <v>-1.2222492325609013E-2</v>
      </c>
      <c r="L54" s="142">
        <v>373.91107521000004</v>
      </c>
      <c r="M54" s="143">
        <f t="shared" si="31"/>
        <v>6.9998784404063707E-2</v>
      </c>
      <c r="N54" s="142">
        <f>+IF(L54&lt;0,0,L54*(1+'[14]Ind. Crecimiento'!$C$5))</f>
        <v>400.08485047470003</v>
      </c>
      <c r="O54" s="143">
        <f t="shared" si="32"/>
        <v>7.0000000000000062E-2</v>
      </c>
      <c r="P54" s="142">
        <f>+IF(N54&lt;0,0,N54*(1+'[14]Ind. Crecimiento'!$D$5))</f>
        <v>420.08909299843504</v>
      </c>
      <c r="Q54" s="143">
        <f t="shared" si="33"/>
        <v>5.0000000000000044E-2</v>
      </c>
      <c r="R54" s="142">
        <f>+IF(P54&lt;0,0,P54*(1+'[14]Ind. Crecimiento'!$E$5))</f>
        <v>436.89265671837245</v>
      </c>
      <c r="S54" s="143">
        <f t="shared" si="34"/>
        <v>4.0000000000000036E-2</v>
      </c>
      <c r="T54" s="142">
        <f>+IF(R54&lt;0,0,R54*(1+'[14]Ind. Crecimiento'!$F$5))</f>
        <v>454.36836298710739</v>
      </c>
      <c r="U54" s="143">
        <f t="shared" si="35"/>
        <v>4.0000000000000036E-2</v>
      </c>
      <c r="V54" s="142">
        <f>+IF(T54&lt;0,0,T54*(1+'[14]Ind. Crecimiento'!$G$5))</f>
        <v>472.54309750659172</v>
      </c>
      <c r="W54" s="143">
        <f t="shared" si="36"/>
        <v>4.0000000000000036E-2</v>
      </c>
    </row>
    <row r="55" spans="1:23" ht="14.25" outlineLevel="1">
      <c r="A55" s="17" t="s">
        <v>427</v>
      </c>
      <c r="B55" s="117">
        <v>4220100600</v>
      </c>
      <c r="C55" s="21">
        <v>4220100600</v>
      </c>
      <c r="D55" s="27" t="s">
        <v>312</v>
      </c>
      <c r="E55" s="142">
        <v>140.93100000000001</v>
      </c>
      <c r="F55" s="149">
        <v>200.56800000000001</v>
      </c>
      <c r="G55" s="143">
        <f t="shared" si="28"/>
        <v>0.42316452732188092</v>
      </c>
      <c r="H55" s="142">
        <v>213.352</v>
      </c>
      <c r="I55" s="143">
        <f t="shared" si="29"/>
        <v>6.3738981293127495E-2</v>
      </c>
      <c r="J55" s="142">
        <v>270.13299999999998</v>
      </c>
      <c r="K55" s="143">
        <f t="shared" si="30"/>
        <v>0.26613765045558502</v>
      </c>
      <c r="L55" s="142">
        <v>289.02236349999998</v>
      </c>
      <c r="M55" s="143">
        <f t="shared" si="31"/>
        <v>6.9926160446891039E-2</v>
      </c>
      <c r="N55" s="142">
        <f>+IF(L55&lt;0,0,L55*(1+'[14]Ind. Crecimiento'!$C$5))</f>
        <v>309.25392894499998</v>
      </c>
      <c r="O55" s="143">
        <f t="shared" si="32"/>
        <v>7.0000000000000062E-2</v>
      </c>
      <c r="P55" s="142">
        <f>+IF(N55&lt;0,0,N55*(1+'[14]Ind. Crecimiento'!$D$5))</f>
        <v>324.71662539225002</v>
      </c>
      <c r="Q55" s="143">
        <f t="shared" si="33"/>
        <v>5.0000000000000044E-2</v>
      </c>
      <c r="R55" s="142">
        <f>+IF(P55&lt;0,0,P55*(1+'[14]Ind. Crecimiento'!$E$5))</f>
        <v>337.70529040794003</v>
      </c>
      <c r="S55" s="143">
        <f t="shared" si="34"/>
        <v>4.0000000000000036E-2</v>
      </c>
      <c r="T55" s="142">
        <f>+IF(R55&lt;0,0,R55*(1+'[14]Ind. Crecimiento'!$F$5))</f>
        <v>351.21350202425765</v>
      </c>
      <c r="U55" s="143">
        <f t="shared" si="35"/>
        <v>4.0000000000000036E-2</v>
      </c>
      <c r="V55" s="142">
        <f>+IF(T55&lt;0,0,T55*(1+'[14]Ind. Crecimiento'!$G$5))</f>
        <v>365.26204210522798</v>
      </c>
      <c r="W55" s="143">
        <f t="shared" si="36"/>
        <v>4.0000000000000036E-2</v>
      </c>
    </row>
    <row r="56" spans="1:23" ht="14.25" outlineLevel="1">
      <c r="A56" s="17" t="s">
        <v>427</v>
      </c>
      <c r="B56" s="117">
        <v>4220100800</v>
      </c>
      <c r="C56" s="21">
        <v>4220100800</v>
      </c>
      <c r="D56" s="27" t="s">
        <v>313</v>
      </c>
      <c r="E56" s="142">
        <v>43.771000000000001</v>
      </c>
      <c r="F56" s="149">
        <v>186.87200000000001</v>
      </c>
      <c r="G56" s="143">
        <f t="shared" si="28"/>
        <v>3.2693107308491927</v>
      </c>
      <c r="H56" s="142">
        <v>243.696</v>
      </c>
      <c r="I56" s="143">
        <f t="shared" si="29"/>
        <v>0.30407979793655548</v>
      </c>
      <c r="J56" s="142">
        <v>145.94900000000001</v>
      </c>
      <c r="K56" s="143">
        <f t="shared" si="30"/>
        <v>-0.40110219289606719</v>
      </c>
      <c r="L56" s="142">
        <v>156.16583339000002</v>
      </c>
      <c r="M56" s="143">
        <f t="shared" si="31"/>
        <v>7.0002763910681054E-2</v>
      </c>
      <c r="N56" s="142">
        <f>+IF(L56&lt;0,0,L56*(1+'[14]Ind. Crecimiento'!$C$5))</f>
        <v>167.09744172730004</v>
      </c>
      <c r="O56" s="143">
        <f t="shared" si="32"/>
        <v>7.0000000000000062E-2</v>
      </c>
      <c r="P56" s="142">
        <f>+IF(N56&lt;0,0,N56*(1+'[14]Ind. Crecimiento'!$D$5))</f>
        <v>175.45231381366506</v>
      </c>
      <c r="Q56" s="143">
        <f t="shared" si="33"/>
        <v>5.0000000000000044E-2</v>
      </c>
      <c r="R56" s="142">
        <f>+IF(P56&lt;0,0,P56*(1+'[14]Ind. Crecimiento'!$E$5))</f>
        <v>182.47040636621168</v>
      </c>
      <c r="S56" s="143">
        <f t="shared" si="34"/>
        <v>4.0000000000000036E-2</v>
      </c>
      <c r="T56" s="142">
        <f>+IF(R56&lt;0,0,R56*(1+'[14]Ind. Crecimiento'!$F$5))</f>
        <v>189.76922262086015</v>
      </c>
      <c r="U56" s="143">
        <f t="shared" si="35"/>
        <v>4.0000000000000036E-2</v>
      </c>
      <c r="V56" s="142">
        <f>+IF(T56&lt;0,0,T56*(1+'[14]Ind. Crecimiento'!$G$5))</f>
        <v>197.35999152569457</v>
      </c>
      <c r="W56" s="143">
        <f t="shared" si="36"/>
        <v>4.0000000000000036E-2</v>
      </c>
    </row>
    <row r="57" spans="1:23" ht="14.25" outlineLevel="1">
      <c r="A57" s="17" t="s">
        <v>427</v>
      </c>
      <c r="B57" s="117">
        <v>4220100700</v>
      </c>
      <c r="C57" s="21">
        <v>4220100700</v>
      </c>
      <c r="D57" s="27" t="s">
        <v>314</v>
      </c>
      <c r="E57" s="142">
        <v>19.100000000000001</v>
      </c>
      <c r="F57" s="149">
        <v>17.768999999999998</v>
      </c>
      <c r="G57" s="143">
        <f t="shared" si="28"/>
        <v>-6.9685863874345721E-2</v>
      </c>
      <c r="H57" s="142">
        <v>21.577000000000002</v>
      </c>
      <c r="I57" s="143">
        <f t="shared" si="29"/>
        <v>0.21430581349541367</v>
      </c>
      <c r="J57" s="142">
        <v>20.9</v>
      </c>
      <c r="K57" s="143">
        <f t="shared" si="30"/>
        <v>-3.1376002224591137E-2</v>
      </c>
      <c r="L57" s="142">
        <v>22.363</v>
      </c>
      <c r="M57" s="143">
        <f t="shared" si="31"/>
        <v>7.0000000000000062E-2</v>
      </c>
      <c r="N57" s="142">
        <f>+IF(L57&lt;0,0,L57*(1+'[14]Ind. Crecimiento'!$C$5))</f>
        <v>23.92841</v>
      </c>
      <c r="O57" s="143">
        <f t="shared" si="32"/>
        <v>7.0000000000000062E-2</v>
      </c>
      <c r="P57" s="142">
        <f>+IF(N57&lt;0,0,N57*(1+'[14]Ind. Crecimiento'!$D$5))</f>
        <v>25.124830500000002</v>
      </c>
      <c r="Q57" s="143">
        <f t="shared" si="33"/>
        <v>5.0000000000000044E-2</v>
      </c>
      <c r="R57" s="142">
        <f>+IF(P57&lt;0,0,P57*(1+'[14]Ind. Crecimiento'!$E$5))</f>
        <v>26.129823720000001</v>
      </c>
      <c r="S57" s="143">
        <f t="shared" si="34"/>
        <v>4.0000000000000036E-2</v>
      </c>
      <c r="T57" s="142">
        <f>+IF(R57&lt;0,0,R57*(1+'[14]Ind. Crecimiento'!$F$5))</f>
        <v>27.175016668800001</v>
      </c>
      <c r="U57" s="143">
        <f t="shared" si="35"/>
        <v>4.0000000000000036E-2</v>
      </c>
      <c r="V57" s="142">
        <f>+IF(T57&lt;0,0,T57*(1+'[14]Ind. Crecimiento'!$G$5))</f>
        <v>28.262017335552002</v>
      </c>
      <c r="W57" s="143">
        <f t="shared" si="36"/>
        <v>4.0000000000000036E-2</v>
      </c>
    </row>
    <row r="58" spans="1:23" ht="14.25" outlineLevel="1">
      <c r="A58" s="17" t="s">
        <v>427</v>
      </c>
      <c r="B58" s="117">
        <v>4220250000</v>
      </c>
      <c r="C58" s="144">
        <f>+B58</f>
        <v>4220250000</v>
      </c>
      <c r="D58" s="27" t="s">
        <v>315</v>
      </c>
      <c r="E58" s="142">
        <v>0</v>
      </c>
      <c r="F58" s="149">
        <v>0</v>
      </c>
      <c r="G58" s="143"/>
      <c r="H58" s="142">
        <v>3.8</v>
      </c>
      <c r="I58" s="143"/>
      <c r="J58" s="142">
        <v>0</v>
      </c>
      <c r="K58" s="143"/>
      <c r="L58" s="142">
        <v>0</v>
      </c>
      <c r="M58" s="143"/>
      <c r="N58" s="142">
        <f>+IF(L58&lt;0,0,L58*(1+'[14]Ind. Crecimiento'!$C$5))</f>
        <v>0</v>
      </c>
      <c r="O58" s="143"/>
      <c r="P58" s="142">
        <f>+IF(N58&lt;0,0,N58*(1+'[14]Ind. Crecimiento'!$D$5))</f>
        <v>0</v>
      </c>
      <c r="Q58" s="143"/>
      <c r="R58" s="142">
        <f>+IF(P58&lt;0,0,P58*(1+'[14]Ind. Crecimiento'!$E$5))</f>
        <v>0</v>
      </c>
      <c r="S58" s="143"/>
      <c r="T58" s="142">
        <f>+IF(R58&lt;0,0,R58*(1+'[14]Ind. Crecimiento'!$F$5))</f>
        <v>0</v>
      </c>
      <c r="U58" s="143"/>
      <c r="V58" s="142">
        <f>+IF(T58&lt;0,0,T58*(1+'[14]Ind. Crecimiento'!$G$5))</f>
        <v>0</v>
      </c>
      <c r="W58" s="143"/>
    </row>
    <row r="59" spans="1:23" ht="14.25" outlineLevel="1">
      <c r="B59" s="117"/>
      <c r="C59" s="21"/>
      <c r="D59" s="151" t="s">
        <v>316</v>
      </c>
      <c r="E59" s="147"/>
      <c r="F59" s="150"/>
      <c r="G59" s="148"/>
      <c r="H59" s="147"/>
      <c r="I59" s="148"/>
      <c r="J59" s="147"/>
      <c r="K59" s="148"/>
      <c r="L59" s="147"/>
      <c r="M59" s="148"/>
      <c r="N59" s="147"/>
      <c r="O59" s="148"/>
      <c r="P59" s="147"/>
      <c r="Q59" s="148"/>
      <c r="R59" s="147"/>
      <c r="S59" s="148"/>
      <c r="T59" s="147"/>
      <c r="U59" s="148"/>
      <c r="V59" s="147"/>
      <c r="W59" s="148"/>
    </row>
    <row r="60" spans="1:23" ht="14.25" outlineLevel="1">
      <c r="A60" s="17" t="s">
        <v>42</v>
      </c>
      <c r="B60" s="117">
        <v>4230050000</v>
      </c>
      <c r="C60" s="21">
        <v>4230050000</v>
      </c>
      <c r="D60" s="27" t="s">
        <v>317</v>
      </c>
      <c r="E60" s="142">
        <v>196.25</v>
      </c>
      <c r="F60" s="149">
        <v>127</v>
      </c>
      <c r="G60" s="143">
        <f>IF(F60=0,"",IF(E60=0,"",(F60/E60)-1))</f>
        <v>-0.35286624203821659</v>
      </c>
      <c r="H60" s="142">
        <v>23.393999999999998</v>
      </c>
      <c r="I60" s="143">
        <f>IF(H60=0,"",IF(F60=0,"",(H60/F60)-1))</f>
        <v>-0.81579527559055121</v>
      </c>
      <c r="J60" s="142">
        <v>48</v>
      </c>
      <c r="K60" s="143">
        <f>IF(J60=0,"",IF(H60=0,"",(J60/H60)-1))</f>
        <v>1.0518081559374202</v>
      </c>
      <c r="L60" s="142">
        <v>137.80000099999998</v>
      </c>
      <c r="M60" s="143">
        <f>IF(L60=0,"",IF(J60=0,"",(L60/J60)-1))</f>
        <v>1.8708333541666664</v>
      </c>
      <c r="N60" s="142">
        <f>+IF(L60&lt;0,0,L60*(1+'[14]Ind. Crecimiento'!$C$5))</f>
        <v>147.44600106999999</v>
      </c>
      <c r="O60" s="143">
        <f>IF(N60=0,"",IF(L60=0,"",(N60/L60)-1))</f>
        <v>7.0000000000000062E-2</v>
      </c>
      <c r="P60" s="142">
        <f>+IF(N60&lt;0,0,N60*(1+'[14]Ind. Crecimiento'!$D$5))</f>
        <v>154.81830112349999</v>
      </c>
      <c r="Q60" s="143">
        <f>IF(P60=0,"",IF(N60=0,"",(P60/N60)-1))</f>
        <v>5.0000000000000044E-2</v>
      </c>
      <c r="R60" s="142">
        <f>+IF(P60&lt;0,0,P60*(1+'[14]Ind. Crecimiento'!$E$5))</f>
        <v>161.01103316844001</v>
      </c>
      <c r="S60" s="143">
        <f>IF(R60=0,"",IF(P60=0,"",(R60/P60)-1))</f>
        <v>4.0000000000000036E-2</v>
      </c>
      <c r="T60" s="142">
        <f>+IF(R60&lt;0,0,R60*(1+'[14]Ind. Crecimiento'!$F$5))</f>
        <v>167.45147449517762</v>
      </c>
      <c r="U60" s="143">
        <f>IF(T60=0,"",IF(R60=0,"",(T60/R60)-1))</f>
        <v>4.0000000000000036E-2</v>
      </c>
      <c r="V60" s="142">
        <f>+IF(T60&lt;0,0,T60*(1+'[14]Ind. Crecimiento'!$G$5))</f>
        <v>174.14953347498474</v>
      </c>
      <c r="W60" s="143">
        <f>IF(V60=0,"",IF(T60=0,"",(V60/T60)-1))</f>
        <v>4.0000000000000036E-2</v>
      </c>
    </row>
    <row r="61" spans="1:23" ht="14.25" outlineLevel="1">
      <c r="A61" s="17" t="s">
        <v>42</v>
      </c>
      <c r="B61" s="117">
        <v>4230100000</v>
      </c>
      <c r="C61" s="21">
        <v>4230100000</v>
      </c>
      <c r="D61" s="27" t="s">
        <v>173</v>
      </c>
      <c r="E61" s="142">
        <v>1.8240000000000001</v>
      </c>
      <c r="F61" s="149">
        <v>3.677</v>
      </c>
      <c r="G61" s="143">
        <f>IF(F61=0,"",IF(E61=0,"",(F61/E61)-1))</f>
        <v>1.0158991228070176</v>
      </c>
      <c r="H61" s="142">
        <v>0</v>
      </c>
      <c r="I61" s="143" t="str">
        <f>IF(H61=0,"",IF(F61=0,"",(H61/F61)-1))</f>
        <v/>
      </c>
      <c r="J61" s="142">
        <v>8.3480000000000008</v>
      </c>
      <c r="K61" s="143" t="str">
        <f>IF(J61=0,"",IF(H61=0,"",(J61/H61)-1))</f>
        <v/>
      </c>
      <c r="L61" s="142">
        <v>9</v>
      </c>
      <c r="M61" s="143">
        <f>IF(L61=0,"",IF(J61=0,"",(L61/J61)-1))</f>
        <v>7.8102539530426451E-2</v>
      </c>
      <c r="N61" s="142">
        <f>+IF(L61&lt;0,0,L61*(1+'[14]Ind. Crecimiento'!$C$5))</f>
        <v>9.6300000000000008</v>
      </c>
      <c r="O61" s="143">
        <f>IF(N61=0,"",IF(L61=0,"",(N61/L61)-1))</f>
        <v>7.0000000000000062E-2</v>
      </c>
      <c r="P61" s="142">
        <f>+IF(N61&lt;0,0,N61*(1+'[14]Ind. Crecimiento'!$D$5))</f>
        <v>10.111500000000001</v>
      </c>
      <c r="Q61" s="143">
        <f>IF(P61=0,"",IF(N61=0,"",(P61/N61)-1))</f>
        <v>5.0000000000000044E-2</v>
      </c>
      <c r="R61" s="142">
        <f>+IF(P61&lt;0,0,P61*(1+'[14]Ind. Crecimiento'!$E$5))</f>
        <v>10.515960000000002</v>
      </c>
      <c r="S61" s="143">
        <f>IF(R61=0,"",IF(P61=0,"",(R61/P61)-1))</f>
        <v>4.0000000000000036E-2</v>
      </c>
      <c r="T61" s="142">
        <f>+IF(R61&lt;0,0,R61*(1+'[14]Ind. Crecimiento'!$F$5))</f>
        <v>10.936598400000001</v>
      </c>
      <c r="U61" s="143">
        <f>IF(T61=0,"",IF(R61=0,"",(T61/R61)-1))</f>
        <v>4.0000000000000036E-2</v>
      </c>
      <c r="V61" s="142">
        <f>+IF(T61&lt;0,0,T61*(1+'[14]Ind. Crecimiento'!$G$5))</f>
        <v>11.374062336000001</v>
      </c>
      <c r="W61" s="143">
        <f>IF(V61=0,"",IF(T61=0,"",(V61/T61)-1))</f>
        <v>4.0000000000000036E-2</v>
      </c>
    </row>
    <row r="62" spans="1:23" ht="14.25" outlineLevel="1">
      <c r="B62" s="117"/>
      <c r="C62" s="21"/>
      <c r="D62" s="151" t="s">
        <v>201</v>
      </c>
      <c r="E62" s="147"/>
      <c r="F62" s="150"/>
      <c r="G62" s="148"/>
      <c r="H62" s="147"/>
      <c r="I62" s="148"/>
      <c r="J62" s="147"/>
      <c r="K62" s="148"/>
      <c r="L62" s="147"/>
      <c r="M62" s="148"/>
      <c r="N62" s="147"/>
      <c r="O62" s="148"/>
      <c r="P62" s="147"/>
      <c r="Q62" s="148"/>
      <c r="R62" s="147"/>
      <c r="S62" s="148"/>
      <c r="T62" s="147"/>
      <c r="U62" s="148"/>
      <c r="V62" s="147"/>
      <c r="W62" s="148"/>
    </row>
    <row r="63" spans="1:23" ht="14.25" outlineLevel="1">
      <c r="B63" s="117"/>
      <c r="C63" s="21">
        <v>4235100000</v>
      </c>
      <c r="D63" s="27" t="s">
        <v>318</v>
      </c>
      <c r="E63" s="142">
        <v>0</v>
      </c>
      <c r="F63" s="149">
        <v>7.77</v>
      </c>
      <c r="G63" s="143" t="str">
        <f t="shared" ref="G63:G74" si="37">IF(F63=0,"",IF(E63=0,"",(F63/E63)-1))</f>
        <v/>
      </c>
      <c r="H63" s="142">
        <v>0</v>
      </c>
      <c r="I63" s="143" t="str">
        <f t="shared" ref="I63:I74" si="38">IF(H63=0,"",IF(F63=0,"",(H63/F63)-1))</f>
        <v/>
      </c>
      <c r="J63" s="142">
        <v>0</v>
      </c>
      <c r="K63" s="143" t="str">
        <f t="shared" ref="K63:K74" si="39">IF(J63=0,"",IF(H63=0,"",(J63/H63)-1))</f>
        <v/>
      </c>
      <c r="L63" s="142">
        <v>0</v>
      </c>
      <c r="M63" s="143" t="str">
        <f t="shared" ref="M63:M74" si="40">IF(L63=0,"",IF(J63=0,"",(L63/J63)-1))</f>
        <v/>
      </c>
      <c r="N63" s="142">
        <f>+IF(L63&lt;0,0,L63*(1+'[14]Ind. Crecimiento'!$C$5))</f>
        <v>0</v>
      </c>
      <c r="O63" s="143" t="str">
        <f t="shared" ref="O63:O74" si="41">IF(N63=0,"",IF(L63=0,"",(N63/L63)-1))</f>
        <v/>
      </c>
      <c r="P63" s="142">
        <f>+IF(N63&lt;0,0,N63*(1+'[14]Ind. Crecimiento'!$D$5))</f>
        <v>0</v>
      </c>
      <c r="Q63" s="143" t="str">
        <f t="shared" ref="Q63:Q74" si="42">IF(P63=0,"",IF(N63=0,"",(P63/N63)-1))</f>
        <v/>
      </c>
      <c r="R63" s="142">
        <f>+IF(P63&lt;0,0,P63*(1+'[14]Ind. Crecimiento'!$E$5))</f>
        <v>0</v>
      </c>
      <c r="S63" s="143" t="str">
        <f t="shared" ref="S63:S74" si="43">IF(R63=0,"",IF(P63=0,"",(R63/P63)-1))</f>
        <v/>
      </c>
      <c r="T63" s="142">
        <f>+IF(R63&lt;0,0,R63*(1+'[14]Ind. Crecimiento'!$F$5))</f>
        <v>0</v>
      </c>
      <c r="U63" s="143" t="str">
        <f t="shared" ref="U63:U74" si="44">IF(T63=0,"",IF(R63=0,"",(T63/R63)-1))</f>
        <v/>
      </c>
      <c r="V63" s="142">
        <f>+IF(T63&lt;0,0,T63*(1+'[14]Ind. Crecimiento'!$G$5))</f>
        <v>0</v>
      </c>
      <c r="W63" s="143" t="str">
        <f t="shared" ref="W63:W74" si="45">IF(V63=0,"",IF(T63=0,"",(V63/T63)-1))</f>
        <v/>
      </c>
    </row>
    <row r="64" spans="1:23" ht="14.25" outlineLevel="1">
      <c r="A64" s="17" t="s">
        <v>427</v>
      </c>
      <c r="B64" s="117">
        <v>4235200000</v>
      </c>
      <c r="C64" s="21">
        <v>4235200000</v>
      </c>
      <c r="D64" s="27" t="s">
        <v>319</v>
      </c>
      <c r="E64" s="142">
        <v>260.87700000000001</v>
      </c>
      <c r="F64" s="149">
        <v>93.082999999999998</v>
      </c>
      <c r="G64" s="143">
        <f t="shared" si="37"/>
        <v>-0.64319200236126606</v>
      </c>
      <c r="H64" s="142">
        <v>123.169</v>
      </c>
      <c r="I64" s="143">
        <f t="shared" si="38"/>
        <v>0.32321691393702401</v>
      </c>
      <c r="J64" s="142">
        <v>161.535</v>
      </c>
      <c r="K64" s="143">
        <f t="shared" si="39"/>
        <v>0.31149071600808642</v>
      </c>
      <c r="L64" s="142">
        <v>173.63435428999998</v>
      </c>
      <c r="M64" s="143">
        <f t="shared" si="40"/>
        <v>7.490236970316011E-2</v>
      </c>
      <c r="N64" s="142">
        <f>+IF(L64&lt;0,0,L64*(1+'[14]Ind. Crecimiento'!$C$5))</f>
        <v>185.78875909029998</v>
      </c>
      <c r="O64" s="143">
        <f t="shared" si="41"/>
        <v>7.0000000000000062E-2</v>
      </c>
      <c r="P64" s="142">
        <f>+IF(N64&lt;0,0,N64*(1+'[14]Ind. Crecimiento'!$D$5))</f>
        <v>195.07819704481497</v>
      </c>
      <c r="Q64" s="143">
        <f t="shared" si="42"/>
        <v>5.0000000000000044E-2</v>
      </c>
      <c r="R64" s="142">
        <f>+IF(P64&lt;0,0,P64*(1+'[14]Ind. Crecimiento'!$E$5))</f>
        <v>202.88132492660759</v>
      </c>
      <c r="S64" s="143">
        <f t="shared" si="43"/>
        <v>4.0000000000000036E-2</v>
      </c>
      <c r="T64" s="142">
        <f>+IF(R64&lt;0,0,R64*(1+'[14]Ind. Crecimiento'!$F$5))</f>
        <v>210.99657792367191</v>
      </c>
      <c r="U64" s="143">
        <f t="shared" si="44"/>
        <v>4.0000000000000036E-2</v>
      </c>
      <c r="V64" s="142">
        <f>+IF(T64&lt;0,0,T64*(1+'[14]Ind. Crecimiento'!$G$5))</f>
        <v>219.4364410406188</v>
      </c>
      <c r="W64" s="143">
        <f t="shared" si="45"/>
        <v>4.0000000000000036E-2</v>
      </c>
    </row>
    <row r="65" spans="1:24" ht="14.25" outlineLevel="1">
      <c r="A65" s="17" t="s">
        <v>425</v>
      </c>
      <c r="B65" s="117">
        <v>4235550000</v>
      </c>
      <c r="C65" s="21">
        <v>4235550000</v>
      </c>
      <c r="D65" s="27" t="s">
        <v>320</v>
      </c>
      <c r="E65" s="142">
        <v>732.37599999999998</v>
      </c>
      <c r="F65" s="149">
        <v>805.78300000000002</v>
      </c>
      <c r="G65" s="143">
        <f t="shared" si="37"/>
        <v>0.10023130195418761</v>
      </c>
      <c r="H65" s="142">
        <v>680.37599999999998</v>
      </c>
      <c r="I65" s="143">
        <f t="shared" si="38"/>
        <v>-0.15563371279860716</v>
      </c>
      <c r="J65" s="142">
        <v>692.04</v>
      </c>
      <c r="K65" s="143">
        <f t="shared" si="39"/>
        <v>1.7143461850506192E-2</v>
      </c>
      <c r="L65" s="142">
        <v>752.44288099999994</v>
      </c>
      <c r="M65" s="143">
        <f t="shared" si="40"/>
        <v>8.7282355066181205E-2</v>
      </c>
      <c r="N65" s="142">
        <f>+IF(L65&lt;0,0,L65*(1+'[14]Ind. Crecimiento'!$C$5))</f>
        <v>805.11388266999995</v>
      </c>
      <c r="O65" s="143">
        <f t="shared" si="41"/>
        <v>7.0000000000000062E-2</v>
      </c>
      <c r="P65" s="142">
        <f>+IF(N65&lt;0,0,N65*(1+'[14]Ind. Crecimiento'!$D$5))</f>
        <v>845.36957680349997</v>
      </c>
      <c r="Q65" s="143">
        <f t="shared" si="42"/>
        <v>5.0000000000000044E-2</v>
      </c>
      <c r="R65" s="142">
        <f>+IF(P65&lt;0,0,P65*(1+'[14]Ind. Crecimiento'!$E$5))</f>
        <v>879.18435987563998</v>
      </c>
      <c r="S65" s="143">
        <f t="shared" si="43"/>
        <v>4.0000000000000036E-2</v>
      </c>
      <c r="T65" s="142">
        <f>+IF(R65&lt;0,0,R65*(1+'[14]Ind. Crecimiento'!$F$5))</f>
        <v>914.35173427066559</v>
      </c>
      <c r="U65" s="143">
        <f t="shared" si="44"/>
        <v>4.0000000000000036E-2</v>
      </c>
      <c r="V65" s="142">
        <f>+IF(T65&lt;0,0,T65*(1+'[14]Ind. Crecimiento'!$G$5))</f>
        <v>950.92580364149228</v>
      </c>
      <c r="W65" s="143">
        <f t="shared" si="45"/>
        <v>4.0000000000000036E-2</v>
      </c>
    </row>
    <row r="66" spans="1:24" ht="14.25" outlineLevel="1">
      <c r="A66" s="17" t="s">
        <v>427</v>
      </c>
      <c r="B66" s="117">
        <v>4235653500</v>
      </c>
      <c r="C66" s="21">
        <v>4235653500</v>
      </c>
      <c r="D66" s="27" t="s">
        <v>321</v>
      </c>
      <c r="E66" s="142">
        <v>7.8890000000000002</v>
      </c>
      <c r="F66" s="149">
        <v>6.351</v>
      </c>
      <c r="G66" s="143">
        <f t="shared" si="37"/>
        <v>-0.1949550006337939</v>
      </c>
      <c r="H66" s="142">
        <v>7.0720000000000001</v>
      </c>
      <c r="I66" s="143">
        <f t="shared" si="38"/>
        <v>0.11352542906628882</v>
      </c>
      <c r="J66" s="142">
        <v>6.7519999999999998</v>
      </c>
      <c r="K66" s="143">
        <f t="shared" si="39"/>
        <v>-4.5248868778280604E-2</v>
      </c>
      <c r="L66" s="142">
        <v>7.1947870000000016</v>
      </c>
      <c r="M66" s="143">
        <f t="shared" si="40"/>
        <v>6.5578643364929246E-2</v>
      </c>
      <c r="N66" s="142">
        <f>+IF(L66&lt;0,0,L66*(1+'[14]Ind. Crecimiento'!$C$5))</f>
        <v>7.698422090000002</v>
      </c>
      <c r="O66" s="143">
        <f t="shared" si="41"/>
        <v>7.0000000000000062E-2</v>
      </c>
      <c r="P66" s="142">
        <f>+IF(N66&lt;0,0,N66*(1+'[14]Ind. Crecimiento'!$D$5))</f>
        <v>8.0833431945000029</v>
      </c>
      <c r="Q66" s="143">
        <f t="shared" si="42"/>
        <v>5.0000000000000044E-2</v>
      </c>
      <c r="R66" s="142">
        <f>+IF(P66&lt;0,0,P66*(1+'[14]Ind. Crecimiento'!$E$5))</f>
        <v>8.4066769222800026</v>
      </c>
      <c r="S66" s="143">
        <f t="shared" si="43"/>
        <v>4.0000000000000036E-2</v>
      </c>
      <c r="T66" s="142">
        <f>+IF(R66&lt;0,0,R66*(1+'[14]Ind. Crecimiento'!$F$5))</f>
        <v>8.742943999171203</v>
      </c>
      <c r="U66" s="143">
        <f t="shared" si="44"/>
        <v>4.0000000000000036E-2</v>
      </c>
      <c r="V66" s="142">
        <f>+IF(T66&lt;0,0,T66*(1+'[14]Ind. Crecimiento'!$G$5))</f>
        <v>9.0926617591380516</v>
      </c>
      <c r="W66" s="143">
        <f t="shared" si="45"/>
        <v>4.0000000000000036E-2</v>
      </c>
    </row>
    <row r="67" spans="1:24" ht="14.25" outlineLevel="1">
      <c r="A67" s="17" t="s">
        <v>427</v>
      </c>
      <c r="B67" s="117">
        <v>4235950800</v>
      </c>
      <c r="C67" s="21">
        <v>4235950800</v>
      </c>
      <c r="D67" s="27" t="s">
        <v>322</v>
      </c>
      <c r="E67" s="142">
        <v>0</v>
      </c>
      <c r="F67" s="149">
        <v>6.9089999999999998</v>
      </c>
      <c r="G67" s="143" t="str">
        <f t="shared" si="37"/>
        <v/>
      </c>
      <c r="H67" s="142">
        <v>9.8770000000000007</v>
      </c>
      <c r="I67" s="143">
        <f t="shared" si="38"/>
        <v>0.42958459979736596</v>
      </c>
      <c r="J67" s="142">
        <v>1.496</v>
      </c>
      <c r="K67" s="143">
        <f t="shared" si="39"/>
        <v>-0.84853700516351116</v>
      </c>
      <c r="L67" s="142">
        <v>1.6008912000000002</v>
      </c>
      <c r="M67" s="143">
        <f t="shared" si="40"/>
        <v>7.0114438502673959E-2</v>
      </c>
      <c r="N67" s="142">
        <f>+IF(L67&lt;0,0,L67*(1+'[14]Ind. Crecimiento'!$C$5))</f>
        <v>1.7129535840000003</v>
      </c>
      <c r="O67" s="143">
        <f t="shared" si="41"/>
        <v>7.0000000000000062E-2</v>
      </c>
      <c r="P67" s="142">
        <f>+IF(N67&lt;0,0,N67*(1+'[14]Ind. Crecimiento'!$D$5))</f>
        <v>1.7986012632000004</v>
      </c>
      <c r="Q67" s="143">
        <f t="shared" si="42"/>
        <v>5.0000000000000044E-2</v>
      </c>
      <c r="R67" s="142">
        <f>+IF(P67&lt;0,0,P67*(1+'[14]Ind. Crecimiento'!$E$5))</f>
        <v>1.8705453137280004</v>
      </c>
      <c r="S67" s="143">
        <f t="shared" si="43"/>
        <v>4.0000000000000036E-2</v>
      </c>
      <c r="T67" s="142">
        <f>+IF(R67&lt;0,0,R67*(1+'[14]Ind. Crecimiento'!$F$5))</f>
        <v>1.9453671262771204</v>
      </c>
      <c r="U67" s="143">
        <f t="shared" si="44"/>
        <v>4.0000000000000036E-2</v>
      </c>
      <c r="V67" s="142">
        <f>+IF(T67&lt;0,0,T67*(1+'[14]Ind. Crecimiento'!$G$5))</f>
        <v>2.0231818113282052</v>
      </c>
      <c r="W67" s="143">
        <f t="shared" si="45"/>
        <v>4.0000000000000036E-2</v>
      </c>
    </row>
    <row r="68" spans="1:24" ht="14.25" outlineLevel="1">
      <c r="A68" s="17" t="s">
        <v>42</v>
      </c>
      <c r="B68" s="117">
        <v>4235950100</v>
      </c>
      <c r="C68" s="21">
        <v>4235950100</v>
      </c>
      <c r="D68" s="27" t="s">
        <v>323</v>
      </c>
      <c r="E68" s="142">
        <v>476.57400000000001</v>
      </c>
      <c r="F68" s="149">
        <v>160.31</v>
      </c>
      <c r="G68" s="143">
        <f t="shared" si="37"/>
        <v>-0.66361992051601648</v>
      </c>
      <c r="H68" s="142">
        <v>409.02699999999999</v>
      </c>
      <c r="I68" s="143">
        <f t="shared" si="38"/>
        <v>1.5514752666708254</v>
      </c>
      <c r="J68" s="142">
        <v>116.66</v>
      </c>
      <c r="K68" s="143">
        <f t="shared" si="39"/>
        <v>-0.7147865544328369</v>
      </c>
      <c r="L68" s="142">
        <v>126.5142</v>
      </c>
      <c r="M68" s="143">
        <f t="shared" si="40"/>
        <v>8.4469398251328709E-2</v>
      </c>
      <c r="N68" s="142">
        <f>+IF(L68&lt;0,0,L68*(1+'[14]Ind. Crecimiento'!$C$5))</f>
        <v>135.370194</v>
      </c>
      <c r="O68" s="143">
        <f t="shared" si="41"/>
        <v>7.0000000000000062E-2</v>
      </c>
      <c r="P68" s="142">
        <f>+IF(N68&lt;0,0,N68*(1+'[14]Ind. Crecimiento'!$D$5))</f>
        <v>142.13870370000001</v>
      </c>
      <c r="Q68" s="143">
        <f t="shared" si="42"/>
        <v>5.0000000000000044E-2</v>
      </c>
      <c r="R68" s="142">
        <f>+IF(P68&lt;0,0,P68*(1+'[14]Ind. Crecimiento'!$E$5))</f>
        <v>147.82425184800002</v>
      </c>
      <c r="S68" s="143">
        <f t="shared" si="43"/>
        <v>4.0000000000000036E-2</v>
      </c>
      <c r="T68" s="142">
        <f>+IF(R68&lt;0,0,R68*(1+'[14]Ind. Crecimiento'!$F$5))</f>
        <v>153.73722192192002</v>
      </c>
      <c r="U68" s="143">
        <f t="shared" si="44"/>
        <v>4.0000000000000036E-2</v>
      </c>
      <c r="V68" s="142">
        <f>+IF(T68&lt;0,0,T68*(1+'[14]Ind. Crecimiento'!$G$5))</f>
        <v>159.88671079879683</v>
      </c>
      <c r="W68" s="143">
        <f t="shared" si="45"/>
        <v>4.0000000000000036E-2</v>
      </c>
      <c r="X68" s="17" t="s">
        <v>638</v>
      </c>
    </row>
    <row r="69" spans="1:24" ht="14.25" outlineLevel="1">
      <c r="A69" s="17" t="s">
        <v>42</v>
      </c>
      <c r="B69" s="117">
        <v>4235950200</v>
      </c>
      <c r="C69" s="21">
        <v>4235950200</v>
      </c>
      <c r="D69" s="27" t="s">
        <v>324</v>
      </c>
      <c r="E69" s="142">
        <v>2082.5189999999998</v>
      </c>
      <c r="F69" s="149">
        <v>2118.5120000000002</v>
      </c>
      <c r="G69" s="143">
        <f t="shared" si="37"/>
        <v>1.7283395733724616E-2</v>
      </c>
      <c r="H69" s="142">
        <v>2044.201</v>
      </c>
      <c r="I69" s="143">
        <f t="shared" si="38"/>
        <v>-3.5076978558535532E-2</v>
      </c>
      <c r="J69" s="142">
        <v>2439.625</v>
      </c>
      <c r="K69" s="143">
        <f t="shared" si="39"/>
        <v>0.19343694675817114</v>
      </c>
      <c r="L69" s="142">
        <v>2590.7493899999999</v>
      </c>
      <c r="M69" s="143">
        <f t="shared" si="40"/>
        <v>6.1945745760106474E-2</v>
      </c>
      <c r="N69" s="142">
        <f>+IF(L69&lt;0,0,L69*(1+'[14]Ind. Crecimiento'!$C$5))</f>
        <v>2772.1018472999999</v>
      </c>
      <c r="O69" s="143">
        <f t="shared" si="41"/>
        <v>7.0000000000000062E-2</v>
      </c>
      <c r="P69" s="142">
        <f>+IF(N69&lt;0,0,N69*(1+'[14]Ind. Crecimiento'!$D$5))</f>
        <v>2910.7069396649999</v>
      </c>
      <c r="Q69" s="143">
        <f t="shared" si="42"/>
        <v>5.0000000000000044E-2</v>
      </c>
      <c r="R69" s="142">
        <f>+IF(P69&lt;0,0,P69*(1+'[14]Ind. Crecimiento'!$E$5))</f>
        <v>3027.1352172515999</v>
      </c>
      <c r="S69" s="143">
        <f t="shared" si="43"/>
        <v>4.0000000000000036E-2</v>
      </c>
      <c r="T69" s="142">
        <f>+IF(R69&lt;0,0,R69*(1+'[14]Ind. Crecimiento'!$F$5))</f>
        <v>3148.2206259416639</v>
      </c>
      <c r="U69" s="143">
        <f t="shared" si="44"/>
        <v>4.0000000000000036E-2</v>
      </c>
      <c r="V69" s="142">
        <f>+IF(T69&lt;0,0,T69*(1+'[14]Ind. Crecimiento'!$G$5))</f>
        <v>3274.1494509793306</v>
      </c>
      <c r="W69" s="143">
        <f t="shared" si="45"/>
        <v>4.0000000000000036E-2</v>
      </c>
    </row>
    <row r="70" spans="1:24" ht="14.25" outlineLevel="1">
      <c r="B70" s="117"/>
      <c r="C70" s="21"/>
      <c r="D70" s="27" t="s">
        <v>130</v>
      </c>
      <c r="E70" s="142">
        <v>0</v>
      </c>
      <c r="F70" s="149">
        <v>0.19</v>
      </c>
      <c r="G70" s="143" t="str">
        <f t="shared" si="37"/>
        <v/>
      </c>
      <c r="H70" s="142">
        <v>0</v>
      </c>
      <c r="I70" s="143" t="str">
        <f t="shared" si="38"/>
        <v/>
      </c>
      <c r="J70" s="142">
        <v>0</v>
      </c>
      <c r="K70" s="143" t="str">
        <f t="shared" si="39"/>
        <v/>
      </c>
      <c r="L70" s="142">
        <v>0</v>
      </c>
      <c r="M70" s="143" t="str">
        <f t="shared" si="40"/>
        <v/>
      </c>
      <c r="N70" s="142">
        <f>+IF(L70&lt;0,0,L70*(1+'[14]Ind. Crecimiento'!$C$5))</f>
        <v>0</v>
      </c>
      <c r="O70" s="143" t="str">
        <f t="shared" si="41"/>
        <v/>
      </c>
      <c r="P70" s="142">
        <f>+IF(N70&lt;0,0,N70*(1+'[14]Ind. Crecimiento'!$D$5))</f>
        <v>0</v>
      </c>
      <c r="Q70" s="143" t="str">
        <f t="shared" si="42"/>
        <v/>
      </c>
      <c r="R70" s="142">
        <f>+IF(P70&lt;0,0,P70*(1+'[14]Ind. Crecimiento'!$E$5))</f>
        <v>0</v>
      </c>
      <c r="S70" s="143" t="str">
        <f t="shared" si="43"/>
        <v/>
      </c>
      <c r="T70" s="142">
        <f>+IF(R70&lt;0,0,R70*(1+'[14]Ind. Crecimiento'!$F$5))</f>
        <v>0</v>
      </c>
      <c r="U70" s="143" t="str">
        <f t="shared" si="44"/>
        <v/>
      </c>
      <c r="V70" s="142">
        <f>+IF(T70&lt;0,0,T70*(1+'[14]Ind. Crecimiento'!$G$5))</f>
        <v>0</v>
      </c>
      <c r="W70" s="143" t="str">
        <f t="shared" si="45"/>
        <v/>
      </c>
    </row>
    <row r="71" spans="1:24" ht="14.25" outlineLevel="1">
      <c r="A71" s="17" t="s">
        <v>425</v>
      </c>
      <c r="B71" s="117">
        <v>4235950500</v>
      </c>
      <c r="C71" s="21">
        <v>4235950500</v>
      </c>
      <c r="D71" s="27" t="s">
        <v>325</v>
      </c>
      <c r="E71" s="142">
        <v>7.2</v>
      </c>
      <c r="F71" s="149">
        <v>22.901</v>
      </c>
      <c r="G71" s="143">
        <f t="shared" si="37"/>
        <v>2.1806944444444443</v>
      </c>
      <c r="H71" s="142">
        <v>19.234999999999999</v>
      </c>
      <c r="I71" s="143">
        <f t="shared" si="38"/>
        <v>-0.16008034583642639</v>
      </c>
      <c r="J71" s="142">
        <v>48.97</v>
      </c>
      <c r="K71" s="143">
        <f t="shared" si="39"/>
        <v>1.5458799064205877</v>
      </c>
      <c r="L71" s="142">
        <v>52.398541999999999</v>
      </c>
      <c r="M71" s="143">
        <f t="shared" si="40"/>
        <v>7.0013110067388196E-2</v>
      </c>
      <c r="N71" s="142">
        <f>+IF(L71&lt;0,0,L71*(1+'[14]Ind. Crecimiento'!$C$5))</f>
        <v>56.066439940000002</v>
      </c>
      <c r="O71" s="143">
        <f t="shared" si="41"/>
        <v>7.0000000000000062E-2</v>
      </c>
      <c r="P71" s="142">
        <f>+IF(N71&lt;0,0,N71*(1+'[14]Ind. Crecimiento'!$D$5))</f>
        <v>58.869761937000007</v>
      </c>
      <c r="Q71" s="143">
        <f t="shared" si="42"/>
        <v>5.0000000000000044E-2</v>
      </c>
      <c r="R71" s="142">
        <f>+IF(P71&lt;0,0,P71*(1+'[14]Ind. Crecimiento'!$E$5))</f>
        <v>61.224552414480009</v>
      </c>
      <c r="S71" s="143">
        <f t="shared" si="43"/>
        <v>4.0000000000000036E-2</v>
      </c>
      <c r="T71" s="142">
        <f>+IF(R71&lt;0,0,R71*(1+'[14]Ind. Crecimiento'!$F$5))</f>
        <v>63.673534511059209</v>
      </c>
      <c r="U71" s="143">
        <f t="shared" si="44"/>
        <v>4.0000000000000036E-2</v>
      </c>
      <c r="V71" s="142">
        <f>+IF(T71&lt;0,0,T71*(1+'[14]Ind. Crecimiento'!$G$5))</f>
        <v>66.220475891501579</v>
      </c>
      <c r="W71" s="143">
        <f t="shared" si="45"/>
        <v>4.0000000000000036E-2</v>
      </c>
    </row>
    <row r="72" spans="1:24" ht="14.25" outlineLevel="1">
      <c r="A72" s="17" t="s">
        <v>42</v>
      </c>
      <c r="B72" s="117">
        <v>4235950900</v>
      </c>
      <c r="C72" s="21">
        <v>4235950900</v>
      </c>
      <c r="D72" s="27" t="s">
        <v>327</v>
      </c>
      <c r="E72" s="142">
        <v>0</v>
      </c>
      <c r="F72" s="149">
        <v>0</v>
      </c>
      <c r="G72" s="143" t="str">
        <f t="shared" si="37"/>
        <v/>
      </c>
      <c r="H72" s="142">
        <v>0</v>
      </c>
      <c r="I72" s="143" t="str">
        <f t="shared" si="38"/>
        <v/>
      </c>
      <c r="J72" s="142">
        <v>4.3</v>
      </c>
      <c r="K72" s="143" t="str">
        <f t="shared" si="39"/>
        <v/>
      </c>
      <c r="L72" s="142">
        <v>4.5149999999999997</v>
      </c>
      <c r="M72" s="143">
        <f t="shared" si="40"/>
        <v>5.0000000000000044E-2</v>
      </c>
      <c r="N72" s="142">
        <f>+IF(L72&lt;0,0,L72*(1+'[14]Ind. Crecimiento'!$C$5))</f>
        <v>4.8310500000000003</v>
      </c>
      <c r="O72" s="143">
        <f t="shared" si="41"/>
        <v>7.0000000000000062E-2</v>
      </c>
      <c r="P72" s="142">
        <f>+IF(N72&lt;0,0,N72*(1+'[14]Ind. Crecimiento'!$D$5))</f>
        <v>5.0726025000000003</v>
      </c>
      <c r="Q72" s="143">
        <f t="shared" si="42"/>
        <v>5.0000000000000044E-2</v>
      </c>
      <c r="R72" s="142">
        <f>+IF(P72&lt;0,0,P72*(1+'[14]Ind. Crecimiento'!$E$5))</f>
        <v>5.2755066000000008</v>
      </c>
      <c r="S72" s="143">
        <f t="shared" si="43"/>
        <v>4.0000000000000036E-2</v>
      </c>
      <c r="T72" s="142">
        <f>+IF(R72&lt;0,0,R72*(1+'[14]Ind. Crecimiento'!$F$5))</f>
        <v>5.4865268640000009</v>
      </c>
      <c r="U72" s="143">
        <f t="shared" si="44"/>
        <v>4.0000000000000036E-2</v>
      </c>
      <c r="V72" s="142">
        <f>+IF(T72&lt;0,0,T72*(1+'[14]Ind. Crecimiento'!$G$5))</f>
        <v>5.7059879385600007</v>
      </c>
      <c r="W72" s="143">
        <f t="shared" si="45"/>
        <v>4.0000000000000036E-2</v>
      </c>
    </row>
    <row r="73" spans="1:24" ht="14.25" outlineLevel="1">
      <c r="A73" s="17" t="s">
        <v>427</v>
      </c>
      <c r="B73" s="117">
        <v>4235955000</v>
      </c>
      <c r="C73" s="21"/>
      <c r="D73" s="27" t="s">
        <v>328</v>
      </c>
      <c r="E73" s="142">
        <v>0</v>
      </c>
      <c r="F73" s="149">
        <v>0</v>
      </c>
      <c r="G73" s="143" t="str">
        <f t="shared" si="37"/>
        <v/>
      </c>
      <c r="H73" s="142">
        <v>0</v>
      </c>
      <c r="I73" s="143" t="str">
        <f t="shared" si="38"/>
        <v/>
      </c>
      <c r="J73" s="142">
        <v>-1.381</v>
      </c>
      <c r="K73" s="143" t="str">
        <f t="shared" si="39"/>
        <v/>
      </c>
      <c r="L73" s="142">
        <v>0</v>
      </c>
      <c r="M73" s="143" t="str">
        <f t="shared" si="40"/>
        <v/>
      </c>
      <c r="N73" s="142">
        <f>+IF(L73&lt;0,0,L73*(1+'[14]Ind. Crecimiento'!$C$5))</f>
        <v>0</v>
      </c>
      <c r="O73" s="143" t="str">
        <f t="shared" si="41"/>
        <v/>
      </c>
      <c r="P73" s="142">
        <f>+IF(N73&lt;0,0,N73*(1+'[14]Ind. Crecimiento'!$D$5))</f>
        <v>0</v>
      </c>
      <c r="Q73" s="143" t="str">
        <f t="shared" si="42"/>
        <v/>
      </c>
      <c r="R73" s="142">
        <f>+IF(P73&lt;0,0,P73*(1+'[14]Ind. Crecimiento'!$E$5))</f>
        <v>0</v>
      </c>
      <c r="S73" s="143" t="str">
        <f t="shared" si="43"/>
        <v/>
      </c>
      <c r="T73" s="142">
        <f>+IF(R73&lt;0,0,R73*(1+'[14]Ind. Crecimiento'!$F$5))</f>
        <v>0</v>
      </c>
      <c r="U73" s="143" t="str">
        <f t="shared" si="44"/>
        <v/>
      </c>
      <c r="V73" s="142">
        <f>+IF(T73&lt;0,0,T73*(1+'[14]Ind. Crecimiento'!$G$5))</f>
        <v>0</v>
      </c>
      <c r="W73" s="143" t="str">
        <f t="shared" si="45"/>
        <v/>
      </c>
    </row>
    <row r="74" spans="1:24" ht="14.25" outlineLevel="1">
      <c r="A74" s="17" t="s">
        <v>426</v>
      </c>
      <c r="B74" s="117">
        <v>4235950600</v>
      </c>
      <c r="C74" s="21">
        <v>4235950600</v>
      </c>
      <c r="D74" s="27" t="s">
        <v>326</v>
      </c>
      <c r="E74" s="142">
        <v>45.79</v>
      </c>
      <c r="F74" s="149">
        <v>70.11</v>
      </c>
      <c r="G74" s="143">
        <f t="shared" si="37"/>
        <v>0.53112033195020758</v>
      </c>
      <c r="H74" s="142">
        <v>72.188000000000002</v>
      </c>
      <c r="I74" s="143">
        <f t="shared" si="38"/>
        <v>2.9639138496648121E-2</v>
      </c>
      <c r="J74" s="142">
        <v>83.009</v>
      </c>
      <c r="K74" s="143">
        <f t="shared" si="39"/>
        <v>0.14990026043109661</v>
      </c>
      <c r="L74" s="142">
        <v>89.710427999999993</v>
      </c>
      <c r="M74" s="143">
        <f t="shared" si="40"/>
        <v>8.0731342384560589E-2</v>
      </c>
      <c r="N74" s="142">
        <f>+IF(L74&lt;0,0,L74*(1+'[14]Ind. Crecimiento'!$C$5))</f>
        <v>95.990157960000005</v>
      </c>
      <c r="O74" s="143">
        <f t="shared" si="41"/>
        <v>7.0000000000000062E-2</v>
      </c>
      <c r="P74" s="142">
        <f>+IF(N74&lt;0,0,N74*(1+'[14]Ind. Crecimiento'!$D$5))</f>
        <v>100.78966585800001</v>
      </c>
      <c r="Q74" s="143">
        <f t="shared" si="42"/>
        <v>5.0000000000000044E-2</v>
      </c>
      <c r="R74" s="142">
        <f>+IF(P74&lt;0,0,P74*(1+'[14]Ind. Crecimiento'!$E$5))</f>
        <v>104.82125249232001</v>
      </c>
      <c r="S74" s="143">
        <f t="shared" si="43"/>
        <v>4.0000000000000036E-2</v>
      </c>
      <c r="T74" s="142">
        <f>+IF(R74&lt;0,0,R74*(1+'[14]Ind. Crecimiento'!$F$5))</f>
        <v>109.01410259201282</v>
      </c>
      <c r="U74" s="143">
        <f t="shared" si="44"/>
        <v>4.0000000000000036E-2</v>
      </c>
      <c r="V74" s="142">
        <f>+IF(T74&lt;0,0,T74*(1+'[14]Ind. Crecimiento'!$G$5))</f>
        <v>113.37466669569334</v>
      </c>
      <c r="W74" s="143">
        <f t="shared" si="45"/>
        <v>4.0000000000000036E-2</v>
      </c>
    </row>
    <row r="75" spans="1:24" ht="14.25" outlineLevel="1">
      <c r="B75" s="117"/>
      <c r="C75" s="17"/>
      <c r="D75" s="27" t="s">
        <v>329</v>
      </c>
      <c r="E75" s="147"/>
      <c r="F75" s="150"/>
      <c r="G75" s="148"/>
      <c r="H75" s="147"/>
      <c r="I75" s="148"/>
      <c r="J75" s="147"/>
      <c r="K75" s="148"/>
      <c r="L75" s="147"/>
      <c r="M75" s="148"/>
      <c r="N75" s="147"/>
      <c r="O75" s="148"/>
      <c r="P75" s="147"/>
      <c r="Q75" s="148"/>
      <c r="R75" s="147"/>
      <c r="S75" s="148"/>
      <c r="T75" s="147"/>
      <c r="U75" s="148"/>
      <c r="V75" s="147"/>
      <c r="W75" s="148"/>
    </row>
    <row r="76" spans="1:24" ht="14.25" outlineLevel="1">
      <c r="A76" s="17" t="s">
        <v>427</v>
      </c>
      <c r="B76" s="117">
        <v>4250150000</v>
      </c>
      <c r="C76" s="21">
        <v>4250150000</v>
      </c>
      <c r="D76" s="27" t="s">
        <v>330</v>
      </c>
      <c r="E76" s="142">
        <v>0</v>
      </c>
      <c r="F76" s="149">
        <v>8.5</v>
      </c>
      <c r="G76" s="143" t="str">
        <f>IF(F76=0,"",IF(E76=0,"",(F76/E76)-1))</f>
        <v/>
      </c>
      <c r="H76" s="142">
        <v>5.8</v>
      </c>
      <c r="I76" s="143">
        <f>IF(H76=0,"",IF(F76=0,"",(H76/F76)-1))</f>
        <v>-0.31764705882352939</v>
      </c>
      <c r="J76" s="142">
        <v>1.5369999999999999</v>
      </c>
      <c r="K76" s="143">
        <f>IF(J76=0,"",IF(H76=0,"",(J76/H76)-1))</f>
        <v>-0.73499999999999999</v>
      </c>
      <c r="L76" s="142">
        <v>1.6444284299999998</v>
      </c>
      <c r="M76" s="143">
        <f>IF(L76=0,"",IF(J76=0,"",(L76/J76)-1))</f>
        <v>6.9894879635653773E-2</v>
      </c>
      <c r="N76" s="142">
        <f>+IF(L76&lt;0,0,L76*(1+'[14]Ind. Crecimiento'!$C$5))</f>
        <v>1.7595384200999999</v>
      </c>
      <c r="O76" s="143">
        <f>IF(N76=0,"",IF(L76=0,"",(N76/L76)-1))</f>
        <v>7.0000000000000062E-2</v>
      </c>
      <c r="P76" s="142">
        <f>+IF(N76&lt;0,0,N76*(1+'[14]Ind. Crecimiento'!$D$5))</f>
        <v>1.847515341105</v>
      </c>
      <c r="Q76" s="143">
        <f>IF(P76=0,"",IF(N76=0,"",(P76/N76)-1))</f>
        <v>5.0000000000000044E-2</v>
      </c>
      <c r="R76" s="142">
        <f>+IF(P76&lt;0,0,P76*(1+'[14]Ind. Crecimiento'!$E$5))</f>
        <v>1.9214159547492</v>
      </c>
      <c r="S76" s="143">
        <f>IF(R76=0,"",IF(P76=0,"",(R76/P76)-1))</f>
        <v>4.0000000000000036E-2</v>
      </c>
      <c r="T76" s="142">
        <f>+IF(R76&lt;0,0,R76*(1+'[14]Ind. Crecimiento'!$F$5))</f>
        <v>1.998272592939168</v>
      </c>
      <c r="U76" s="143">
        <f>IF(T76=0,"",IF(R76=0,"",(T76/R76)-1))</f>
        <v>4.0000000000000036E-2</v>
      </c>
      <c r="V76" s="142">
        <f>+IF(T76&lt;0,0,T76*(1+'[14]Ind. Crecimiento'!$G$5))</f>
        <v>2.0782034966567347</v>
      </c>
      <c r="W76" s="143">
        <f>IF(V76=0,"",IF(T76=0,"",(V76/T76)-1))</f>
        <v>4.0000000000000036E-2</v>
      </c>
    </row>
    <row r="77" spans="1:24" ht="14.25" outlineLevel="1">
      <c r="A77" s="17" t="s">
        <v>427</v>
      </c>
      <c r="B77" s="117">
        <v>4250350000</v>
      </c>
      <c r="C77" s="21">
        <v>4250350000</v>
      </c>
      <c r="D77" s="27" t="s">
        <v>331</v>
      </c>
      <c r="E77" s="142">
        <v>0</v>
      </c>
      <c r="F77" s="149">
        <v>633.82600000000002</v>
      </c>
      <c r="G77" s="143" t="str">
        <f>IF(F77=0,"",IF(E77=0,"",(F77/E77)-1))</f>
        <v/>
      </c>
      <c r="H77" s="142">
        <v>875.452</v>
      </c>
      <c r="I77" s="143">
        <f>IF(H77=0,"",IF(F77=0,"",(H77/F77)-1))</f>
        <v>0.38121818921912309</v>
      </c>
      <c r="J77" s="142">
        <v>870.06200000000001</v>
      </c>
      <c r="K77" s="143">
        <f>IF(J77=0,"",IF(H77=0,"",(J77/H77)-1))</f>
        <v>-6.1568195629229105E-3</v>
      </c>
      <c r="L77" s="142">
        <v>200</v>
      </c>
      <c r="M77" s="143">
        <f>IF(L77=0,"",IF(J77=0,"",(L77/J77)-1))</f>
        <v>-0.77013132397461326</v>
      </c>
      <c r="N77" s="142">
        <f>+IF(L77&lt;0,0,L77*(1+'[14]Ind. Crecimiento'!$C$5))</f>
        <v>214</v>
      </c>
      <c r="O77" s="143">
        <f>IF(N77=0,"",IF(L77=0,"",(N77/L77)-1))</f>
        <v>7.0000000000000062E-2</v>
      </c>
      <c r="P77" s="142">
        <f>+IF(N77&lt;0,0,N77*(1+'[14]Ind. Crecimiento'!$D$5))</f>
        <v>224.70000000000002</v>
      </c>
      <c r="Q77" s="143">
        <f>IF(P77=0,"",IF(N77=0,"",(P77/N77)-1))</f>
        <v>5.0000000000000044E-2</v>
      </c>
      <c r="R77" s="142">
        <f>+IF(P77&lt;0,0,P77*(1+'[14]Ind. Crecimiento'!$E$5))</f>
        <v>233.68800000000002</v>
      </c>
      <c r="S77" s="143">
        <f>IF(R77=0,"",IF(P77=0,"",(R77/P77)-1))</f>
        <v>4.0000000000000036E-2</v>
      </c>
      <c r="T77" s="142">
        <f>+IF(R77&lt;0,0,R77*(1+'[14]Ind. Crecimiento'!$F$5))</f>
        <v>243.03552000000002</v>
      </c>
      <c r="U77" s="143">
        <f>IF(T77=0,"",IF(R77=0,"",(T77/R77)-1))</f>
        <v>4.0000000000000036E-2</v>
      </c>
      <c r="V77" s="142">
        <f>+IF(T77&lt;0,0,T77*(1+'[14]Ind. Crecimiento'!$G$5))</f>
        <v>252.75694080000002</v>
      </c>
      <c r="W77" s="143">
        <f>IF(V77=0,"",IF(T77=0,"",(V77/T77)-1))</f>
        <v>4.0000000000000036E-2</v>
      </c>
    </row>
    <row r="78" spans="1:24" ht="14.25" outlineLevel="1">
      <c r="A78" s="17" t="s">
        <v>427</v>
      </c>
      <c r="B78" s="117">
        <v>4250500000</v>
      </c>
      <c r="C78" s="21">
        <v>4250500000</v>
      </c>
      <c r="D78" s="27" t="s">
        <v>332</v>
      </c>
      <c r="E78" s="142">
        <v>70.261927</v>
      </c>
      <c r="F78" s="149">
        <v>238.199107</v>
      </c>
      <c r="G78" s="143">
        <f>IF(F78=0,"",IF(E78=0,"",(F78/E78)-1))</f>
        <v>2.3901590401868709</v>
      </c>
      <c r="H78" s="142">
        <v>216.28095099999999</v>
      </c>
      <c r="I78" s="143">
        <f>IF(H78=0,"",IF(F78=0,"",(H78/F78)-1))</f>
        <v>-9.2016113225814933E-2</v>
      </c>
      <c r="J78" s="142">
        <v>200.31399999999999</v>
      </c>
      <c r="K78" s="143">
        <f>IF(J78=0,"",IF(H78=0,"",(J78/H78)-1))</f>
        <v>-7.3825045276409873E-2</v>
      </c>
      <c r="L78" s="142">
        <v>209.845</v>
      </c>
      <c r="M78" s="143">
        <f>IF(L78=0,"",IF(J78=0,"",(L78/J78)-1))</f>
        <v>4.7580298930678833E-2</v>
      </c>
      <c r="N78" s="142">
        <f>+IF(L78&lt;0,0,L78*(1+'[14]Ind. Crecimiento'!$C$5))</f>
        <v>224.53415000000001</v>
      </c>
      <c r="O78" s="143">
        <f>IF(N78=0,"",IF(L78=0,"",(N78/L78)-1))</f>
        <v>7.0000000000000062E-2</v>
      </c>
      <c r="P78" s="142">
        <f>+IF(N78&lt;0,0,N78*(1+'[14]Ind. Crecimiento'!$D$5))</f>
        <v>235.76085750000001</v>
      </c>
      <c r="Q78" s="143">
        <f>IF(P78=0,"",IF(N78=0,"",(P78/N78)-1))</f>
        <v>5.0000000000000044E-2</v>
      </c>
      <c r="R78" s="142">
        <f>+IF(P78&lt;0,0,P78*(1+'[14]Ind. Crecimiento'!$E$5))</f>
        <v>245.19129180000002</v>
      </c>
      <c r="S78" s="143">
        <f>IF(R78=0,"",IF(P78=0,"",(R78/P78)-1))</f>
        <v>4.0000000000000036E-2</v>
      </c>
      <c r="T78" s="142">
        <f>+IF(R78&lt;0,0,R78*(1+'[14]Ind. Crecimiento'!$F$5))</f>
        <v>254.99894347200004</v>
      </c>
      <c r="U78" s="143">
        <f>IF(T78=0,"",IF(R78=0,"",(T78/R78)-1))</f>
        <v>4.0000000000000036E-2</v>
      </c>
      <c r="V78" s="142">
        <f>+IF(T78&lt;0,0,T78*(1+'[14]Ind. Crecimiento'!$G$5))</f>
        <v>265.19890121088002</v>
      </c>
      <c r="W78" s="143">
        <f>IF(V78=0,"",IF(T78=0,"",(V78/T78)-1))</f>
        <v>4.0000000000000036E-2</v>
      </c>
    </row>
    <row r="79" spans="1:24" ht="14.25" outlineLevel="1">
      <c r="A79" s="17" t="s">
        <v>427</v>
      </c>
      <c r="B79" s="117">
        <v>4255050000</v>
      </c>
      <c r="C79" s="21">
        <v>4255050000</v>
      </c>
      <c r="D79" s="27" t="s">
        <v>333</v>
      </c>
      <c r="E79" s="142">
        <v>4.984</v>
      </c>
      <c r="F79" s="149">
        <v>5.8920000000000003</v>
      </c>
      <c r="G79" s="143">
        <f>IF(F79=0,"",IF(E79=0,"",(F79/E79)-1))</f>
        <v>0.18218298555377221</v>
      </c>
      <c r="H79" s="142">
        <v>0</v>
      </c>
      <c r="I79" s="143" t="str">
        <f>IF(H79=0,"",IF(F79=0,"",(H79/F79)-1))</f>
        <v/>
      </c>
      <c r="J79" s="142">
        <v>16.242999999999999</v>
      </c>
      <c r="K79" s="143" t="str">
        <f>IF(J79=0,"",IF(H79=0,"",(J79/H79)-1))</f>
        <v/>
      </c>
      <c r="L79" s="142">
        <v>17.379742499999999</v>
      </c>
      <c r="M79" s="143">
        <f>IF(L79=0,"",IF(J79=0,"",(L79/J79)-1))</f>
        <v>6.9983531367358243E-2</v>
      </c>
      <c r="N79" s="142">
        <f>+IF(L79&lt;0,0,L79*(1+'[14]Ind. Crecimiento'!$C$5))</f>
        <v>18.596324474999999</v>
      </c>
      <c r="O79" s="143">
        <f>IF(N79=0,"",IF(L79=0,"",(N79/L79)-1))</f>
        <v>7.0000000000000062E-2</v>
      </c>
      <c r="P79" s="142">
        <f>+IF(N79&lt;0,0,N79*(1+'[14]Ind. Crecimiento'!$D$5))</f>
        <v>19.526140698750002</v>
      </c>
      <c r="Q79" s="143">
        <f>IF(P79=0,"",IF(N79=0,"",(P79/N79)-1))</f>
        <v>5.0000000000000044E-2</v>
      </c>
      <c r="R79" s="142">
        <f>+IF(P79&lt;0,0,P79*(1+'[14]Ind. Crecimiento'!$E$5))</f>
        <v>20.307186326700002</v>
      </c>
      <c r="S79" s="143">
        <f>IF(R79=0,"",IF(P79=0,"",(R79/P79)-1))</f>
        <v>4.0000000000000036E-2</v>
      </c>
      <c r="T79" s="142">
        <f>+IF(R79&lt;0,0,R79*(1+'[14]Ind. Crecimiento'!$F$5))</f>
        <v>21.119473779768004</v>
      </c>
      <c r="U79" s="143">
        <f>IF(T79=0,"",IF(R79=0,"",(T79/R79)-1))</f>
        <v>4.0000000000000036E-2</v>
      </c>
      <c r="V79" s="142">
        <f>+IF(T79&lt;0,0,T79*(1+'[14]Ind. Crecimiento'!$G$5))</f>
        <v>21.964252730958727</v>
      </c>
      <c r="W79" s="143">
        <f>IF(V79=0,"",IF(T79=0,"",(V79/T79)-1))</f>
        <v>4.0000000000000036E-2</v>
      </c>
    </row>
    <row r="80" spans="1:24" ht="14.25" outlineLevel="1">
      <c r="B80" s="117"/>
      <c r="C80" s="21">
        <v>4255050000</v>
      </c>
      <c r="D80" s="27" t="s">
        <v>594</v>
      </c>
      <c r="E80" s="142">
        <v>3.1819999999999999</v>
      </c>
      <c r="F80" s="149">
        <v>0</v>
      </c>
      <c r="G80" s="143" t="str">
        <f>IF(F80=0,"",IF(E80=0,"",(F80/E80)-1))</f>
        <v/>
      </c>
      <c r="H80" s="142">
        <v>0</v>
      </c>
      <c r="I80" s="143" t="str">
        <f>IF(H80=0,"",IF(F80=0,"",(H80/F80)-1))</f>
        <v/>
      </c>
      <c r="J80" s="142">
        <v>0</v>
      </c>
      <c r="K80" s="143" t="str">
        <f>IF(J80=0,"",IF(H80=0,"",(J80/H80)-1))</f>
        <v/>
      </c>
      <c r="L80" s="142">
        <v>0</v>
      </c>
      <c r="M80" s="143" t="str">
        <f>IF(L80=0,"",IF(J80=0,"",(L80/J80)-1))</f>
        <v/>
      </c>
      <c r="N80" s="142">
        <f>+IF(L80&lt;0,0,L80*(1+'[14]Ind. Crecimiento'!$C$5))</f>
        <v>0</v>
      </c>
      <c r="O80" s="143" t="str">
        <f>IF(N80=0,"",IF(L80=0,"",(N80/L80)-1))</f>
        <v/>
      </c>
      <c r="P80" s="142">
        <f>+IF(N80&lt;0,0,N80*(1+'[14]Ind. Crecimiento'!$D$5))</f>
        <v>0</v>
      </c>
      <c r="Q80" s="143" t="str">
        <f>IF(P80=0,"",IF(N80=0,"",(P80/N80)-1))</f>
        <v/>
      </c>
      <c r="R80" s="142">
        <f>+IF(P80&lt;0,0,P80*(1+'[14]Ind. Crecimiento'!$E$5))</f>
        <v>0</v>
      </c>
      <c r="S80" s="143" t="str">
        <f>IF(R80=0,"",IF(P80=0,"",(R80/P80)-1))</f>
        <v/>
      </c>
      <c r="T80" s="142">
        <f>+IF(R80&lt;0,0,R80*(1+'[14]Ind. Crecimiento'!$F$5))</f>
        <v>0</v>
      </c>
      <c r="U80" s="143" t="str">
        <f>IF(T80=0,"",IF(R80=0,"",(T80/R80)-1))</f>
        <v/>
      </c>
      <c r="V80" s="142">
        <f>+IF(T80&lt;0,0,T80*(1+'[14]Ind. Crecimiento'!$G$5))</f>
        <v>0</v>
      </c>
      <c r="W80" s="143" t="str">
        <f>IF(V80=0,"",IF(T80=0,"",(V80/T80)-1))</f>
        <v/>
      </c>
    </row>
    <row r="81" spans="1:23" ht="14.25" outlineLevel="1">
      <c r="B81" s="119"/>
      <c r="C81" s="21"/>
      <c r="D81" s="27" t="s">
        <v>334</v>
      </c>
      <c r="E81" s="147"/>
      <c r="F81" s="150"/>
      <c r="G81" s="148"/>
      <c r="H81" s="147"/>
      <c r="I81" s="148"/>
      <c r="J81" s="147"/>
      <c r="K81" s="148"/>
      <c r="L81" s="147"/>
      <c r="M81" s="148"/>
      <c r="N81" s="147"/>
      <c r="O81" s="148"/>
      <c r="P81" s="147"/>
      <c r="Q81" s="148"/>
      <c r="R81" s="147"/>
      <c r="S81" s="148"/>
      <c r="T81" s="147"/>
      <c r="U81" s="148"/>
      <c r="V81" s="147"/>
      <c r="W81" s="148"/>
    </row>
    <row r="82" spans="1:23" ht="14.25" outlineLevel="1">
      <c r="A82" s="17" t="s">
        <v>427</v>
      </c>
      <c r="B82" s="119">
        <v>4265010000</v>
      </c>
      <c r="C82" s="21">
        <v>4265010000</v>
      </c>
      <c r="D82" s="27" t="s">
        <v>335</v>
      </c>
      <c r="E82" s="142">
        <v>59.802</v>
      </c>
      <c r="F82" s="149">
        <v>196.88039999999998</v>
      </c>
      <c r="G82" s="143">
        <f t="shared" ref="G82:G87" si="46">IF(F82=0,"",IF(E82=0,"",(F82/E82)-1))</f>
        <v>2.2922042741045447</v>
      </c>
      <c r="H82" s="142">
        <v>128.959</v>
      </c>
      <c r="I82" s="143">
        <f t="shared" ref="I82:I87" si="47">IF(H82=0,"",IF(F82=0,"",(H82/F82)-1))</f>
        <v>-0.34498812477016494</v>
      </c>
      <c r="J82" s="142">
        <v>0</v>
      </c>
      <c r="K82" s="143" t="str">
        <f t="shared" ref="K82:K87" si="48">IF(J82=0,"",IF(H82=0,"",(J82/H82)-1))</f>
        <v/>
      </c>
      <c r="L82" s="142">
        <v>0</v>
      </c>
      <c r="M82" s="143" t="str">
        <f t="shared" ref="M82:M87" si="49">IF(L82=0,"",IF(J82=0,"",(L82/J82)-1))</f>
        <v/>
      </c>
      <c r="N82" s="142">
        <f>+IF(L82&lt;0,0,L82*(1+'[14]Ind. Crecimiento'!$C$5))</f>
        <v>0</v>
      </c>
      <c r="O82" s="143" t="str">
        <f t="shared" ref="O82:O87" si="50">IF(N82=0,"",IF(L82=0,"",(N82/L82)-1))</f>
        <v/>
      </c>
      <c r="P82" s="142">
        <f>+IF(N82&lt;0,0,N82*(1+'[14]Ind. Crecimiento'!$D$5))</f>
        <v>0</v>
      </c>
      <c r="Q82" s="143" t="str">
        <f t="shared" ref="Q82:Q87" si="51">IF(P82=0,"",IF(N82=0,"",(P82/N82)-1))</f>
        <v/>
      </c>
      <c r="R82" s="142">
        <f>+IF(P82&lt;0,0,P82*(1+'[14]Ind. Crecimiento'!$E$5))</f>
        <v>0</v>
      </c>
      <c r="S82" s="143" t="str">
        <f t="shared" ref="S82:S87" si="52">IF(R82=0,"",IF(P82=0,"",(R82/P82)-1))</f>
        <v/>
      </c>
      <c r="T82" s="142">
        <f>+IF(R82&lt;0,0,R82*(1+'[14]Ind. Crecimiento'!$F$5))</f>
        <v>0</v>
      </c>
      <c r="U82" s="143" t="str">
        <f t="shared" ref="U82:U87" si="53">IF(T82=0,"",IF(R82=0,"",(T82/R82)-1))</f>
        <v/>
      </c>
      <c r="V82" s="142">
        <f>+IF(T82&lt;0,0,T82*(1+'[14]Ind. Crecimiento'!$G$5))</f>
        <v>0</v>
      </c>
      <c r="W82" s="143" t="str">
        <f t="shared" ref="W82:W87" si="54">IF(V82=0,"",IF(T82=0,"",(V82/T82)-1))</f>
        <v/>
      </c>
    </row>
    <row r="83" spans="1:23" ht="14.25" outlineLevel="1">
      <c r="A83" s="17" t="s">
        <v>427</v>
      </c>
      <c r="B83" s="119">
        <v>4265020000</v>
      </c>
      <c r="C83" s="144">
        <f>+B83</f>
        <v>4265020000</v>
      </c>
      <c r="D83" s="27" t="s">
        <v>336</v>
      </c>
      <c r="E83" s="142">
        <v>0.12645000000000001</v>
      </c>
      <c r="F83" s="149">
        <v>2.3140000000000001</v>
      </c>
      <c r="G83" s="143">
        <f t="shared" si="46"/>
        <v>17.299723210755239</v>
      </c>
      <c r="H83" s="142">
        <v>0.35599999999999998</v>
      </c>
      <c r="I83" s="143">
        <f t="shared" si="47"/>
        <v>-0.84615384615384615</v>
      </c>
      <c r="J83" s="142">
        <v>0</v>
      </c>
      <c r="K83" s="143" t="str">
        <f t="shared" si="48"/>
        <v/>
      </c>
      <c r="L83" s="142">
        <v>0</v>
      </c>
      <c r="M83" s="143" t="str">
        <f t="shared" si="49"/>
        <v/>
      </c>
      <c r="N83" s="142">
        <f>+IF(L83&lt;0,0,L83*(1+'[14]Ind. Crecimiento'!$C$5))</f>
        <v>0</v>
      </c>
      <c r="O83" s="143" t="str">
        <f t="shared" si="50"/>
        <v/>
      </c>
      <c r="P83" s="142">
        <f>+IF(N83&lt;0,0,N83*(1+'[14]Ind. Crecimiento'!$D$5))</f>
        <v>0</v>
      </c>
      <c r="Q83" s="143" t="str">
        <f t="shared" si="51"/>
        <v/>
      </c>
      <c r="R83" s="142">
        <f>+IF(P83&lt;0,0,P83*(1+'[14]Ind. Crecimiento'!$E$5))</f>
        <v>0</v>
      </c>
      <c r="S83" s="143" t="str">
        <f t="shared" si="52"/>
        <v/>
      </c>
      <c r="T83" s="142">
        <f>+IF(R83&lt;0,0,R83*(1+'[14]Ind. Crecimiento'!$F$5))</f>
        <v>0</v>
      </c>
      <c r="U83" s="143" t="str">
        <f t="shared" si="53"/>
        <v/>
      </c>
      <c r="V83" s="142">
        <f>+IF(T83&lt;0,0,T83*(1+'[14]Ind. Crecimiento'!$G$5))</f>
        <v>0</v>
      </c>
      <c r="W83" s="143" t="str">
        <f t="shared" si="54"/>
        <v/>
      </c>
    </row>
    <row r="84" spans="1:23" ht="14.25" outlineLevel="1">
      <c r="A84" s="17" t="s">
        <v>427</v>
      </c>
      <c r="B84" s="119">
        <v>4265030000</v>
      </c>
      <c r="C84" s="144">
        <f>+B84</f>
        <v>4265030000</v>
      </c>
      <c r="D84" s="27" t="s">
        <v>337</v>
      </c>
      <c r="E84" s="142">
        <v>140.33199999999999</v>
      </c>
      <c r="F84" s="149">
        <v>2.8</v>
      </c>
      <c r="G84" s="143">
        <f t="shared" si="46"/>
        <v>-0.98004731636405096</v>
      </c>
      <c r="H84" s="142">
        <v>7.1260000000000003</v>
      </c>
      <c r="I84" s="143">
        <f t="shared" si="47"/>
        <v>1.5450000000000004</v>
      </c>
      <c r="J84" s="142">
        <v>0</v>
      </c>
      <c r="K84" s="143" t="str">
        <f t="shared" si="48"/>
        <v/>
      </c>
      <c r="L84" s="142">
        <v>0</v>
      </c>
      <c r="M84" s="143" t="str">
        <f t="shared" si="49"/>
        <v/>
      </c>
      <c r="N84" s="142">
        <f>+IF(L84&lt;0,0,L84*(1+'[14]Ind. Crecimiento'!$C$5))</f>
        <v>0</v>
      </c>
      <c r="O84" s="143" t="str">
        <f t="shared" si="50"/>
        <v/>
      </c>
      <c r="P84" s="142">
        <f>+IF(N84&lt;0,0,N84*(1+'[14]Ind. Crecimiento'!$D$5))</f>
        <v>0</v>
      </c>
      <c r="Q84" s="143" t="str">
        <f t="shared" si="51"/>
        <v/>
      </c>
      <c r="R84" s="142">
        <f>+IF(P84&lt;0,0,P84*(1+'[14]Ind. Crecimiento'!$E$5))</f>
        <v>0</v>
      </c>
      <c r="S84" s="143" t="str">
        <f t="shared" si="52"/>
        <v/>
      </c>
      <c r="T84" s="142">
        <f>+IF(R84&lt;0,0,R84*(1+'[14]Ind. Crecimiento'!$F$5))</f>
        <v>0</v>
      </c>
      <c r="U84" s="143" t="str">
        <f t="shared" si="53"/>
        <v/>
      </c>
      <c r="V84" s="142">
        <f>+IF(T84&lt;0,0,T84*(1+'[14]Ind. Crecimiento'!$G$5))</f>
        <v>0</v>
      </c>
      <c r="W84" s="143" t="str">
        <f t="shared" si="54"/>
        <v/>
      </c>
    </row>
    <row r="85" spans="1:23" ht="14.25" outlineLevel="1">
      <c r="B85" s="119"/>
      <c r="C85" s="21"/>
      <c r="D85" s="27" t="s">
        <v>338</v>
      </c>
      <c r="E85" s="142">
        <v>0</v>
      </c>
      <c r="F85" s="149">
        <v>0.08</v>
      </c>
      <c r="G85" s="143" t="str">
        <f t="shared" si="46"/>
        <v/>
      </c>
      <c r="H85" s="142">
        <v>33.030999999999999</v>
      </c>
      <c r="I85" s="143">
        <f t="shared" si="47"/>
        <v>411.88749999999999</v>
      </c>
      <c r="J85" s="142">
        <v>0</v>
      </c>
      <c r="K85" s="143" t="str">
        <f t="shared" si="48"/>
        <v/>
      </c>
      <c r="L85" s="142">
        <v>0</v>
      </c>
      <c r="M85" s="143" t="str">
        <f t="shared" si="49"/>
        <v/>
      </c>
      <c r="N85" s="142">
        <f>+IF(L85&lt;0,0,L85*(1+'[14]Ind. Crecimiento'!$C$5))</f>
        <v>0</v>
      </c>
      <c r="O85" s="143" t="str">
        <f t="shared" si="50"/>
        <v/>
      </c>
      <c r="P85" s="142">
        <f>+IF(N85&lt;0,0,N85*(1+'[14]Ind. Crecimiento'!$D$5))</f>
        <v>0</v>
      </c>
      <c r="Q85" s="143" t="str">
        <f t="shared" si="51"/>
        <v/>
      </c>
      <c r="R85" s="142">
        <f>+IF(P85&lt;0,0,P85*(1+'[14]Ind. Crecimiento'!$E$5))</f>
        <v>0</v>
      </c>
      <c r="S85" s="143" t="str">
        <f t="shared" si="52"/>
        <v/>
      </c>
      <c r="T85" s="142">
        <f>+IF(R85&lt;0,0,R85*(1+'[14]Ind. Crecimiento'!$F$5))</f>
        <v>0</v>
      </c>
      <c r="U85" s="143" t="str">
        <f t="shared" si="53"/>
        <v/>
      </c>
      <c r="V85" s="142">
        <f>+IF(T85&lt;0,0,T85*(1+'[14]Ind. Crecimiento'!$G$5))</f>
        <v>0</v>
      </c>
      <c r="W85" s="143" t="str">
        <f t="shared" si="54"/>
        <v/>
      </c>
    </row>
    <row r="86" spans="1:23" ht="14.25" outlineLevel="1">
      <c r="A86" s="17" t="s">
        <v>427</v>
      </c>
      <c r="B86" s="119">
        <v>4265070000</v>
      </c>
      <c r="C86" s="21">
        <v>4265070000</v>
      </c>
      <c r="D86" s="27" t="s">
        <v>339</v>
      </c>
      <c r="E86" s="142">
        <v>3.4119999999999999</v>
      </c>
      <c r="F86" s="149">
        <v>44.296999999999997</v>
      </c>
      <c r="G86" s="143">
        <f t="shared" si="46"/>
        <v>11.982708089097303</v>
      </c>
      <c r="H86" s="142">
        <v>122.46899999999999</v>
      </c>
      <c r="I86" s="143">
        <f t="shared" si="47"/>
        <v>1.7647244734406393</v>
      </c>
      <c r="J86" s="142">
        <v>0</v>
      </c>
      <c r="K86" s="143" t="str">
        <f t="shared" si="48"/>
        <v/>
      </c>
      <c r="L86" s="142">
        <v>0</v>
      </c>
      <c r="M86" s="143" t="str">
        <f t="shared" si="49"/>
        <v/>
      </c>
      <c r="N86" s="142">
        <f>+IF(L86&lt;0,0,L86*(1+'[14]Ind. Crecimiento'!$C$5))</f>
        <v>0</v>
      </c>
      <c r="O86" s="143" t="str">
        <f t="shared" si="50"/>
        <v/>
      </c>
      <c r="P86" s="142">
        <f>+IF(N86&lt;0,0,N86*(1+'[14]Ind. Crecimiento'!$D$5))</f>
        <v>0</v>
      </c>
      <c r="Q86" s="143" t="str">
        <f t="shared" si="51"/>
        <v/>
      </c>
      <c r="R86" s="142">
        <f>+IF(P86&lt;0,0,P86*(1+'[14]Ind. Crecimiento'!$E$5))</f>
        <v>0</v>
      </c>
      <c r="S86" s="143" t="str">
        <f t="shared" si="52"/>
        <v/>
      </c>
      <c r="T86" s="142">
        <f>+IF(R86&lt;0,0,R86*(1+'[14]Ind. Crecimiento'!$F$5))</f>
        <v>0</v>
      </c>
      <c r="U86" s="143" t="str">
        <f t="shared" si="53"/>
        <v/>
      </c>
      <c r="V86" s="142">
        <f>+IF(T86&lt;0,0,T86*(1+'[14]Ind. Crecimiento'!$G$5))</f>
        <v>0</v>
      </c>
      <c r="W86" s="143" t="str">
        <f t="shared" si="54"/>
        <v/>
      </c>
    </row>
    <row r="87" spans="1:23" ht="14.25" outlineLevel="1">
      <c r="B87" s="117"/>
      <c r="C87" s="21"/>
      <c r="D87" s="27" t="s">
        <v>340</v>
      </c>
      <c r="E87" s="142">
        <v>0</v>
      </c>
      <c r="F87" s="149">
        <v>9.0510000000000002</v>
      </c>
      <c r="G87" s="143" t="str">
        <f t="shared" si="46"/>
        <v/>
      </c>
      <c r="H87" s="142">
        <v>0</v>
      </c>
      <c r="I87" s="143" t="str">
        <f t="shared" si="47"/>
        <v/>
      </c>
      <c r="J87" s="142">
        <v>0</v>
      </c>
      <c r="K87" s="143" t="str">
        <f t="shared" si="48"/>
        <v/>
      </c>
      <c r="L87" s="142">
        <v>0</v>
      </c>
      <c r="M87" s="143" t="str">
        <f t="shared" si="49"/>
        <v/>
      </c>
      <c r="N87" s="142">
        <f>+IF(L87&lt;0,0,L87*(1+'[14]Ind. Crecimiento'!$C$5))</f>
        <v>0</v>
      </c>
      <c r="O87" s="143" t="str">
        <f t="shared" si="50"/>
        <v/>
      </c>
      <c r="P87" s="142">
        <f>+IF(N87&lt;0,0,N87*(1+'[14]Ind. Crecimiento'!$D$5))</f>
        <v>0</v>
      </c>
      <c r="Q87" s="143" t="str">
        <f t="shared" si="51"/>
        <v/>
      </c>
      <c r="R87" s="142">
        <f>+IF(P87&lt;0,0,P87*(1+'[14]Ind. Crecimiento'!$E$5))</f>
        <v>0</v>
      </c>
      <c r="S87" s="143" t="str">
        <f t="shared" si="52"/>
        <v/>
      </c>
      <c r="T87" s="142">
        <f>+IF(R87&lt;0,0,R87*(1+'[14]Ind. Crecimiento'!$F$5))</f>
        <v>0</v>
      </c>
      <c r="U87" s="143" t="str">
        <f t="shared" si="53"/>
        <v/>
      </c>
      <c r="V87" s="142">
        <f>+IF(T87&lt;0,0,T87*(1+'[14]Ind. Crecimiento'!$G$5))</f>
        <v>0</v>
      </c>
      <c r="W87" s="143" t="str">
        <f t="shared" si="54"/>
        <v/>
      </c>
    </row>
    <row r="88" spans="1:23" ht="14.25" outlineLevel="1">
      <c r="A88" s="17" t="s">
        <v>427</v>
      </c>
      <c r="B88" s="119">
        <v>4265950900</v>
      </c>
      <c r="C88" s="21">
        <v>4265950900</v>
      </c>
      <c r="D88" s="27" t="s">
        <v>341</v>
      </c>
      <c r="E88" s="142">
        <v>0</v>
      </c>
      <c r="F88" s="149">
        <v>0</v>
      </c>
      <c r="G88" s="143"/>
      <c r="H88" s="142">
        <v>7.8659999999999997</v>
      </c>
      <c r="I88" s="143"/>
      <c r="J88" s="142">
        <v>0</v>
      </c>
      <c r="K88" s="143"/>
      <c r="L88" s="142">
        <v>0</v>
      </c>
      <c r="M88" s="143"/>
      <c r="N88" s="142">
        <f>+IF(L88&lt;0,0,L88*(1+'[14]Ind. Crecimiento'!$C$5))</f>
        <v>0</v>
      </c>
      <c r="O88" s="143"/>
      <c r="P88" s="142">
        <f>+IF(N88&lt;0,0,N88*(1+'[14]Ind. Crecimiento'!$D$5))</f>
        <v>0</v>
      </c>
      <c r="Q88" s="143"/>
      <c r="R88" s="142">
        <f>+IF(P88&lt;0,0,P88*(1+'[14]Ind. Crecimiento'!$E$5))</f>
        <v>0</v>
      </c>
      <c r="S88" s="143"/>
      <c r="T88" s="142">
        <f>+IF(R88&lt;0,0,R88*(1+'[14]Ind. Crecimiento'!$F$5))</f>
        <v>0</v>
      </c>
      <c r="U88" s="143"/>
      <c r="V88" s="142">
        <f>+IF(T88&lt;0,0,T88*(1+'[14]Ind. Crecimiento'!$G$5))</f>
        <v>0</v>
      </c>
      <c r="W88" s="143"/>
    </row>
    <row r="89" spans="1:23" ht="14.25" outlineLevel="1">
      <c r="A89" s="17" t="s">
        <v>427</v>
      </c>
      <c r="B89" s="119">
        <v>4265955000</v>
      </c>
      <c r="C89" s="21">
        <v>4265955000</v>
      </c>
      <c r="D89" s="27" t="s">
        <v>342</v>
      </c>
      <c r="E89" s="142">
        <v>0</v>
      </c>
      <c r="F89" s="149">
        <v>0</v>
      </c>
      <c r="G89" s="143"/>
      <c r="H89" s="142">
        <v>0.503</v>
      </c>
      <c r="I89" s="143"/>
      <c r="J89" s="142">
        <v>0</v>
      </c>
      <c r="K89" s="143"/>
      <c r="L89" s="142">
        <v>0</v>
      </c>
      <c r="M89" s="143"/>
      <c r="N89" s="142">
        <f>+IF(L89&lt;0,0,L89*(1+'[14]Ind. Crecimiento'!$C$5))</f>
        <v>0</v>
      </c>
      <c r="O89" s="143"/>
      <c r="P89" s="142">
        <f>+IF(N89&lt;0,0,N89*(1+'[14]Ind. Crecimiento'!$D$5))</f>
        <v>0</v>
      </c>
      <c r="Q89" s="143"/>
      <c r="R89" s="142">
        <f>+IF(P89&lt;0,0,P89*(1+'[14]Ind. Crecimiento'!$E$5))</f>
        <v>0</v>
      </c>
      <c r="S89" s="143"/>
      <c r="T89" s="142">
        <f>+IF(R89&lt;0,0,R89*(1+'[14]Ind. Crecimiento'!$F$5))</f>
        <v>0</v>
      </c>
      <c r="U89" s="143"/>
      <c r="V89" s="142">
        <f>+IF(T89&lt;0,0,T89*(1+'[14]Ind. Crecimiento'!$G$5))</f>
        <v>0</v>
      </c>
      <c r="W89" s="143"/>
    </row>
    <row r="90" spans="1:23" ht="14.25" outlineLevel="1">
      <c r="B90" s="119"/>
      <c r="C90" s="21"/>
      <c r="D90" s="27" t="s">
        <v>342</v>
      </c>
      <c r="E90" s="142">
        <v>0</v>
      </c>
      <c r="F90" s="149">
        <v>88.28</v>
      </c>
      <c r="G90" s="143" t="str">
        <f>IF(F90=0,"",IF(E90=0,"",(F90/E90)-1))</f>
        <v/>
      </c>
      <c r="H90" s="142">
        <v>0</v>
      </c>
      <c r="I90" s="143" t="str">
        <f>IF(H90=0,"",IF(F90=0,"",(H90/F90)-1))</f>
        <v/>
      </c>
      <c r="J90" s="142">
        <v>0</v>
      </c>
      <c r="K90" s="143" t="str">
        <f>IF(J90=0,"",IF(H90=0,"",(J90/H90)-1))</f>
        <v/>
      </c>
      <c r="L90" s="142">
        <v>0</v>
      </c>
      <c r="M90" s="143" t="str">
        <f>IF(L90=0,"",IF(J90=0,"",(L90/J90)-1))</f>
        <v/>
      </c>
      <c r="N90" s="142">
        <f>+IF(L90&lt;0,0,L90*(1+'[14]Ind. Crecimiento'!$C$5))</f>
        <v>0</v>
      </c>
      <c r="O90" s="143" t="str">
        <f>IF(N90=0,"",IF(L90=0,"",(N90/L90)-1))</f>
        <v/>
      </c>
      <c r="P90" s="142">
        <f>+IF(N90&lt;0,0,N90*(1+'[14]Ind. Crecimiento'!$D$5))</f>
        <v>0</v>
      </c>
      <c r="Q90" s="143" t="str">
        <f>IF(P90=0,"",IF(N90=0,"",(P90/N90)-1))</f>
        <v/>
      </c>
      <c r="R90" s="142">
        <f>+IF(P90&lt;0,0,P90*(1+'[14]Ind. Crecimiento'!$E$5))</f>
        <v>0</v>
      </c>
      <c r="S90" s="143" t="str">
        <f>IF(R90=0,"",IF(P90=0,"",(R90/P90)-1))</f>
        <v/>
      </c>
      <c r="T90" s="142">
        <f>+IF(R90&lt;0,0,R90*(1+'[14]Ind. Crecimiento'!$F$5))</f>
        <v>0</v>
      </c>
      <c r="U90" s="143" t="str">
        <f>IF(T90=0,"",IF(R90=0,"",(T90/R90)-1))</f>
        <v/>
      </c>
      <c r="V90" s="142">
        <f>+IF(T90&lt;0,0,T90*(1+'[14]Ind. Crecimiento'!$G$5))</f>
        <v>0</v>
      </c>
      <c r="W90" s="143" t="str">
        <f>IF(V90=0,"",IF(T90=0,"",(V90/T90)-1))</f>
        <v/>
      </c>
    </row>
    <row r="91" spans="1:23" ht="14.25" outlineLevel="1">
      <c r="B91" s="119"/>
      <c r="C91" s="21"/>
      <c r="D91" s="33" t="s">
        <v>343</v>
      </c>
      <c r="E91" s="147"/>
      <c r="F91" s="150"/>
      <c r="G91" s="148"/>
      <c r="H91" s="147"/>
      <c r="I91" s="148"/>
      <c r="J91" s="147"/>
      <c r="K91" s="148"/>
      <c r="L91" s="147"/>
      <c r="M91" s="148"/>
      <c r="N91" s="147"/>
      <c r="O91" s="148"/>
      <c r="P91" s="147"/>
      <c r="Q91" s="148"/>
      <c r="R91" s="147"/>
      <c r="S91" s="148"/>
      <c r="T91" s="147"/>
      <c r="U91" s="148"/>
      <c r="V91" s="147"/>
      <c r="W91" s="148"/>
    </row>
    <row r="92" spans="1:23" ht="14.25" outlineLevel="1">
      <c r="A92" s="17" t="s">
        <v>427</v>
      </c>
      <c r="B92" s="119">
        <v>4295050000</v>
      </c>
      <c r="C92" s="21">
        <v>4295050000</v>
      </c>
      <c r="D92" s="27" t="s">
        <v>344</v>
      </c>
      <c r="E92" s="142">
        <v>5.8079999999999998</v>
      </c>
      <c r="F92" s="149">
        <v>83.7</v>
      </c>
      <c r="G92" s="143">
        <f t="shared" ref="G92:G101" si="55">IF(F92=0,"",IF(E92=0,"",(F92/E92)-1))</f>
        <v>13.41115702479339</v>
      </c>
      <c r="H92" s="142">
        <v>206.84229300000001</v>
      </c>
      <c r="I92" s="143">
        <f t="shared" ref="I92:I101" si="56">IF(H92=0,"",IF(F92=0,"",(H92/F92)-1))</f>
        <v>1.4712340860215054</v>
      </c>
      <c r="J92" s="142">
        <v>105.895</v>
      </c>
      <c r="K92" s="143">
        <f t="shared" ref="K92:K101" si="57">IF(J92=0,"",IF(H92=0,"",(J92/H92)-1))</f>
        <v>-0.48803990487574034</v>
      </c>
      <c r="L92" s="142">
        <v>110.169</v>
      </c>
      <c r="M92" s="143">
        <f t="shared" ref="M92:M101" si="58">IF(L92=0,"",IF(J92=0,"",(L92/J92)-1))</f>
        <v>4.0360734690023214E-2</v>
      </c>
      <c r="N92" s="142">
        <f>+IF(L92&lt;0,0,L92*(1+'[14]Ind. Crecimiento'!$C$5))</f>
        <v>117.88083</v>
      </c>
      <c r="O92" s="143">
        <f t="shared" ref="O92:O101" si="59">IF(N92=0,"",IF(L92=0,"",(N92/L92)-1))</f>
        <v>7.0000000000000062E-2</v>
      </c>
      <c r="P92" s="142">
        <f>+IF(N92&lt;0,0,N92*(1+'[14]Ind. Crecimiento'!$D$5))</f>
        <v>123.7748715</v>
      </c>
      <c r="Q92" s="143">
        <f t="shared" ref="Q92:Q101" si="60">IF(P92=0,"",IF(N92=0,"",(P92/N92)-1))</f>
        <v>5.0000000000000044E-2</v>
      </c>
      <c r="R92" s="142">
        <f>+IF(P92&lt;0,0,P92*(1+'[14]Ind. Crecimiento'!$E$5))</f>
        <v>128.72586636</v>
      </c>
      <c r="S92" s="143">
        <f t="shared" ref="S92:S101" si="61">IF(R92=0,"",IF(P92=0,"",(R92/P92)-1))</f>
        <v>4.0000000000000036E-2</v>
      </c>
      <c r="T92" s="142">
        <f>+IF(R92&lt;0,0,R92*(1+'[14]Ind. Crecimiento'!$F$5))</f>
        <v>133.8749010144</v>
      </c>
      <c r="U92" s="143">
        <f t="shared" ref="U92:U101" si="62">IF(T92=0,"",IF(R92=0,"",(T92/R92)-1))</f>
        <v>4.0000000000000036E-2</v>
      </c>
      <c r="V92" s="142">
        <f>+IF(T92&lt;0,0,T92*(1+'[14]Ind. Crecimiento'!$G$5))</f>
        <v>139.22989705497599</v>
      </c>
      <c r="W92" s="143">
        <f t="shared" ref="W92:W101" si="63">IF(V92=0,"",IF(T92=0,"",(V92/T92)-1))</f>
        <v>4.0000000000000036E-2</v>
      </c>
    </row>
    <row r="93" spans="1:23" ht="14.25" outlineLevel="1">
      <c r="A93" s="17" t="s">
        <v>427</v>
      </c>
      <c r="B93" s="117">
        <v>4295070000</v>
      </c>
      <c r="C93" s="21">
        <v>4295050000</v>
      </c>
      <c r="D93" s="27" t="s">
        <v>145</v>
      </c>
      <c r="E93" s="142">
        <v>0</v>
      </c>
      <c r="F93" s="149">
        <v>0</v>
      </c>
      <c r="G93" s="143" t="str">
        <f t="shared" si="55"/>
        <v/>
      </c>
      <c r="H93" s="142">
        <v>25.864000000000001</v>
      </c>
      <c r="I93" s="143" t="str">
        <f t="shared" si="56"/>
        <v/>
      </c>
      <c r="J93" s="142">
        <v>9.8629999999999995</v>
      </c>
      <c r="K93" s="143">
        <f t="shared" si="57"/>
        <v>-0.61865914011753786</v>
      </c>
      <c r="L93" s="142">
        <v>10.232299999999999</v>
      </c>
      <c r="M93" s="143">
        <f t="shared" si="58"/>
        <v>3.7442968670789778E-2</v>
      </c>
      <c r="N93" s="142">
        <f>+IF(L93&lt;0,0,L93*(1+'[14]Ind. Crecimiento'!$C$5))</f>
        <v>10.948561</v>
      </c>
      <c r="O93" s="143">
        <f t="shared" si="59"/>
        <v>7.0000000000000062E-2</v>
      </c>
      <c r="P93" s="142">
        <f>+IF(N93&lt;0,0,N93*(1+'[14]Ind. Crecimiento'!$D$5))</f>
        <v>11.49598905</v>
      </c>
      <c r="Q93" s="143">
        <f t="shared" si="60"/>
        <v>5.0000000000000044E-2</v>
      </c>
      <c r="R93" s="142">
        <f>+IF(P93&lt;0,0,P93*(1+'[14]Ind. Crecimiento'!$E$5))</f>
        <v>11.955828612000001</v>
      </c>
      <c r="S93" s="143">
        <f t="shared" si="61"/>
        <v>4.0000000000000036E-2</v>
      </c>
      <c r="T93" s="142">
        <f>+IF(R93&lt;0,0,R93*(1+'[14]Ind. Crecimiento'!$F$5))</f>
        <v>12.434061756480002</v>
      </c>
      <c r="U93" s="143">
        <f t="shared" si="62"/>
        <v>4.0000000000000036E-2</v>
      </c>
      <c r="V93" s="142">
        <f>+IF(T93&lt;0,0,T93*(1+'[14]Ind. Crecimiento'!$G$5))</f>
        <v>12.931424226739203</v>
      </c>
      <c r="W93" s="143">
        <f t="shared" si="63"/>
        <v>4.0000000000000036E-2</v>
      </c>
    </row>
    <row r="94" spans="1:23" ht="14.25" outlineLevel="1">
      <c r="A94" s="17" t="s">
        <v>425</v>
      </c>
      <c r="B94" s="119">
        <v>4295090600</v>
      </c>
      <c r="C94" s="21">
        <v>4295090600</v>
      </c>
      <c r="D94" s="27" t="s">
        <v>345</v>
      </c>
      <c r="E94" s="142">
        <v>15.523</v>
      </c>
      <c r="F94" s="149">
        <v>13.256</v>
      </c>
      <c r="G94" s="143">
        <f t="shared" si="55"/>
        <v>-0.14604135798492557</v>
      </c>
      <c r="H94" s="142">
        <v>68.897000000000006</v>
      </c>
      <c r="I94" s="143">
        <f t="shared" si="56"/>
        <v>4.1974200362100182</v>
      </c>
      <c r="J94" s="142">
        <v>103.643</v>
      </c>
      <c r="K94" s="143">
        <f t="shared" si="57"/>
        <v>0.50431803997271274</v>
      </c>
      <c r="L94" s="142">
        <v>135</v>
      </c>
      <c r="M94" s="143">
        <f t="shared" si="58"/>
        <v>0.30254817016103353</v>
      </c>
      <c r="N94" s="142">
        <f>+IF(L94&lt;0,0,L94*(1+'[14]Ind. Crecimiento'!$C$5))</f>
        <v>144.45000000000002</v>
      </c>
      <c r="O94" s="143">
        <f t="shared" si="59"/>
        <v>7.0000000000000062E-2</v>
      </c>
      <c r="P94" s="142">
        <f>+IF(N94&lt;0,0,N94*(1+'[14]Ind. Crecimiento'!$D$5))</f>
        <v>151.67250000000001</v>
      </c>
      <c r="Q94" s="143">
        <f t="shared" si="60"/>
        <v>5.0000000000000044E-2</v>
      </c>
      <c r="R94" s="142">
        <f>+IF(P94&lt;0,0,P94*(1+'[14]Ind. Crecimiento'!$E$5))</f>
        <v>157.73940000000002</v>
      </c>
      <c r="S94" s="143">
        <f t="shared" si="61"/>
        <v>4.0000000000000036E-2</v>
      </c>
      <c r="T94" s="142">
        <f>+IF(R94&lt;0,0,R94*(1+'[14]Ind. Crecimiento'!$F$5))</f>
        <v>164.04897600000001</v>
      </c>
      <c r="U94" s="143">
        <f t="shared" si="62"/>
        <v>4.0000000000000036E-2</v>
      </c>
      <c r="V94" s="142">
        <f>+IF(T94&lt;0,0,T94*(1+'[14]Ind. Crecimiento'!$G$5))</f>
        <v>170.61093504000002</v>
      </c>
      <c r="W94" s="143">
        <f t="shared" si="63"/>
        <v>4.0000000000000036E-2</v>
      </c>
    </row>
    <row r="95" spans="1:23" ht="14.25" outlineLevel="1">
      <c r="B95" s="117"/>
      <c r="C95" s="21"/>
      <c r="D95" s="27" t="s">
        <v>595</v>
      </c>
      <c r="E95" s="142">
        <v>0</v>
      </c>
      <c r="F95" s="149">
        <v>35.673000000000002</v>
      </c>
      <c r="G95" s="143" t="str">
        <f t="shared" si="55"/>
        <v/>
      </c>
      <c r="H95" s="142">
        <v>0</v>
      </c>
      <c r="I95" s="143" t="str">
        <f t="shared" si="56"/>
        <v/>
      </c>
      <c r="J95" s="142">
        <v>0</v>
      </c>
      <c r="K95" s="143" t="str">
        <f t="shared" si="57"/>
        <v/>
      </c>
      <c r="L95" s="142">
        <v>0</v>
      </c>
      <c r="M95" s="143" t="str">
        <f t="shared" si="58"/>
        <v/>
      </c>
      <c r="N95" s="142">
        <f>+IF(L95&lt;0,0,L95*(1+'[14]Ind. Crecimiento'!$C$5))</f>
        <v>0</v>
      </c>
      <c r="O95" s="143" t="str">
        <f t="shared" si="59"/>
        <v/>
      </c>
      <c r="P95" s="142">
        <f>+IF(N95&lt;0,0,N95*(1+'[14]Ind. Crecimiento'!$D$5))</f>
        <v>0</v>
      </c>
      <c r="Q95" s="143" t="str">
        <f t="shared" si="60"/>
        <v/>
      </c>
      <c r="R95" s="142">
        <f>+IF(P95&lt;0,0,P95*(1+'[14]Ind. Crecimiento'!$E$5))</f>
        <v>0</v>
      </c>
      <c r="S95" s="143" t="str">
        <f t="shared" si="61"/>
        <v/>
      </c>
      <c r="T95" s="142">
        <f>+IF(R95&lt;0,0,R95*(1+'[14]Ind. Crecimiento'!$F$5))</f>
        <v>0</v>
      </c>
      <c r="U95" s="143" t="str">
        <f t="shared" si="62"/>
        <v/>
      </c>
      <c r="V95" s="142">
        <f>+IF(T95&lt;0,0,T95*(1+'[14]Ind. Crecimiento'!$G$5))</f>
        <v>0</v>
      </c>
      <c r="W95" s="143" t="str">
        <f t="shared" si="63"/>
        <v/>
      </c>
    </row>
    <row r="96" spans="1:23" ht="14.25" outlineLevel="1">
      <c r="A96" s="17" t="s">
        <v>425</v>
      </c>
      <c r="B96" s="119">
        <v>4295110000</v>
      </c>
      <c r="C96" s="21">
        <v>4295110000</v>
      </c>
      <c r="D96" s="27" t="s">
        <v>346</v>
      </c>
      <c r="E96" s="142">
        <v>271.11099999999999</v>
      </c>
      <c r="F96" s="149">
        <v>234.93199999999999</v>
      </c>
      <c r="G96" s="143">
        <f t="shared" si="55"/>
        <v>-0.13344718583901061</v>
      </c>
      <c r="H96" s="142">
        <v>140.24600000000001</v>
      </c>
      <c r="I96" s="143">
        <f t="shared" si="56"/>
        <v>-0.40303577205318974</v>
      </c>
      <c r="J96" s="142">
        <v>43</v>
      </c>
      <c r="K96" s="143">
        <f t="shared" si="57"/>
        <v>-0.69339589007886149</v>
      </c>
      <c r="L96" s="142">
        <v>59.26</v>
      </c>
      <c r="M96" s="143">
        <f t="shared" si="58"/>
        <v>0.37813953488372087</v>
      </c>
      <c r="N96" s="142">
        <f>+IF(L96&lt;0,0,L96*(1+'[14]Ind. Crecimiento'!$C$5))</f>
        <v>63.408200000000001</v>
      </c>
      <c r="O96" s="143">
        <f t="shared" si="59"/>
        <v>7.0000000000000062E-2</v>
      </c>
      <c r="P96" s="142">
        <f>+IF(N96&lt;0,0,N96*(1+'[14]Ind. Crecimiento'!$D$5))</f>
        <v>66.578609999999998</v>
      </c>
      <c r="Q96" s="143">
        <f t="shared" si="60"/>
        <v>5.0000000000000044E-2</v>
      </c>
      <c r="R96" s="142">
        <f>+IF(P96&lt;0,0,P96*(1+'[14]Ind. Crecimiento'!$E$5))</f>
        <v>69.241754400000005</v>
      </c>
      <c r="S96" s="143">
        <f t="shared" si="61"/>
        <v>4.0000000000000036E-2</v>
      </c>
      <c r="T96" s="142">
        <f>+IF(R96&lt;0,0,R96*(1+'[14]Ind. Crecimiento'!$F$5))</f>
        <v>72.01142457600001</v>
      </c>
      <c r="U96" s="143">
        <f t="shared" si="62"/>
        <v>4.0000000000000036E-2</v>
      </c>
      <c r="V96" s="142">
        <f>+IF(T96&lt;0,0,T96*(1+'[14]Ind. Crecimiento'!$G$5))</f>
        <v>74.891881559040016</v>
      </c>
      <c r="W96" s="143">
        <f t="shared" si="63"/>
        <v>4.0000000000000036E-2</v>
      </c>
    </row>
    <row r="97" spans="1:23" ht="14.25" outlineLevel="1">
      <c r="B97" s="119">
        <v>4295250000</v>
      </c>
      <c r="C97" s="144">
        <v>4295250000</v>
      </c>
      <c r="D97" s="27" t="s">
        <v>596</v>
      </c>
      <c r="E97" s="142">
        <v>199.08</v>
      </c>
      <c r="F97" s="149">
        <v>0</v>
      </c>
      <c r="G97" s="143" t="str">
        <f t="shared" si="55"/>
        <v/>
      </c>
      <c r="H97" s="142">
        <v>0</v>
      </c>
      <c r="I97" s="143" t="str">
        <f t="shared" si="56"/>
        <v/>
      </c>
      <c r="J97" s="142">
        <v>0</v>
      </c>
      <c r="K97" s="143" t="str">
        <f t="shared" si="57"/>
        <v/>
      </c>
      <c r="L97" s="142">
        <v>0</v>
      </c>
      <c r="M97" s="143" t="str">
        <f t="shared" si="58"/>
        <v/>
      </c>
      <c r="N97" s="142">
        <f>+IF(L97&lt;0,0,L97*(1+'[14]Ind. Crecimiento'!$C$5))</f>
        <v>0</v>
      </c>
      <c r="O97" s="143" t="str">
        <f t="shared" si="59"/>
        <v/>
      </c>
      <c r="P97" s="142">
        <f>+IF(N97&lt;0,0,N97*(1+'[14]Ind. Crecimiento'!$D$5))</f>
        <v>0</v>
      </c>
      <c r="Q97" s="143" t="str">
        <f t="shared" si="60"/>
        <v/>
      </c>
      <c r="R97" s="142">
        <f>+IF(P97&lt;0,0,P97*(1+'[14]Ind. Crecimiento'!$E$5))</f>
        <v>0</v>
      </c>
      <c r="S97" s="143" t="str">
        <f t="shared" si="61"/>
        <v/>
      </c>
      <c r="T97" s="142">
        <f>+IF(R97&lt;0,0,R97*(1+'[14]Ind. Crecimiento'!$F$5))</f>
        <v>0</v>
      </c>
      <c r="U97" s="143" t="str">
        <f t="shared" si="62"/>
        <v/>
      </c>
      <c r="V97" s="142">
        <f>+IF(T97&lt;0,0,T97*(1+'[14]Ind. Crecimiento'!$G$5))</f>
        <v>0</v>
      </c>
      <c r="W97" s="143" t="str">
        <f t="shared" si="63"/>
        <v/>
      </c>
    </row>
    <row r="98" spans="1:23" ht="14.25" outlineLevel="1">
      <c r="B98" s="119">
        <v>4295330000</v>
      </c>
      <c r="C98" s="144">
        <v>4295330000</v>
      </c>
      <c r="D98" s="27" t="s">
        <v>597</v>
      </c>
      <c r="E98" s="142">
        <v>10.161897000000002</v>
      </c>
      <c r="F98" s="149">
        <v>0</v>
      </c>
      <c r="G98" s="143" t="str">
        <f t="shared" si="55"/>
        <v/>
      </c>
      <c r="H98" s="142">
        <v>0</v>
      </c>
      <c r="I98" s="143" t="str">
        <f t="shared" si="56"/>
        <v/>
      </c>
      <c r="J98" s="142">
        <v>0</v>
      </c>
      <c r="K98" s="143" t="str">
        <f t="shared" si="57"/>
        <v/>
      </c>
      <c r="L98" s="142">
        <v>0</v>
      </c>
      <c r="M98" s="143" t="str">
        <f t="shared" si="58"/>
        <v/>
      </c>
      <c r="N98" s="142">
        <f>+IF(L98&lt;0,0,L98*(1+'[14]Ind. Crecimiento'!$C$5))</f>
        <v>0</v>
      </c>
      <c r="O98" s="143" t="str">
        <f t="shared" si="59"/>
        <v/>
      </c>
      <c r="P98" s="142">
        <f>+IF(N98&lt;0,0,N98*(1+'[14]Ind. Crecimiento'!$D$5))</f>
        <v>0</v>
      </c>
      <c r="Q98" s="143" t="str">
        <f t="shared" si="60"/>
        <v/>
      </c>
      <c r="R98" s="142">
        <f>+IF(P98&lt;0,0,P98*(1+'[14]Ind. Crecimiento'!$E$5))</f>
        <v>0</v>
      </c>
      <c r="S98" s="143" t="str">
        <f t="shared" si="61"/>
        <v/>
      </c>
      <c r="T98" s="142">
        <f>+IF(R98&lt;0,0,R98*(1+'[14]Ind. Crecimiento'!$F$5))</f>
        <v>0</v>
      </c>
      <c r="U98" s="143" t="str">
        <f t="shared" si="62"/>
        <v/>
      </c>
      <c r="V98" s="142">
        <f>+IF(T98&lt;0,0,T98*(1+'[14]Ind. Crecimiento'!$G$5))</f>
        <v>0</v>
      </c>
      <c r="W98" s="143" t="str">
        <f t="shared" si="63"/>
        <v/>
      </c>
    </row>
    <row r="99" spans="1:23" ht="14.25" outlineLevel="1">
      <c r="B99" s="119">
        <v>4295450100</v>
      </c>
      <c r="C99" s="144">
        <v>4295450100</v>
      </c>
      <c r="D99" s="27" t="s">
        <v>598</v>
      </c>
      <c r="E99" s="142">
        <v>21.032</v>
      </c>
      <c r="F99" s="149">
        <v>0</v>
      </c>
      <c r="G99" s="143" t="str">
        <f t="shared" si="55"/>
        <v/>
      </c>
      <c r="H99" s="142">
        <v>0</v>
      </c>
      <c r="I99" s="143" t="str">
        <f t="shared" si="56"/>
        <v/>
      </c>
      <c r="J99" s="142">
        <v>0</v>
      </c>
      <c r="K99" s="143" t="str">
        <f t="shared" si="57"/>
        <v/>
      </c>
      <c r="L99" s="142">
        <v>0</v>
      </c>
      <c r="M99" s="143" t="str">
        <f t="shared" si="58"/>
        <v/>
      </c>
      <c r="N99" s="142">
        <f>+IF(L99&lt;0,0,L99*(1+'[14]Ind. Crecimiento'!$C$5))</f>
        <v>0</v>
      </c>
      <c r="O99" s="143" t="str">
        <f t="shared" si="59"/>
        <v/>
      </c>
      <c r="P99" s="142">
        <f>+IF(N99&lt;0,0,N99*(1+'[14]Ind. Crecimiento'!$D$5))</f>
        <v>0</v>
      </c>
      <c r="Q99" s="143" t="str">
        <f t="shared" si="60"/>
        <v/>
      </c>
      <c r="R99" s="142">
        <f>+IF(P99&lt;0,0,P99*(1+'[14]Ind. Crecimiento'!$E$5))</f>
        <v>0</v>
      </c>
      <c r="S99" s="143" t="str">
        <f t="shared" si="61"/>
        <v/>
      </c>
      <c r="T99" s="142">
        <f>+IF(R99&lt;0,0,R99*(1+'[14]Ind. Crecimiento'!$F$5))</f>
        <v>0</v>
      </c>
      <c r="U99" s="143" t="str">
        <f t="shared" si="62"/>
        <v/>
      </c>
      <c r="V99" s="142">
        <f>+IF(T99&lt;0,0,T99*(1+'[14]Ind. Crecimiento'!$G$5))</f>
        <v>0</v>
      </c>
      <c r="W99" s="143" t="str">
        <f t="shared" si="63"/>
        <v/>
      </c>
    </row>
    <row r="100" spans="1:23" ht="14.25" outlineLevel="1">
      <c r="B100" s="119"/>
      <c r="C100" s="21"/>
      <c r="D100" s="27" t="s">
        <v>553</v>
      </c>
      <c r="E100" s="142">
        <v>0.48699999999999999</v>
      </c>
      <c r="F100" s="142">
        <v>0</v>
      </c>
      <c r="G100" s="143" t="str">
        <f t="shared" si="55"/>
        <v/>
      </c>
      <c r="H100" s="142">
        <v>0</v>
      </c>
      <c r="I100" s="143" t="str">
        <f t="shared" si="56"/>
        <v/>
      </c>
      <c r="J100" s="142">
        <v>0</v>
      </c>
      <c r="K100" s="143" t="str">
        <f t="shared" si="57"/>
        <v/>
      </c>
      <c r="L100" s="142">
        <v>0</v>
      </c>
      <c r="M100" s="143" t="str">
        <f t="shared" si="58"/>
        <v/>
      </c>
      <c r="N100" s="142">
        <f>+IF(L100&lt;0,0,L100*(1+'[14]Ind. Crecimiento'!$C$5))</f>
        <v>0</v>
      </c>
      <c r="O100" s="143" t="str">
        <f t="shared" si="59"/>
        <v/>
      </c>
      <c r="P100" s="142">
        <f>+IF(N100&lt;0,0,N100*(1+'[14]Ind. Crecimiento'!$D$5))</f>
        <v>0</v>
      </c>
      <c r="Q100" s="143" t="str">
        <f t="shared" si="60"/>
        <v/>
      </c>
      <c r="R100" s="142">
        <f>+IF(P100&lt;0,0,P100*(1+'[14]Ind. Crecimiento'!$E$5))</f>
        <v>0</v>
      </c>
      <c r="S100" s="143" t="str">
        <f t="shared" si="61"/>
        <v/>
      </c>
      <c r="T100" s="142">
        <f>+IF(R100&lt;0,0,R100*(1+'[14]Ind. Crecimiento'!$F$5))</f>
        <v>0</v>
      </c>
      <c r="U100" s="143" t="str">
        <f t="shared" si="62"/>
        <v/>
      </c>
      <c r="V100" s="142">
        <f>+IF(T100&lt;0,0,T100*(1+'[14]Ind. Crecimiento'!$G$5))</f>
        <v>0</v>
      </c>
      <c r="W100" s="143" t="str">
        <f t="shared" si="63"/>
        <v/>
      </c>
    </row>
    <row r="101" spans="1:23" ht="14.25" outlineLevel="1">
      <c r="B101" s="119">
        <v>4295490000</v>
      </c>
      <c r="C101" s="144">
        <v>4295490000</v>
      </c>
      <c r="D101" s="27" t="s">
        <v>599</v>
      </c>
      <c r="E101" s="142">
        <v>3.5698470000000002</v>
      </c>
      <c r="F101" s="142">
        <v>0</v>
      </c>
      <c r="G101" s="143" t="str">
        <f t="shared" si="55"/>
        <v/>
      </c>
      <c r="H101" s="142">
        <v>0</v>
      </c>
      <c r="I101" s="143" t="str">
        <f t="shared" si="56"/>
        <v/>
      </c>
      <c r="J101" s="142">
        <v>0</v>
      </c>
      <c r="K101" s="143" t="str">
        <f t="shared" si="57"/>
        <v/>
      </c>
      <c r="L101" s="142">
        <v>0</v>
      </c>
      <c r="M101" s="143" t="str">
        <f t="shared" si="58"/>
        <v/>
      </c>
      <c r="N101" s="142">
        <f>+IF(L101&lt;0,0,L101*(1+'[14]Ind. Crecimiento'!$C$5))</f>
        <v>0</v>
      </c>
      <c r="O101" s="143" t="str">
        <f t="shared" si="59"/>
        <v/>
      </c>
      <c r="P101" s="142">
        <f>+IF(N101&lt;0,0,N101*(1+'[14]Ind. Crecimiento'!$D$5))</f>
        <v>0</v>
      </c>
      <c r="Q101" s="143" t="str">
        <f t="shared" si="60"/>
        <v/>
      </c>
      <c r="R101" s="142">
        <f>+IF(P101&lt;0,0,P101*(1+'[14]Ind. Crecimiento'!$E$5))</f>
        <v>0</v>
      </c>
      <c r="S101" s="143" t="str">
        <f t="shared" si="61"/>
        <v/>
      </c>
      <c r="T101" s="142">
        <f>+IF(R101&lt;0,0,R101*(1+'[14]Ind. Crecimiento'!$F$5))</f>
        <v>0</v>
      </c>
      <c r="U101" s="143" t="str">
        <f t="shared" si="62"/>
        <v/>
      </c>
      <c r="V101" s="142">
        <f>+IF(T101&lt;0,0,T101*(1+'[14]Ind. Crecimiento'!$G$5))</f>
        <v>0</v>
      </c>
      <c r="W101" s="143" t="str">
        <f t="shared" si="63"/>
        <v/>
      </c>
    </row>
    <row r="102" spans="1:23" ht="14.25" outlineLevel="1">
      <c r="A102" s="17" t="s">
        <v>427</v>
      </c>
      <c r="B102" s="117">
        <v>4295510000</v>
      </c>
      <c r="C102" s="144">
        <v>4295510000</v>
      </c>
      <c r="D102" s="27" t="s">
        <v>347</v>
      </c>
      <c r="E102" s="142">
        <v>0</v>
      </c>
      <c r="F102" s="142">
        <v>0</v>
      </c>
      <c r="G102" s="143"/>
      <c r="H102" s="142">
        <v>0.08</v>
      </c>
      <c r="I102" s="143"/>
      <c r="J102" s="142">
        <v>0</v>
      </c>
      <c r="K102" s="143"/>
      <c r="L102" s="142">
        <v>0</v>
      </c>
      <c r="M102" s="143"/>
      <c r="N102" s="142">
        <f>+IF(L102&lt;0,0,L102*(1+'[14]Ind. Crecimiento'!$C$5))</f>
        <v>0</v>
      </c>
      <c r="O102" s="143"/>
      <c r="P102" s="142">
        <f>+IF(N102&lt;0,0,N102*(1+'[14]Ind. Crecimiento'!$D$5))</f>
        <v>0</v>
      </c>
      <c r="Q102" s="143"/>
      <c r="R102" s="142">
        <f>+IF(P102&lt;0,0,P102*(1+'[14]Ind. Crecimiento'!$E$5))</f>
        <v>0</v>
      </c>
      <c r="S102" s="143"/>
      <c r="T102" s="142">
        <f>+IF(R102&lt;0,0,R102*(1+'[14]Ind. Crecimiento'!$F$5))</f>
        <v>0</v>
      </c>
      <c r="U102" s="143"/>
      <c r="V102" s="142">
        <f>+IF(T102&lt;0,0,T102*(1+'[14]Ind. Crecimiento'!$G$5))</f>
        <v>0</v>
      </c>
      <c r="W102" s="143"/>
    </row>
    <row r="103" spans="1:23" ht="14.25" outlineLevel="1">
      <c r="A103" s="17" t="s">
        <v>427</v>
      </c>
      <c r="B103" s="119">
        <v>4295530000</v>
      </c>
      <c r="C103" s="144">
        <v>4295530000</v>
      </c>
      <c r="D103" s="27" t="s">
        <v>348</v>
      </c>
      <c r="E103" s="142">
        <v>2.4E-2</v>
      </c>
      <c r="F103" s="142">
        <v>0.124</v>
      </c>
      <c r="G103" s="143">
        <f>IF(F103=0,"",IF(E103=0,"",(F103/E103)-1))</f>
        <v>4.166666666666667</v>
      </c>
      <c r="H103" s="142">
        <v>0.17399999999999999</v>
      </c>
      <c r="I103" s="143">
        <f>IF(H103=0,"",IF(F103=0,"",(H103/F103)-1))</f>
        <v>0.40322580645161277</v>
      </c>
      <c r="J103" s="142">
        <v>0.246</v>
      </c>
      <c r="K103" s="143">
        <f>IF(J103=0,"",IF(H103=0,"",(J103/H103)-1))</f>
        <v>0.41379310344827602</v>
      </c>
      <c r="L103" s="142">
        <v>0</v>
      </c>
      <c r="M103" s="143" t="str">
        <f>IF(L103=0,"",IF(J103=0,"",(L103/J103)-1))</f>
        <v/>
      </c>
      <c r="N103" s="142">
        <f>+IF(L103&lt;0,0,L103*(1+'[14]Ind. Crecimiento'!$C$5))</f>
        <v>0</v>
      </c>
      <c r="O103" s="143" t="str">
        <f>IF(N103=0,"",IF(L103=0,"",(N103/L103)-1))</f>
        <v/>
      </c>
      <c r="P103" s="142">
        <f>+IF(N103&lt;0,0,N103*(1+'[14]Ind. Crecimiento'!$D$5))</f>
        <v>0</v>
      </c>
      <c r="Q103" s="143" t="str">
        <f>IF(P103=0,"",IF(N103=0,"",(P103/N103)-1))</f>
        <v/>
      </c>
      <c r="R103" s="142">
        <f>+IF(P103&lt;0,0,P103*(1+'[14]Ind. Crecimiento'!$E$5))</f>
        <v>0</v>
      </c>
      <c r="S103" s="143" t="str">
        <f>IF(R103=0,"",IF(P103=0,"",(R103/P103)-1))</f>
        <v/>
      </c>
      <c r="T103" s="142">
        <f>+IF(R103&lt;0,0,R103*(1+'[14]Ind. Crecimiento'!$F$5))</f>
        <v>0</v>
      </c>
      <c r="U103" s="143" t="str">
        <f>IF(T103=0,"",IF(R103=0,"",(T103/R103)-1))</f>
        <v/>
      </c>
      <c r="V103" s="142">
        <f>+IF(T103&lt;0,0,T103*(1+'[14]Ind. Crecimiento'!$G$5))</f>
        <v>0</v>
      </c>
      <c r="W103" s="143" t="str">
        <f>IF(V103=0,"",IF(T103=0,"",(V103/T103)-1))</f>
        <v/>
      </c>
    </row>
    <row r="104" spans="1:23" ht="14.25">
      <c r="B104" s="119"/>
      <c r="C104" s="34"/>
      <c r="D104" s="30" t="s">
        <v>349</v>
      </c>
      <c r="E104" s="36">
        <f t="shared" ref="E104:V104" si="64">SUM(E33:E103)</f>
        <v>8180.405166999999</v>
      </c>
      <c r="F104" s="36">
        <f t="shared" si="64"/>
        <v>9444.6174990000018</v>
      </c>
      <c r="G104" s="152">
        <f>IF(F104=0,"",IF(E104=0,"",(F104/E104)-1))</f>
        <v>0.154541530179932</v>
      </c>
      <c r="H104" s="36">
        <f t="shared" si="64"/>
        <v>9703.4337570000025</v>
      </c>
      <c r="I104" s="152">
        <f>IF(H104=0,"",IF(F104=0,"",(H104/F104)-1))</f>
        <v>2.7403572249210084E-2</v>
      </c>
      <c r="J104" s="36">
        <f t="shared" si="64"/>
        <v>11676.679992999998</v>
      </c>
      <c r="K104" s="152">
        <f>IF(J104=0,"",IF(H104=0,"",(J104/H104)-1))</f>
        <v>0.20335546007891336</v>
      </c>
      <c r="L104" s="36">
        <f t="shared" si="64"/>
        <v>14575.371334079997</v>
      </c>
      <c r="M104" s="152">
        <f>IF(L104=0,"",IF(J104=0,"",(L104/J104)-1))</f>
        <v>0.24824619179576057</v>
      </c>
      <c r="N104" s="36">
        <f t="shared" si="64"/>
        <v>15595.647327465596</v>
      </c>
      <c r="O104" s="152">
        <f>IF(N104=0,"",IF(L104=0,"",(N104/L104)-1))</f>
        <v>7.0000000000000062E-2</v>
      </c>
      <c r="P104" s="36">
        <f t="shared" si="64"/>
        <v>16375.429693838882</v>
      </c>
      <c r="Q104" s="152">
        <f>IF(P104=0,"",IF(N104=0,"",(P104/N104)-1))</f>
        <v>5.0000000000000266E-2</v>
      </c>
      <c r="R104" s="36">
        <f t="shared" si="64"/>
        <v>17030.446881592441</v>
      </c>
      <c r="S104" s="152">
        <f>IF(R104=0,"",IF(P104=0,"",(R104/P104)-1))</f>
        <v>4.0000000000000258E-2</v>
      </c>
      <c r="T104" s="36">
        <f t="shared" si="64"/>
        <v>17711.664756856138</v>
      </c>
      <c r="U104" s="152">
        <f>IF(T104=0,"",IF(R104=0,"",(T104/R104)-1))</f>
        <v>4.0000000000000036E-2</v>
      </c>
      <c r="V104" s="36">
        <f t="shared" si="64"/>
        <v>18420.131347130387</v>
      </c>
      <c r="W104" s="152">
        <f>IF(V104=0,"",IF(T104=0,"",(V104/T104)-1))</f>
        <v>4.0000000000000258E-2</v>
      </c>
    </row>
    <row r="105" spans="1:23" ht="14.25">
      <c r="B105" s="119"/>
      <c r="C105" s="34"/>
      <c r="D105" s="153" t="s">
        <v>556</v>
      </c>
      <c r="E105" s="36">
        <f t="shared" ref="E105:V105" si="65">+E31+E104</f>
        <v>104525.14516699998</v>
      </c>
      <c r="F105" s="36">
        <f t="shared" si="65"/>
        <v>122376.518499</v>
      </c>
      <c r="G105" s="152">
        <f>IF(F105=0,"",IF(E105=0,"",(F105/E105)-1))</f>
        <v>0.17078544405251828</v>
      </c>
      <c r="H105" s="36">
        <f t="shared" si="65"/>
        <v>137607.12275699998</v>
      </c>
      <c r="I105" s="152">
        <f>IF(H105=0,"",IF(F105=0,"",(H105/F105)-1))</f>
        <v>0.12445691742835807</v>
      </c>
      <c r="J105" s="36">
        <f t="shared" si="65"/>
        <v>156988.01399300006</v>
      </c>
      <c r="K105" s="152">
        <f>IF(J105=0,"",IF(H105=0,"",(J105/H105)-1))</f>
        <v>0.14084220967416594</v>
      </c>
      <c r="L105" s="36">
        <f t="shared" si="65"/>
        <v>178291.55934482501</v>
      </c>
      <c r="M105" s="152">
        <f>IF(L105=0,"",IF(J105=0,"",(L105/J105)-1))</f>
        <v>0.13570173167981392</v>
      </c>
      <c r="N105" s="36">
        <f t="shared" si="65"/>
        <v>205708.64293171657</v>
      </c>
      <c r="O105" s="152">
        <f>IF(N105=0,"",IF(L105=0,"",(N105/L105)-1))</f>
        <v>0.15377667730116995</v>
      </c>
      <c r="P105" s="36">
        <f t="shared" si="65"/>
        <v>236436.90499038747</v>
      </c>
      <c r="Q105" s="152">
        <f>IF(P105=0,"",IF(N105=0,"",(P105/N105)-1))</f>
        <v>0.14937759357476743</v>
      </c>
      <c r="R105" s="36">
        <f t="shared" si="65"/>
        <v>269295.99544889946</v>
      </c>
      <c r="S105" s="152">
        <f>IF(R105=0,"",IF(P105=0,"",(R105/P105)-1))</f>
        <v>0.13897614866785668</v>
      </c>
      <c r="T105" s="36">
        <f t="shared" si="65"/>
        <v>301597.37172387476</v>
      </c>
      <c r="U105" s="152">
        <f>IF(T105=0,"",IF(R105=0,"",(T105/R105)-1))</f>
        <v>0.11994748091642049</v>
      </c>
      <c r="V105" s="36">
        <f t="shared" si="65"/>
        <v>335926.54014664801</v>
      </c>
      <c r="W105" s="152">
        <f>IF(V105=0,"",IF(T105=0,"",(V105/T105)-1))</f>
        <v>0.11382449464514255</v>
      </c>
    </row>
    <row r="106" spans="1:23" ht="14.25">
      <c r="B106" s="119"/>
      <c r="C106" s="24">
        <v>5</v>
      </c>
      <c r="D106" s="25" t="s">
        <v>132</v>
      </c>
      <c r="E106" s="154"/>
      <c r="F106" s="154"/>
      <c r="G106" s="155"/>
      <c r="H106" s="154"/>
      <c r="I106" s="155"/>
      <c r="J106" s="154"/>
      <c r="K106" s="155"/>
      <c r="L106" s="154"/>
      <c r="M106" s="155"/>
      <c r="N106" s="154"/>
      <c r="O106" s="155"/>
      <c r="P106" s="154"/>
      <c r="Q106" s="155"/>
      <c r="R106" s="154"/>
      <c r="S106" s="155"/>
      <c r="T106" s="154"/>
      <c r="U106" s="155"/>
      <c r="V106" s="154"/>
      <c r="W106" s="155"/>
    </row>
    <row r="107" spans="1:23" ht="6.75" hidden="1" customHeight="1">
      <c r="B107" s="119"/>
      <c r="C107" s="21">
        <v>51</v>
      </c>
      <c r="D107" s="33" t="s">
        <v>133</v>
      </c>
      <c r="E107" s="39"/>
      <c r="F107" s="39"/>
      <c r="G107" s="141" t="e">
        <f>IF(#REF!=0,"",IF(#REF!=0,"",(#REF!/#REF!)-1))</f>
        <v>#REF!</v>
      </c>
      <c r="H107" s="39"/>
      <c r="I107" s="141" t="e">
        <f>IF(#REF!=0,"",IF(#REF!=0,"",(#REF!/#REF!)-1))</f>
        <v>#REF!</v>
      </c>
      <c r="J107" s="39"/>
      <c r="K107" s="141" t="e">
        <f>IF(#REF!=0,"",IF(#REF!=0,"",(#REF!/#REF!)-1))</f>
        <v>#REF!</v>
      </c>
      <c r="L107" s="39"/>
      <c r="M107" s="141" t="e">
        <f>IF(#REF!=0,"",IF(#REF!=0,"",(#REF!/#REF!)-1))</f>
        <v>#REF!</v>
      </c>
      <c r="N107" s="39"/>
      <c r="O107" s="141" t="s">
        <v>106</v>
      </c>
      <c r="P107" s="39"/>
      <c r="Q107" s="141" t="s">
        <v>106</v>
      </c>
      <c r="R107" s="39"/>
      <c r="S107" s="141" t="s">
        <v>106</v>
      </c>
      <c r="T107" s="39"/>
      <c r="U107" s="141" t="s">
        <v>106</v>
      </c>
      <c r="V107" s="39"/>
      <c r="W107" s="141" t="s">
        <v>106</v>
      </c>
    </row>
    <row r="108" spans="1:23" ht="6.75" hidden="1" customHeight="1">
      <c r="B108" s="119"/>
      <c r="C108" s="21"/>
      <c r="D108" s="33" t="s">
        <v>134</v>
      </c>
      <c r="E108" s="39"/>
      <c r="F108" s="39"/>
      <c r="G108" s="141" t="e">
        <f>IF(#REF!=0,"",IF(#REF!=0,"",(#REF!/#REF!)-1))</f>
        <v>#REF!</v>
      </c>
      <c r="H108" s="39"/>
      <c r="I108" s="141" t="e">
        <f>IF(#REF!=0,"",IF(#REF!=0,"",(#REF!/#REF!)-1))</f>
        <v>#REF!</v>
      </c>
      <c r="J108" s="39"/>
      <c r="K108" s="141" t="e">
        <f>IF(#REF!=0,"",IF(#REF!=0,"",(#REF!/#REF!)-1))</f>
        <v>#REF!</v>
      </c>
      <c r="L108" s="39"/>
      <c r="M108" s="141" t="e">
        <f>IF(#REF!=0,"",IF(#REF!=0,"",(#REF!/#REF!)-1))</f>
        <v>#REF!</v>
      </c>
      <c r="N108" s="39"/>
      <c r="O108" s="141" t="s">
        <v>106</v>
      </c>
      <c r="P108" s="39"/>
      <c r="Q108" s="141" t="s">
        <v>106</v>
      </c>
      <c r="R108" s="39"/>
      <c r="S108" s="141" t="s">
        <v>106</v>
      </c>
      <c r="T108" s="39"/>
      <c r="U108" s="141" t="s">
        <v>106</v>
      </c>
      <c r="V108" s="39"/>
      <c r="W108" s="141" t="s">
        <v>106</v>
      </c>
    </row>
    <row r="109" spans="1:23" ht="14.25" outlineLevel="1">
      <c r="B109" s="119">
        <v>5105060000</v>
      </c>
      <c r="C109" s="21">
        <v>5105060000</v>
      </c>
      <c r="D109" s="27" t="s">
        <v>135</v>
      </c>
      <c r="E109" s="142">
        <v>30314.041974</v>
      </c>
      <c r="F109" s="142">
        <v>36818.801184000004</v>
      </c>
      <c r="G109" s="143">
        <f t="shared" ref="G109:G158" si="66">IF(F109=0,"",IF(E109=0,"",(F109/E109)-1))</f>
        <v>0.21457907908087814</v>
      </c>
      <c r="H109" s="142">
        <v>45192.179093999999</v>
      </c>
      <c r="I109" s="143">
        <f t="shared" ref="I109:I158" si="67">IF(H109=0,"",IF(F109=0,"",(H109/F109)-1))</f>
        <v>0.22742125329269913</v>
      </c>
      <c r="J109" s="142">
        <v>51379.159715000002</v>
      </c>
      <c r="K109" s="143">
        <f t="shared" ref="K109:K158" si="68">IF(J109=0,"",IF(H109=0,"",(J109/H109)-1))</f>
        <v>0.13690379054594914</v>
      </c>
      <c r="L109" s="142">
        <v>58738.08409728</v>
      </c>
      <c r="M109" s="143">
        <f t="shared" ref="M109:M158" si="69">IF(L109=0,"",IF(J109=0,"",(L109/J109)-1))</f>
        <v>0.14322780721015915</v>
      </c>
      <c r="N109" s="142">
        <f>+IF(L109&lt;0,0,L109*(1+'[14]Ind. Crecimiento'!$C$7))</f>
        <v>65199.273347980808</v>
      </c>
      <c r="O109" s="143">
        <f t="shared" ref="O109:O158" si="70">IF(N109=0,"",IF(L109=0,"",(N109/L109)-1))</f>
        <v>0.1100000000000001</v>
      </c>
      <c r="P109" s="142">
        <f>+IF(N109&lt;0,0,N109*(1+'[14]Ind. Crecimiento'!$D$7))</f>
        <v>70806.410855907161</v>
      </c>
      <c r="Q109" s="143">
        <f t="shared" ref="Q109:Q158" si="71">IF(P109=0,"",IF(N109=0,"",(P109/N109)-1))</f>
        <v>8.6000000000000076E-2</v>
      </c>
      <c r="R109" s="142">
        <f>+IF(P109&lt;0,0,P109*(1+'[14]Ind. Crecimiento'!$E$7))</f>
        <v>76470.92372437974</v>
      </c>
      <c r="S109" s="143">
        <f t="shared" ref="S109:S158" si="72">IF(R109=0,"",IF(P109=0,"",(R109/P109)-1))</f>
        <v>8.0000000000000071E-2</v>
      </c>
      <c r="T109" s="142">
        <f>+IF(R109&lt;0,0,R109*(1+'[14]Ind. Crecimiento'!$F$7))</f>
        <v>82206.243003708223</v>
      </c>
      <c r="U109" s="143">
        <f t="shared" ref="U109:U158" si="73">IF(T109=0,"",IF(R109=0,"",(T109/R109)-1))</f>
        <v>7.4999999999999956E-2</v>
      </c>
      <c r="V109" s="142">
        <f>+IF(T109&lt;0,0,T109*(1+'[14]Ind. Crecimiento'!$G$7))</f>
        <v>88371.711228986329</v>
      </c>
      <c r="W109" s="143">
        <f t="shared" ref="W109:W158" si="74">IF(V109=0,"",IF(T109=0,"",(V109/T109)-1))</f>
        <v>7.4999999999999956E-2</v>
      </c>
    </row>
    <row r="110" spans="1:23" ht="14.25" outlineLevel="1">
      <c r="B110" s="119">
        <v>5105150000</v>
      </c>
      <c r="C110" s="21">
        <v>5105150000</v>
      </c>
      <c r="D110" s="27" t="s">
        <v>136</v>
      </c>
      <c r="E110" s="142">
        <v>31.497</v>
      </c>
      <c r="F110" s="142">
        <v>33.423999999999999</v>
      </c>
      <c r="G110" s="143">
        <f t="shared" si="66"/>
        <v>6.1180429882210952E-2</v>
      </c>
      <c r="H110" s="142">
        <v>21.949000000000002</v>
      </c>
      <c r="I110" s="143">
        <f t="shared" si="67"/>
        <v>-0.34331617999042596</v>
      </c>
      <c r="J110" s="142">
        <v>27.148</v>
      </c>
      <c r="K110" s="143">
        <f t="shared" si="68"/>
        <v>0.23686728324752826</v>
      </c>
      <c r="L110" s="142">
        <v>29.764345716666668</v>
      </c>
      <c r="M110" s="143">
        <f t="shared" si="69"/>
        <v>9.6373424070526958E-2</v>
      </c>
      <c r="N110" s="142">
        <f>+IF(L110&lt;0,0,L110*(1+'[14]Ind. Crecimiento'!$C$7))</f>
        <v>33.038423745500005</v>
      </c>
      <c r="O110" s="143">
        <f t="shared" si="70"/>
        <v>0.1100000000000001</v>
      </c>
      <c r="P110" s="142">
        <f>+IF(N110&lt;0,0,N110*(1+'[14]Ind. Crecimiento'!$D$7))</f>
        <v>35.879728187613004</v>
      </c>
      <c r="Q110" s="143">
        <f t="shared" si="71"/>
        <v>8.6000000000000076E-2</v>
      </c>
      <c r="R110" s="142">
        <f>+IF(P110&lt;0,0,P110*(1+'[14]Ind. Crecimiento'!$E$7))</f>
        <v>38.750106442622048</v>
      </c>
      <c r="S110" s="143">
        <f t="shared" si="72"/>
        <v>8.0000000000000071E-2</v>
      </c>
      <c r="T110" s="142">
        <f>+IF(R110&lt;0,0,R110*(1+'[14]Ind. Crecimiento'!$F$7))</f>
        <v>41.656364425818701</v>
      </c>
      <c r="U110" s="143">
        <f t="shared" si="73"/>
        <v>7.4999999999999956E-2</v>
      </c>
      <c r="V110" s="142">
        <f>+IF(T110&lt;0,0,T110*(1+'[14]Ind. Crecimiento'!$G$7))</f>
        <v>44.780591757755104</v>
      </c>
      <c r="W110" s="143">
        <f t="shared" si="74"/>
        <v>7.4999999999999956E-2</v>
      </c>
    </row>
    <row r="111" spans="1:23" ht="14.25" outlineLevel="1">
      <c r="B111" s="119">
        <v>5105240000</v>
      </c>
      <c r="C111" s="21">
        <v>5105240000</v>
      </c>
      <c r="D111" s="27" t="s">
        <v>137</v>
      </c>
      <c r="E111" s="142">
        <v>24.233181000000002</v>
      </c>
      <c r="F111" s="142">
        <v>35.150407000000001</v>
      </c>
      <c r="G111" s="143">
        <f t="shared" si="66"/>
        <v>0.45050734362938138</v>
      </c>
      <c r="H111" s="142">
        <v>25.756366999999997</v>
      </c>
      <c r="I111" s="143">
        <f t="shared" si="67"/>
        <v>-0.26725266651962243</v>
      </c>
      <c r="J111" s="142">
        <v>50.516908999999998</v>
      </c>
      <c r="K111" s="143">
        <f t="shared" si="68"/>
        <v>0.96133674442517481</v>
      </c>
      <c r="L111" s="142">
        <v>53.442193120000006</v>
      </c>
      <c r="M111" s="143">
        <f t="shared" si="69"/>
        <v>5.7907029109797836E-2</v>
      </c>
      <c r="N111" s="142">
        <f>+IF(L111&lt;0,0,L111*(1+'[14]Ind. Crecimiento'!$C$7))</f>
        <v>59.320834363200014</v>
      </c>
      <c r="O111" s="143">
        <f t="shared" si="70"/>
        <v>0.1100000000000001</v>
      </c>
      <c r="P111" s="142">
        <f>+IF(N111&lt;0,0,N111*(1+'[14]Ind. Crecimiento'!$D$7))</f>
        <v>64.422426118435226</v>
      </c>
      <c r="Q111" s="143">
        <f t="shared" si="71"/>
        <v>8.6000000000000076E-2</v>
      </c>
      <c r="R111" s="142">
        <f>+IF(P111&lt;0,0,P111*(1+'[14]Ind. Crecimiento'!$E$7))</f>
        <v>69.576220207910055</v>
      </c>
      <c r="S111" s="143">
        <f t="shared" si="72"/>
        <v>8.0000000000000071E-2</v>
      </c>
      <c r="T111" s="142">
        <f>+IF(R111&lt;0,0,R111*(1+'[14]Ind. Crecimiento'!$F$7))</f>
        <v>74.79443672350331</v>
      </c>
      <c r="U111" s="143">
        <f t="shared" si="73"/>
        <v>7.4999999999999956E-2</v>
      </c>
      <c r="V111" s="142">
        <f>+IF(T111&lt;0,0,T111*(1+'[14]Ind. Crecimiento'!$G$7))</f>
        <v>80.404019477766056</v>
      </c>
      <c r="W111" s="143">
        <f t="shared" si="74"/>
        <v>7.4999999999999956E-2</v>
      </c>
    </row>
    <row r="112" spans="1:23" ht="14.25" outlineLevel="1">
      <c r="B112" s="119">
        <v>5105250000</v>
      </c>
      <c r="C112" s="21"/>
      <c r="D112" s="27" t="s">
        <v>138</v>
      </c>
      <c r="E112" s="142">
        <v>0</v>
      </c>
      <c r="F112" s="142">
        <v>0</v>
      </c>
      <c r="G112" s="143" t="str">
        <f t="shared" si="66"/>
        <v/>
      </c>
      <c r="H112" s="142">
        <v>0</v>
      </c>
      <c r="I112" s="143" t="str">
        <f t="shared" si="67"/>
        <v/>
      </c>
      <c r="J112" s="142">
        <v>13.571253</v>
      </c>
      <c r="K112" s="143" t="str">
        <f t="shared" si="68"/>
        <v/>
      </c>
      <c r="L112" s="142">
        <v>14.609972493333332</v>
      </c>
      <c r="M112" s="143">
        <f t="shared" si="69"/>
        <v>7.6538215987376645E-2</v>
      </c>
      <c r="N112" s="142">
        <f>+IF(L112&lt;0,0,L112*(1+'[14]Ind. Crecimiento'!$C$7))</f>
        <v>16.217069467600002</v>
      </c>
      <c r="O112" s="143">
        <f t="shared" si="70"/>
        <v>0.1100000000000001</v>
      </c>
      <c r="P112" s="142">
        <f>+IF(N112&lt;0,0,N112*(1+'[14]Ind. Crecimiento'!$D$7))</f>
        <v>17.611737441813602</v>
      </c>
      <c r="Q112" s="143">
        <f t="shared" si="71"/>
        <v>8.6000000000000076E-2</v>
      </c>
      <c r="R112" s="142">
        <f>+IF(P112&lt;0,0,P112*(1+'[14]Ind. Crecimiento'!$E$7))</f>
        <v>19.020676437158691</v>
      </c>
      <c r="S112" s="143">
        <f t="shared" si="72"/>
        <v>8.0000000000000071E-2</v>
      </c>
      <c r="T112" s="142">
        <f>+IF(R112&lt;0,0,R112*(1+'[14]Ind. Crecimiento'!$F$7))</f>
        <v>20.447227169945592</v>
      </c>
      <c r="U112" s="143">
        <f t="shared" si="73"/>
        <v>7.4999999999999956E-2</v>
      </c>
      <c r="V112" s="142">
        <f>+IF(T112&lt;0,0,T112*(1+'[14]Ind. Crecimiento'!$G$7))</f>
        <v>21.980769207691509</v>
      </c>
      <c r="W112" s="143">
        <f t="shared" si="74"/>
        <v>7.4999999999999956E-2</v>
      </c>
    </row>
    <row r="113" spans="2:23" ht="14.25" outlineLevel="1">
      <c r="B113" s="119">
        <v>5105270000</v>
      </c>
      <c r="C113" s="21">
        <v>5105270000</v>
      </c>
      <c r="D113" s="27" t="s">
        <v>139</v>
      </c>
      <c r="E113" s="142">
        <v>463.97178000000002</v>
      </c>
      <c r="F113" s="142">
        <v>477.39671700000002</v>
      </c>
      <c r="G113" s="143">
        <f t="shared" si="66"/>
        <v>2.8934813664744929E-2</v>
      </c>
      <c r="H113" s="142">
        <v>485.58835199999999</v>
      </c>
      <c r="I113" s="143">
        <f t="shared" si="67"/>
        <v>1.7158968020301479E-2</v>
      </c>
      <c r="J113" s="142">
        <v>508.42966799999999</v>
      </c>
      <c r="K113" s="143">
        <f t="shared" si="68"/>
        <v>4.7038434727528333E-2</v>
      </c>
      <c r="L113" s="142">
        <v>563.03730498000004</v>
      </c>
      <c r="M113" s="143">
        <f t="shared" si="69"/>
        <v>0.1074045053169479</v>
      </c>
      <c r="N113" s="142">
        <f>+IF(L113&lt;0,0,L113*(1+'[14]Ind. Crecimiento'!$C$7))</f>
        <v>624.97140852780012</v>
      </c>
      <c r="O113" s="143">
        <f t="shared" si="70"/>
        <v>0.1100000000000001</v>
      </c>
      <c r="P113" s="142">
        <f>+IF(N113&lt;0,0,N113*(1+'[14]Ind. Crecimiento'!$D$7))</f>
        <v>678.718949661191</v>
      </c>
      <c r="Q113" s="143">
        <f t="shared" si="71"/>
        <v>8.6000000000000076E-2</v>
      </c>
      <c r="R113" s="142">
        <f>+IF(P113&lt;0,0,P113*(1+'[14]Ind. Crecimiento'!$E$7))</f>
        <v>733.01646563408633</v>
      </c>
      <c r="S113" s="143">
        <f t="shared" si="72"/>
        <v>8.0000000000000071E-2</v>
      </c>
      <c r="T113" s="142">
        <f>+IF(R113&lt;0,0,R113*(1+'[14]Ind. Crecimiento'!$F$7))</f>
        <v>787.99270055664272</v>
      </c>
      <c r="U113" s="143">
        <f t="shared" si="73"/>
        <v>7.4999999999999956E-2</v>
      </c>
      <c r="V113" s="142">
        <f>+IF(T113&lt;0,0,T113*(1+'[14]Ind. Crecimiento'!$G$7))</f>
        <v>847.0921530983909</v>
      </c>
      <c r="W113" s="143">
        <f t="shared" si="74"/>
        <v>7.4999999999999956E-2</v>
      </c>
    </row>
    <row r="114" spans="2:23" ht="14.25" outlineLevel="1">
      <c r="B114" s="119">
        <v>5105300000</v>
      </c>
      <c r="C114" s="21">
        <v>5105300000</v>
      </c>
      <c r="D114" s="27" t="s">
        <v>140</v>
      </c>
      <c r="E114" s="142">
        <v>3079.1287130000001</v>
      </c>
      <c r="F114" s="142">
        <v>3690.3554369999997</v>
      </c>
      <c r="G114" s="143">
        <f t="shared" si="66"/>
        <v>0.19850638962230338</v>
      </c>
      <c r="H114" s="142">
        <v>4500.6980439999998</v>
      </c>
      <c r="I114" s="143">
        <f t="shared" si="67"/>
        <v>0.21958389126299216</v>
      </c>
      <c r="J114" s="142">
        <v>5008.0064110000003</v>
      </c>
      <c r="K114" s="143">
        <f t="shared" si="68"/>
        <v>0.11271770779564005</v>
      </c>
      <c r="L114" s="142">
        <v>5483.7910069131503</v>
      </c>
      <c r="M114" s="143">
        <f t="shared" si="69"/>
        <v>9.5004789703962311E-2</v>
      </c>
      <c r="N114" s="142">
        <f>+IF(L114&lt;0,0,L114*(1+'[14]Ind. Crecimiento'!$C$7))</f>
        <v>6087.0080176735974</v>
      </c>
      <c r="O114" s="143">
        <f t="shared" si="70"/>
        <v>0.1100000000000001</v>
      </c>
      <c r="P114" s="142">
        <f>+IF(N114&lt;0,0,N114*(1+'[14]Ind. Crecimiento'!$D$7))</f>
        <v>6610.4907071935268</v>
      </c>
      <c r="Q114" s="143">
        <f t="shared" si="71"/>
        <v>8.6000000000000076E-2</v>
      </c>
      <c r="R114" s="142">
        <f>+IF(P114&lt;0,0,P114*(1+'[14]Ind. Crecimiento'!$E$7))</f>
        <v>7139.3299637690097</v>
      </c>
      <c r="S114" s="143">
        <f t="shared" si="72"/>
        <v>8.0000000000000071E-2</v>
      </c>
      <c r="T114" s="142">
        <f>+IF(R114&lt;0,0,R114*(1+'[14]Ind. Crecimiento'!$F$7))</f>
        <v>7674.7797110516849</v>
      </c>
      <c r="U114" s="143">
        <f t="shared" si="73"/>
        <v>7.4999999999999956E-2</v>
      </c>
      <c r="V114" s="142">
        <f>+IF(T114&lt;0,0,T114*(1+'[14]Ind. Crecimiento'!$G$7))</f>
        <v>8250.388189380561</v>
      </c>
      <c r="W114" s="143">
        <f t="shared" si="74"/>
        <v>7.4999999999999956E-2</v>
      </c>
    </row>
    <row r="115" spans="2:23" ht="14.25" outlineLevel="1">
      <c r="B115" s="119">
        <v>5105330000</v>
      </c>
      <c r="C115" s="21">
        <v>5105330000</v>
      </c>
      <c r="D115" s="27" t="s">
        <v>141</v>
      </c>
      <c r="E115" s="142">
        <v>450.65866999999997</v>
      </c>
      <c r="F115" s="142">
        <v>566.37224399999991</v>
      </c>
      <c r="G115" s="143">
        <f t="shared" si="66"/>
        <v>0.25676544512058297</v>
      </c>
      <c r="H115" s="142">
        <v>668.72494200000006</v>
      </c>
      <c r="I115" s="143">
        <f t="shared" si="67"/>
        <v>0.18071630289848772</v>
      </c>
      <c r="J115" s="142">
        <v>752.33492799999999</v>
      </c>
      <c r="K115" s="143">
        <f t="shared" si="68"/>
        <v>0.12502896295439792</v>
      </c>
      <c r="L115" s="142">
        <v>830.81573100358003</v>
      </c>
      <c r="M115" s="143">
        <f t="shared" si="69"/>
        <v>0.10431630924302904</v>
      </c>
      <c r="N115" s="142">
        <f>+IF(L115&lt;0,0,L115*(1+'[14]Ind. Crecimiento'!$C$7))</f>
        <v>922.20546141397392</v>
      </c>
      <c r="O115" s="143">
        <f t="shared" si="70"/>
        <v>0.1100000000000001</v>
      </c>
      <c r="P115" s="142">
        <f>+IF(N115&lt;0,0,N115*(1+'[14]Ind. Crecimiento'!$D$7))</f>
        <v>1001.5151310955757</v>
      </c>
      <c r="Q115" s="143">
        <f t="shared" si="71"/>
        <v>8.6000000000000076E-2</v>
      </c>
      <c r="R115" s="142">
        <f>+IF(P115&lt;0,0,P115*(1+'[14]Ind. Crecimiento'!$E$7))</f>
        <v>1081.6363415832218</v>
      </c>
      <c r="S115" s="143">
        <f t="shared" si="72"/>
        <v>8.0000000000000071E-2</v>
      </c>
      <c r="T115" s="142">
        <f>+IF(R115&lt;0,0,R115*(1+'[14]Ind. Crecimiento'!$F$7))</f>
        <v>1162.7590672019635</v>
      </c>
      <c r="U115" s="143">
        <f t="shared" si="73"/>
        <v>7.4999999999999956E-2</v>
      </c>
      <c r="V115" s="142">
        <f>+IF(T115&lt;0,0,T115*(1+'[14]Ind. Crecimiento'!$G$7))</f>
        <v>1249.9659972421107</v>
      </c>
      <c r="W115" s="143">
        <f t="shared" si="74"/>
        <v>7.4999999999999956E-2</v>
      </c>
    </row>
    <row r="116" spans="2:23" ht="14.25" outlineLevel="1">
      <c r="B116" s="119">
        <v>5105360000</v>
      </c>
      <c r="C116" s="21">
        <v>5105360000</v>
      </c>
      <c r="D116" s="27" t="s">
        <v>142</v>
      </c>
      <c r="E116" s="142">
        <v>2727.9862319999997</v>
      </c>
      <c r="F116" s="142">
        <v>3303.5622089999997</v>
      </c>
      <c r="G116" s="143">
        <f t="shared" si="66"/>
        <v>0.21098932621005995</v>
      </c>
      <c r="H116" s="142">
        <v>4075.0013779999999</v>
      </c>
      <c r="I116" s="143">
        <f t="shared" si="67"/>
        <v>0.23351737312478749</v>
      </c>
      <c r="J116" s="142">
        <v>4604.442779</v>
      </c>
      <c r="K116" s="143">
        <f t="shared" si="68"/>
        <v>0.1299242262489364</v>
      </c>
      <c r="L116" s="142">
        <v>5232.6612994999996</v>
      </c>
      <c r="M116" s="143">
        <f t="shared" si="69"/>
        <v>0.13643746934269374</v>
      </c>
      <c r="N116" s="142">
        <f>+IF(L116&lt;0,0,L116*(1+'[14]Ind. Crecimiento'!$C$7))</f>
        <v>5808.2540424449999</v>
      </c>
      <c r="O116" s="143">
        <f t="shared" si="70"/>
        <v>0.1100000000000001</v>
      </c>
      <c r="P116" s="142">
        <f>+IF(N116&lt;0,0,N116*(1+'[14]Ind. Crecimiento'!$D$7))</f>
        <v>6307.7638900952707</v>
      </c>
      <c r="Q116" s="143">
        <f t="shared" si="71"/>
        <v>8.6000000000000076E-2</v>
      </c>
      <c r="R116" s="142">
        <f>+IF(P116&lt;0,0,P116*(1+'[14]Ind. Crecimiento'!$E$7))</f>
        <v>6812.3850013028923</v>
      </c>
      <c r="S116" s="143">
        <f t="shared" si="72"/>
        <v>8.0000000000000071E-2</v>
      </c>
      <c r="T116" s="142">
        <f>+IF(R116&lt;0,0,R116*(1+'[14]Ind. Crecimiento'!$F$7))</f>
        <v>7323.3138764006089</v>
      </c>
      <c r="U116" s="143">
        <f t="shared" si="73"/>
        <v>7.4999999999999956E-2</v>
      </c>
      <c r="V116" s="142">
        <f>+IF(T116&lt;0,0,T116*(1+'[14]Ind. Crecimiento'!$G$7))</f>
        <v>7872.5624171306545</v>
      </c>
      <c r="W116" s="143">
        <f t="shared" si="74"/>
        <v>7.4999999999999956E-2</v>
      </c>
    </row>
    <row r="117" spans="2:23" ht="14.25" outlineLevel="1">
      <c r="B117" s="119">
        <v>5105390000</v>
      </c>
      <c r="C117" s="21">
        <v>5105390000</v>
      </c>
      <c r="D117" s="27" t="s">
        <v>143</v>
      </c>
      <c r="E117" s="142">
        <v>2052.9954250000001</v>
      </c>
      <c r="F117" s="142">
        <v>2324.1857710000004</v>
      </c>
      <c r="G117" s="143">
        <f t="shared" si="66"/>
        <v>0.13209495876007638</v>
      </c>
      <c r="H117" s="142">
        <v>3155.3788840000002</v>
      </c>
      <c r="I117" s="143">
        <f t="shared" si="67"/>
        <v>0.35762765755268</v>
      </c>
      <c r="J117" s="142">
        <v>3621.8274160000001</v>
      </c>
      <c r="K117" s="143">
        <f t="shared" si="68"/>
        <v>0.14782647319002584</v>
      </c>
      <c r="L117" s="142">
        <v>3689.3076027703714</v>
      </c>
      <c r="M117" s="143">
        <f t="shared" si="69"/>
        <v>1.8631530169622934E-2</v>
      </c>
      <c r="N117" s="142">
        <f>+IF(L117&lt;0,0,L117*(1+'[14]Ind. Crecimiento'!$C$7))</f>
        <v>4095.1314390751127</v>
      </c>
      <c r="O117" s="143">
        <f t="shared" si="70"/>
        <v>0.1100000000000001</v>
      </c>
      <c r="P117" s="142">
        <f>+IF(N117&lt;0,0,N117*(1+'[14]Ind. Crecimiento'!$D$7))</f>
        <v>4447.3127428355729</v>
      </c>
      <c r="Q117" s="143">
        <f t="shared" si="71"/>
        <v>8.6000000000000076E-2</v>
      </c>
      <c r="R117" s="142">
        <f>+IF(P117&lt;0,0,P117*(1+'[14]Ind. Crecimiento'!$E$7))</f>
        <v>4803.0977622624187</v>
      </c>
      <c r="S117" s="143">
        <f t="shared" si="72"/>
        <v>8.0000000000000071E-2</v>
      </c>
      <c r="T117" s="142">
        <f>+IF(R117&lt;0,0,R117*(1+'[14]Ind. Crecimiento'!$F$7))</f>
        <v>5163.3300944320999</v>
      </c>
      <c r="U117" s="143">
        <f t="shared" si="73"/>
        <v>7.4999999999999956E-2</v>
      </c>
      <c r="V117" s="142">
        <f>+IF(T117&lt;0,0,T117*(1+'[14]Ind. Crecimiento'!$G$7))</f>
        <v>5550.579851514507</v>
      </c>
      <c r="W117" s="143">
        <f t="shared" si="74"/>
        <v>7.4999999999999956E-2</v>
      </c>
    </row>
    <row r="118" spans="2:23" ht="14.25" outlineLevel="1">
      <c r="B118" s="119">
        <v>5105420000</v>
      </c>
      <c r="C118" s="21">
        <v>5105420000</v>
      </c>
      <c r="D118" s="27" t="s">
        <v>144</v>
      </c>
      <c r="E118" s="142">
        <v>0</v>
      </c>
      <c r="F118" s="142">
        <v>949.44819999999993</v>
      </c>
      <c r="G118" s="143" t="str">
        <f t="shared" si="66"/>
        <v/>
      </c>
      <c r="H118" s="142">
        <v>5.4820000000000002</v>
      </c>
      <c r="I118" s="143">
        <f t="shared" si="67"/>
        <v>-0.99422611997157928</v>
      </c>
      <c r="J118" s="142">
        <v>2.61</v>
      </c>
      <c r="K118" s="143">
        <f t="shared" si="68"/>
        <v>-0.52389638817949657</v>
      </c>
      <c r="L118" s="142">
        <v>2.8</v>
      </c>
      <c r="M118" s="143">
        <f t="shared" si="69"/>
        <v>7.2796934865900331E-2</v>
      </c>
      <c r="N118" s="142">
        <f>+IF(L118&lt;0,0,L118*(1+'[14]Ind. Crecimiento'!$C$7))</f>
        <v>3.1080000000000001</v>
      </c>
      <c r="O118" s="143">
        <f t="shared" si="70"/>
        <v>0.1100000000000001</v>
      </c>
      <c r="P118" s="142">
        <f>+IF(N118&lt;0,0,N118*(1+'[14]Ind. Crecimiento'!$D$7))</f>
        <v>3.3752880000000003</v>
      </c>
      <c r="Q118" s="143">
        <f t="shared" si="71"/>
        <v>8.6000000000000076E-2</v>
      </c>
      <c r="R118" s="142">
        <f>+IF(P118&lt;0,0,P118*(1+'[14]Ind. Crecimiento'!$E$7))</f>
        <v>3.6453110400000006</v>
      </c>
      <c r="S118" s="143">
        <f t="shared" si="72"/>
        <v>8.0000000000000071E-2</v>
      </c>
      <c r="T118" s="142">
        <f>+IF(R118&lt;0,0,R118*(1+'[14]Ind. Crecimiento'!$F$7))</f>
        <v>3.9187093680000005</v>
      </c>
      <c r="U118" s="143">
        <f t="shared" si="73"/>
        <v>7.4999999999999956E-2</v>
      </c>
      <c r="V118" s="142">
        <f>+IF(T118&lt;0,0,T118*(1+'[14]Ind. Crecimiento'!$G$7))</f>
        <v>4.2126125706000002</v>
      </c>
      <c r="W118" s="143">
        <f t="shared" si="74"/>
        <v>7.4999999999999956E-2</v>
      </c>
    </row>
    <row r="119" spans="2:23" ht="14.25" outlineLevel="1">
      <c r="B119" s="119">
        <v>5105450000</v>
      </c>
      <c r="C119" s="21">
        <v>5105450000</v>
      </c>
      <c r="D119" s="27" t="s">
        <v>145</v>
      </c>
      <c r="E119" s="142">
        <v>70.813000000000002</v>
      </c>
      <c r="F119" s="142">
        <v>150.8109</v>
      </c>
      <c r="G119" s="143">
        <f t="shared" si="66"/>
        <v>1.1297064098400011</v>
      </c>
      <c r="H119" s="142">
        <v>221.84299999999999</v>
      </c>
      <c r="I119" s="143">
        <f t="shared" si="67"/>
        <v>0.47100110137927675</v>
      </c>
      <c r="J119" s="142">
        <v>330.99299999999999</v>
      </c>
      <c r="K119" s="143">
        <f t="shared" si="68"/>
        <v>0.49201462295407117</v>
      </c>
      <c r="L119" s="142">
        <v>337.48344830666667</v>
      </c>
      <c r="M119" s="143">
        <f t="shared" si="69"/>
        <v>1.9609019848355391E-2</v>
      </c>
      <c r="N119" s="142">
        <f>+IF(L119&lt;0,0,L119*(1+'[14]Ind. Crecimiento'!$C$7))</f>
        <v>374.60662762040005</v>
      </c>
      <c r="O119" s="143">
        <f t="shared" si="70"/>
        <v>0.1100000000000001</v>
      </c>
      <c r="P119" s="142">
        <f>+IF(N119&lt;0,0,N119*(1+'[14]Ind. Crecimiento'!$D$7))</f>
        <v>406.82279759575448</v>
      </c>
      <c r="Q119" s="143">
        <f t="shared" si="71"/>
        <v>8.6000000000000076E-2</v>
      </c>
      <c r="R119" s="142">
        <f>+IF(P119&lt;0,0,P119*(1+'[14]Ind. Crecimiento'!$E$7))</f>
        <v>439.36862140341486</v>
      </c>
      <c r="S119" s="143">
        <f t="shared" si="72"/>
        <v>8.0000000000000071E-2</v>
      </c>
      <c r="T119" s="142">
        <f>+IF(R119&lt;0,0,R119*(1+'[14]Ind. Crecimiento'!$F$7))</f>
        <v>472.32126800867098</v>
      </c>
      <c r="U119" s="143">
        <f t="shared" si="73"/>
        <v>7.4999999999999956E-2</v>
      </c>
      <c r="V119" s="142">
        <f>+IF(T119&lt;0,0,T119*(1+'[14]Ind. Crecimiento'!$G$7))</f>
        <v>507.74536310932126</v>
      </c>
      <c r="W119" s="143">
        <f t="shared" si="74"/>
        <v>7.4999999999999956E-2</v>
      </c>
    </row>
    <row r="120" spans="2:23" ht="14.25" outlineLevel="1">
      <c r="B120" s="119">
        <v>5105480000</v>
      </c>
      <c r="C120" s="21">
        <v>5105480000</v>
      </c>
      <c r="D120" s="27" t="s">
        <v>146</v>
      </c>
      <c r="E120" s="142">
        <v>208.6</v>
      </c>
      <c r="F120" s="142">
        <v>319.50099999999998</v>
      </c>
      <c r="G120" s="143">
        <f t="shared" si="66"/>
        <v>0.53164429530201329</v>
      </c>
      <c r="H120" s="142">
        <v>284.81200000000001</v>
      </c>
      <c r="I120" s="143">
        <f t="shared" si="67"/>
        <v>-0.10857243013323892</v>
      </c>
      <c r="J120" s="142">
        <v>187.49360000000001</v>
      </c>
      <c r="K120" s="143">
        <f t="shared" si="68"/>
        <v>-0.34169346797185507</v>
      </c>
      <c r="L120" s="142">
        <v>210.47627306666666</v>
      </c>
      <c r="M120" s="143">
        <f t="shared" si="69"/>
        <v>0.12257844036631993</v>
      </c>
      <c r="N120" s="142">
        <f>+IF(L120&lt;0,0,L120*(1+'[14]Ind. Crecimiento'!$C$7))</f>
        <v>233.62866310400003</v>
      </c>
      <c r="O120" s="143">
        <f t="shared" si="70"/>
        <v>0.1100000000000001</v>
      </c>
      <c r="P120" s="142">
        <f>+IF(N120&lt;0,0,N120*(1+'[14]Ind. Crecimiento'!$D$7))</f>
        <v>253.72072813094405</v>
      </c>
      <c r="Q120" s="143">
        <f t="shared" si="71"/>
        <v>8.6000000000000076E-2</v>
      </c>
      <c r="R120" s="142">
        <f>+IF(P120&lt;0,0,P120*(1+'[14]Ind. Crecimiento'!$E$7))</f>
        <v>274.01838638141959</v>
      </c>
      <c r="S120" s="143">
        <f t="shared" si="72"/>
        <v>8.0000000000000071E-2</v>
      </c>
      <c r="T120" s="142">
        <f>+IF(R120&lt;0,0,R120*(1+'[14]Ind. Crecimiento'!$F$7))</f>
        <v>294.56976536002605</v>
      </c>
      <c r="U120" s="143">
        <f t="shared" si="73"/>
        <v>7.4999999999999956E-2</v>
      </c>
      <c r="V120" s="142">
        <f>+IF(T120&lt;0,0,T120*(1+'[14]Ind. Crecimiento'!$G$7))</f>
        <v>316.66249776202801</v>
      </c>
      <c r="W120" s="143">
        <f t="shared" si="74"/>
        <v>7.4999999999999956E-2</v>
      </c>
    </row>
    <row r="121" spans="2:23" ht="14.25" outlineLevel="1">
      <c r="B121" s="119">
        <v>5105510000</v>
      </c>
      <c r="C121" s="21">
        <v>5105510000</v>
      </c>
      <c r="D121" s="27" t="s">
        <v>147</v>
      </c>
      <c r="E121" s="142">
        <v>144.97798299999999</v>
      </c>
      <c r="F121" s="142">
        <v>155.34445099999999</v>
      </c>
      <c r="G121" s="143">
        <f t="shared" si="66"/>
        <v>7.1503739985125936E-2</v>
      </c>
      <c r="H121" s="142">
        <v>164.52069299999999</v>
      </c>
      <c r="I121" s="143">
        <f t="shared" si="67"/>
        <v>5.9070291477614445E-2</v>
      </c>
      <c r="J121" s="142">
        <v>179.17360099999999</v>
      </c>
      <c r="K121" s="143">
        <f t="shared" si="68"/>
        <v>8.9064224887503984E-2</v>
      </c>
      <c r="L121" s="142">
        <v>197.80140526666668</v>
      </c>
      <c r="M121" s="143">
        <f t="shared" si="69"/>
        <v>0.1039651163045312</v>
      </c>
      <c r="N121" s="142">
        <f>+IF(L121&lt;0,0,L121*(1+'[14]Ind. Crecimiento'!$C$7))</f>
        <v>219.55955984600004</v>
      </c>
      <c r="O121" s="143">
        <f t="shared" si="70"/>
        <v>0.1100000000000001</v>
      </c>
      <c r="P121" s="142">
        <f>+IF(N121&lt;0,0,N121*(1+'[14]Ind. Crecimiento'!$D$7))</f>
        <v>238.44168199275606</v>
      </c>
      <c r="Q121" s="143">
        <f t="shared" si="71"/>
        <v>8.6000000000000076E-2</v>
      </c>
      <c r="R121" s="142">
        <f>+IF(P121&lt;0,0,P121*(1+'[14]Ind. Crecimiento'!$E$7))</f>
        <v>257.51701655217659</v>
      </c>
      <c r="S121" s="143">
        <f t="shared" si="72"/>
        <v>8.0000000000000071E-2</v>
      </c>
      <c r="T121" s="142">
        <f>+IF(R121&lt;0,0,R121*(1+'[14]Ind. Crecimiento'!$F$7))</f>
        <v>276.83079279358981</v>
      </c>
      <c r="U121" s="143">
        <f t="shared" si="73"/>
        <v>7.4999999999999956E-2</v>
      </c>
      <c r="V121" s="142">
        <f>+IF(T121&lt;0,0,T121*(1+'[14]Ind. Crecimiento'!$G$7))</f>
        <v>297.59310225310901</v>
      </c>
      <c r="W121" s="143">
        <f t="shared" si="74"/>
        <v>7.4999999999999956E-2</v>
      </c>
    </row>
    <row r="122" spans="2:23" ht="14.25" outlineLevel="1">
      <c r="B122" s="119">
        <v>5105540000</v>
      </c>
      <c r="C122" s="144">
        <v>5105540000</v>
      </c>
      <c r="D122" s="27" t="s">
        <v>148</v>
      </c>
      <c r="E122" s="142">
        <v>0</v>
      </c>
      <c r="F122" s="142">
        <v>0</v>
      </c>
      <c r="G122" s="143" t="str">
        <f t="shared" si="66"/>
        <v/>
      </c>
      <c r="H122" s="142">
        <v>0.5</v>
      </c>
      <c r="I122" s="143" t="str">
        <f t="shared" si="67"/>
        <v/>
      </c>
      <c r="J122" s="142">
        <v>0</v>
      </c>
      <c r="K122" s="143" t="str">
        <f t="shared" si="68"/>
        <v/>
      </c>
      <c r="L122" s="142">
        <v>0</v>
      </c>
      <c r="M122" s="143" t="str">
        <f t="shared" si="69"/>
        <v/>
      </c>
      <c r="N122" s="142">
        <f>+IF(L122&lt;0,0,L122*(1+'[14]Ind. Crecimiento'!$C$7))</f>
        <v>0</v>
      </c>
      <c r="O122" s="143" t="str">
        <f t="shared" si="70"/>
        <v/>
      </c>
      <c r="P122" s="142">
        <f>+IF(N122&lt;0,0,N122*(1+'[14]Ind. Crecimiento'!$D$7))</f>
        <v>0</v>
      </c>
      <c r="Q122" s="143" t="str">
        <f t="shared" si="71"/>
        <v/>
      </c>
      <c r="R122" s="142">
        <f>+IF(P122&lt;0,0,P122*(1+'[14]Ind. Crecimiento'!$E$7))</f>
        <v>0</v>
      </c>
      <c r="S122" s="143" t="str">
        <f t="shared" si="72"/>
        <v/>
      </c>
      <c r="T122" s="142">
        <f>+IF(R122&lt;0,0,R122*(1+'[14]Ind. Crecimiento'!$F$7))</f>
        <v>0</v>
      </c>
      <c r="U122" s="143" t="str">
        <f t="shared" si="73"/>
        <v/>
      </c>
      <c r="V122" s="142">
        <f>+IF(T122&lt;0,0,T122*(1+'[14]Ind. Crecimiento'!$G$7))</f>
        <v>0</v>
      </c>
      <c r="W122" s="143" t="str">
        <f t="shared" si="74"/>
        <v/>
      </c>
    </row>
    <row r="123" spans="2:23" ht="14.25" outlineLevel="1">
      <c r="B123" s="119">
        <v>5105600000</v>
      </c>
      <c r="C123" s="21">
        <v>5105600000</v>
      </c>
      <c r="D123" s="27" t="s">
        <v>149</v>
      </c>
      <c r="E123" s="142">
        <v>67.483999999999995</v>
      </c>
      <c r="F123" s="142">
        <v>7.5960000000000001</v>
      </c>
      <c r="G123" s="143">
        <f t="shared" si="66"/>
        <v>-0.88743998577440575</v>
      </c>
      <c r="H123" s="142">
        <v>2.0579999999999998</v>
      </c>
      <c r="I123" s="143">
        <f t="shared" si="67"/>
        <v>-0.7290679304897314</v>
      </c>
      <c r="J123" s="142">
        <v>0</v>
      </c>
      <c r="K123" s="143" t="str">
        <f t="shared" si="68"/>
        <v/>
      </c>
      <c r="L123" s="142">
        <v>20</v>
      </c>
      <c r="M123" s="143" t="str">
        <f t="shared" si="69"/>
        <v/>
      </c>
      <c r="N123" s="142">
        <f>+IF(L123&lt;0,0,L123*(1+'[14]Ind. Crecimiento'!$C$7))</f>
        <v>22.200000000000003</v>
      </c>
      <c r="O123" s="143">
        <f t="shared" si="70"/>
        <v>0.1100000000000001</v>
      </c>
      <c r="P123" s="142">
        <f>+IF(N123&lt;0,0,N123*(1+'[14]Ind. Crecimiento'!$D$7))</f>
        <v>24.109200000000005</v>
      </c>
      <c r="Q123" s="143">
        <f t="shared" si="71"/>
        <v>8.6000000000000076E-2</v>
      </c>
      <c r="R123" s="142">
        <f>+IF(P123&lt;0,0,P123*(1+'[14]Ind. Crecimiento'!$E$7))</f>
        <v>26.037936000000006</v>
      </c>
      <c r="S123" s="143">
        <f t="shared" si="72"/>
        <v>8.0000000000000071E-2</v>
      </c>
      <c r="T123" s="142">
        <f>+IF(R123&lt;0,0,R123*(1+'[14]Ind. Crecimiento'!$F$7))</f>
        <v>27.990781200000004</v>
      </c>
      <c r="U123" s="143">
        <f t="shared" si="73"/>
        <v>7.4999999999999956E-2</v>
      </c>
      <c r="V123" s="142">
        <f>+IF(T123&lt;0,0,T123*(1+'[14]Ind. Crecimiento'!$G$7))</f>
        <v>30.090089790000004</v>
      </c>
      <c r="W123" s="143">
        <f t="shared" si="74"/>
        <v>7.4999999999999956E-2</v>
      </c>
    </row>
    <row r="124" spans="2:23" ht="14.25" outlineLevel="1">
      <c r="B124" s="119">
        <v>5105630000</v>
      </c>
      <c r="C124" s="21">
        <v>5105630000</v>
      </c>
      <c r="D124" s="27" t="s">
        <v>150</v>
      </c>
      <c r="E124" s="142">
        <v>291.44299999999998</v>
      </c>
      <c r="F124" s="142">
        <v>287.7346</v>
      </c>
      <c r="G124" s="143">
        <f t="shared" si="66"/>
        <v>-1.2724271984573265E-2</v>
      </c>
      <c r="H124" s="142">
        <v>675.11146400000007</v>
      </c>
      <c r="I124" s="143">
        <f t="shared" si="67"/>
        <v>1.3462992076726263</v>
      </c>
      <c r="J124" s="142">
        <v>689.92251800000008</v>
      </c>
      <c r="K124" s="143">
        <f t="shared" si="68"/>
        <v>2.1938679447457865E-2</v>
      </c>
      <c r="L124" s="142">
        <v>819.75929580333332</v>
      </c>
      <c r="M124" s="143">
        <f t="shared" si="69"/>
        <v>0.1881903756087191</v>
      </c>
      <c r="N124" s="142">
        <f>+IF(L124&lt;0,0,L124*(1+'[14]Ind. Crecimiento'!$C$7))</f>
        <v>909.93281834170011</v>
      </c>
      <c r="O124" s="143">
        <f t="shared" si="70"/>
        <v>0.1100000000000001</v>
      </c>
      <c r="P124" s="142">
        <f>+IF(N124&lt;0,0,N124*(1+'[14]Ind. Crecimiento'!$D$7))</f>
        <v>988.18704071908644</v>
      </c>
      <c r="Q124" s="143">
        <f t="shared" si="71"/>
        <v>8.6000000000000076E-2</v>
      </c>
      <c r="R124" s="142">
        <f>+IF(P124&lt;0,0,P124*(1+'[14]Ind. Crecimiento'!$E$7))</f>
        <v>1067.2420039766134</v>
      </c>
      <c r="S124" s="143">
        <f t="shared" si="72"/>
        <v>8.0000000000000071E-2</v>
      </c>
      <c r="T124" s="142">
        <f>+IF(R124&lt;0,0,R124*(1+'[14]Ind. Crecimiento'!$F$7))</f>
        <v>1147.2851542748595</v>
      </c>
      <c r="U124" s="143">
        <f t="shared" si="73"/>
        <v>7.4999999999999956E-2</v>
      </c>
      <c r="V124" s="142">
        <f>+IF(T124&lt;0,0,T124*(1+'[14]Ind. Crecimiento'!$G$7))</f>
        <v>1233.3315408454739</v>
      </c>
      <c r="W124" s="143">
        <f t="shared" si="74"/>
        <v>7.4999999999999956E-2</v>
      </c>
    </row>
    <row r="125" spans="2:23" ht="14.25" outlineLevel="1">
      <c r="B125" s="119"/>
      <c r="C125" s="21"/>
      <c r="D125" s="33" t="s">
        <v>600</v>
      </c>
      <c r="E125" s="142"/>
      <c r="F125" s="142"/>
      <c r="G125" s="143"/>
      <c r="H125" s="142"/>
      <c r="I125" s="143"/>
      <c r="J125" s="142"/>
      <c r="K125" s="143"/>
      <c r="L125" s="142"/>
      <c r="M125" s="143"/>
      <c r="N125" s="142">
        <v>208</v>
      </c>
      <c r="O125" s="143"/>
      <c r="P125" s="142">
        <v>373</v>
      </c>
      <c r="Q125" s="143"/>
      <c r="R125" s="142">
        <v>329</v>
      </c>
      <c r="S125" s="143"/>
      <c r="T125" s="142">
        <v>303</v>
      </c>
      <c r="U125" s="143"/>
      <c r="V125" s="142">
        <v>288</v>
      </c>
      <c r="W125" s="143"/>
    </row>
    <row r="126" spans="2:23" ht="14.25" outlineLevel="1">
      <c r="B126" s="119">
        <v>5105640000</v>
      </c>
      <c r="C126" s="144">
        <v>5105640000</v>
      </c>
      <c r="D126" s="27" t="s">
        <v>152</v>
      </c>
      <c r="E126" s="142">
        <v>0</v>
      </c>
      <c r="F126" s="142">
        <v>0</v>
      </c>
      <c r="G126" s="143" t="str">
        <f t="shared" si="66"/>
        <v/>
      </c>
      <c r="H126" s="142">
        <v>255.60400000000001</v>
      </c>
      <c r="I126" s="143" t="str">
        <f t="shared" si="67"/>
        <v/>
      </c>
      <c r="J126" s="142">
        <v>259.10587800000002</v>
      </c>
      <c r="K126" s="143">
        <f t="shared" si="68"/>
        <v>1.3700403749550061E-2</v>
      </c>
      <c r="L126" s="142">
        <v>329.99373889000003</v>
      </c>
      <c r="M126" s="143">
        <f t="shared" si="69"/>
        <v>0.27358646371580964</v>
      </c>
      <c r="N126" s="142">
        <f>+IF(L126&lt;0,0,L126*(1+'[14]Ind. Crecimiento'!$C$7))</f>
        <v>366.29305016790005</v>
      </c>
      <c r="O126" s="143">
        <f t="shared" si="70"/>
        <v>0.1100000000000001</v>
      </c>
      <c r="P126" s="142">
        <f>+IF(N126&lt;0,0,N126*(1+'[14]Ind. Crecimiento'!$D$7))</f>
        <v>397.79425248233946</v>
      </c>
      <c r="Q126" s="143">
        <f t="shared" si="71"/>
        <v>8.6000000000000076E-2</v>
      </c>
      <c r="R126" s="142">
        <f>+IF(P126&lt;0,0,P126*(1+'[14]Ind. Crecimiento'!$E$7))</f>
        <v>429.61779268092664</v>
      </c>
      <c r="S126" s="143">
        <f t="shared" si="72"/>
        <v>8.0000000000000071E-2</v>
      </c>
      <c r="T126" s="142">
        <f>+IF(R126&lt;0,0,R126*(1+'[14]Ind. Crecimiento'!$F$7))</f>
        <v>461.83912713199612</v>
      </c>
      <c r="U126" s="143">
        <f t="shared" si="73"/>
        <v>7.4999999999999956E-2</v>
      </c>
      <c r="V126" s="142">
        <f>+IF(T126&lt;0,0,T126*(1+'[14]Ind. Crecimiento'!$G$7))</f>
        <v>496.47706166689579</v>
      </c>
      <c r="W126" s="143">
        <f t="shared" si="74"/>
        <v>7.4999999999999956E-2</v>
      </c>
    </row>
    <row r="127" spans="2:23" ht="14.25" outlineLevel="1">
      <c r="B127" s="119">
        <v>5105660000</v>
      </c>
      <c r="C127" s="21">
        <v>5105660000</v>
      </c>
      <c r="D127" s="27" t="s">
        <v>151</v>
      </c>
      <c r="E127" s="142">
        <v>7.0000000006984926E-5</v>
      </c>
      <c r="F127" s="142">
        <v>-3.9300000001094303E-4</v>
      </c>
      <c r="G127" s="143">
        <f t="shared" si="66"/>
        <v>-6.6142857138818236</v>
      </c>
      <c r="H127" s="142">
        <v>0</v>
      </c>
      <c r="I127" s="143" t="str">
        <f t="shared" si="67"/>
        <v/>
      </c>
      <c r="J127" s="142">
        <v>0</v>
      </c>
      <c r="K127" s="143" t="str">
        <f t="shared" si="68"/>
        <v/>
      </c>
      <c r="L127" s="142">
        <v>0</v>
      </c>
      <c r="M127" s="143" t="str">
        <f t="shared" si="69"/>
        <v/>
      </c>
      <c r="N127" s="142">
        <f>+IF(L127&lt;0,0,L127*(1+'[14]Ind. Crecimiento'!$C$7))</f>
        <v>0</v>
      </c>
      <c r="O127" s="143" t="str">
        <f t="shared" si="70"/>
        <v/>
      </c>
      <c r="P127" s="142">
        <f>+IF(N127&lt;0,0,N127*(1+'[14]Ind. Crecimiento'!$D$7))</f>
        <v>0</v>
      </c>
      <c r="Q127" s="143" t="str">
        <f t="shared" si="71"/>
        <v/>
      </c>
      <c r="R127" s="142">
        <f>+IF(P127&lt;0,0,P127*(1+'[14]Ind. Crecimiento'!$E$7))</f>
        <v>0</v>
      </c>
      <c r="S127" s="143" t="str">
        <f t="shared" si="72"/>
        <v/>
      </c>
      <c r="T127" s="142">
        <f>+IF(R127&lt;0,0,R127*(1+'[14]Ind. Crecimiento'!$F$7))</f>
        <v>0</v>
      </c>
      <c r="U127" s="143" t="str">
        <f t="shared" si="73"/>
        <v/>
      </c>
      <c r="V127" s="142">
        <f>+IF(T127&lt;0,0,T127*(1+'[14]Ind. Crecimiento'!$G$7))</f>
        <v>0</v>
      </c>
      <c r="W127" s="143" t="str">
        <f t="shared" si="74"/>
        <v/>
      </c>
    </row>
    <row r="128" spans="2:23" ht="14.25" outlineLevel="1">
      <c r="B128" s="119">
        <v>5105680000</v>
      </c>
      <c r="C128" s="21">
        <v>5105680000</v>
      </c>
      <c r="D128" s="27" t="s">
        <v>153</v>
      </c>
      <c r="E128" s="142">
        <v>171.79253899999998</v>
      </c>
      <c r="F128" s="142">
        <v>205.11138399999999</v>
      </c>
      <c r="G128" s="143">
        <f t="shared" si="66"/>
        <v>0.19394814928487669</v>
      </c>
      <c r="H128" s="142">
        <v>251.56268900000001</v>
      </c>
      <c r="I128" s="143">
        <f t="shared" si="67"/>
        <v>0.2264686829864111</v>
      </c>
      <c r="J128" s="142">
        <v>283.66511800000001</v>
      </c>
      <c r="K128" s="143">
        <f t="shared" si="68"/>
        <v>0.12761204424873984</v>
      </c>
      <c r="L128" s="142">
        <v>321.47825117488009</v>
      </c>
      <c r="M128" s="143">
        <f t="shared" si="69"/>
        <v>0.13330201979532807</v>
      </c>
      <c r="N128" s="142">
        <f>+IF(L128&lt;0,0,L128*(1+'[14]Ind. Crecimiento'!$C$7))</f>
        <v>356.84085880411692</v>
      </c>
      <c r="O128" s="143">
        <f t="shared" si="70"/>
        <v>0.1100000000000001</v>
      </c>
      <c r="P128" s="142">
        <f>+IF(N128&lt;0,0,N128*(1+'[14]Ind. Crecimiento'!$D$7))</f>
        <v>387.52917266127099</v>
      </c>
      <c r="Q128" s="143">
        <f t="shared" si="71"/>
        <v>8.6000000000000076E-2</v>
      </c>
      <c r="R128" s="142">
        <f>+IF(P128&lt;0,0,P128*(1+'[14]Ind. Crecimiento'!$E$7))</f>
        <v>418.53150647417272</v>
      </c>
      <c r="S128" s="143">
        <f t="shared" si="72"/>
        <v>8.0000000000000071E-2</v>
      </c>
      <c r="T128" s="142">
        <f>+IF(R128&lt;0,0,R128*(1+'[14]Ind. Crecimiento'!$F$7))</f>
        <v>449.92136945973567</v>
      </c>
      <c r="U128" s="143">
        <f t="shared" si="73"/>
        <v>7.4999999999999956E-2</v>
      </c>
      <c r="V128" s="142">
        <f>+IF(T128&lt;0,0,T128*(1+'[14]Ind. Crecimiento'!$G$7))</f>
        <v>483.66547216921583</v>
      </c>
      <c r="W128" s="143">
        <f t="shared" si="74"/>
        <v>7.4999999999999956E-2</v>
      </c>
    </row>
    <row r="129" spans="2:23" ht="14.25" outlineLevel="1">
      <c r="B129" s="119">
        <v>5105690000</v>
      </c>
      <c r="C129" s="21">
        <v>5105690000</v>
      </c>
      <c r="D129" s="27" t="s">
        <v>154</v>
      </c>
      <c r="E129" s="142">
        <v>3089.6648679999998</v>
      </c>
      <c r="F129" s="142">
        <v>3676.919625</v>
      </c>
      <c r="G129" s="143">
        <f t="shared" si="66"/>
        <v>0.19007069766118079</v>
      </c>
      <c r="H129" s="142">
        <v>4439.615562</v>
      </c>
      <c r="I129" s="143">
        <f t="shared" si="67"/>
        <v>0.20742796002781816</v>
      </c>
      <c r="J129" s="142">
        <v>5039.9308069999997</v>
      </c>
      <c r="K129" s="143">
        <f t="shared" si="68"/>
        <v>0.13521784411656679</v>
      </c>
      <c r="L129" s="142">
        <v>5510.2248753860003</v>
      </c>
      <c r="M129" s="143">
        <f t="shared" si="69"/>
        <v>9.3313596236838325E-2</v>
      </c>
      <c r="N129" s="142">
        <f>+IF(L129&lt;0,0,L129*(1+'[14]Ind. Crecimiento'!$C$7))</f>
        <v>6116.3496116784609</v>
      </c>
      <c r="O129" s="143">
        <f t="shared" si="70"/>
        <v>0.1100000000000001</v>
      </c>
      <c r="P129" s="142">
        <f>+IF(N129&lt;0,0,N129*(1+'[14]Ind. Crecimiento'!$D$7))</f>
        <v>6642.3556782828091</v>
      </c>
      <c r="Q129" s="143">
        <f t="shared" si="71"/>
        <v>8.6000000000000076E-2</v>
      </c>
      <c r="R129" s="142">
        <f>+IF(P129&lt;0,0,P129*(1+'[14]Ind. Crecimiento'!$E$7))</f>
        <v>7173.7441325454347</v>
      </c>
      <c r="S129" s="143">
        <f t="shared" si="72"/>
        <v>8.0000000000000071E-2</v>
      </c>
      <c r="T129" s="142">
        <f>+IF(R129&lt;0,0,R129*(1+'[14]Ind. Crecimiento'!$F$7))</f>
        <v>7711.7749424863423</v>
      </c>
      <c r="U129" s="143">
        <f t="shared" si="73"/>
        <v>7.4999999999999956E-2</v>
      </c>
      <c r="V129" s="142">
        <f>+IF(T129&lt;0,0,T129*(1+'[14]Ind. Crecimiento'!$G$7))</f>
        <v>8290.1580631728175</v>
      </c>
      <c r="W129" s="143">
        <f t="shared" si="74"/>
        <v>7.4999999999999956E-2</v>
      </c>
    </row>
    <row r="130" spans="2:23" ht="14.25" outlineLevel="1">
      <c r="B130" s="119">
        <v>5105700000</v>
      </c>
      <c r="C130" s="21">
        <v>5105700000</v>
      </c>
      <c r="D130" s="27" t="s">
        <v>155</v>
      </c>
      <c r="E130" s="142">
        <v>3749.6476870000001</v>
      </c>
      <c r="F130" s="142">
        <v>4504.0935949999994</v>
      </c>
      <c r="G130" s="143">
        <f t="shared" si="66"/>
        <v>0.20120447865426327</v>
      </c>
      <c r="H130" s="142">
        <v>5535.8211919999994</v>
      </c>
      <c r="I130" s="143">
        <f t="shared" si="67"/>
        <v>0.22906442222810863</v>
      </c>
      <c r="J130" s="142">
        <v>6172.9826059999996</v>
      </c>
      <c r="K130" s="143">
        <f t="shared" si="68"/>
        <v>0.11509790361740424</v>
      </c>
      <c r="L130" s="142">
        <v>6807.7629842019987</v>
      </c>
      <c r="M130" s="143">
        <f t="shared" si="69"/>
        <v>0.10283203739874569</v>
      </c>
      <c r="N130" s="142">
        <f>+IF(L130&lt;0,0,L130*(1+'[14]Ind. Crecimiento'!$C$7))</f>
        <v>7556.6169124642192</v>
      </c>
      <c r="O130" s="143">
        <f t="shared" si="70"/>
        <v>0.1100000000000001</v>
      </c>
      <c r="P130" s="142">
        <f>+IF(N130&lt;0,0,N130*(1+'[14]Ind. Crecimiento'!$D$7))</f>
        <v>8206.4859669361431</v>
      </c>
      <c r="Q130" s="143">
        <f t="shared" si="71"/>
        <v>8.6000000000000076E-2</v>
      </c>
      <c r="R130" s="142">
        <f>+IF(P130&lt;0,0,P130*(1+'[14]Ind. Crecimiento'!$E$7))</f>
        <v>8863.0048442910356</v>
      </c>
      <c r="S130" s="143">
        <f t="shared" si="72"/>
        <v>8.0000000000000071E-2</v>
      </c>
      <c r="T130" s="142">
        <f>+IF(R130&lt;0,0,R130*(1+'[14]Ind. Crecimiento'!$F$7))</f>
        <v>9527.7302076128635</v>
      </c>
      <c r="U130" s="143">
        <f t="shared" si="73"/>
        <v>7.4999999999999956E-2</v>
      </c>
      <c r="V130" s="142">
        <f>+IF(T130&lt;0,0,T130*(1+'[14]Ind. Crecimiento'!$G$7))</f>
        <v>10242.309973183828</v>
      </c>
      <c r="W130" s="143">
        <f t="shared" si="74"/>
        <v>7.4999999999999956E-2</v>
      </c>
    </row>
    <row r="131" spans="2:23" ht="14.25" outlineLevel="1">
      <c r="B131" s="117">
        <v>5105720000</v>
      </c>
      <c r="C131" s="21">
        <v>5105720000</v>
      </c>
      <c r="D131" s="27" t="s">
        <v>156</v>
      </c>
      <c r="E131" s="142">
        <v>1350.657854</v>
      </c>
      <c r="F131" s="142">
        <v>1649.8608570000001</v>
      </c>
      <c r="G131" s="143">
        <f t="shared" si="66"/>
        <v>0.22152390563894797</v>
      </c>
      <c r="H131" s="142">
        <v>2013.6202129999999</v>
      </c>
      <c r="I131" s="143">
        <f t="shared" si="67"/>
        <v>0.22047880853506419</v>
      </c>
      <c r="J131" s="142">
        <v>2289.4946600000003</v>
      </c>
      <c r="K131" s="143">
        <f t="shared" si="68"/>
        <v>0.13700421023733544</v>
      </c>
      <c r="L131" s="142">
        <v>2480.6128181701201</v>
      </c>
      <c r="M131" s="143">
        <f t="shared" si="69"/>
        <v>8.3476131877119109E-2</v>
      </c>
      <c r="N131" s="142">
        <f>+IF(L131&lt;0,0,L131*(1+'[14]Ind. Crecimiento'!$C$7))</f>
        <v>2753.4802281688335</v>
      </c>
      <c r="O131" s="143">
        <f t="shared" si="70"/>
        <v>0.1100000000000001</v>
      </c>
      <c r="P131" s="142">
        <f>+IF(N131&lt;0,0,N131*(1+'[14]Ind. Crecimiento'!$D$7))</f>
        <v>2990.2795277913533</v>
      </c>
      <c r="Q131" s="143">
        <f t="shared" si="71"/>
        <v>8.6000000000000076E-2</v>
      </c>
      <c r="R131" s="142">
        <f>+IF(P131&lt;0,0,P131*(1+'[14]Ind. Crecimiento'!$E$7))</f>
        <v>3229.501890014662</v>
      </c>
      <c r="S131" s="143">
        <f t="shared" si="72"/>
        <v>8.0000000000000071E-2</v>
      </c>
      <c r="T131" s="142">
        <f>+IF(R131&lt;0,0,R131*(1+'[14]Ind. Crecimiento'!$F$7))</f>
        <v>3471.7145317657614</v>
      </c>
      <c r="U131" s="143">
        <f t="shared" si="73"/>
        <v>7.4999999999999956E-2</v>
      </c>
      <c r="V131" s="142">
        <f>+IF(T131&lt;0,0,T131*(1+'[14]Ind. Crecimiento'!$G$7))</f>
        <v>3732.0931216481936</v>
      </c>
      <c r="W131" s="143">
        <f t="shared" si="74"/>
        <v>7.4999999999999956E-2</v>
      </c>
    </row>
    <row r="132" spans="2:23" ht="14.25" outlineLevel="1">
      <c r="B132" s="119">
        <v>5105750000</v>
      </c>
      <c r="C132" s="21">
        <v>5105750000</v>
      </c>
      <c r="D132" s="27" t="s">
        <v>157</v>
      </c>
      <c r="E132" s="142">
        <v>1008.561297</v>
      </c>
      <c r="F132" s="142">
        <v>1237.339023</v>
      </c>
      <c r="G132" s="143">
        <f t="shared" si="66"/>
        <v>0.2268357180475864</v>
      </c>
      <c r="H132" s="142">
        <v>1509.8206129999999</v>
      </c>
      <c r="I132" s="143">
        <f t="shared" si="67"/>
        <v>0.22021578963811583</v>
      </c>
      <c r="J132" s="142">
        <v>1717.0339059999999</v>
      </c>
      <c r="K132" s="143">
        <f t="shared" si="68"/>
        <v>0.13724365081244261</v>
      </c>
      <c r="L132" s="142">
        <v>1860.3958638143199</v>
      </c>
      <c r="M132" s="143">
        <f t="shared" si="69"/>
        <v>8.3493958572021354E-2</v>
      </c>
      <c r="N132" s="142">
        <f>+IF(L132&lt;0,0,L132*(1+'[14]Ind. Crecimiento'!$C$7))</f>
        <v>2065.0394088338953</v>
      </c>
      <c r="O132" s="143">
        <f t="shared" si="70"/>
        <v>0.1100000000000001</v>
      </c>
      <c r="P132" s="142">
        <f>+IF(N132&lt;0,0,N132*(1+'[14]Ind. Crecimiento'!$D$7))</f>
        <v>2242.6327979936104</v>
      </c>
      <c r="Q132" s="143">
        <f t="shared" si="71"/>
        <v>8.6000000000000076E-2</v>
      </c>
      <c r="R132" s="142">
        <f>+IF(P132&lt;0,0,P132*(1+'[14]Ind. Crecimiento'!$E$7))</f>
        <v>2422.0434218330993</v>
      </c>
      <c r="S132" s="143">
        <f t="shared" si="72"/>
        <v>8.0000000000000071E-2</v>
      </c>
      <c r="T132" s="142">
        <f>+IF(R132&lt;0,0,R132*(1+'[14]Ind. Crecimiento'!$F$7))</f>
        <v>2603.6966784705814</v>
      </c>
      <c r="U132" s="143">
        <f t="shared" si="73"/>
        <v>7.4999999999999956E-2</v>
      </c>
      <c r="V132" s="142">
        <f>+IF(T132&lt;0,0,T132*(1+'[14]Ind. Crecimiento'!$G$7))</f>
        <v>2798.973929355875</v>
      </c>
      <c r="W132" s="143">
        <f t="shared" si="74"/>
        <v>7.4999999999999956E-2</v>
      </c>
    </row>
    <row r="133" spans="2:23" ht="14.25" outlineLevel="1">
      <c r="B133" s="119">
        <v>5105780000</v>
      </c>
      <c r="C133" s="21">
        <v>5105780000</v>
      </c>
      <c r="D133" s="27" t="s">
        <v>158</v>
      </c>
      <c r="E133" s="142">
        <v>672.53385800000001</v>
      </c>
      <c r="F133" s="142">
        <v>825.03155600000002</v>
      </c>
      <c r="G133" s="143">
        <f t="shared" si="66"/>
        <v>0.22675096009813078</v>
      </c>
      <c r="H133" s="142">
        <v>1006.58725</v>
      </c>
      <c r="I133" s="143">
        <f t="shared" si="67"/>
        <v>0.22005909068525376</v>
      </c>
      <c r="J133" s="142">
        <v>1144.7524310000001</v>
      </c>
      <c r="K133" s="143">
        <f t="shared" si="68"/>
        <v>0.13726100842227051</v>
      </c>
      <c r="L133" s="142">
        <v>1240.3064090850601</v>
      </c>
      <c r="M133" s="143">
        <f t="shared" si="69"/>
        <v>8.3471303923406959E-2</v>
      </c>
      <c r="N133" s="142">
        <f>+IF(L133&lt;0,0,L133*(1+'[14]Ind. Crecimiento'!$C$7))</f>
        <v>1376.7401140844167</v>
      </c>
      <c r="O133" s="143">
        <f t="shared" si="70"/>
        <v>0.1100000000000001</v>
      </c>
      <c r="P133" s="142">
        <f>+IF(N133&lt;0,0,N133*(1+'[14]Ind. Crecimiento'!$D$7))</f>
        <v>1495.1397638956767</v>
      </c>
      <c r="Q133" s="143">
        <f t="shared" si="71"/>
        <v>8.6000000000000076E-2</v>
      </c>
      <c r="R133" s="142">
        <f>+IF(P133&lt;0,0,P133*(1+'[14]Ind. Crecimiento'!$E$7))</f>
        <v>1614.750945007331</v>
      </c>
      <c r="S133" s="143">
        <f t="shared" si="72"/>
        <v>8.0000000000000071E-2</v>
      </c>
      <c r="T133" s="142">
        <f>+IF(R133&lt;0,0,R133*(1+'[14]Ind. Crecimiento'!$F$7))</f>
        <v>1735.8572658828807</v>
      </c>
      <c r="U133" s="143">
        <f t="shared" si="73"/>
        <v>7.4999999999999956E-2</v>
      </c>
      <c r="V133" s="142">
        <f>+IF(T133&lt;0,0,T133*(1+'[14]Ind. Crecimiento'!$G$7))</f>
        <v>1866.0465608240968</v>
      </c>
      <c r="W133" s="143">
        <f t="shared" si="74"/>
        <v>7.4999999999999956E-2</v>
      </c>
    </row>
    <row r="134" spans="2:23" ht="14.25" outlineLevel="1">
      <c r="B134" s="119"/>
      <c r="C134" s="21"/>
      <c r="D134" s="33" t="s">
        <v>601</v>
      </c>
      <c r="E134" s="142"/>
      <c r="F134" s="142"/>
      <c r="G134" s="143"/>
      <c r="H134" s="142"/>
      <c r="I134" s="143"/>
      <c r="J134" s="142"/>
      <c r="K134" s="143"/>
      <c r="L134" s="142"/>
      <c r="M134" s="143"/>
      <c r="N134" s="142">
        <v>1426</v>
      </c>
      <c r="O134" s="143"/>
      <c r="P134" s="142">
        <v>2984</v>
      </c>
      <c r="Q134" s="143">
        <f t="shared" si="71"/>
        <v>1.0925666199158486</v>
      </c>
      <c r="R134" s="142">
        <v>4722</v>
      </c>
      <c r="S134" s="143">
        <f t="shared" si="72"/>
        <v>0.58243967828418231</v>
      </c>
      <c r="T134" s="142">
        <v>6623</v>
      </c>
      <c r="U134" s="143">
        <f t="shared" si="73"/>
        <v>0.40258365099534088</v>
      </c>
      <c r="V134" s="142">
        <v>8756</v>
      </c>
      <c r="W134" s="143">
        <f t="shared" si="74"/>
        <v>0.32205948965725506</v>
      </c>
    </row>
    <row r="135" spans="2:23" ht="14.25" outlineLevel="1">
      <c r="B135" s="119"/>
      <c r="C135" s="21"/>
      <c r="D135" s="33" t="s">
        <v>602</v>
      </c>
      <c r="E135" s="142"/>
      <c r="F135" s="142"/>
      <c r="G135" s="143"/>
      <c r="H135" s="142"/>
      <c r="I135" s="143"/>
      <c r="J135" s="142"/>
      <c r="K135" s="143"/>
      <c r="L135" s="142"/>
      <c r="M135" s="143"/>
      <c r="N135" s="142">
        <v>790</v>
      </c>
      <c r="O135" s="143"/>
      <c r="P135" s="142">
        <v>1181</v>
      </c>
      <c r="Q135" s="143">
        <f t="shared" si="71"/>
        <v>0.49493670886075947</v>
      </c>
      <c r="R135" s="142">
        <v>1607</v>
      </c>
      <c r="S135" s="143">
        <f t="shared" si="72"/>
        <v>0.36071126164267575</v>
      </c>
      <c r="T135" s="142">
        <v>2042</v>
      </c>
      <c r="U135" s="143">
        <f t="shared" si="73"/>
        <v>0.27069072806471683</v>
      </c>
      <c r="V135" s="142">
        <v>2412</v>
      </c>
      <c r="W135" s="143">
        <f t="shared" si="74"/>
        <v>0.18119490695396667</v>
      </c>
    </row>
    <row r="136" spans="2:23" ht="14.25" outlineLevel="1">
      <c r="B136" s="119">
        <v>5105840000</v>
      </c>
      <c r="C136" s="21">
        <v>5105840000</v>
      </c>
      <c r="D136" s="27" t="s">
        <v>159</v>
      </c>
      <c r="E136" s="142">
        <v>5.0379149999999999</v>
      </c>
      <c r="F136" s="142">
        <v>4.0561759999999998</v>
      </c>
      <c r="G136" s="143">
        <f t="shared" si="66"/>
        <v>-0.19487010003146144</v>
      </c>
      <c r="H136" s="142">
        <v>20.124307999999999</v>
      </c>
      <c r="I136" s="143">
        <f t="shared" si="67"/>
        <v>3.961399110886707</v>
      </c>
      <c r="J136" s="142">
        <v>0</v>
      </c>
      <c r="K136" s="143" t="str">
        <f t="shared" si="68"/>
        <v/>
      </c>
      <c r="L136" s="142">
        <v>0</v>
      </c>
      <c r="M136" s="143" t="str">
        <f t="shared" si="69"/>
        <v/>
      </c>
      <c r="N136" s="142">
        <f>+IF(L136&lt;0,0,L136*(1+'[14]Ind. Crecimiento'!$C$7))</f>
        <v>0</v>
      </c>
      <c r="O136" s="143" t="str">
        <f t="shared" si="70"/>
        <v/>
      </c>
      <c r="P136" s="142">
        <f>+IF(N136&lt;0,0,N136*(1+'[14]Ind. Crecimiento'!$D$7))</f>
        <v>0</v>
      </c>
      <c r="Q136" s="143" t="str">
        <f t="shared" si="71"/>
        <v/>
      </c>
      <c r="R136" s="142">
        <f>+IF(P136&lt;0,0,P136*(1+'[14]Ind. Crecimiento'!$E$7))</f>
        <v>0</v>
      </c>
      <c r="S136" s="143" t="str">
        <f t="shared" si="72"/>
        <v/>
      </c>
      <c r="T136" s="142">
        <f>+IF(R136&lt;0,0,R136*(1+'[14]Ind. Crecimiento'!$F$7))</f>
        <v>0</v>
      </c>
      <c r="U136" s="143" t="str">
        <f t="shared" si="73"/>
        <v/>
      </c>
      <c r="V136" s="142">
        <f>+IF(T136&lt;0,0,T136*(1+'[14]Ind. Crecimiento'!$G$7))</f>
        <v>0</v>
      </c>
      <c r="W136" s="143" t="str">
        <f t="shared" si="74"/>
        <v/>
      </c>
    </row>
    <row r="137" spans="2:23" ht="14.25" outlineLevel="1">
      <c r="B137" s="119">
        <v>5105950100</v>
      </c>
      <c r="C137" s="21">
        <v>5105950100</v>
      </c>
      <c r="D137" s="27" t="s">
        <v>160</v>
      </c>
      <c r="E137" s="142">
        <v>185.957775</v>
      </c>
      <c r="F137" s="142">
        <v>182.44</v>
      </c>
      <c r="G137" s="143">
        <f t="shared" si="66"/>
        <v>-1.8917063295686321E-2</v>
      </c>
      <c r="H137" s="142">
        <v>179.41146700000002</v>
      </c>
      <c r="I137" s="143">
        <f t="shared" si="67"/>
        <v>-1.6600158956369127E-2</v>
      </c>
      <c r="J137" s="142">
        <v>111.708083</v>
      </c>
      <c r="K137" s="143">
        <f t="shared" si="68"/>
        <v>-0.37736375011079981</v>
      </c>
      <c r="L137" s="142">
        <v>119.55361681000001</v>
      </c>
      <c r="M137" s="143">
        <f t="shared" si="69"/>
        <v>7.0232463034926473E-2</v>
      </c>
      <c r="N137" s="142">
        <f>+IF(L137&lt;0,0,L137*(1+'[14]Ind. Crecimiento'!$C$7))</f>
        <v>132.70451465910003</v>
      </c>
      <c r="O137" s="143">
        <f t="shared" si="70"/>
        <v>0.1100000000000001</v>
      </c>
      <c r="P137" s="142">
        <f>+IF(N137&lt;0,0,N137*(1+'[14]Ind. Crecimiento'!$D$7))</f>
        <v>144.11710291978264</v>
      </c>
      <c r="Q137" s="143">
        <f t="shared" si="71"/>
        <v>8.6000000000000076E-2</v>
      </c>
      <c r="R137" s="142">
        <f>+IF(P137&lt;0,0,P137*(1+'[14]Ind. Crecimiento'!$E$7))</f>
        <v>155.64647115336527</v>
      </c>
      <c r="S137" s="143">
        <f t="shared" si="72"/>
        <v>8.0000000000000071E-2</v>
      </c>
      <c r="T137" s="142">
        <f>+IF(R137&lt;0,0,R137*(1+'[14]Ind. Crecimiento'!$F$7))</f>
        <v>167.31995648986765</v>
      </c>
      <c r="U137" s="143">
        <f t="shared" si="73"/>
        <v>7.4999999999999956E-2</v>
      </c>
      <c r="V137" s="142">
        <f>+IF(T137&lt;0,0,T137*(1+'[14]Ind. Crecimiento'!$G$7))</f>
        <v>179.86895322660772</v>
      </c>
      <c r="W137" s="143">
        <f t="shared" si="74"/>
        <v>7.4999999999999956E-2</v>
      </c>
    </row>
    <row r="138" spans="2:23" ht="14.25" outlineLevel="1">
      <c r="B138" s="119">
        <v>5105950200</v>
      </c>
      <c r="C138" s="21">
        <v>5105950200</v>
      </c>
      <c r="D138" s="27" t="s">
        <v>161</v>
      </c>
      <c r="E138" s="142">
        <v>17.12</v>
      </c>
      <c r="F138" s="142">
        <v>32.790999999999997</v>
      </c>
      <c r="G138" s="143">
        <f t="shared" si="66"/>
        <v>0.91536214953271</v>
      </c>
      <c r="H138" s="142">
        <v>30.074000000000002</v>
      </c>
      <c r="I138" s="143">
        <f t="shared" si="67"/>
        <v>-8.2858101308285637E-2</v>
      </c>
      <c r="J138" s="142">
        <v>17.936</v>
      </c>
      <c r="K138" s="143">
        <f t="shared" si="68"/>
        <v>-0.40360444237547388</v>
      </c>
      <c r="L138" s="142">
        <v>19.191492180000001</v>
      </c>
      <c r="M138" s="143">
        <f t="shared" si="69"/>
        <v>6.9998448929527335E-2</v>
      </c>
      <c r="N138" s="142">
        <f>+IF(L138&lt;0,0,L138*(1+'[14]Ind. Crecimiento'!$C$7))</f>
        <v>21.302556319800004</v>
      </c>
      <c r="O138" s="143">
        <f t="shared" si="70"/>
        <v>0.1100000000000001</v>
      </c>
      <c r="P138" s="142">
        <f>+IF(N138&lt;0,0,N138*(1+'[14]Ind. Crecimiento'!$D$7))</f>
        <v>23.134576163302807</v>
      </c>
      <c r="Q138" s="143">
        <f t="shared" si="71"/>
        <v>8.6000000000000076E-2</v>
      </c>
      <c r="R138" s="142">
        <f>+IF(P138&lt;0,0,P138*(1+'[14]Ind. Crecimiento'!$E$7))</f>
        <v>24.985342256367034</v>
      </c>
      <c r="S138" s="143">
        <f t="shared" si="72"/>
        <v>8.0000000000000071E-2</v>
      </c>
      <c r="T138" s="142">
        <f>+IF(R138&lt;0,0,R138*(1+'[14]Ind. Crecimiento'!$F$7))</f>
        <v>26.859242925594561</v>
      </c>
      <c r="U138" s="143">
        <f t="shared" si="73"/>
        <v>7.4999999999999956E-2</v>
      </c>
      <c r="V138" s="142">
        <f>+IF(T138&lt;0,0,T138*(1+'[14]Ind. Crecimiento'!$G$7))</f>
        <v>28.873686145014151</v>
      </c>
      <c r="W138" s="143">
        <f t="shared" si="74"/>
        <v>7.4999999999999956E-2</v>
      </c>
    </row>
    <row r="139" spans="2:23" ht="14.25" outlineLevel="1">
      <c r="B139" s="117">
        <v>5105950300</v>
      </c>
      <c r="C139" s="21">
        <v>5105950300</v>
      </c>
      <c r="D139" s="27" t="s">
        <v>162</v>
      </c>
      <c r="E139" s="142">
        <v>0.55200000000000005</v>
      </c>
      <c r="F139" s="142">
        <v>0.85299999999999998</v>
      </c>
      <c r="G139" s="143">
        <f t="shared" si="66"/>
        <v>0.54528985507246364</v>
      </c>
      <c r="H139" s="142">
        <v>0.98699999999999999</v>
      </c>
      <c r="I139" s="143">
        <f t="shared" si="67"/>
        <v>0.15709261430246202</v>
      </c>
      <c r="J139" s="142">
        <v>0.73299999999999998</v>
      </c>
      <c r="K139" s="143">
        <f t="shared" si="68"/>
        <v>-0.25734549138804463</v>
      </c>
      <c r="L139" s="142">
        <v>0.7842832500000001</v>
      </c>
      <c r="M139" s="143">
        <f t="shared" si="69"/>
        <v>6.9963506139154363E-2</v>
      </c>
      <c r="N139" s="142">
        <f>+IF(L139&lt;0,0,L139*(1+'[14]Ind. Crecimiento'!$C$7))</f>
        <v>0.87055440750000024</v>
      </c>
      <c r="O139" s="143">
        <f t="shared" si="70"/>
        <v>0.1100000000000001</v>
      </c>
      <c r="P139" s="142">
        <f>+IF(N139&lt;0,0,N139*(1+'[14]Ind. Crecimiento'!$D$7))</f>
        <v>0.94542208654500037</v>
      </c>
      <c r="Q139" s="143">
        <f t="shared" si="71"/>
        <v>8.6000000000000076E-2</v>
      </c>
      <c r="R139" s="142">
        <f>+IF(P139&lt;0,0,P139*(1+'[14]Ind. Crecimiento'!$E$7))</f>
        <v>1.0210558534686005</v>
      </c>
      <c r="S139" s="143">
        <f t="shared" si="72"/>
        <v>8.0000000000000071E-2</v>
      </c>
      <c r="T139" s="142">
        <f>+IF(R139&lt;0,0,R139*(1+'[14]Ind. Crecimiento'!$F$7))</f>
        <v>1.0976350424787455</v>
      </c>
      <c r="U139" s="143">
        <f t="shared" si="73"/>
        <v>7.4999999999999956E-2</v>
      </c>
      <c r="V139" s="142">
        <f>+IF(T139&lt;0,0,T139*(1+'[14]Ind. Crecimiento'!$G$7))</f>
        <v>1.1799576706646515</v>
      </c>
      <c r="W139" s="143">
        <f t="shared" si="74"/>
        <v>7.4999999999999956E-2</v>
      </c>
    </row>
    <row r="140" spans="2:23" ht="14.25">
      <c r="B140" s="119"/>
      <c r="C140" s="34"/>
      <c r="D140" s="35" t="s">
        <v>163</v>
      </c>
      <c r="E140" s="36">
        <f>SUM(E109:E139)</f>
        <v>50179.356821000001</v>
      </c>
      <c r="F140" s="36">
        <f>SUM(F109:F139)</f>
        <v>61438.178942999999</v>
      </c>
      <c r="G140" s="152">
        <f t="shared" si="66"/>
        <v>0.2243715909345454</v>
      </c>
      <c r="H140" s="36">
        <f>SUM(H109:H139)</f>
        <v>74722.831511999975</v>
      </c>
      <c r="I140" s="152">
        <f t="shared" si="67"/>
        <v>0.21622796765061958</v>
      </c>
      <c r="J140" s="36">
        <f>SUM(J109:J139)</f>
        <v>84392.972287000011</v>
      </c>
      <c r="K140" s="152">
        <f t="shared" si="68"/>
        <v>0.12941346813720611</v>
      </c>
      <c r="L140" s="36">
        <f>SUM(L109:L139)</f>
        <v>94914.138309182803</v>
      </c>
      <c r="M140" s="152">
        <f t="shared" si="69"/>
        <v>0.12466874595200728</v>
      </c>
      <c r="N140" s="36">
        <f>SUM(N109:N139)</f>
        <v>107778.69352319291</v>
      </c>
      <c r="O140" s="152">
        <f t="shared" si="70"/>
        <v>0.1355388716916317</v>
      </c>
      <c r="P140" s="36">
        <f>SUM(P109:P139)</f>
        <v>118953.19716618754</v>
      </c>
      <c r="Q140" s="152">
        <f t="shared" si="71"/>
        <v>0.10368008070713897</v>
      </c>
      <c r="R140" s="36">
        <f>SUM(R109:R139)</f>
        <v>130226.41293948253</v>
      </c>
      <c r="S140" s="152">
        <f t="shared" si="72"/>
        <v>9.4770178875859479E-2</v>
      </c>
      <c r="T140" s="36">
        <f>SUM(T109:T139)</f>
        <v>141804.04390994375</v>
      </c>
      <c r="U140" s="152">
        <f t="shared" si="73"/>
        <v>8.8903861429719733E-2</v>
      </c>
      <c r="V140" s="36">
        <f>SUM(V109:V139)</f>
        <v>154254.74720318944</v>
      </c>
      <c r="W140" s="152">
        <f t="shared" si="74"/>
        <v>8.7802173689438767E-2</v>
      </c>
    </row>
    <row r="141" spans="2:23" ht="14.25" hidden="1">
      <c r="B141" s="119"/>
      <c r="C141" s="21"/>
      <c r="D141" s="33" t="s">
        <v>164</v>
      </c>
      <c r="E141" s="39"/>
      <c r="F141" s="39"/>
      <c r="G141" s="141" t="str">
        <f t="shared" si="66"/>
        <v/>
      </c>
      <c r="H141" s="39"/>
      <c r="I141" s="141" t="str">
        <f t="shared" si="67"/>
        <v/>
      </c>
      <c r="J141" s="39"/>
      <c r="K141" s="141" t="str">
        <f t="shared" si="68"/>
        <v/>
      </c>
      <c r="L141" s="39"/>
      <c r="M141" s="141" t="str">
        <f t="shared" si="69"/>
        <v/>
      </c>
      <c r="N141" s="39"/>
      <c r="O141" s="141" t="str">
        <f t="shared" si="70"/>
        <v/>
      </c>
      <c r="P141" s="39"/>
      <c r="Q141" s="141" t="str">
        <f t="shared" si="71"/>
        <v/>
      </c>
      <c r="R141" s="39"/>
      <c r="S141" s="141" t="str">
        <f t="shared" si="72"/>
        <v/>
      </c>
      <c r="T141" s="39"/>
      <c r="U141" s="141" t="str">
        <f t="shared" si="73"/>
        <v/>
      </c>
      <c r="V141" s="39"/>
      <c r="W141" s="141" t="str">
        <f t="shared" si="74"/>
        <v/>
      </c>
    </row>
    <row r="142" spans="2:23" ht="14.25" outlineLevel="1">
      <c r="B142" s="119">
        <v>5110100000</v>
      </c>
      <c r="C142" s="21">
        <v>5110100000</v>
      </c>
      <c r="D142" s="27" t="s">
        <v>165</v>
      </c>
      <c r="E142" s="142">
        <v>41.475000000000001</v>
      </c>
      <c r="F142" s="142">
        <v>43.095999999999997</v>
      </c>
      <c r="G142" s="143">
        <f t="shared" si="66"/>
        <v>3.9083785412899141E-2</v>
      </c>
      <c r="H142" s="142">
        <v>52.637999999999998</v>
      </c>
      <c r="I142" s="143">
        <f t="shared" si="67"/>
        <v>0.22141266010766669</v>
      </c>
      <c r="J142" s="142">
        <v>68</v>
      </c>
      <c r="K142" s="143">
        <f t="shared" si="68"/>
        <v>0.29184239522778221</v>
      </c>
      <c r="L142" s="142">
        <v>143.72399999999999</v>
      </c>
      <c r="M142" s="143">
        <f t="shared" si="69"/>
        <v>1.1135882352941175</v>
      </c>
      <c r="N142" s="142">
        <f>+IF(L142&lt;0,0,L142*(1+'[14]Ind. Crecimiento'!$C$7))</f>
        <v>159.53363999999999</v>
      </c>
      <c r="O142" s="143">
        <f t="shared" si="70"/>
        <v>0.1100000000000001</v>
      </c>
      <c r="P142" s="142">
        <f>+IF(N142&lt;0,0,N142*(1+'[14]Ind. Crecimiento'!$D$7))</f>
        <v>173.25353304000001</v>
      </c>
      <c r="Q142" s="143">
        <f t="shared" si="71"/>
        <v>8.6000000000000076E-2</v>
      </c>
      <c r="R142" s="142">
        <f>+IF(P142&lt;0,0,P142*(1+'[14]Ind. Crecimiento'!$E$7))</f>
        <v>187.11381568320002</v>
      </c>
      <c r="S142" s="143">
        <f t="shared" si="72"/>
        <v>8.0000000000000071E-2</v>
      </c>
      <c r="T142" s="142">
        <f>+IF(R142&lt;0,0,R142*(1+'[14]Ind. Crecimiento'!$F$7))</f>
        <v>201.14735185944002</v>
      </c>
      <c r="U142" s="143">
        <f t="shared" si="73"/>
        <v>7.4999999999999956E-2</v>
      </c>
      <c r="V142" s="142">
        <f>+IF(T142&lt;0,0,T142*(1+'[14]Ind. Crecimiento'!$G$7))</f>
        <v>216.23340324889801</v>
      </c>
      <c r="W142" s="143">
        <f t="shared" si="74"/>
        <v>7.4999999999999956E-2</v>
      </c>
    </row>
    <row r="143" spans="2:23" ht="14.25" outlineLevel="1">
      <c r="B143" s="119">
        <v>5110200000</v>
      </c>
      <c r="C143" s="21">
        <v>5110200000</v>
      </c>
      <c r="D143" s="27" t="s">
        <v>166</v>
      </c>
      <c r="E143" s="142">
        <v>5.8</v>
      </c>
      <c r="F143" s="142">
        <v>12.76</v>
      </c>
      <c r="G143" s="143">
        <f t="shared" si="66"/>
        <v>1.2000000000000002</v>
      </c>
      <c r="H143" s="142">
        <v>55.564</v>
      </c>
      <c r="I143" s="143">
        <f t="shared" si="67"/>
        <v>3.3545454545454545</v>
      </c>
      <c r="J143" s="142">
        <v>5.8</v>
      </c>
      <c r="K143" s="143">
        <f t="shared" si="68"/>
        <v>-0.89561586638830892</v>
      </c>
      <c r="L143" s="142">
        <v>6.2060000000000004</v>
      </c>
      <c r="M143" s="143">
        <f t="shared" si="69"/>
        <v>7.0000000000000062E-2</v>
      </c>
      <c r="N143" s="142">
        <f>+IF(L143&lt;0,0,L143*(1+'[14]Ind. Crecimiento'!$C$7))</f>
        <v>6.8886600000000007</v>
      </c>
      <c r="O143" s="143">
        <f t="shared" si="70"/>
        <v>0.1100000000000001</v>
      </c>
      <c r="P143" s="142">
        <f>+IF(N143&lt;0,0,N143*(1+'[14]Ind. Crecimiento'!$D$7))</f>
        <v>7.4810847600000017</v>
      </c>
      <c r="Q143" s="143">
        <f t="shared" si="71"/>
        <v>8.6000000000000076E-2</v>
      </c>
      <c r="R143" s="142">
        <f>+IF(P143&lt;0,0,P143*(1+'[14]Ind. Crecimiento'!$E$7))</f>
        <v>8.0795715408000017</v>
      </c>
      <c r="S143" s="143">
        <f t="shared" si="72"/>
        <v>8.0000000000000071E-2</v>
      </c>
      <c r="T143" s="142">
        <f>+IF(R143&lt;0,0,R143*(1+'[14]Ind. Crecimiento'!$F$7))</f>
        <v>8.685539406360002</v>
      </c>
      <c r="U143" s="143">
        <f t="shared" si="73"/>
        <v>7.4999999999999956E-2</v>
      </c>
      <c r="V143" s="142">
        <f>+IF(T143&lt;0,0,T143*(1+'[14]Ind. Crecimiento'!$G$7))</f>
        <v>9.3369548618370022</v>
      </c>
      <c r="W143" s="143">
        <f t="shared" si="74"/>
        <v>7.4999999999999956E-2</v>
      </c>
    </row>
    <row r="144" spans="2:23" ht="14.25" outlineLevel="1">
      <c r="B144" s="119">
        <v>5110250000</v>
      </c>
      <c r="C144" s="21">
        <v>5110250000</v>
      </c>
      <c r="D144" s="27" t="s">
        <v>167</v>
      </c>
      <c r="E144" s="142">
        <v>50.329000000000001</v>
      </c>
      <c r="F144" s="142">
        <v>51.545000000000002</v>
      </c>
      <c r="G144" s="143">
        <f t="shared" si="66"/>
        <v>2.4161020485207407E-2</v>
      </c>
      <c r="H144" s="142">
        <v>269.16000000000003</v>
      </c>
      <c r="I144" s="143">
        <f t="shared" si="67"/>
        <v>4.2218449898147252</v>
      </c>
      <c r="J144" s="142">
        <v>315.14999999999998</v>
      </c>
      <c r="K144" s="143">
        <f t="shared" si="68"/>
        <v>0.17086491306286211</v>
      </c>
      <c r="L144" s="142">
        <v>337.21050000000002</v>
      </c>
      <c r="M144" s="143">
        <f t="shared" si="69"/>
        <v>7.0000000000000062E-2</v>
      </c>
      <c r="N144" s="142">
        <f>+IF(L144&lt;0,0,L144*(1+'[14]Ind. Crecimiento'!$C$7))</f>
        <v>374.30365500000005</v>
      </c>
      <c r="O144" s="143">
        <f t="shared" si="70"/>
        <v>0.1100000000000001</v>
      </c>
      <c r="P144" s="142">
        <f>+IF(N144&lt;0,0,N144*(1+'[14]Ind. Crecimiento'!$D$7))</f>
        <v>406.49376933000008</v>
      </c>
      <c r="Q144" s="143">
        <f t="shared" si="71"/>
        <v>8.6000000000000076E-2</v>
      </c>
      <c r="R144" s="142">
        <f>+IF(P144&lt;0,0,P144*(1+'[14]Ind. Crecimiento'!$E$7))</f>
        <v>439.0132708764001</v>
      </c>
      <c r="S144" s="143">
        <f t="shared" si="72"/>
        <v>8.0000000000000071E-2</v>
      </c>
      <c r="T144" s="142">
        <f>+IF(R144&lt;0,0,R144*(1+'[14]Ind. Crecimiento'!$F$7))</f>
        <v>471.93926619213011</v>
      </c>
      <c r="U144" s="143">
        <f t="shared" si="73"/>
        <v>7.4999999999999956E-2</v>
      </c>
      <c r="V144" s="142">
        <f>+IF(T144&lt;0,0,T144*(1+'[14]Ind. Crecimiento'!$G$7))</f>
        <v>507.33471115653987</v>
      </c>
      <c r="W144" s="143">
        <f t="shared" si="74"/>
        <v>7.4999999999999956E-2</v>
      </c>
    </row>
    <row r="145" spans="2:23" ht="14.25" outlineLevel="1">
      <c r="B145" s="119">
        <v>5110350000</v>
      </c>
      <c r="C145" s="21">
        <v>5110350000</v>
      </c>
      <c r="D145" s="27" t="s">
        <v>168</v>
      </c>
      <c r="E145" s="142">
        <v>0</v>
      </c>
      <c r="F145" s="142">
        <v>37.345999999999997</v>
      </c>
      <c r="G145" s="143" t="str">
        <f t="shared" si="66"/>
        <v/>
      </c>
      <c r="H145" s="142">
        <v>2.2599999999999998</v>
      </c>
      <c r="I145" s="143">
        <f t="shared" si="67"/>
        <v>-0.9394848176511541</v>
      </c>
      <c r="J145" s="142">
        <v>4.0919999999999996</v>
      </c>
      <c r="K145" s="143">
        <f t="shared" si="68"/>
        <v>0.81061946902654869</v>
      </c>
      <c r="L145" s="142">
        <v>4.5</v>
      </c>
      <c r="M145" s="143">
        <f t="shared" si="69"/>
        <v>9.9706744868035324E-2</v>
      </c>
      <c r="N145" s="142">
        <f>+IF(L145&lt;0,0,L145*(1+'[14]Ind. Crecimiento'!$C$7))</f>
        <v>4.9950000000000001</v>
      </c>
      <c r="O145" s="143">
        <f t="shared" si="70"/>
        <v>0.1100000000000001</v>
      </c>
      <c r="P145" s="142">
        <f>+IF(N145&lt;0,0,N145*(1+'[14]Ind. Crecimiento'!$D$7))</f>
        <v>5.4245700000000001</v>
      </c>
      <c r="Q145" s="143">
        <f t="shared" si="71"/>
        <v>8.6000000000000076E-2</v>
      </c>
      <c r="R145" s="142">
        <f>+IF(P145&lt;0,0,P145*(1+'[14]Ind. Crecimiento'!$E$7))</f>
        <v>5.8585356000000006</v>
      </c>
      <c r="S145" s="143">
        <f t="shared" si="72"/>
        <v>8.0000000000000071E-2</v>
      </c>
      <c r="T145" s="142">
        <f>+IF(R145&lt;0,0,R145*(1+'[14]Ind. Crecimiento'!$F$7))</f>
        <v>6.29792577</v>
      </c>
      <c r="U145" s="143">
        <f t="shared" si="73"/>
        <v>7.4999999999999956E-2</v>
      </c>
      <c r="V145" s="142">
        <f>+IF(T145&lt;0,0,T145*(1+'[14]Ind. Crecimiento'!$G$7))</f>
        <v>6.7702702027499999</v>
      </c>
      <c r="W145" s="143">
        <f t="shared" si="74"/>
        <v>7.4999999999999956E-2</v>
      </c>
    </row>
    <row r="146" spans="2:23" ht="14.25" outlineLevel="1">
      <c r="B146" s="119">
        <v>5110350100</v>
      </c>
      <c r="C146" s="21">
        <v>5110350100</v>
      </c>
      <c r="D146" s="27" t="s">
        <v>169</v>
      </c>
      <c r="E146" s="142">
        <v>3268.4897340000002</v>
      </c>
      <c r="F146" s="142">
        <v>3029.1109999999999</v>
      </c>
      <c r="G146" s="143">
        <f t="shared" si="66"/>
        <v>-7.3238331303261295E-2</v>
      </c>
      <c r="H146" s="142">
        <v>3493.9470000000001</v>
      </c>
      <c r="I146" s="143">
        <f t="shared" si="67"/>
        <v>0.1534562450831285</v>
      </c>
      <c r="J146" s="142">
        <v>3826.9189999999999</v>
      </c>
      <c r="K146" s="143">
        <f t="shared" si="68"/>
        <v>9.5299671116934492E-2</v>
      </c>
      <c r="L146" s="142">
        <v>4776.1793859999998</v>
      </c>
      <c r="M146" s="143">
        <f t="shared" si="69"/>
        <v>0.24804820431265995</v>
      </c>
      <c r="N146" s="142">
        <f>+IF(L146&lt;0,0,L146*(1+'[14]Ind. Crecimiento'!$C$7))</f>
        <v>5301.5591184599998</v>
      </c>
      <c r="O146" s="143">
        <f t="shared" si="70"/>
        <v>0.1100000000000001</v>
      </c>
      <c r="P146" s="142">
        <f>+IF(N146&lt;0,0,N146*(1+'[14]Ind. Crecimiento'!$D$7))</f>
        <v>5757.4932026475599</v>
      </c>
      <c r="Q146" s="143">
        <f t="shared" si="71"/>
        <v>8.6000000000000076E-2</v>
      </c>
      <c r="R146" s="142">
        <f>+IF(P146&lt;0,0,P146*(1+'[14]Ind. Crecimiento'!$E$7))</f>
        <v>6218.0926588593647</v>
      </c>
      <c r="S146" s="143">
        <f t="shared" si="72"/>
        <v>8.0000000000000071E-2</v>
      </c>
      <c r="T146" s="142">
        <f>+IF(R146&lt;0,0,R146*(1+'[14]Ind. Crecimiento'!$F$7))</f>
        <v>6684.4496082738169</v>
      </c>
      <c r="U146" s="143">
        <f t="shared" si="73"/>
        <v>7.4999999999999956E-2</v>
      </c>
      <c r="V146" s="142">
        <f>+IF(T146&lt;0,0,T146*(1+'[14]Ind. Crecimiento'!$G$7))</f>
        <v>7185.783328894353</v>
      </c>
      <c r="W146" s="143">
        <f t="shared" si="74"/>
        <v>7.4999999999999956E-2</v>
      </c>
    </row>
    <row r="147" spans="2:23" ht="14.25" outlineLevel="1">
      <c r="B147" s="119">
        <v>5110350300</v>
      </c>
      <c r="C147" s="21">
        <v>5110350300</v>
      </c>
      <c r="D147" s="27" t="s">
        <v>170</v>
      </c>
      <c r="E147" s="142">
        <v>627.07399999999996</v>
      </c>
      <c r="F147" s="142">
        <v>846.61599999999999</v>
      </c>
      <c r="G147" s="143">
        <f t="shared" si="66"/>
        <v>0.35010541020677</v>
      </c>
      <c r="H147" s="142">
        <v>1062.5719999999999</v>
      </c>
      <c r="I147" s="143">
        <f t="shared" si="67"/>
        <v>0.25508140644637001</v>
      </c>
      <c r="J147" s="142">
        <v>1386.492</v>
      </c>
      <c r="K147" s="143">
        <f t="shared" si="68"/>
        <v>0.30484522460595631</v>
      </c>
      <c r="L147" s="142">
        <v>1585.9631039500005</v>
      </c>
      <c r="M147" s="143">
        <f t="shared" si="69"/>
        <v>0.14386747557865509</v>
      </c>
      <c r="N147" s="142">
        <f>+IF(L147&lt;0,0,L147*(1+'[14]Ind. Crecimiento'!$C$7))</f>
        <v>1760.4190453845006</v>
      </c>
      <c r="O147" s="143">
        <f t="shared" si="70"/>
        <v>0.1100000000000001</v>
      </c>
      <c r="P147" s="142">
        <f>+IF(N147&lt;0,0,N147*(1+'[14]Ind. Crecimiento'!$D$7))</f>
        <v>1911.8150832875679</v>
      </c>
      <c r="Q147" s="143">
        <f t="shared" si="71"/>
        <v>8.6000000000000076E-2</v>
      </c>
      <c r="R147" s="142">
        <f>+IF(P147&lt;0,0,P147*(1+'[14]Ind. Crecimiento'!$E$7))</f>
        <v>2064.7602899505732</v>
      </c>
      <c r="S147" s="143">
        <f t="shared" si="72"/>
        <v>8.0000000000000071E-2</v>
      </c>
      <c r="T147" s="142">
        <f>+IF(R147&lt;0,0,R147*(1+'[14]Ind. Crecimiento'!$F$7))</f>
        <v>2219.6173116968662</v>
      </c>
      <c r="U147" s="143">
        <f t="shared" si="73"/>
        <v>7.4999999999999956E-2</v>
      </c>
      <c r="V147" s="142">
        <f>+IF(T147&lt;0,0,T147*(1+'[14]Ind. Crecimiento'!$G$7))</f>
        <v>2386.0886100741309</v>
      </c>
      <c r="W147" s="143">
        <f t="shared" si="74"/>
        <v>7.4999999999999956E-2</v>
      </c>
    </row>
    <row r="148" spans="2:23" ht="14.25" outlineLevel="1">
      <c r="B148" s="119">
        <v>5110350400</v>
      </c>
      <c r="C148" s="21">
        <v>5110350400</v>
      </c>
      <c r="D148" s="27" t="s">
        <v>171</v>
      </c>
      <c r="E148" s="142">
        <v>443.565</v>
      </c>
      <c r="F148" s="142">
        <v>413.40899999999999</v>
      </c>
      <c r="G148" s="143">
        <f t="shared" si="66"/>
        <v>-6.7985526360285431E-2</v>
      </c>
      <c r="H148" s="142">
        <v>418.57600000000002</v>
      </c>
      <c r="I148" s="143">
        <f t="shared" si="67"/>
        <v>1.2498518416386828E-2</v>
      </c>
      <c r="J148" s="142">
        <v>509.18299999999999</v>
      </c>
      <c r="K148" s="143">
        <f t="shared" si="68"/>
        <v>0.2164648713734183</v>
      </c>
      <c r="L148" s="142">
        <v>590.59094973333333</v>
      </c>
      <c r="M148" s="143">
        <f t="shared" si="69"/>
        <v>0.15987955162158474</v>
      </c>
      <c r="N148" s="142">
        <f>+IF(L148&lt;0,0,L148*(1+'[14]Ind. Crecimiento'!$C$7))</f>
        <v>655.55595420400005</v>
      </c>
      <c r="O148" s="143">
        <f t="shared" si="70"/>
        <v>0.1100000000000001</v>
      </c>
      <c r="P148" s="142">
        <f>+IF(N148&lt;0,0,N148*(1+'[14]Ind. Crecimiento'!$D$7))</f>
        <v>711.93376626554414</v>
      </c>
      <c r="Q148" s="143">
        <f t="shared" si="71"/>
        <v>8.6000000000000076E-2</v>
      </c>
      <c r="R148" s="142">
        <f>+IF(P148&lt;0,0,P148*(1+'[14]Ind. Crecimiento'!$E$7))</f>
        <v>768.88846756678777</v>
      </c>
      <c r="S148" s="143">
        <f t="shared" si="72"/>
        <v>8.0000000000000071E-2</v>
      </c>
      <c r="T148" s="142">
        <f>+IF(R148&lt;0,0,R148*(1+'[14]Ind. Crecimiento'!$F$7))</f>
        <v>826.55510263429676</v>
      </c>
      <c r="U148" s="143">
        <f t="shared" si="73"/>
        <v>7.4999999999999956E-2</v>
      </c>
      <c r="V148" s="142">
        <f>+IF(T148&lt;0,0,T148*(1+'[14]Ind. Crecimiento'!$G$7))</f>
        <v>888.54673533186894</v>
      </c>
      <c r="W148" s="143">
        <f t="shared" si="74"/>
        <v>7.4999999999999956E-2</v>
      </c>
    </row>
    <row r="149" spans="2:23" ht="14.25" outlineLevel="1">
      <c r="B149" s="119">
        <v>5110350600</v>
      </c>
      <c r="C149" s="21">
        <v>5110350600</v>
      </c>
      <c r="D149" s="27" t="s">
        <v>172</v>
      </c>
      <c r="E149" s="142">
        <v>41.156999999999996</v>
      </c>
      <c r="F149" s="142">
        <v>43.793999999999997</v>
      </c>
      <c r="G149" s="143">
        <f t="shared" si="66"/>
        <v>6.4071725344412966E-2</v>
      </c>
      <c r="H149" s="142">
        <v>67.683000000000007</v>
      </c>
      <c r="I149" s="143">
        <f t="shared" si="67"/>
        <v>0.54548568297027011</v>
      </c>
      <c r="J149" s="142">
        <v>49.65</v>
      </c>
      <c r="K149" s="143">
        <f t="shared" si="68"/>
        <v>-0.26643322547759418</v>
      </c>
      <c r="L149" s="142">
        <v>55.12</v>
      </c>
      <c r="M149" s="143">
        <f t="shared" si="69"/>
        <v>0.11017119838872103</v>
      </c>
      <c r="N149" s="142">
        <f>+IF(L149&lt;0,0,L149*(1+'[14]Ind. Crecimiento'!$C$7))</f>
        <v>61.183199999999999</v>
      </c>
      <c r="O149" s="143">
        <f t="shared" si="70"/>
        <v>0.1100000000000001</v>
      </c>
      <c r="P149" s="142">
        <f>+IF(N149&lt;0,0,N149*(1+'[14]Ind. Crecimiento'!$D$7))</f>
        <v>66.44495520000001</v>
      </c>
      <c r="Q149" s="143">
        <f t="shared" si="71"/>
        <v>8.6000000000000076E-2</v>
      </c>
      <c r="R149" s="142">
        <f>+IF(P149&lt;0,0,P149*(1+'[14]Ind. Crecimiento'!$E$7))</f>
        <v>71.760551616000015</v>
      </c>
      <c r="S149" s="143">
        <f t="shared" si="72"/>
        <v>8.0000000000000071E-2</v>
      </c>
      <c r="T149" s="142">
        <f>+IF(R149&lt;0,0,R149*(1+'[14]Ind. Crecimiento'!$F$7))</f>
        <v>77.142592987200018</v>
      </c>
      <c r="U149" s="143">
        <f t="shared" si="73"/>
        <v>7.4999999999999956E-2</v>
      </c>
      <c r="V149" s="142">
        <f>+IF(T149&lt;0,0,T149*(1+'[14]Ind. Crecimiento'!$G$7))</f>
        <v>82.928287461240018</v>
      </c>
      <c r="W149" s="143">
        <f t="shared" si="74"/>
        <v>7.4999999999999956E-2</v>
      </c>
    </row>
    <row r="150" spans="2:23" ht="14.25" outlineLevel="1">
      <c r="B150" s="119"/>
      <c r="C150" s="21"/>
      <c r="D150" s="33" t="s">
        <v>603</v>
      </c>
      <c r="E150" s="142"/>
      <c r="F150" s="142"/>
      <c r="G150" s="143"/>
      <c r="H150" s="142"/>
      <c r="I150" s="143"/>
      <c r="J150" s="142"/>
      <c r="K150" s="143"/>
      <c r="L150" s="142"/>
      <c r="M150" s="143"/>
      <c r="N150" s="142">
        <v>379</v>
      </c>
      <c r="O150" s="143"/>
      <c r="P150" s="142">
        <v>2339</v>
      </c>
      <c r="Q150" s="143"/>
      <c r="R150" s="142">
        <v>4693</v>
      </c>
      <c r="S150" s="143"/>
      <c r="T150" s="142">
        <v>7327</v>
      </c>
      <c r="U150" s="143"/>
      <c r="V150" s="142">
        <v>10056</v>
      </c>
      <c r="W150" s="143"/>
    </row>
    <row r="151" spans="2:23" ht="14.25" outlineLevel="1">
      <c r="B151" s="117">
        <v>5110350700</v>
      </c>
      <c r="C151" s="144">
        <v>5110350700</v>
      </c>
      <c r="D151" s="27" t="s">
        <v>173</v>
      </c>
      <c r="E151" s="142">
        <v>0</v>
      </c>
      <c r="F151" s="142">
        <v>0</v>
      </c>
      <c r="G151" s="143" t="str">
        <f t="shared" si="66"/>
        <v/>
      </c>
      <c r="H151" s="142">
        <v>17.488</v>
      </c>
      <c r="I151" s="143" t="str">
        <f t="shared" si="67"/>
        <v/>
      </c>
      <c r="J151" s="142">
        <v>0</v>
      </c>
      <c r="K151" s="143" t="str">
        <f t="shared" si="68"/>
        <v/>
      </c>
      <c r="L151" s="142">
        <v>0</v>
      </c>
      <c r="M151" s="143" t="str">
        <f t="shared" si="69"/>
        <v/>
      </c>
      <c r="N151" s="142">
        <f>+IF(L151&lt;0,0,L151*(1+'[14]Ind. Crecimiento'!$C$7))</f>
        <v>0</v>
      </c>
      <c r="O151" s="143" t="str">
        <f t="shared" si="70"/>
        <v/>
      </c>
      <c r="P151" s="142">
        <f>+IF(N151&lt;0,0,N151*(1+'[14]Ind. Crecimiento'!$D$7))</f>
        <v>0</v>
      </c>
      <c r="Q151" s="143" t="str">
        <f t="shared" si="71"/>
        <v/>
      </c>
      <c r="R151" s="142">
        <f>+IF(P151&lt;0,0,P151*(1+'[14]Ind. Crecimiento'!$E$7))</f>
        <v>0</v>
      </c>
      <c r="S151" s="143" t="str">
        <f t="shared" si="72"/>
        <v/>
      </c>
      <c r="T151" s="142">
        <f>+IF(R151&lt;0,0,R151*(1+'[14]Ind. Crecimiento'!$F$7))</f>
        <v>0</v>
      </c>
      <c r="U151" s="143" t="str">
        <f t="shared" si="73"/>
        <v/>
      </c>
      <c r="V151" s="142">
        <f>+IF(T151&lt;0,0,T151*(1+'[14]Ind. Crecimiento'!$G$7))</f>
        <v>0</v>
      </c>
      <c r="W151" s="143" t="str">
        <f t="shared" si="74"/>
        <v/>
      </c>
    </row>
    <row r="152" spans="2:23" ht="14.25" outlineLevel="1">
      <c r="B152" s="119">
        <v>5110950000</v>
      </c>
      <c r="C152" s="21">
        <v>5110950000</v>
      </c>
      <c r="D152" s="27" t="s">
        <v>174</v>
      </c>
      <c r="E152" s="142">
        <v>2745.6624619999998</v>
      </c>
      <c r="F152" s="142">
        <v>2500.9989999999998</v>
      </c>
      <c r="G152" s="143">
        <f t="shared" si="66"/>
        <v>-8.9109082192784128E-2</v>
      </c>
      <c r="H152" s="142">
        <v>2984.4810000000002</v>
      </c>
      <c r="I152" s="143">
        <f t="shared" si="67"/>
        <v>0.19331555110577825</v>
      </c>
      <c r="J152" s="142">
        <v>2602.5770000000002</v>
      </c>
      <c r="K152" s="143">
        <f t="shared" si="68"/>
        <v>-0.12796328741915264</v>
      </c>
      <c r="L152" s="142">
        <v>2898.3819547000003</v>
      </c>
      <c r="M152" s="143">
        <f t="shared" si="69"/>
        <v>0.11365848338012663</v>
      </c>
      <c r="N152" s="142">
        <f>+IF(L152&lt;0,0,L152*(1+'[14]Ind. Crecimiento'!$C$7))</f>
        <v>3217.2039697170007</v>
      </c>
      <c r="O152" s="143">
        <f t="shared" si="70"/>
        <v>0.1100000000000001</v>
      </c>
      <c r="P152" s="142">
        <f>+IF(N152&lt;0,0,N152*(1+'[14]Ind. Crecimiento'!$D$7))</f>
        <v>3493.8835111126632</v>
      </c>
      <c r="Q152" s="143">
        <f t="shared" si="71"/>
        <v>8.6000000000000076E-2</v>
      </c>
      <c r="R152" s="142">
        <f>+IF(P152&lt;0,0,P152*(1+'[14]Ind. Crecimiento'!$E$7))</f>
        <v>3773.3941920016764</v>
      </c>
      <c r="S152" s="143">
        <f t="shared" si="72"/>
        <v>8.0000000000000071E-2</v>
      </c>
      <c r="T152" s="142">
        <f>+IF(R152&lt;0,0,R152*(1+'[14]Ind. Crecimiento'!$F$7))</f>
        <v>4056.3987564018021</v>
      </c>
      <c r="U152" s="143">
        <f t="shared" si="73"/>
        <v>7.4999999999999956E-2</v>
      </c>
      <c r="V152" s="142">
        <f>+IF(T152&lt;0,0,T152*(1+'[14]Ind. Crecimiento'!$G$7))</f>
        <v>4360.6286631319372</v>
      </c>
      <c r="W152" s="143">
        <f t="shared" si="74"/>
        <v>7.4999999999999956E-2</v>
      </c>
    </row>
    <row r="153" spans="2:23" ht="14.25">
      <c r="B153" s="119"/>
      <c r="C153" s="34"/>
      <c r="D153" s="35" t="s">
        <v>175</v>
      </c>
      <c r="E153" s="36">
        <f t="shared" ref="E153:V153" si="75">SUM(E142:E152)</f>
        <v>7223.5521960000005</v>
      </c>
      <c r="F153" s="36">
        <f t="shared" si="75"/>
        <v>6978.6759999999995</v>
      </c>
      <c r="G153" s="152">
        <f t="shared" si="66"/>
        <v>-3.3899692195150211E-2</v>
      </c>
      <c r="H153" s="36">
        <f t="shared" si="75"/>
        <v>8424.3690000000006</v>
      </c>
      <c r="I153" s="152">
        <f t="shared" si="67"/>
        <v>0.20715863582146543</v>
      </c>
      <c r="J153" s="36">
        <f t="shared" si="75"/>
        <v>8767.8630000000012</v>
      </c>
      <c r="K153" s="152">
        <f t="shared" si="68"/>
        <v>4.0773854991394742E-2</v>
      </c>
      <c r="L153" s="36">
        <f t="shared" si="75"/>
        <v>10397.875894383333</v>
      </c>
      <c r="M153" s="152">
        <f t="shared" si="69"/>
        <v>0.18590766009725868</v>
      </c>
      <c r="N153" s="36">
        <f t="shared" si="75"/>
        <v>11920.6422427655</v>
      </c>
      <c r="O153" s="152">
        <f t="shared" si="70"/>
        <v>0.14644975222340628</v>
      </c>
      <c r="P153" s="36">
        <f t="shared" si="75"/>
        <v>14873.223475643334</v>
      </c>
      <c r="Q153" s="152">
        <f t="shared" si="71"/>
        <v>0.24768642265644036</v>
      </c>
      <c r="R153" s="36">
        <f t="shared" si="75"/>
        <v>18229.961353694802</v>
      </c>
      <c r="S153" s="152">
        <f t="shared" si="72"/>
        <v>0.22569000482972124</v>
      </c>
      <c r="T153" s="36">
        <f t="shared" si="75"/>
        <v>21879.233455221911</v>
      </c>
      <c r="U153" s="152">
        <f t="shared" si="73"/>
        <v>0.20017991430286197</v>
      </c>
      <c r="V153" s="36">
        <f t="shared" si="75"/>
        <v>25699.650964363558</v>
      </c>
      <c r="W153" s="152">
        <f t="shared" si="74"/>
        <v>0.17461386464752171</v>
      </c>
    </row>
    <row r="154" spans="2:23" ht="14.25" hidden="1">
      <c r="B154" s="119"/>
      <c r="C154" s="21"/>
      <c r="D154" s="33"/>
      <c r="E154" s="39"/>
      <c r="F154" s="39"/>
      <c r="G154" s="141" t="str">
        <f t="shared" si="66"/>
        <v/>
      </c>
      <c r="H154" s="39"/>
      <c r="I154" s="141" t="str">
        <f t="shared" si="67"/>
        <v/>
      </c>
      <c r="J154" s="39"/>
      <c r="K154" s="141" t="str">
        <f t="shared" si="68"/>
        <v/>
      </c>
      <c r="L154" s="39"/>
      <c r="M154" s="141" t="str">
        <f t="shared" si="69"/>
        <v/>
      </c>
      <c r="N154" s="39"/>
      <c r="O154" s="141" t="str">
        <f t="shared" si="70"/>
        <v/>
      </c>
      <c r="P154" s="39"/>
      <c r="Q154" s="141" t="str">
        <f t="shared" si="71"/>
        <v/>
      </c>
      <c r="R154" s="39"/>
      <c r="S154" s="141" t="str">
        <f t="shared" si="72"/>
        <v/>
      </c>
      <c r="T154" s="39"/>
      <c r="U154" s="141" t="str">
        <f t="shared" si="73"/>
        <v/>
      </c>
      <c r="V154" s="39"/>
      <c r="W154" s="141" t="str">
        <f t="shared" si="74"/>
        <v/>
      </c>
    </row>
    <row r="155" spans="2:23" ht="14.25" hidden="1">
      <c r="B155" s="119"/>
      <c r="C155" s="21"/>
      <c r="D155" s="33" t="s">
        <v>176</v>
      </c>
      <c r="E155" s="39"/>
      <c r="F155" s="39"/>
      <c r="G155" s="141" t="str">
        <f t="shared" si="66"/>
        <v/>
      </c>
      <c r="H155" s="39"/>
      <c r="I155" s="141" t="str">
        <f t="shared" si="67"/>
        <v/>
      </c>
      <c r="J155" s="39"/>
      <c r="K155" s="141" t="str">
        <f t="shared" si="68"/>
        <v/>
      </c>
      <c r="L155" s="39"/>
      <c r="M155" s="141" t="str">
        <f t="shared" si="69"/>
        <v/>
      </c>
      <c r="N155" s="39"/>
      <c r="O155" s="141" t="str">
        <f t="shared" si="70"/>
        <v/>
      </c>
      <c r="P155" s="39"/>
      <c r="Q155" s="141" t="str">
        <f t="shared" si="71"/>
        <v/>
      </c>
      <c r="R155" s="39"/>
      <c r="S155" s="141" t="str">
        <f t="shared" si="72"/>
        <v/>
      </c>
      <c r="T155" s="39"/>
      <c r="U155" s="141" t="str">
        <f t="shared" si="73"/>
        <v/>
      </c>
      <c r="V155" s="39"/>
      <c r="W155" s="141" t="str">
        <f t="shared" si="74"/>
        <v/>
      </c>
    </row>
    <row r="156" spans="2:23" ht="14.25" outlineLevel="1">
      <c r="B156" s="119">
        <v>5110350200</v>
      </c>
      <c r="C156" s="21">
        <v>5110350200</v>
      </c>
      <c r="D156" s="27" t="s">
        <v>177</v>
      </c>
      <c r="E156" s="142">
        <v>4693.7619999999997</v>
      </c>
      <c r="F156" s="142">
        <v>5263.2430000000004</v>
      </c>
      <c r="G156" s="143">
        <f t="shared" si="66"/>
        <v>0.12132719980263174</v>
      </c>
      <c r="H156" s="142">
        <v>5672.8320000000003</v>
      </c>
      <c r="I156" s="143">
        <f t="shared" si="67"/>
        <v>7.7820651640063021E-2</v>
      </c>
      <c r="J156" s="142">
        <v>6533.0919999999996</v>
      </c>
      <c r="K156" s="143">
        <f t="shared" si="68"/>
        <v>0.15164559782486053</v>
      </c>
      <c r="L156" s="142">
        <v>7100.9721553130012</v>
      </c>
      <c r="M156" s="143">
        <f t="shared" si="69"/>
        <v>8.6923642788591104E-2</v>
      </c>
      <c r="N156" s="142">
        <f>+IF(L156&lt;0,0,L156*(1+'[14]Ind. Crecimiento'!$C$7))</f>
        <v>7882.0790923974319</v>
      </c>
      <c r="O156" s="143">
        <f t="shared" si="70"/>
        <v>0.1100000000000001</v>
      </c>
      <c r="P156" s="142">
        <f>+IF(N156&lt;0,0,N156*(1+'[14]Ind. Crecimiento'!$D$7))</f>
        <v>8559.9378943436113</v>
      </c>
      <c r="Q156" s="143">
        <f t="shared" si="71"/>
        <v>8.6000000000000076E-2</v>
      </c>
      <c r="R156" s="142">
        <f>+IF(P156&lt;0,0,P156*(1+'[14]Ind. Crecimiento'!$E$7))</f>
        <v>9244.7329258911013</v>
      </c>
      <c r="S156" s="143">
        <f t="shared" si="72"/>
        <v>8.0000000000000071E-2</v>
      </c>
      <c r="T156" s="142">
        <f>+IF(R156&lt;0,0,R156*(1+'[14]Ind. Crecimiento'!$F$7))</f>
        <v>9938.0878953329338</v>
      </c>
      <c r="U156" s="143">
        <f t="shared" si="73"/>
        <v>7.4999999999999956E-2</v>
      </c>
      <c r="V156" s="142">
        <f>+IF(T156&lt;0,0,T156*(1+'[14]Ind. Crecimiento'!$G$7))</f>
        <v>10683.444487482904</v>
      </c>
      <c r="W156" s="143">
        <f t="shared" si="74"/>
        <v>7.4999999999999956E-2</v>
      </c>
    </row>
    <row r="157" spans="2:23" ht="14.25">
      <c r="B157" s="117"/>
      <c r="C157" s="34"/>
      <c r="D157" s="35" t="s">
        <v>178</v>
      </c>
      <c r="E157" s="36">
        <f t="shared" ref="E157:V157" si="76">SUM(E156)</f>
        <v>4693.7619999999997</v>
      </c>
      <c r="F157" s="36">
        <f t="shared" si="76"/>
        <v>5263.2430000000004</v>
      </c>
      <c r="G157" s="152">
        <f t="shared" si="66"/>
        <v>0.12132719980263174</v>
      </c>
      <c r="H157" s="36">
        <f t="shared" si="76"/>
        <v>5672.8320000000003</v>
      </c>
      <c r="I157" s="152">
        <f t="shared" si="67"/>
        <v>7.7820651640063021E-2</v>
      </c>
      <c r="J157" s="36">
        <f t="shared" si="76"/>
        <v>6533.0919999999996</v>
      </c>
      <c r="K157" s="152">
        <f t="shared" si="68"/>
        <v>0.15164559782486053</v>
      </c>
      <c r="L157" s="36">
        <f t="shared" si="76"/>
        <v>7100.9721553130012</v>
      </c>
      <c r="M157" s="152">
        <f t="shared" si="69"/>
        <v>8.6923642788591104E-2</v>
      </c>
      <c r="N157" s="36">
        <f t="shared" si="76"/>
        <v>7882.0790923974319</v>
      </c>
      <c r="O157" s="152">
        <f t="shared" si="70"/>
        <v>0.1100000000000001</v>
      </c>
      <c r="P157" s="36">
        <f t="shared" si="76"/>
        <v>8559.9378943436113</v>
      </c>
      <c r="Q157" s="152">
        <f t="shared" si="71"/>
        <v>8.6000000000000076E-2</v>
      </c>
      <c r="R157" s="36">
        <f t="shared" si="76"/>
        <v>9244.7329258911013</v>
      </c>
      <c r="S157" s="152">
        <f t="shared" si="72"/>
        <v>8.0000000000000071E-2</v>
      </c>
      <c r="T157" s="36">
        <f t="shared" si="76"/>
        <v>9938.0878953329338</v>
      </c>
      <c r="U157" s="152">
        <f t="shared" si="73"/>
        <v>7.4999999999999956E-2</v>
      </c>
      <c r="V157" s="36">
        <f t="shared" si="76"/>
        <v>10683.444487482904</v>
      </c>
      <c r="W157" s="152">
        <f t="shared" si="74"/>
        <v>7.4999999999999956E-2</v>
      </c>
    </row>
    <row r="158" spans="2:23" ht="14.25" hidden="1">
      <c r="B158" s="119"/>
      <c r="C158" s="21"/>
      <c r="D158" s="33" t="s">
        <v>179</v>
      </c>
      <c r="E158" s="39"/>
      <c r="F158" s="39"/>
      <c r="G158" s="141" t="str">
        <f t="shared" si="66"/>
        <v/>
      </c>
      <c r="H158" s="39"/>
      <c r="I158" s="141" t="str">
        <f t="shared" si="67"/>
        <v/>
      </c>
      <c r="J158" s="39"/>
      <c r="K158" s="141" t="str">
        <f t="shared" si="68"/>
        <v/>
      </c>
      <c r="L158" s="39"/>
      <c r="M158" s="141" t="str">
        <f t="shared" si="69"/>
        <v/>
      </c>
      <c r="N158" s="39"/>
      <c r="O158" s="141" t="str">
        <f t="shared" si="70"/>
        <v/>
      </c>
      <c r="P158" s="39"/>
      <c r="Q158" s="141" t="str">
        <f t="shared" si="71"/>
        <v/>
      </c>
      <c r="R158" s="39"/>
      <c r="S158" s="141" t="str">
        <f t="shared" si="72"/>
        <v/>
      </c>
      <c r="T158" s="39"/>
      <c r="U158" s="141" t="str">
        <f t="shared" si="73"/>
        <v/>
      </c>
      <c r="V158" s="39"/>
      <c r="W158" s="141" t="str">
        <f t="shared" si="74"/>
        <v/>
      </c>
    </row>
    <row r="159" spans="2:23" ht="14.25" outlineLevel="1">
      <c r="B159" s="117"/>
      <c r="C159" s="21"/>
      <c r="D159" s="33" t="s">
        <v>180</v>
      </c>
      <c r="E159" s="154"/>
      <c r="F159" s="154"/>
      <c r="G159" s="155"/>
      <c r="H159" s="154"/>
      <c r="I159" s="155"/>
      <c r="J159" s="154"/>
      <c r="K159" s="155"/>
      <c r="L159" s="154"/>
      <c r="M159" s="155"/>
      <c r="N159" s="154"/>
      <c r="O159" s="155"/>
      <c r="P159" s="154"/>
      <c r="Q159" s="155"/>
      <c r="R159" s="154"/>
      <c r="S159" s="155"/>
      <c r="T159" s="154"/>
      <c r="U159" s="155"/>
      <c r="V159" s="154"/>
      <c r="W159" s="155"/>
    </row>
    <row r="160" spans="2:23" ht="14.25" outlineLevel="1">
      <c r="B160" s="119">
        <v>5115050000</v>
      </c>
      <c r="C160" s="21">
        <v>5115050000</v>
      </c>
      <c r="D160" s="27" t="s">
        <v>181</v>
      </c>
      <c r="E160" s="142">
        <v>1126.204</v>
      </c>
      <c r="F160" s="142">
        <v>1327.2919999999999</v>
      </c>
      <c r="G160" s="143">
        <f t="shared" ref="G160:G167" si="77">IF(F160=0,"",IF(E160=0,"",(F160/E160)-1))</f>
        <v>0.17855379664785409</v>
      </c>
      <c r="H160" s="142">
        <v>1490.9559999999999</v>
      </c>
      <c r="I160" s="143">
        <f t="shared" ref="I160:I167" si="78">IF(H160=0,"",IF(F160=0,"",(H160/F160)-1))</f>
        <v>0.12330670266979693</v>
      </c>
      <c r="J160" s="142">
        <v>1696.1759999999999</v>
      </c>
      <c r="K160" s="143">
        <f t="shared" ref="K160:K167" si="79">IF(J160=0,"",IF(H160=0,"",(J160/H160)-1))</f>
        <v>0.13764323024958491</v>
      </c>
      <c r="L160" s="142">
        <v>1814.90832</v>
      </c>
      <c r="M160" s="143">
        <f t="shared" ref="M160:M167" si="80">IF(L160=0,"",IF(J160=0,"",(L160/J160)-1))</f>
        <v>7.0000000000000062E-2</v>
      </c>
      <c r="N160" s="142">
        <f>+IF(L160&lt;0,0,L160*(1+'[14]Ind. Crecimiento'!$C$8))</f>
        <v>1996.3991520000002</v>
      </c>
      <c r="O160" s="143">
        <f t="shared" ref="O160:O167" si="81">IF(N160=0,"",IF(L160=0,"",(N160/L160)-1))</f>
        <v>0.10000000000000009</v>
      </c>
      <c r="P160" s="142">
        <f>+IF(N160&lt;0,0,N160*(1+'[14]Ind. Crecimiento'!$D$8))</f>
        <v>2158.1074833120001</v>
      </c>
      <c r="Q160" s="143">
        <f t="shared" ref="Q160:Q167" si="82">IF(P160=0,"",IF(N160=0,"",(P160/N160)-1))</f>
        <v>8.0999999999999961E-2</v>
      </c>
      <c r="R160" s="142">
        <f>+IF(P160&lt;0,0,P160*(1+'[14]Ind. Crecimiento'!$E$8))</f>
        <v>2309.17500714384</v>
      </c>
      <c r="S160" s="143">
        <f t="shared" ref="S160:S167" si="83">IF(R160=0,"",IF(P160=0,"",(R160/P160)-1))</f>
        <v>7.0000000000000062E-2</v>
      </c>
      <c r="T160" s="142">
        <f>+IF(R160&lt;0,0,R160*(1+'[14]Ind. Crecimiento'!$F$8))</f>
        <v>2470.8172576439092</v>
      </c>
      <c r="U160" s="143">
        <f t="shared" ref="U160:U167" si="84">IF(T160=0,"",IF(R160=0,"",(T160/R160)-1))</f>
        <v>7.0000000000000062E-2</v>
      </c>
      <c r="V160" s="142">
        <f>+IF(T160&lt;0,0,T160*(1+'[14]Ind. Crecimiento'!$G$8))</f>
        <v>2643.7744656789832</v>
      </c>
      <c r="W160" s="143">
        <f t="shared" ref="W160:W167" si="85">IF(V160=0,"",IF(T160=0,"",(V160/T160)-1))</f>
        <v>7.0000000000000062E-2</v>
      </c>
    </row>
    <row r="161" spans="2:23" ht="14.25" outlineLevel="1">
      <c r="B161" s="119">
        <v>5115100000</v>
      </c>
      <c r="C161" s="144">
        <v>5115100000</v>
      </c>
      <c r="D161" s="27" t="s">
        <v>604</v>
      </c>
      <c r="E161" s="142">
        <v>2.1000000000000001E-2</v>
      </c>
      <c r="F161" s="142">
        <v>3.2000000000000001E-2</v>
      </c>
      <c r="G161" s="143">
        <f t="shared" si="77"/>
        <v>0.52380952380952372</v>
      </c>
      <c r="H161" s="142">
        <v>0</v>
      </c>
      <c r="I161" s="143" t="str">
        <f t="shared" si="78"/>
        <v/>
      </c>
      <c r="J161" s="142">
        <v>0</v>
      </c>
      <c r="K161" s="143" t="str">
        <f t="shared" si="79"/>
        <v/>
      </c>
      <c r="L161" s="142">
        <v>0</v>
      </c>
      <c r="M161" s="143" t="str">
        <f t="shared" si="80"/>
        <v/>
      </c>
      <c r="N161" s="142">
        <f>+IF(L161&lt;0,0,L161*(1+'[14]Ind. Crecimiento'!$C$8))</f>
        <v>0</v>
      </c>
      <c r="O161" s="143" t="str">
        <f t="shared" si="81"/>
        <v/>
      </c>
      <c r="P161" s="142">
        <f>+IF(N161&lt;0,0,N161*(1+'[14]Ind. Crecimiento'!$D$8))</f>
        <v>0</v>
      </c>
      <c r="Q161" s="143" t="str">
        <f t="shared" si="82"/>
        <v/>
      </c>
      <c r="R161" s="142">
        <f>+IF(P161&lt;0,0,P161*(1+'[14]Ind. Crecimiento'!$E$8))</f>
        <v>0</v>
      </c>
      <c r="S161" s="143" t="str">
        <f t="shared" si="83"/>
        <v/>
      </c>
      <c r="T161" s="142">
        <f>+IF(R161&lt;0,0,R161*(1+'[14]Ind. Crecimiento'!$F$8))</f>
        <v>0</v>
      </c>
      <c r="U161" s="143" t="str">
        <f t="shared" si="84"/>
        <v/>
      </c>
      <c r="V161" s="142">
        <f>+IF(T161&lt;0,0,T161*(1+'[14]Ind. Crecimiento'!$G$8))</f>
        <v>0</v>
      </c>
      <c r="W161" s="143" t="str">
        <f t="shared" si="85"/>
        <v/>
      </c>
    </row>
    <row r="162" spans="2:23" ht="14.25" outlineLevel="1">
      <c r="B162" s="119">
        <v>5115200000</v>
      </c>
      <c r="C162" s="144">
        <v>5115200000</v>
      </c>
      <c r="D162" s="27" t="s">
        <v>605</v>
      </c>
      <c r="E162" s="142">
        <v>234.86099900000002</v>
      </c>
      <c r="F162" s="142">
        <v>0</v>
      </c>
      <c r="G162" s="143" t="str">
        <f t="shared" si="77"/>
        <v/>
      </c>
      <c r="H162" s="142">
        <v>0</v>
      </c>
      <c r="I162" s="143" t="str">
        <f t="shared" si="78"/>
        <v/>
      </c>
      <c r="J162" s="142">
        <v>0</v>
      </c>
      <c r="K162" s="143" t="str">
        <f t="shared" si="79"/>
        <v/>
      </c>
      <c r="L162" s="142">
        <v>0</v>
      </c>
      <c r="M162" s="143" t="str">
        <f t="shared" si="80"/>
        <v/>
      </c>
      <c r="N162" s="142">
        <f>+IF(L162&lt;0,0,L162*(1+'[14]Ind. Crecimiento'!$C$8))</f>
        <v>0</v>
      </c>
      <c r="O162" s="143" t="str">
        <f t="shared" si="81"/>
        <v/>
      </c>
      <c r="P162" s="142">
        <f>+IF(N162&lt;0,0,N162*(1+'[14]Ind. Crecimiento'!$D$8))</f>
        <v>0</v>
      </c>
      <c r="Q162" s="143" t="str">
        <f t="shared" si="82"/>
        <v/>
      </c>
      <c r="R162" s="142">
        <f>+IF(P162&lt;0,0,P162*(1+'[14]Ind. Crecimiento'!$E$8))</f>
        <v>0</v>
      </c>
      <c r="S162" s="143" t="str">
        <f t="shared" si="83"/>
        <v/>
      </c>
      <c r="T162" s="142">
        <f>+IF(R162&lt;0,0,R162*(1+'[14]Ind. Crecimiento'!$F$8))</f>
        <v>0</v>
      </c>
      <c r="U162" s="143" t="str">
        <f t="shared" si="84"/>
        <v/>
      </c>
      <c r="V162" s="142">
        <f>+IF(T162&lt;0,0,T162*(1+'[14]Ind. Crecimiento'!$G$8))</f>
        <v>0</v>
      </c>
      <c r="W162" s="143" t="str">
        <f t="shared" si="85"/>
        <v/>
      </c>
    </row>
    <row r="163" spans="2:23" ht="14.25" outlineLevel="1">
      <c r="B163" s="119">
        <v>5115150000</v>
      </c>
      <c r="C163" s="21">
        <v>5115150000</v>
      </c>
      <c r="D163" s="27" t="s">
        <v>182</v>
      </c>
      <c r="E163" s="142">
        <v>579.322</v>
      </c>
      <c r="F163" s="142">
        <v>752.45100000000002</v>
      </c>
      <c r="G163" s="143">
        <f t="shared" si="77"/>
        <v>0.29884761842291518</v>
      </c>
      <c r="H163" s="142">
        <v>868.48199999999997</v>
      </c>
      <c r="I163" s="143">
        <f t="shared" si="78"/>
        <v>0.15420406112823293</v>
      </c>
      <c r="J163" s="142">
        <v>1177.7239999999999</v>
      </c>
      <c r="K163" s="143">
        <f t="shared" si="79"/>
        <v>0.3560718587144005</v>
      </c>
      <c r="L163" s="142">
        <v>1260.1639245800002</v>
      </c>
      <c r="M163" s="143">
        <f t="shared" si="80"/>
        <v>6.9999358576372961E-2</v>
      </c>
      <c r="N163" s="142">
        <f>+IF(L163&lt;0,0,L163*(1+'[14]Ind. Crecimiento'!$C$8))</f>
        <v>1386.1803170380003</v>
      </c>
      <c r="O163" s="143">
        <f t="shared" si="81"/>
        <v>0.10000000000000009</v>
      </c>
      <c r="P163" s="142">
        <f>+IF(N163&lt;0,0,N163*(1+'[14]Ind. Crecimiento'!$D$8))</f>
        <v>1498.4609227180783</v>
      </c>
      <c r="Q163" s="143">
        <f t="shared" si="82"/>
        <v>8.0999999999999961E-2</v>
      </c>
      <c r="R163" s="142">
        <f>+IF(P163&lt;0,0,P163*(1+'[14]Ind. Crecimiento'!$E$8))</f>
        <v>1603.3531873083439</v>
      </c>
      <c r="S163" s="143">
        <f t="shared" si="83"/>
        <v>7.0000000000000062E-2</v>
      </c>
      <c r="T163" s="142">
        <f>+IF(R163&lt;0,0,R163*(1+'[14]Ind. Crecimiento'!$F$8))</f>
        <v>1715.587910419928</v>
      </c>
      <c r="U163" s="143">
        <f t="shared" si="84"/>
        <v>7.0000000000000062E-2</v>
      </c>
      <c r="V163" s="142">
        <f>+IF(T163&lt;0,0,T163*(1+'[14]Ind. Crecimiento'!$G$8))</f>
        <v>1835.679064149323</v>
      </c>
      <c r="W163" s="143">
        <f t="shared" si="85"/>
        <v>7.0000000000000062E-2</v>
      </c>
    </row>
    <row r="164" spans="2:23" ht="14.25" outlineLevel="1">
      <c r="B164" s="119">
        <v>5115250000</v>
      </c>
      <c r="C164" s="21">
        <v>5115250000</v>
      </c>
      <c r="D164" s="27" t="s">
        <v>183</v>
      </c>
      <c r="E164" s="142">
        <v>0</v>
      </c>
      <c r="F164" s="142">
        <v>0</v>
      </c>
      <c r="G164" s="143" t="str">
        <f t="shared" si="77"/>
        <v/>
      </c>
      <c r="H164" s="142">
        <v>256.58600000000001</v>
      </c>
      <c r="I164" s="143" t="str">
        <f t="shared" si="78"/>
        <v/>
      </c>
      <c r="J164" s="142">
        <v>0</v>
      </c>
      <c r="K164" s="143" t="str">
        <f t="shared" si="79"/>
        <v/>
      </c>
      <c r="L164" s="142">
        <v>160</v>
      </c>
      <c r="M164" s="143" t="str">
        <f t="shared" si="80"/>
        <v/>
      </c>
      <c r="N164" s="142">
        <f>+IF(L164&lt;0,0,L164*(1+'[14]Ind. Crecimiento'!$C$8))</f>
        <v>176</v>
      </c>
      <c r="O164" s="143">
        <f t="shared" si="81"/>
        <v>0.10000000000000009</v>
      </c>
      <c r="P164" s="142">
        <f>+IF(N164&lt;0,0,N164*(1+'[14]Ind. Crecimiento'!$D$8))</f>
        <v>190.256</v>
      </c>
      <c r="Q164" s="143">
        <f t="shared" si="82"/>
        <v>8.0999999999999961E-2</v>
      </c>
      <c r="R164" s="142">
        <f>+IF(P164&lt;0,0,P164*(1+'[14]Ind. Crecimiento'!$E$8))</f>
        <v>203.57392000000002</v>
      </c>
      <c r="S164" s="143">
        <f t="shared" si="83"/>
        <v>7.0000000000000062E-2</v>
      </c>
      <c r="T164" s="142">
        <f>+IF(R164&lt;0,0,R164*(1+'[14]Ind. Crecimiento'!$F$8))</f>
        <v>217.82409440000004</v>
      </c>
      <c r="U164" s="143">
        <f t="shared" si="84"/>
        <v>7.0000000000000062E-2</v>
      </c>
      <c r="V164" s="142">
        <f>+IF(T164&lt;0,0,T164*(1+'[14]Ind. Crecimiento'!$G$8))</f>
        <v>233.07178100800004</v>
      </c>
      <c r="W164" s="143">
        <f t="shared" si="85"/>
        <v>7.0000000000000062E-2</v>
      </c>
    </row>
    <row r="165" spans="2:23" ht="14.25" outlineLevel="1">
      <c r="B165" s="119">
        <v>5115950200</v>
      </c>
      <c r="C165" s="21">
        <v>5115950200</v>
      </c>
      <c r="D165" s="27" t="s">
        <v>184</v>
      </c>
      <c r="E165" s="142">
        <v>432.60899999999998</v>
      </c>
      <c r="F165" s="142">
        <v>423.48599999999999</v>
      </c>
      <c r="G165" s="143">
        <f t="shared" si="77"/>
        <v>-2.1088326872533814E-2</v>
      </c>
      <c r="H165" s="142">
        <v>615.46100000000001</v>
      </c>
      <c r="I165" s="143">
        <f t="shared" si="78"/>
        <v>0.45332077093457634</v>
      </c>
      <c r="J165" s="142">
        <v>551.61900000000003</v>
      </c>
      <c r="K165" s="143">
        <f t="shared" si="79"/>
        <v>-0.10373037446726918</v>
      </c>
      <c r="L165" s="142">
        <v>590.13099999999997</v>
      </c>
      <c r="M165" s="143">
        <f t="shared" si="80"/>
        <v>6.9816304369501259E-2</v>
      </c>
      <c r="N165" s="142">
        <f>+IF(L165&lt;0,0,L165*(1+'[14]Ind. Crecimiento'!$C$8))</f>
        <v>649.14409999999998</v>
      </c>
      <c r="O165" s="143">
        <f t="shared" si="81"/>
        <v>0.10000000000000009</v>
      </c>
      <c r="P165" s="142">
        <f>+IF(N165&lt;0,0,N165*(1+'[14]Ind. Crecimiento'!$D$8))</f>
        <v>701.7247721</v>
      </c>
      <c r="Q165" s="143">
        <f t="shared" si="82"/>
        <v>8.0999999999999961E-2</v>
      </c>
      <c r="R165" s="142">
        <f>+IF(P165&lt;0,0,P165*(1+'[14]Ind. Crecimiento'!$E$8))</f>
        <v>750.84550614700004</v>
      </c>
      <c r="S165" s="143">
        <f t="shared" si="83"/>
        <v>7.0000000000000062E-2</v>
      </c>
      <c r="T165" s="142">
        <f>+IF(R165&lt;0,0,R165*(1+'[14]Ind. Crecimiento'!$F$8))</f>
        <v>803.40469157729012</v>
      </c>
      <c r="U165" s="143">
        <f t="shared" si="84"/>
        <v>7.0000000000000062E-2</v>
      </c>
      <c r="V165" s="142">
        <f>+IF(T165&lt;0,0,T165*(1+'[14]Ind. Crecimiento'!$G$8))</f>
        <v>859.64301998770043</v>
      </c>
      <c r="W165" s="143">
        <f t="shared" si="85"/>
        <v>7.0000000000000062E-2</v>
      </c>
    </row>
    <row r="166" spans="2:23" ht="14.25" outlineLevel="1">
      <c r="B166" s="119">
        <v>5115950300</v>
      </c>
      <c r="C166" s="21">
        <v>5115950300</v>
      </c>
      <c r="D166" s="27" t="s">
        <v>185</v>
      </c>
      <c r="E166" s="142">
        <v>0</v>
      </c>
      <c r="F166" s="142">
        <v>17.286000000000001</v>
      </c>
      <c r="G166" s="143" t="str">
        <f t="shared" si="77"/>
        <v/>
      </c>
      <c r="H166" s="142">
        <v>7.6509999999999998</v>
      </c>
      <c r="I166" s="143">
        <f t="shared" si="78"/>
        <v>-0.55738748119865789</v>
      </c>
      <c r="J166" s="142">
        <v>0</v>
      </c>
      <c r="K166" s="143" t="str">
        <f t="shared" si="79"/>
        <v/>
      </c>
      <c r="L166" s="142">
        <v>0</v>
      </c>
      <c r="M166" s="143" t="str">
        <f t="shared" si="80"/>
        <v/>
      </c>
      <c r="N166" s="142">
        <f>+IF(L166&lt;0,0,L166*(1+'[14]Ind. Crecimiento'!$C$8))</f>
        <v>0</v>
      </c>
      <c r="O166" s="143" t="str">
        <f t="shared" si="81"/>
        <v/>
      </c>
      <c r="P166" s="142">
        <f>+IF(N166&lt;0,0,N166*(1+'[14]Ind. Crecimiento'!$D$8))</f>
        <v>0</v>
      </c>
      <c r="Q166" s="143" t="str">
        <f t="shared" si="82"/>
        <v/>
      </c>
      <c r="R166" s="142">
        <f>+IF(P166&lt;0,0,P166*(1+'[14]Ind. Crecimiento'!$E$8))</f>
        <v>0</v>
      </c>
      <c r="S166" s="143" t="str">
        <f t="shared" si="83"/>
        <v/>
      </c>
      <c r="T166" s="142">
        <f>+IF(R166&lt;0,0,R166*(1+'[14]Ind. Crecimiento'!$F$8))</f>
        <v>0</v>
      </c>
      <c r="U166" s="143" t="str">
        <f t="shared" si="84"/>
        <v/>
      </c>
      <c r="V166" s="142">
        <f>+IF(T166&lt;0,0,T166*(1+'[14]Ind. Crecimiento'!$G$8))</f>
        <v>0</v>
      </c>
      <c r="W166" s="143" t="str">
        <f t="shared" si="85"/>
        <v/>
      </c>
    </row>
    <row r="167" spans="2:23" ht="14.25" outlineLevel="1">
      <c r="B167" s="119">
        <v>5115950500</v>
      </c>
      <c r="C167" s="21"/>
      <c r="D167" s="27" t="s">
        <v>186</v>
      </c>
      <c r="E167" s="142">
        <v>0</v>
      </c>
      <c r="F167" s="142">
        <v>0</v>
      </c>
      <c r="G167" s="143" t="str">
        <f t="shared" si="77"/>
        <v/>
      </c>
      <c r="H167" s="142">
        <v>40.003</v>
      </c>
      <c r="I167" s="143" t="str">
        <f t="shared" si="78"/>
        <v/>
      </c>
      <c r="J167" s="142">
        <v>88.387</v>
      </c>
      <c r="K167" s="143">
        <f t="shared" si="79"/>
        <v>1.2095092868034896</v>
      </c>
      <c r="L167" s="142">
        <v>94.574090000000012</v>
      </c>
      <c r="M167" s="143">
        <f t="shared" si="80"/>
        <v>7.0000000000000062E-2</v>
      </c>
      <c r="N167" s="142">
        <f>+IF(L167&lt;0,0,L167*(1+'[14]Ind. Crecimiento'!$C$8))</f>
        <v>104.03149900000003</v>
      </c>
      <c r="O167" s="143">
        <f t="shared" si="81"/>
        <v>0.10000000000000009</v>
      </c>
      <c r="P167" s="142">
        <f>+IF(N167&lt;0,0,N167*(1+'[14]Ind. Crecimiento'!$D$8))</f>
        <v>112.45805041900002</v>
      </c>
      <c r="Q167" s="143">
        <f t="shared" si="82"/>
        <v>8.0999999999999961E-2</v>
      </c>
      <c r="R167" s="142">
        <f>+IF(P167&lt;0,0,P167*(1+'[14]Ind. Crecimiento'!$E$8))</f>
        <v>120.33011394833002</v>
      </c>
      <c r="S167" s="143">
        <f t="shared" si="83"/>
        <v>7.0000000000000062E-2</v>
      </c>
      <c r="T167" s="142">
        <f>+IF(R167&lt;0,0,R167*(1+'[14]Ind. Crecimiento'!$F$8))</f>
        <v>128.75322192471313</v>
      </c>
      <c r="U167" s="143">
        <f t="shared" si="84"/>
        <v>7.0000000000000062E-2</v>
      </c>
      <c r="V167" s="142">
        <f>+IF(T167&lt;0,0,T167*(1+'[14]Ind. Crecimiento'!$G$8))</f>
        <v>137.76594745944305</v>
      </c>
      <c r="W167" s="143">
        <f t="shared" si="85"/>
        <v>7.0000000000000062E-2</v>
      </c>
    </row>
    <row r="168" spans="2:23" ht="14.25" outlineLevel="1">
      <c r="B168" s="119"/>
      <c r="C168" s="21"/>
      <c r="D168" s="33" t="s">
        <v>187</v>
      </c>
      <c r="E168" s="154"/>
      <c r="F168" s="154"/>
      <c r="G168" s="155"/>
      <c r="H168" s="154"/>
      <c r="I168" s="155"/>
      <c r="J168" s="154"/>
      <c r="K168" s="155"/>
      <c r="L168" s="154"/>
      <c r="M168" s="155"/>
      <c r="N168" s="154"/>
      <c r="O168" s="155"/>
      <c r="P168" s="154"/>
      <c r="Q168" s="155"/>
      <c r="R168" s="154"/>
      <c r="S168" s="155"/>
      <c r="T168" s="154"/>
      <c r="U168" s="155"/>
      <c r="V168" s="154"/>
      <c r="W168" s="155"/>
    </row>
    <row r="169" spans="2:23" ht="14.25" outlineLevel="1">
      <c r="B169" s="119">
        <v>5120100000</v>
      </c>
      <c r="C169" s="21">
        <v>5120100000</v>
      </c>
      <c r="D169" s="27" t="s">
        <v>188</v>
      </c>
      <c r="E169" s="142">
        <v>125.369</v>
      </c>
      <c r="F169" s="142">
        <v>48.463999999999999</v>
      </c>
      <c r="G169" s="143">
        <f>IF(F169=0,"",IF(E169=0,"",(F169/E169)-1))</f>
        <v>-0.61342915712815771</v>
      </c>
      <c r="H169" s="142">
        <v>50.454999999999998</v>
      </c>
      <c r="I169" s="143">
        <f>IF(H169=0,"",IF(F169=0,"",(H169/F169)-1))</f>
        <v>4.1082040277319321E-2</v>
      </c>
      <c r="J169" s="142">
        <v>5.8120000000000003</v>
      </c>
      <c r="K169" s="143">
        <f>IF(J169=0,"",IF(H169=0,"",(J169/H169)-1))</f>
        <v>-0.88480824497076604</v>
      </c>
      <c r="L169" s="142">
        <v>6.2107200000000002</v>
      </c>
      <c r="M169" s="143">
        <f>IF(L169=0,"",IF(J169=0,"",(L169/J169)-1))</f>
        <v>6.8602890571231923E-2</v>
      </c>
      <c r="N169" s="142">
        <f>+IF(L169&lt;0,0,L169*(1+'[14]Ind. Crecimiento'!$C$8))</f>
        <v>6.831792000000001</v>
      </c>
      <c r="O169" s="143">
        <f>IF(N169=0,"",IF(L169=0,"",(N169/L169)-1))</f>
        <v>0.10000000000000009</v>
      </c>
      <c r="P169" s="142">
        <f>+IF(N169&lt;0,0,N169*(1+'[14]Ind. Crecimiento'!$D$8))</f>
        <v>7.3851671520000011</v>
      </c>
      <c r="Q169" s="143">
        <f>IF(P169=0,"",IF(N169=0,"",(P169/N169)-1))</f>
        <v>8.0999999999999961E-2</v>
      </c>
      <c r="R169" s="142">
        <f>+IF(P169&lt;0,0,P169*(1+'[14]Ind. Crecimiento'!$E$8))</f>
        <v>7.9021288526400015</v>
      </c>
      <c r="S169" s="143">
        <f>IF(R169=0,"",IF(P169=0,"",(R169/P169)-1))</f>
        <v>7.0000000000000062E-2</v>
      </c>
      <c r="T169" s="142">
        <f>+IF(R169&lt;0,0,R169*(1+'[14]Ind. Crecimiento'!$F$8))</f>
        <v>8.4552778723248014</v>
      </c>
      <c r="U169" s="143">
        <f>IF(T169=0,"",IF(R169=0,"",(T169/R169)-1))</f>
        <v>7.0000000000000062E-2</v>
      </c>
      <c r="V169" s="142">
        <f>+IF(T169&lt;0,0,T169*(1+'[14]Ind. Crecimiento'!$G$8))</f>
        <v>9.0471473233875379</v>
      </c>
      <c r="W169" s="143">
        <f>IF(V169=0,"",IF(T169=0,"",(V169/T169)-1))</f>
        <v>7.0000000000000062E-2</v>
      </c>
    </row>
    <row r="170" spans="2:23" ht="14.25" outlineLevel="1">
      <c r="B170" s="119">
        <v>5120160000</v>
      </c>
      <c r="C170" s="144">
        <v>5120160000</v>
      </c>
      <c r="D170" s="27" t="s">
        <v>606</v>
      </c>
      <c r="E170" s="142">
        <v>1.052</v>
      </c>
      <c r="F170" s="142">
        <v>0</v>
      </c>
      <c r="G170" s="143" t="str">
        <f>IF(F170=0,"",IF(E170=0,"",(F170/E170)-1))</f>
        <v/>
      </c>
      <c r="H170" s="142">
        <v>14.28</v>
      </c>
      <c r="I170" s="143" t="str">
        <f>IF(H170=0,"",IF(F170=0,"",(H170/F170)-1))</f>
        <v/>
      </c>
      <c r="J170" s="142">
        <v>0</v>
      </c>
      <c r="K170" s="143" t="str">
        <f>IF(J170=0,"",IF(H170=0,"",(J170/H170)-1))</f>
        <v/>
      </c>
      <c r="L170" s="142">
        <v>0</v>
      </c>
      <c r="M170" s="143" t="str">
        <f>IF(L170=0,"",IF(J170=0,"",(L170/J170)-1))</f>
        <v/>
      </c>
      <c r="N170" s="142">
        <f>+IF(L170&lt;0,0,L170*(1+'[14]Ind. Crecimiento'!$C$8))</f>
        <v>0</v>
      </c>
      <c r="O170" s="143" t="str">
        <f>IF(N170=0,"",IF(L170=0,"",(N170/L170)-1))</f>
        <v/>
      </c>
      <c r="P170" s="142">
        <f>+IF(N170&lt;0,0,N170*(1+'[14]Ind. Crecimiento'!$D$8))</f>
        <v>0</v>
      </c>
      <c r="Q170" s="143" t="str">
        <f>IF(P170=0,"",IF(N170=0,"",(P170/N170)-1))</f>
        <v/>
      </c>
      <c r="R170" s="142">
        <f>+IF(P170&lt;0,0,P170*(1+'[14]Ind. Crecimiento'!$E$8))</f>
        <v>0</v>
      </c>
      <c r="S170" s="143" t="str">
        <f>IF(R170=0,"",IF(P170=0,"",(R170/P170)-1))</f>
        <v/>
      </c>
      <c r="T170" s="142">
        <f>+IF(R170&lt;0,0,R170*(1+'[14]Ind. Crecimiento'!$F$8))</f>
        <v>0</v>
      </c>
      <c r="U170" s="143" t="str">
        <f>IF(T170=0,"",IF(R170=0,"",(T170/R170)-1))</f>
        <v/>
      </c>
      <c r="V170" s="142">
        <f>+IF(T170&lt;0,0,T170*(1+'[14]Ind. Crecimiento'!$G$8))</f>
        <v>0</v>
      </c>
      <c r="W170" s="143" t="str">
        <f>IF(V170=0,"",IF(T170=0,"",(V170/T170)-1))</f>
        <v/>
      </c>
    </row>
    <row r="171" spans="2:23" ht="14.25" outlineLevel="1">
      <c r="B171" s="119">
        <v>5120250000</v>
      </c>
      <c r="C171" s="21">
        <v>5120250000</v>
      </c>
      <c r="D171" s="27" t="s">
        <v>189</v>
      </c>
      <c r="E171" s="142">
        <v>272.13600000000002</v>
      </c>
      <c r="F171" s="142">
        <v>48.354999999999997</v>
      </c>
      <c r="G171" s="143">
        <f>IF(F171=0,"",IF(E171=0,"",(F171/E171)-1))</f>
        <v>-0.82231310815180647</v>
      </c>
      <c r="H171" s="142">
        <v>19.736999999999998</v>
      </c>
      <c r="I171" s="143">
        <f>IF(H171=0,"",IF(F171=0,"",(H171/F171)-1))</f>
        <v>-0.59183124806121401</v>
      </c>
      <c r="J171" s="142">
        <v>27.417999999999999</v>
      </c>
      <c r="K171" s="143">
        <f>IF(J171=0,"",IF(H171=0,"",(J171/H171)-1))</f>
        <v>0.3891675533262402</v>
      </c>
      <c r="L171" s="142">
        <v>32.549948800000003</v>
      </c>
      <c r="M171" s="143">
        <f>IF(L171=0,"",IF(J171=0,"",(L171/J171)-1))</f>
        <v>0.18717444014880757</v>
      </c>
      <c r="N171" s="142">
        <f>+IF(L171&lt;0,0,L171*(1+'[14]Ind. Crecimiento'!$C$8))</f>
        <v>35.804943680000008</v>
      </c>
      <c r="O171" s="143">
        <f>IF(N171=0,"",IF(L171=0,"",(N171/L171)-1))</f>
        <v>0.10000000000000009</v>
      </c>
      <c r="P171" s="142">
        <f>+IF(N171&lt;0,0,N171*(1+'[14]Ind. Crecimiento'!$D$8))</f>
        <v>38.705144118080007</v>
      </c>
      <c r="Q171" s="143">
        <f>IF(P171=0,"",IF(N171=0,"",(P171/N171)-1))</f>
        <v>8.0999999999999961E-2</v>
      </c>
      <c r="R171" s="142">
        <f>+IF(P171&lt;0,0,P171*(1+'[14]Ind. Crecimiento'!$E$8))</f>
        <v>41.414504206345612</v>
      </c>
      <c r="S171" s="143">
        <f>IF(R171=0,"",IF(P171=0,"",(R171/P171)-1))</f>
        <v>7.0000000000000062E-2</v>
      </c>
      <c r="T171" s="142">
        <f>+IF(R171&lt;0,0,R171*(1+'[14]Ind. Crecimiento'!$F$8))</f>
        <v>44.313519500789809</v>
      </c>
      <c r="U171" s="143">
        <f>IF(T171=0,"",IF(R171=0,"",(T171/R171)-1))</f>
        <v>7.0000000000000062E-2</v>
      </c>
      <c r="V171" s="142">
        <f>+IF(T171&lt;0,0,T171*(1+'[14]Ind. Crecimiento'!$G$8))</f>
        <v>47.4154658658451</v>
      </c>
      <c r="W171" s="143">
        <f>IF(V171=0,"",IF(T171=0,"",(V171/T171)-1))</f>
        <v>7.0000000000000062E-2</v>
      </c>
    </row>
    <row r="172" spans="2:23" ht="14.25" outlineLevel="1">
      <c r="B172" s="119">
        <v>5120300000</v>
      </c>
      <c r="C172" s="21">
        <v>5120300000</v>
      </c>
      <c r="D172" s="27" t="s">
        <v>190</v>
      </c>
      <c r="E172" s="142">
        <v>1.85</v>
      </c>
      <c r="F172" s="142">
        <v>0</v>
      </c>
      <c r="G172" s="143" t="str">
        <f>IF(F172=0,"",IF(E172=0,"",(F172/E172)-1))</f>
        <v/>
      </c>
      <c r="H172" s="142">
        <v>9.6739999999999995</v>
      </c>
      <c r="I172" s="143" t="str">
        <f>IF(H172=0,"",IF(F172=0,"",(H172/F172)-1))</f>
        <v/>
      </c>
      <c r="J172" s="142">
        <v>5.899</v>
      </c>
      <c r="K172" s="143">
        <f>IF(J172=0,"",IF(H172=0,"",(J172/H172)-1))</f>
        <v>-0.3902212114947281</v>
      </c>
      <c r="L172" s="142">
        <v>8.1858000000000004</v>
      </c>
      <c r="M172" s="143">
        <f>IF(L172=0,"",IF(J172=0,"",(L172/J172)-1))</f>
        <v>0.38765892524156653</v>
      </c>
      <c r="N172" s="142">
        <f>+IF(L172&lt;0,0,L172*(1+'[14]Ind. Crecimiento'!$C$8))</f>
        <v>9.0043800000000012</v>
      </c>
      <c r="O172" s="143">
        <f>IF(N172=0,"",IF(L172=0,"",(N172/L172)-1))</f>
        <v>0.10000000000000009</v>
      </c>
      <c r="P172" s="142">
        <f>+IF(N172&lt;0,0,N172*(1+'[14]Ind. Crecimiento'!$D$8))</f>
        <v>9.7337347800000007</v>
      </c>
      <c r="Q172" s="143">
        <f>IF(P172=0,"",IF(N172=0,"",(P172/N172)-1))</f>
        <v>8.0999999999999961E-2</v>
      </c>
      <c r="R172" s="142">
        <f>+IF(P172&lt;0,0,P172*(1+'[14]Ind. Crecimiento'!$E$8))</f>
        <v>10.415096214600002</v>
      </c>
      <c r="S172" s="143">
        <f>IF(R172=0,"",IF(P172=0,"",(R172/P172)-1))</f>
        <v>7.0000000000000062E-2</v>
      </c>
      <c r="T172" s="142">
        <f>+IF(R172&lt;0,0,R172*(1+'[14]Ind. Crecimiento'!$F$8))</f>
        <v>11.144152949622002</v>
      </c>
      <c r="U172" s="143">
        <f>IF(T172=0,"",IF(R172=0,"",(T172/R172)-1))</f>
        <v>7.0000000000000062E-2</v>
      </c>
      <c r="V172" s="142">
        <f>+IF(T172&lt;0,0,T172*(1+'[14]Ind. Crecimiento'!$G$8))</f>
        <v>11.924243656095543</v>
      </c>
      <c r="W172" s="143">
        <f>IF(V172=0,"",IF(T172=0,"",(V172/T172)-1))</f>
        <v>7.0000000000000062E-2</v>
      </c>
    </row>
    <row r="173" spans="2:23" ht="14.25" outlineLevel="1">
      <c r="B173" s="119">
        <v>5120950000</v>
      </c>
      <c r="C173" s="21">
        <v>5120950000</v>
      </c>
      <c r="D173" s="27" t="s">
        <v>191</v>
      </c>
      <c r="E173" s="142">
        <v>24.382000000000001</v>
      </c>
      <c r="F173" s="142">
        <v>32.847000000000001</v>
      </c>
      <c r="G173" s="143">
        <f>IF(F173=0,"",IF(E173=0,"",(F173/E173)-1))</f>
        <v>0.34718234763350009</v>
      </c>
      <c r="H173" s="142">
        <v>43.578000000000003</v>
      </c>
      <c r="I173" s="143">
        <f>IF(H173=0,"",IF(F173=0,"",(H173/F173)-1))</f>
        <v>0.32669650196364963</v>
      </c>
      <c r="J173" s="142">
        <v>119.86211999999999</v>
      </c>
      <c r="K173" s="143">
        <f>IF(J173=0,"",IF(H173=0,"",(J173/H173)-1))</f>
        <v>1.7505190692551285</v>
      </c>
      <c r="L173" s="142">
        <v>139.52492816</v>
      </c>
      <c r="M173" s="143">
        <f>IF(L173=0,"",IF(J173=0,"",(L173/J173)-1))</f>
        <v>0.16404522262746579</v>
      </c>
      <c r="N173" s="142">
        <f>+IF(L173&lt;0,0,L173*(1+'[14]Ind. Crecimiento'!$C$8))</f>
        <v>153.47742097600002</v>
      </c>
      <c r="O173" s="143">
        <f>IF(N173=0,"",IF(L173=0,"",(N173/L173)-1))</f>
        <v>0.10000000000000009</v>
      </c>
      <c r="P173" s="142">
        <f>+IF(N173&lt;0,0,N173*(1+'[14]Ind. Crecimiento'!$D$8))</f>
        <v>165.90909207505601</v>
      </c>
      <c r="Q173" s="143">
        <f>IF(P173=0,"",IF(N173=0,"",(P173/N173)-1))</f>
        <v>8.0999999999999961E-2</v>
      </c>
      <c r="R173" s="142">
        <f>+IF(P173&lt;0,0,P173*(1+'[14]Ind. Crecimiento'!$E$8))</f>
        <v>177.52272852030993</v>
      </c>
      <c r="S173" s="143">
        <f>IF(R173=0,"",IF(P173=0,"",(R173/P173)-1))</f>
        <v>7.0000000000000062E-2</v>
      </c>
      <c r="T173" s="142">
        <f>+IF(R173&lt;0,0,R173*(1+'[14]Ind. Crecimiento'!$F$8))</f>
        <v>189.94931951673163</v>
      </c>
      <c r="U173" s="143">
        <f>IF(T173=0,"",IF(R173=0,"",(T173/R173)-1))</f>
        <v>7.0000000000000062E-2</v>
      </c>
      <c r="V173" s="142">
        <f>+IF(T173&lt;0,0,T173*(1+'[14]Ind. Crecimiento'!$G$8))</f>
        <v>203.24577188290286</v>
      </c>
      <c r="W173" s="143">
        <f>IF(V173=0,"",IF(T173=0,"",(V173/T173)-1))</f>
        <v>7.0000000000000062E-2</v>
      </c>
    </row>
    <row r="174" spans="2:23" ht="14.25" outlineLevel="1">
      <c r="B174" s="119"/>
      <c r="C174" s="21"/>
      <c r="D174" s="33" t="s">
        <v>192</v>
      </c>
      <c r="E174" s="154"/>
      <c r="F174" s="154"/>
      <c r="G174" s="155"/>
      <c r="H174" s="154"/>
      <c r="I174" s="155"/>
      <c r="J174" s="154"/>
      <c r="K174" s="155"/>
      <c r="L174" s="154"/>
      <c r="M174" s="155"/>
      <c r="N174" s="154"/>
      <c r="O174" s="155"/>
      <c r="P174" s="154"/>
      <c r="Q174" s="155"/>
      <c r="R174" s="154"/>
      <c r="S174" s="155"/>
      <c r="T174" s="154"/>
      <c r="U174" s="155"/>
      <c r="V174" s="154"/>
      <c r="W174" s="155"/>
    </row>
    <row r="175" spans="2:23" ht="14.25" outlineLevel="1">
      <c r="B175" s="119">
        <v>5125100000</v>
      </c>
      <c r="C175" s="21">
        <v>5125100000</v>
      </c>
      <c r="D175" s="27" t="s">
        <v>193</v>
      </c>
      <c r="E175" s="142">
        <v>79.745999999999995</v>
      </c>
      <c r="F175" s="142">
        <v>106.575</v>
      </c>
      <c r="G175" s="143">
        <f>IF(F175=0,"",IF(E175=0,"",(F175/E175)-1))</f>
        <v>0.33643066736889637</v>
      </c>
      <c r="H175" s="142">
        <v>129.27699999999999</v>
      </c>
      <c r="I175" s="143">
        <f>IF(H175=0,"",IF(F175=0,"",(H175/F175)-1))</f>
        <v>0.21301430917194453</v>
      </c>
      <c r="J175" s="142">
        <v>153.85599999999999</v>
      </c>
      <c r="K175" s="143">
        <f>IF(J175=0,"",IF(H175=0,"",(J175/H175)-1))</f>
        <v>0.19012662731963159</v>
      </c>
      <c r="L175" s="142">
        <v>223.47314</v>
      </c>
      <c r="M175" s="143">
        <f>IF(L175=0,"",IF(J175=0,"",(L175/J175)-1))</f>
        <v>0.45248245112312824</v>
      </c>
      <c r="N175" s="142">
        <f>+IF(L175&lt;0,0,L175*(1+'[14]Ind. Crecimiento'!$C$8))</f>
        <v>245.82045400000001</v>
      </c>
      <c r="O175" s="143">
        <f>IF(N175=0,"",IF(L175=0,"",(N175/L175)-1))</f>
        <v>0.10000000000000009</v>
      </c>
      <c r="P175" s="142">
        <f>+IF(N175&lt;0,0,N175*(1+'[14]Ind. Crecimiento'!$D$8))</f>
        <v>265.73191077400003</v>
      </c>
      <c r="Q175" s="143">
        <f>IF(P175=0,"",IF(N175=0,"",(P175/N175)-1))</f>
        <v>8.0999999999999961E-2</v>
      </c>
      <c r="R175" s="142">
        <f>+IF(P175&lt;0,0,P175*(1+'[14]Ind. Crecimiento'!$E$8))</f>
        <v>284.33314452818007</v>
      </c>
      <c r="S175" s="143">
        <f>IF(R175=0,"",IF(P175=0,"",(R175/P175)-1))</f>
        <v>7.0000000000000062E-2</v>
      </c>
      <c r="T175" s="142">
        <f>+IF(R175&lt;0,0,R175*(1+'[14]Ind. Crecimiento'!$F$8))</f>
        <v>304.23646464515269</v>
      </c>
      <c r="U175" s="143">
        <f>IF(T175=0,"",IF(R175=0,"",(T175/R175)-1))</f>
        <v>7.0000000000000062E-2</v>
      </c>
      <c r="V175" s="142">
        <f>+IF(T175&lt;0,0,T175*(1+'[14]Ind. Crecimiento'!$G$8))</f>
        <v>325.53301717031343</v>
      </c>
      <c r="W175" s="143">
        <f>IF(V175=0,"",IF(T175=0,"",(V175/T175)-1))</f>
        <v>7.0000000000000062E-2</v>
      </c>
    </row>
    <row r="176" spans="2:23" ht="14.25" outlineLevel="1">
      <c r="B176" s="119"/>
      <c r="C176" s="21"/>
      <c r="D176" s="33" t="s">
        <v>194</v>
      </c>
      <c r="E176" s="154"/>
      <c r="F176" s="154"/>
      <c r="G176" s="155"/>
      <c r="H176" s="154"/>
      <c r="I176" s="155"/>
      <c r="J176" s="154"/>
      <c r="K176" s="155"/>
      <c r="L176" s="154"/>
      <c r="M176" s="155"/>
      <c r="N176" s="154"/>
      <c r="O176" s="155"/>
      <c r="P176" s="154"/>
      <c r="Q176" s="155"/>
      <c r="R176" s="154"/>
      <c r="S176" s="155"/>
      <c r="T176" s="154"/>
      <c r="U176" s="155"/>
      <c r="V176" s="154"/>
      <c r="W176" s="155"/>
    </row>
    <row r="177" spans="2:23" ht="14.25" outlineLevel="1">
      <c r="B177" s="119">
        <v>5130100000</v>
      </c>
      <c r="C177" s="21">
        <v>5130100000</v>
      </c>
      <c r="D177" s="27" t="s">
        <v>195</v>
      </c>
      <c r="E177" s="142">
        <v>2.6659999999999999</v>
      </c>
      <c r="F177" s="142">
        <v>6.4269999999999996</v>
      </c>
      <c r="G177" s="143">
        <f t="shared" ref="G177:G182" si="86">IF(F177=0,"",IF(E177=0,"",(F177/E177)-1))</f>
        <v>1.4107276819204801</v>
      </c>
      <c r="H177" s="142">
        <v>8.1140000000000008</v>
      </c>
      <c r="I177" s="143">
        <f t="shared" ref="I177:I182" si="87">IF(H177=0,"",IF(F177=0,"",(H177/F177)-1))</f>
        <v>0.26248638556091519</v>
      </c>
      <c r="J177" s="142">
        <v>3.3279999999999998</v>
      </c>
      <c r="K177" s="143">
        <f t="shared" ref="K177:K182" si="88">IF(J177=0,"",IF(H177=0,"",(J177/H177)-1))</f>
        <v>-0.58984471284200146</v>
      </c>
      <c r="L177" s="142">
        <v>3.4249051399999999</v>
      </c>
      <c r="M177" s="143">
        <f t="shared" ref="M177:M182" si="89">IF(L177=0,"",IF(J177=0,"",(L177/J177)-1))</f>
        <v>2.9118131009615356E-2</v>
      </c>
      <c r="N177" s="142">
        <f>+IF(L177&lt;0,0,L177*(1+'[14]Ind. Crecimiento'!$C$8))</f>
        <v>3.767395654</v>
      </c>
      <c r="O177" s="143">
        <f t="shared" ref="O177:O182" si="90">IF(N177=0,"",IF(L177=0,"",(N177/L177)-1))</f>
        <v>0.10000000000000009</v>
      </c>
      <c r="P177" s="142">
        <f>+IF(N177&lt;0,0,N177*(1+'[14]Ind. Crecimiento'!$D$8))</f>
        <v>4.072554701974</v>
      </c>
      <c r="Q177" s="143">
        <f t="shared" ref="Q177:Q182" si="91">IF(P177=0,"",IF(N177=0,"",(P177/N177)-1))</f>
        <v>8.0999999999999961E-2</v>
      </c>
      <c r="R177" s="142">
        <f>+IF(P177&lt;0,0,P177*(1+'[14]Ind. Crecimiento'!$E$8))</f>
        <v>4.3576335311121799</v>
      </c>
      <c r="S177" s="143">
        <f t="shared" ref="S177:S182" si="92">IF(R177=0,"",IF(P177=0,"",(R177/P177)-1))</f>
        <v>7.0000000000000062E-2</v>
      </c>
      <c r="T177" s="142">
        <f>+IF(R177&lt;0,0,R177*(1+'[14]Ind. Crecimiento'!$F$8))</f>
        <v>4.6626678782900326</v>
      </c>
      <c r="U177" s="143">
        <f t="shared" ref="U177:U182" si="93">IF(T177=0,"",IF(R177=0,"",(T177/R177)-1))</f>
        <v>7.0000000000000062E-2</v>
      </c>
      <c r="V177" s="142">
        <f>+IF(T177&lt;0,0,T177*(1+'[14]Ind. Crecimiento'!$G$8))</f>
        <v>4.9890546297703349</v>
      </c>
      <c r="W177" s="143">
        <f t="shared" ref="W177:W182" si="94">IF(V177=0,"",IF(T177=0,"",(V177/T177)-1))</f>
        <v>7.0000000000000062E-2</v>
      </c>
    </row>
    <row r="178" spans="2:23" ht="14.25" outlineLevel="1">
      <c r="B178" s="119">
        <v>5130600000</v>
      </c>
      <c r="C178" s="21">
        <v>5130600000</v>
      </c>
      <c r="D178" s="27" t="s">
        <v>196</v>
      </c>
      <c r="E178" s="142">
        <v>26.841000000000001</v>
      </c>
      <c r="F178" s="142">
        <v>33.481999999999999</v>
      </c>
      <c r="G178" s="143">
        <f t="shared" si="86"/>
        <v>0.24741999180358398</v>
      </c>
      <c r="H178" s="142">
        <v>28.468</v>
      </c>
      <c r="I178" s="143">
        <f t="shared" si="87"/>
        <v>-0.14975210560898389</v>
      </c>
      <c r="J178" s="142">
        <v>28.92</v>
      </c>
      <c r="K178" s="143">
        <f t="shared" si="88"/>
        <v>1.5877476464802642E-2</v>
      </c>
      <c r="L178" s="142">
        <v>30.484408479999999</v>
      </c>
      <c r="M178" s="143">
        <f t="shared" si="89"/>
        <v>5.4094345781465991E-2</v>
      </c>
      <c r="N178" s="142">
        <f>+IF(L178&lt;0,0,L178*(1+'[14]Ind. Crecimiento'!$C$8))</f>
        <v>33.532849328000005</v>
      </c>
      <c r="O178" s="143">
        <f t="shared" si="90"/>
        <v>0.10000000000000009</v>
      </c>
      <c r="P178" s="142">
        <f>+IF(N178&lt;0,0,N178*(1+'[14]Ind. Crecimiento'!$D$8))</f>
        <v>36.249010123568006</v>
      </c>
      <c r="Q178" s="143">
        <f t="shared" si="91"/>
        <v>8.0999999999999961E-2</v>
      </c>
      <c r="R178" s="142">
        <f>+IF(P178&lt;0,0,P178*(1+'[14]Ind. Crecimiento'!$E$8))</f>
        <v>38.786440832217771</v>
      </c>
      <c r="S178" s="143">
        <f t="shared" si="92"/>
        <v>7.0000000000000062E-2</v>
      </c>
      <c r="T178" s="142">
        <f>+IF(R178&lt;0,0,R178*(1+'[14]Ind. Crecimiento'!$F$8))</f>
        <v>41.501491690473017</v>
      </c>
      <c r="U178" s="143">
        <f t="shared" si="93"/>
        <v>7.0000000000000062E-2</v>
      </c>
      <c r="V178" s="142">
        <f>+IF(T178&lt;0,0,T178*(1+'[14]Ind. Crecimiento'!$G$8))</f>
        <v>44.406596108806134</v>
      </c>
      <c r="W178" s="143">
        <f t="shared" si="94"/>
        <v>7.0000000000000062E-2</v>
      </c>
    </row>
    <row r="179" spans="2:23" ht="14.25" outlineLevel="1">
      <c r="B179" s="119">
        <v>5130950100</v>
      </c>
      <c r="C179" s="21">
        <v>5130950100</v>
      </c>
      <c r="D179" s="27" t="s">
        <v>197</v>
      </c>
      <c r="E179" s="142">
        <v>0.36499999999999999</v>
      </c>
      <c r="F179" s="142">
        <v>0</v>
      </c>
      <c r="G179" s="143" t="str">
        <f t="shared" si="86"/>
        <v/>
      </c>
      <c r="H179" s="142">
        <v>0</v>
      </c>
      <c r="I179" s="143" t="str">
        <f t="shared" si="87"/>
        <v/>
      </c>
      <c r="J179" s="142">
        <v>0</v>
      </c>
      <c r="K179" s="143" t="str">
        <f t="shared" si="88"/>
        <v/>
      </c>
      <c r="L179" s="142">
        <v>0</v>
      </c>
      <c r="M179" s="143" t="str">
        <f t="shared" si="89"/>
        <v/>
      </c>
      <c r="N179" s="142">
        <f>+IF(L179&lt;0,0,L179*(1+'[14]Ind. Crecimiento'!$C$8))</f>
        <v>0</v>
      </c>
      <c r="O179" s="143" t="str">
        <f t="shared" si="90"/>
        <v/>
      </c>
      <c r="P179" s="142">
        <f>+IF(N179&lt;0,0,N179*(1+'[14]Ind. Crecimiento'!$D$8))</f>
        <v>0</v>
      </c>
      <c r="Q179" s="143" t="str">
        <f t="shared" si="91"/>
        <v/>
      </c>
      <c r="R179" s="142">
        <f>+IF(P179&lt;0,0,P179*(1+'[14]Ind. Crecimiento'!$E$8))</f>
        <v>0</v>
      </c>
      <c r="S179" s="143" t="str">
        <f t="shared" si="92"/>
        <v/>
      </c>
      <c r="T179" s="142">
        <f>+IF(R179&lt;0,0,R179*(1+'[14]Ind. Crecimiento'!$F$8))</f>
        <v>0</v>
      </c>
      <c r="U179" s="143" t="str">
        <f t="shared" si="93"/>
        <v/>
      </c>
      <c r="V179" s="142">
        <f>+IF(T179&lt;0,0,T179*(1+'[14]Ind. Crecimiento'!$G$8))</f>
        <v>0</v>
      </c>
      <c r="W179" s="143" t="str">
        <f t="shared" si="94"/>
        <v/>
      </c>
    </row>
    <row r="180" spans="2:23" ht="14.25" outlineLevel="1">
      <c r="B180" s="119">
        <v>5130950200</v>
      </c>
      <c r="C180" s="21">
        <v>5130950200</v>
      </c>
      <c r="D180" s="27" t="s">
        <v>198</v>
      </c>
      <c r="E180" s="142">
        <v>145.357</v>
      </c>
      <c r="F180" s="142">
        <v>151.059</v>
      </c>
      <c r="G180" s="143">
        <f t="shared" si="86"/>
        <v>3.9227556980399925E-2</v>
      </c>
      <c r="H180" s="142">
        <v>172.46899999999999</v>
      </c>
      <c r="I180" s="143">
        <f t="shared" si="87"/>
        <v>0.1417327004680291</v>
      </c>
      <c r="J180" s="142">
        <v>179.74</v>
      </c>
      <c r="K180" s="143">
        <f t="shared" si="88"/>
        <v>4.2158300912048086E-2</v>
      </c>
      <c r="L180" s="142">
        <v>192.25395772000002</v>
      </c>
      <c r="M180" s="143">
        <f t="shared" si="89"/>
        <v>6.9622553243574137E-2</v>
      </c>
      <c r="N180" s="142">
        <f>+IF(L180&lt;0,0,L180*(1+'[14]Ind. Crecimiento'!$C$8))</f>
        <v>211.47935349200003</v>
      </c>
      <c r="O180" s="143">
        <f t="shared" si="90"/>
        <v>0.10000000000000009</v>
      </c>
      <c r="P180" s="142">
        <f>+IF(N180&lt;0,0,N180*(1+'[14]Ind. Crecimiento'!$D$8))</f>
        <v>228.60918112485203</v>
      </c>
      <c r="Q180" s="143">
        <f t="shared" si="91"/>
        <v>8.0999999999999961E-2</v>
      </c>
      <c r="R180" s="142">
        <f>+IF(P180&lt;0,0,P180*(1+'[14]Ind. Crecimiento'!$E$8))</f>
        <v>244.61182380359168</v>
      </c>
      <c r="S180" s="143">
        <f t="shared" si="92"/>
        <v>7.0000000000000062E-2</v>
      </c>
      <c r="T180" s="142">
        <f>+IF(R180&lt;0,0,R180*(1+'[14]Ind. Crecimiento'!$F$8))</f>
        <v>261.73465146984313</v>
      </c>
      <c r="U180" s="143">
        <f t="shared" si="93"/>
        <v>7.0000000000000062E-2</v>
      </c>
      <c r="V180" s="142">
        <f>+IF(T180&lt;0,0,T180*(1+'[14]Ind. Crecimiento'!$G$8))</f>
        <v>280.05607707273214</v>
      </c>
      <c r="W180" s="143">
        <f t="shared" si="94"/>
        <v>7.0000000000000062E-2</v>
      </c>
    </row>
    <row r="181" spans="2:23" ht="14.25" outlineLevel="1">
      <c r="B181" s="119">
        <v>5130950300</v>
      </c>
      <c r="C181" s="21">
        <v>5130950300</v>
      </c>
      <c r="D181" s="27" t="s">
        <v>199</v>
      </c>
      <c r="E181" s="142">
        <v>58.997999999999998</v>
      </c>
      <c r="F181" s="142">
        <v>94.891999999999996</v>
      </c>
      <c r="G181" s="143">
        <f t="shared" si="86"/>
        <v>0.60839350486457167</v>
      </c>
      <c r="H181" s="142">
        <v>81.242000000000004</v>
      </c>
      <c r="I181" s="143">
        <f t="shared" si="87"/>
        <v>-0.14384774269696066</v>
      </c>
      <c r="J181" s="142">
        <v>101.173</v>
      </c>
      <c r="K181" s="143">
        <f t="shared" si="88"/>
        <v>0.24532877083282045</v>
      </c>
      <c r="L181" s="142">
        <v>109.54400000000001</v>
      </c>
      <c r="M181" s="143">
        <f t="shared" si="89"/>
        <v>8.2739466063080247E-2</v>
      </c>
      <c r="N181" s="142">
        <f>+IF(L181&lt;0,0,L181*(1+'[14]Ind. Crecimiento'!$C$8))</f>
        <v>120.49840000000002</v>
      </c>
      <c r="O181" s="143">
        <f t="shared" si="90"/>
        <v>0.10000000000000009</v>
      </c>
      <c r="P181" s="142">
        <f>+IF(N181&lt;0,0,N181*(1+'[14]Ind. Crecimiento'!$D$8))</f>
        <v>130.2587704</v>
      </c>
      <c r="Q181" s="143">
        <f t="shared" si="91"/>
        <v>8.0999999999999961E-2</v>
      </c>
      <c r="R181" s="142">
        <f>+IF(P181&lt;0,0,P181*(1+'[14]Ind. Crecimiento'!$E$8))</f>
        <v>139.37688432800002</v>
      </c>
      <c r="S181" s="143">
        <f t="shared" si="92"/>
        <v>7.0000000000000062E-2</v>
      </c>
      <c r="T181" s="142">
        <f>+IF(R181&lt;0,0,R181*(1+'[14]Ind. Crecimiento'!$F$8))</f>
        <v>149.13326623096003</v>
      </c>
      <c r="U181" s="143">
        <f t="shared" si="93"/>
        <v>7.0000000000000062E-2</v>
      </c>
      <c r="V181" s="142">
        <f>+IF(T181&lt;0,0,T181*(1+'[14]Ind. Crecimiento'!$G$8))</f>
        <v>159.57259486712724</v>
      </c>
      <c r="W181" s="143">
        <f t="shared" si="94"/>
        <v>7.0000000000000062E-2</v>
      </c>
    </row>
    <row r="182" spans="2:23" ht="14.25" outlineLevel="1">
      <c r="B182" s="119">
        <v>5130950400</v>
      </c>
      <c r="C182" s="21">
        <v>5130950300</v>
      </c>
      <c r="D182" s="27" t="s">
        <v>200</v>
      </c>
      <c r="E182" s="142">
        <v>0</v>
      </c>
      <c r="F182" s="142">
        <v>0</v>
      </c>
      <c r="G182" s="143" t="str">
        <f t="shared" si="86"/>
        <v/>
      </c>
      <c r="H182" s="142">
        <v>38.393000000000001</v>
      </c>
      <c r="I182" s="143" t="str">
        <f t="shared" si="87"/>
        <v/>
      </c>
      <c r="J182" s="142">
        <v>9.843</v>
      </c>
      <c r="K182" s="143">
        <f t="shared" si="88"/>
        <v>-0.7436251399994791</v>
      </c>
      <c r="L182" s="142">
        <v>10.499715170000002</v>
      </c>
      <c r="M182" s="143">
        <f t="shared" si="89"/>
        <v>6.6719005384537455E-2</v>
      </c>
      <c r="N182" s="142">
        <f>+IF(L182&lt;0,0,L182*(1+'[14]Ind. Crecimiento'!$C$8))</f>
        <v>11.549686687000003</v>
      </c>
      <c r="O182" s="143">
        <f t="shared" si="90"/>
        <v>0.10000000000000009</v>
      </c>
      <c r="P182" s="142">
        <f>+IF(N182&lt;0,0,N182*(1+'[14]Ind. Crecimiento'!$D$8))</f>
        <v>12.485211308647003</v>
      </c>
      <c r="Q182" s="143">
        <f t="shared" si="91"/>
        <v>8.0999999999999961E-2</v>
      </c>
      <c r="R182" s="142">
        <f>+IF(P182&lt;0,0,P182*(1+'[14]Ind. Crecimiento'!$E$8))</f>
        <v>13.359176100252293</v>
      </c>
      <c r="S182" s="143">
        <f t="shared" si="92"/>
        <v>7.0000000000000062E-2</v>
      </c>
      <c r="T182" s="142">
        <f>+IF(R182&lt;0,0,R182*(1+'[14]Ind. Crecimiento'!$F$8))</f>
        <v>14.294318427269955</v>
      </c>
      <c r="U182" s="143">
        <f t="shared" si="93"/>
        <v>7.0000000000000062E-2</v>
      </c>
      <c r="V182" s="142">
        <f>+IF(T182&lt;0,0,T182*(1+'[14]Ind. Crecimiento'!$G$8))</f>
        <v>15.294920717178853</v>
      </c>
      <c r="W182" s="143">
        <f t="shared" si="94"/>
        <v>7.0000000000000062E-2</v>
      </c>
    </row>
    <row r="183" spans="2:23" ht="14.25" outlineLevel="1">
      <c r="B183" s="119"/>
      <c r="C183" s="21"/>
      <c r="D183" s="33" t="s">
        <v>201</v>
      </c>
      <c r="E183" s="147"/>
      <c r="F183" s="147"/>
      <c r="G183" s="148"/>
      <c r="H183" s="147"/>
      <c r="I183" s="148"/>
      <c r="J183" s="147"/>
      <c r="K183" s="148"/>
      <c r="L183" s="147"/>
      <c r="M183" s="148"/>
      <c r="N183" s="147"/>
      <c r="O183" s="148"/>
      <c r="P183" s="147"/>
      <c r="Q183" s="148"/>
      <c r="R183" s="147"/>
      <c r="S183" s="148"/>
      <c r="T183" s="147"/>
      <c r="U183" s="148"/>
      <c r="V183" s="147"/>
      <c r="W183" s="148"/>
    </row>
    <row r="184" spans="2:23" ht="14.25" outlineLevel="1">
      <c r="B184" s="119">
        <v>5135050100</v>
      </c>
      <c r="C184" s="21">
        <v>5135050100</v>
      </c>
      <c r="D184" s="27" t="s">
        <v>202</v>
      </c>
      <c r="E184" s="142">
        <v>196.18899999999999</v>
      </c>
      <c r="F184" s="142">
        <v>258.47935000000001</v>
      </c>
      <c r="G184" s="143">
        <f t="shared" ref="G184:G210" si="95">IF(F184=0,"",IF(E184=0,"",(F184/E184)-1))</f>
        <v>0.31750174576556289</v>
      </c>
      <c r="H184" s="142">
        <v>348.71800000000002</v>
      </c>
      <c r="I184" s="143">
        <f t="shared" ref="I184:I210" si="96">IF(H184=0,"",IF(F184=0,"",(H184/F184)-1))</f>
        <v>0.34911357522370734</v>
      </c>
      <c r="J184" s="142">
        <v>603.62400000000002</v>
      </c>
      <c r="K184" s="143">
        <f t="shared" ref="K184:K210" si="97">IF(J184=0,"",IF(H184=0,"",(J184/H184)-1))</f>
        <v>0.73098033367936277</v>
      </c>
      <c r="L184" s="142">
        <v>645.91260682000006</v>
      </c>
      <c r="M184" s="143">
        <f t="shared" ref="M184:M210" si="98">IF(L184=0,"",IF(J184=0,"",(L184/J184)-1))</f>
        <v>7.0057861880906014E-2</v>
      </c>
      <c r="N184" s="142">
        <f>+IF(L184&lt;0,0,L184*(1+'[14]Ind. Crecimiento'!$C$8))</f>
        <v>710.50386750200016</v>
      </c>
      <c r="O184" s="143">
        <f t="shared" ref="O184:O210" si="99">IF(N184=0,"",IF(L184=0,"",(N184/L184)-1))</f>
        <v>0.10000000000000009</v>
      </c>
      <c r="P184" s="142">
        <f>+IF(N184&lt;0,0,N184*(1+'[14]Ind. Crecimiento'!$D$8))</f>
        <v>768.05468076966213</v>
      </c>
      <c r="Q184" s="143">
        <f t="shared" ref="Q184:Q210" si="100">IF(P184=0,"",IF(N184=0,"",(P184/N184)-1))</f>
        <v>8.0999999999999961E-2</v>
      </c>
      <c r="R184" s="142">
        <f>+IF(P184&lt;0,0,P184*(1+'[14]Ind. Crecimiento'!$E$8))</f>
        <v>821.81850842353856</v>
      </c>
      <c r="S184" s="143">
        <f t="shared" ref="S184:S210" si="101">IF(R184=0,"",IF(P184=0,"",(R184/P184)-1))</f>
        <v>7.0000000000000062E-2</v>
      </c>
      <c r="T184" s="142">
        <f>+IF(R184&lt;0,0,R184*(1+'[14]Ind. Crecimiento'!$F$8))</f>
        <v>879.34580401318635</v>
      </c>
      <c r="U184" s="143">
        <f t="shared" ref="U184:U210" si="102">IF(T184=0,"",IF(R184=0,"",(T184/R184)-1))</f>
        <v>7.0000000000000062E-2</v>
      </c>
      <c r="V184" s="142">
        <f>+IF(T184&lt;0,0,T184*(1+'[14]Ind. Crecimiento'!$G$8))</f>
        <v>940.90001029410951</v>
      </c>
      <c r="W184" s="143">
        <f t="shared" ref="W184:W210" si="103">IF(V184=0,"",IF(T184=0,"",(V184/T184)-1))</f>
        <v>7.0000000000000062E-2</v>
      </c>
    </row>
    <row r="185" spans="2:23" ht="14.25" outlineLevel="1">
      <c r="B185" s="119">
        <v>5135050200</v>
      </c>
      <c r="C185" s="21">
        <v>5135050200</v>
      </c>
      <c r="D185" s="27" t="s">
        <v>203</v>
      </c>
      <c r="E185" s="142">
        <v>592.54200000000003</v>
      </c>
      <c r="F185" s="142">
        <v>607.53419499999995</v>
      </c>
      <c r="G185" s="143">
        <f t="shared" si="95"/>
        <v>2.530148917713837E-2</v>
      </c>
      <c r="H185" s="142">
        <v>764.60599999999999</v>
      </c>
      <c r="I185" s="143">
        <f t="shared" si="96"/>
        <v>0.25853985881403774</v>
      </c>
      <c r="J185" s="142">
        <v>874.72</v>
      </c>
      <c r="K185" s="143">
        <f t="shared" si="97"/>
        <v>0.14401404121861461</v>
      </c>
      <c r="L185" s="142">
        <v>936.14895160000003</v>
      </c>
      <c r="M185" s="143">
        <f t="shared" si="98"/>
        <v>7.0226988750685893E-2</v>
      </c>
      <c r="N185" s="142">
        <f>+IF(L185&lt;0,0,L185*(1+'[14]Ind. Crecimiento'!$C$8))</f>
        <v>1029.7638467600002</v>
      </c>
      <c r="O185" s="143">
        <f t="shared" si="99"/>
        <v>0.10000000000000009</v>
      </c>
      <c r="P185" s="142">
        <f>+IF(N185&lt;0,0,N185*(1+'[14]Ind. Crecimiento'!$D$8))</f>
        <v>1113.1747183475602</v>
      </c>
      <c r="Q185" s="143">
        <f t="shared" si="100"/>
        <v>8.0999999999999961E-2</v>
      </c>
      <c r="R185" s="142">
        <f>+IF(P185&lt;0,0,P185*(1+'[14]Ind. Crecimiento'!$E$8))</f>
        <v>1191.0969486318895</v>
      </c>
      <c r="S185" s="143">
        <f t="shared" si="101"/>
        <v>7.0000000000000062E-2</v>
      </c>
      <c r="T185" s="142">
        <f>+IF(R185&lt;0,0,R185*(1+'[14]Ind. Crecimiento'!$F$8))</f>
        <v>1274.4737350361218</v>
      </c>
      <c r="U185" s="143">
        <f t="shared" si="102"/>
        <v>7.0000000000000062E-2</v>
      </c>
      <c r="V185" s="142">
        <f>+IF(T185&lt;0,0,T185*(1+'[14]Ind. Crecimiento'!$G$8))</f>
        <v>1363.6868964886503</v>
      </c>
      <c r="W185" s="143">
        <f t="shared" si="103"/>
        <v>7.0000000000000062E-2</v>
      </c>
    </row>
    <row r="186" spans="2:23" ht="14.25" outlineLevel="1">
      <c r="B186" s="119">
        <v>5135150000</v>
      </c>
      <c r="C186" s="21">
        <v>5135150000</v>
      </c>
      <c r="D186" s="27" t="s">
        <v>173</v>
      </c>
      <c r="E186" s="142">
        <v>10.715999999999999</v>
      </c>
      <c r="F186" s="142">
        <v>14.567</v>
      </c>
      <c r="G186" s="143">
        <f t="shared" si="95"/>
        <v>0.35936916759985071</v>
      </c>
      <c r="H186" s="142">
        <v>59.103999999999999</v>
      </c>
      <c r="I186" s="143">
        <f t="shared" si="96"/>
        <v>3.057389991075719</v>
      </c>
      <c r="J186" s="142">
        <v>22.068999999999999</v>
      </c>
      <c r="K186" s="143">
        <f t="shared" si="97"/>
        <v>-0.62660733622089881</v>
      </c>
      <c r="L186" s="142">
        <v>23.104380530000004</v>
      </c>
      <c r="M186" s="143">
        <f t="shared" si="98"/>
        <v>4.691560695998942E-2</v>
      </c>
      <c r="N186" s="142">
        <f>+IF(L186&lt;0,0,L186*(1+'[14]Ind. Crecimiento'!$C$8))</f>
        <v>25.414818583000006</v>
      </c>
      <c r="O186" s="143">
        <f t="shared" si="99"/>
        <v>0.10000000000000009</v>
      </c>
      <c r="P186" s="142">
        <f>+IF(N186&lt;0,0,N186*(1+'[14]Ind. Crecimiento'!$D$8))</f>
        <v>27.473418888223005</v>
      </c>
      <c r="Q186" s="143">
        <f t="shared" si="100"/>
        <v>8.0999999999999961E-2</v>
      </c>
      <c r="R186" s="142">
        <f>+IF(P186&lt;0,0,P186*(1+'[14]Ind. Crecimiento'!$E$8))</f>
        <v>29.396558210398616</v>
      </c>
      <c r="S186" s="143">
        <f t="shared" si="101"/>
        <v>7.0000000000000062E-2</v>
      </c>
      <c r="T186" s="142">
        <f>+IF(R186&lt;0,0,R186*(1+'[14]Ind. Crecimiento'!$F$8))</f>
        <v>31.454317285126521</v>
      </c>
      <c r="U186" s="143">
        <f t="shared" si="102"/>
        <v>7.0000000000000062E-2</v>
      </c>
      <c r="V186" s="142">
        <f>+IF(T186&lt;0,0,T186*(1+'[14]Ind. Crecimiento'!$G$8))</f>
        <v>33.656119495085377</v>
      </c>
      <c r="W186" s="143">
        <f t="shared" si="103"/>
        <v>7.0000000000000062E-2</v>
      </c>
    </row>
    <row r="187" spans="2:23" ht="14.25" outlineLevel="1">
      <c r="B187" s="119">
        <v>5135200000</v>
      </c>
      <c r="C187" s="21">
        <v>5135200000</v>
      </c>
      <c r="D187" s="27" t="s">
        <v>204</v>
      </c>
      <c r="E187" s="142">
        <v>10.773999999999999</v>
      </c>
      <c r="F187" s="142">
        <v>0</v>
      </c>
      <c r="G187" s="143" t="str">
        <f t="shared" si="95"/>
        <v/>
      </c>
      <c r="H187" s="142">
        <v>0</v>
      </c>
      <c r="I187" s="143" t="str">
        <f t="shared" si="96"/>
        <v/>
      </c>
      <c r="J187" s="142">
        <v>0</v>
      </c>
      <c r="K187" s="143" t="str">
        <f t="shared" si="97"/>
        <v/>
      </c>
      <c r="L187" s="142">
        <v>0</v>
      </c>
      <c r="M187" s="143" t="str">
        <f t="shared" si="98"/>
        <v/>
      </c>
      <c r="N187" s="142">
        <f>+IF(L187&lt;0,0,L187*(1+'[14]Ind. Crecimiento'!$C$8))</f>
        <v>0</v>
      </c>
      <c r="O187" s="143" t="str">
        <f t="shared" si="99"/>
        <v/>
      </c>
      <c r="P187" s="142">
        <f>+IF(N187&lt;0,0,N187*(1+'[14]Ind. Crecimiento'!$D$8))</f>
        <v>0</v>
      </c>
      <c r="Q187" s="143" t="str">
        <f t="shared" si="100"/>
        <v/>
      </c>
      <c r="R187" s="142">
        <f>+IF(P187&lt;0,0,P187*(1+'[14]Ind. Crecimiento'!$E$8))</f>
        <v>0</v>
      </c>
      <c r="S187" s="143" t="str">
        <f t="shared" si="101"/>
        <v/>
      </c>
      <c r="T187" s="142">
        <f>+IF(R187&lt;0,0,R187*(1+'[14]Ind. Crecimiento'!$F$8))</f>
        <v>0</v>
      </c>
      <c r="U187" s="143" t="str">
        <f t="shared" si="102"/>
        <v/>
      </c>
      <c r="V187" s="142">
        <f>+IF(T187&lt;0,0,T187*(1+'[14]Ind. Crecimiento'!$G$8))</f>
        <v>0</v>
      </c>
      <c r="W187" s="143" t="str">
        <f t="shared" si="103"/>
        <v/>
      </c>
    </row>
    <row r="188" spans="2:23" ht="14.25" outlineLevel="1">
      <c r="B188" s="119">
        <v>5135250000</v>
      </c>
      <c r="C188" s="21">
        <v>5135250000</v>
      </c>
      <c r="D188" s="27" t="s">
        <v>205</v>
      </c>
      <c r="E188" s="142">
        <v>195.48400000000001</v>
      </c>
      <c r="F188" s="142">
        <v>280.59800000000001</v>
      </c>
      <c r="G188" s="143">
        <f t="shared" si="95"/>
        <v>0.43540136277137775</v>
      </c>
      <c r="H188" s="142">
        <v>236.56399999999999</v>
      </c>
      <c r="I188" s="143">
        <f t="shared" si="96"/>
        <v>-0.15692912992965036</v>
      </c>
      <c r="J188" s="142">
        <v>275.13600000000002</v>
      </c>
      <c r="K188" s="143">
        <f t="shared" si="97"/>
        <v>0.16305101367917363</v>
      </c>
      <c r="L188" s="142">
        <v>308.15193136000005</v>
      </c>
      <c r="M188" s="143">
        <f t="shared" si="98"/>
        <v>0.11999858746220049</v>
      </c>
      <c r="N188" s="142">
        <f>+IF(L188&lt;0,0,L188*(1+'[14]Ind. Crecimiento'!$C$8))</f>
        <v>338.96712449600005</v>
      </c>
      <c r="O188" s="143">
        <f t="shared" si="99"/>
        <v>0.10000000000000009</v>
      </c>
      <c r="P188" s="142">
        <f>+IF(N188&lt;0,0,N188*(1+'[14]Ind. Crecimiento'!$D$8))</f>
        <v>366.42346158017602</v>
      </c>
      <c r="Q188" s="143">
        <f t="shared" si="100"/>
        <v>8.0999999999999961E-2</v>
      </c>
      <c r="R188" s="142">
        <f>+IF(P188&lt;0,0,P188*(1+'[14]Ind. Crecimiento'!$E$8))</f>
        <v>392.07310389078839</v>
      </c>
      <c r="S188" s="143">
        <f t="shared" si="101"/>
        <v>7.0000000000000062E-2</v>
      </c>
      <c r="T188" s="142">
        <f>+IF(R188&lt;0,0,R188*(1+'[14]Ind. Crecimiento'!$F$8))</f>
        <v>419.51822116314361</v>
      </c>
      <c r="U188" s="143">
        <f t="shared" si="102"/>
        <v>7.0000000000000062E-2</v>
      </c>
      <c r="V188" s="142">
        <f>+IF(T188&lt;0,0,T188*(1+'[14]Ind. Crecimiento'!$G$8))</f>
        <v>448.88449664456368</v>
      </c>
      <c r="W188" s="143">
        <f t="shared" si="103"/>
        <v>7.0000000000000062E-2</v>
      </c>
    </row>
    <row r="189" spans="2:23" ht="14.25" outlineLevel="1">
      <c r="B189" s="119">
        <v>5135300000</v>
      </c>
      <c r="C189" s="21">
        <v>5135300000</v>
      </c>
      <c r="D189" s="27" t="s">
        <v>206</v>
      </c>
      <c r="E189" s="142">
        <v>685.91700000000003</v>
      </c>
      <c r="F189" s="142">
        <v>742.41099999999994</v>
      </c>
      <c r="G189" s="143">
        <f t="shared" si="95"/>
        <v>8.2362734849843244E-2</v>
      </c>
      <c r="H189" s="142">
        <v>879.95399999999995</v>
      </c>
      <c r="I189" s="143">
        <f t="shared" si="96"/>
        <v>0.18526530452808476</v>
      </c>
      <c r="J189" s="142">
        <v>938.75099999999998</v>
      </c>
      <c r="K189" s="143">
        <f t="shared" si="97"/>
        <v>6.6818265500242058E-2</v>
      </c>
      <c r="L189" s="142">
        <v>1051.4009094400001</v>
      </c>
      <c r="M189" s="143">
        <f t="shared" si="98"/>
        <v>0.11999977570197018</v>
      </c>
      <c r="N189" s="142">
        <f>+IF(L189&lt;0,0,L189*(1+'[14]Ind. Crecimiento'!$C$8))</f>
        <v>1156.5410003840002</v>
      </c>
      <c r="O189" s="143">
        <f t="shared" si="99"/>
        <v>0.10000000000000009</v>
      </c>
      <c r="P189" s="142">
        <f>+IF(N189&lt;0,0,N189*(1+'[14]Ind. Crecimiento'!$D$8))</f>
        <v>1250.2208214151042</v>
      </c>
      <c r="Q189" s="143">
        <f t="shared" si="100"/>
        <v>8.0999999999999961E-2</v>
      </c>
      <c r="R189" s="142">
        <f>+IF(P189&lt;0,0,P189*(1+'[14]Ind. Crecimiento'!$E$8))</f>
        <v>1337.7362789141616</v>
      </c>
      <c r="S189" s="143">
        <f t="shared" si="101"/>
        <v>7.0000000000000062E-2</v>
      </c>
      <c r="T189" s="142">
        <f>+IF(R189&lt;0,0,R189*(1+'[14]Ind. Crecimiento'!$F$8))</f>
        <v>1431.3778184381531</v>
      </c>
      <c r="U189" s="143">
        <f t="shared" si="102"/>
        <v>7.0000000000000062E-2</v>
      </c>
      <c r="V189" s="142">
        <f>+IF(T189&lt;0,0,T189*(1+'[14]Ind. Crecimiento'!$G$8))</f>
        <v>1531.574265728824</v>
      </c>
      <c r="W189" s="143">
        <f t="shared" si="103"/>
        <v>7.0000000000000062E-2</v>
      </c>
    </row>
    <row r="190" spans="2:23" ht="14.25" outlineLevel="1">
      <c r="B190" s="119">
        <v>5135350000</v>
      </c>
      <c r="C190" s="21">
        <v>5135350000</v>
      </c>
      <c r="D190" s="27" t="s">
        <v>207</v>
      </c>
      <c r="E190" s="142">
        <v>113.744</v>
      </c>
      <c r="F190" s="142">
        <v>112.767</v>
      </c>
      <c r="G190" s="143">
        <f t="shared" si="95"/>
        <v>-8.5894640596427818E-3</v>
      </c>
      <c r="H190" s="142">
        <v>143.19</v>
      </c>
      <c r="I190" s="143">
        <f t="shared" si="96"/>
        <v>0.26978637367314917</v>
      </c>
      <c r="J190" s="142">
        <v>130.00299999999999</v>
      </c>
      <c r="K190" s="143">
        <f t="shared" si="97"/>
        <v>-9.2094420001396782E-2</v>
      </c>
      <c r="L190" s="142">
        <v>145.29094944000002</v>
      </c>
      <c r="M190" s="143">
        <f t="shared" si="98"/>
        <v>0.11759689730237022</v>
      </c>
      <c r="N190" s="142">
        <f>+IF(L190&lt;0,0,L190*(1+'[14]Ind. Crecimiento'!$C$8))</f>
        <v>159.82004438400003</v>
      </c>
      <c r="O190" s="143">
        <f t="shared" si="99"/>
        <v>0.10000000000000009</v>
      </c>
      <c r="P190" s="142">
        <f>+IF(N190&lt;0,0,N190*(1+'[14]Ind. Crecimiento'!$D$8))</f>
        <v>172.76546797910402</v>
      </c>
      <c r="Q190" s="143">
        <f t="shared" si="100"/>
        <v>8.0999999999999961E-2</v>
      </c>
      <c r="R190" s="142">
        <f>+IF(P190&lt;0,0,P190*(1+'[14]Ind. Crecimiento'!$E$8))</f>
        <v>184.8590507376413</v>
      </c>
      <c r="S190" s="143">
        <f t="shared" si="101"/>
        <v>7.0000000000000062E-2</v>
      </c>
      <c r="T190" s="142">
        <f>+IF(R190&lt;0,0,R190*(1+'[14]Ind. Crecimiento'!$F$8))</f>
        <v>197.79918428927621</v>
      </c>
      <c r="U190" s="143">
        <f t="shared" si="102"/>
        <v>7.0000000000000062E-2</v>
      </c>
      <c r="V190" s="142">
        <f>+IF(T190&lt;0,0,T190*(1+'[14]Ind. Crecimiento'!$G$8))</f>
        <v>211.64512718952557</v>
      </c>
      <c r="W190" s="143">
        <f t="shared" si="103"/>
        <v>7.0000000000000062E-2</v>
      </c>
    </row>
    <row r="191" spans="2:23" ht="14.25" outlineLevel="1">
      <c r="B191" s="117">
        <v>5135400000</v>
      </c>
      <c r="C191" s="21">
        <v>5135400000</v>
      </c>
      <c r="D191" s="27" t="s">
        <v>208</v>
      </c>
      <c r="E191" s="142">
        <v>24.742044999999997</v>
      </c>
      <c r="F191" s="142">
        <v>25.609000000000002</v>
      </c>
      <c r="G191" s="143">
        <f t="shared" si="95"/>
        <v>3.5039747118720488E-2</v>
      </c>
      <c r="H191" s="142">
        <v>34.148285000000001</v>
      </c>
      <c r="I191" s="143">
        <f t="shared" si="96"/>
        <v>0.33344859229177248</v>
      </c>
      <c r="J191" s="142">
        <v>47.96264</v>
      </c>
      <c r="K191" s="143">
        <f t="shared" si="97"/>
        <v>0.40454022800852218</v>
      </c>
      <c r="L191" s="142">
        <v>51.480439891380001</v>
      </c>
      <c r="M191" s="143">
        <f t="shared" si="98"/>
        <v>7.3344584271841651E-2</v>
      </c>
      <c r="N191" s="142">
        <f>+IF(L191&lt;0,0,L191*(1+'[14]Ind. Crecimiento'!$C$8))</f>
        <v>56.628483880518004</v>
      </c>
      <c r="O191" s="143">
        <f t="shared" si="99"/>
        <v>0.10000000000000009</v>
      </c>
      <c r="P191" s="142">
        <f>+IF(N191&lt;0,0,N191*(1+'[14]Ind. Crecimiento'!$D$8))</f>
        <v>61.215391074839964</v>
      </c>
      <c r="Q191" s="143">
        <f t="shared" si="100"/>
        <v>8.0999999999999961E-2</v>
      </c>
      <c r="R191" s="142">
        <f>+IF(P191&lt;0,0,P191*(1+'[14]Ind. Crecimiento'!$E$8))</f>
        <v>65.50046845007877</v>
      </c>
      <c r="S191" s="143">
        <f t="shared" si="101"/>
        <v>7.0000000000000062E-2</v>
      </c>
      <c r="T191" s="142">
        <f>+IF(R191&lt;0,0,R191*(1+'[14]Ind. Crecimiento'!$F$8))</f>
        <v>70.085501241584282</v>
      </c>
      <c r="U191" s="143">
        <f t="shared" si="102"/>
        <v>7.0000000000000062E-2</v>
      </c>
      <c r="V191" s="142">
        <f>+IF(T191&lt;0,0,T191*(1+'[14]Ind. Crecimiento'!$G$8))</f>
        <v>74.991486328495185</v>
      </c>
      <c r="W191" s="143">
        <f t="shared" si="103"/>
        <v>7.0000000000000062E-2</v>
      </c>
    </row>
    <row r="192" spans="2:23" ht="14.25" outlineLevel="1">
      <c r="B192" s="115">
        <v>5135500000</v>
      </c>
      <c r="C192" s="21">
        <v>5135500000</v>
      </c>
      <c r="D192" s="27" t="s">
        <v>209</v>
      </c>
      <c r="E192" s="142">
        <v>9.6630000000000003</v>
      </c>
      <c r="F192" s="142">
        <v>15.427</v>
      </c>
      <c r="G192" s="143">
        <f t="shared" si="95"/>
        <v>0.59650212149435977</v>
      </c>
      <c r="H192" s="142">
        <v>11.117059999999999</v>
      </c>
      <c r="I192" s="143">
        <f t="shared" si="96"/>
        <v>-0.27937641796849688</v>
      </c>
      <c r="J192" s="142">
        <v>16.079799999999999</v>
      </c>
      <c r="K192" s="143">
        <f t="shared" si="97"/>
        <v>0.44640759337450731</v>
      </c>
      <c r="L192" s="142">
        <v>17.203256</v>
      </c>
      <c r="M192" s="143">
        <f t="shared" si="98"/>
        <v>6.9867535665866454E-2</v>
      </c>
      <c r="N192" s="142">
        <f>+IF(L192&lt;0,0,L192*(1+'[14]Ind. Crecimiento'!$C$8))</f>
        <v>18.923581600000002</v>
      </c>
      <c r="O192" s="143">
        <f t="shared" si="99"/>
        <v>0.10000000000000009</v>
      </c>
      <c r="P192" s="142">
        <f>+IF(N192&lt;0,0,N192*(1+'[14]Ind. Crecimiento'!$D$8))</f>
        <v>20.456391709600002</v>
      </c>
      <c r="Q192" s="143">
        <f t="shared" si="100"/>
        <v>8.0999999999999961E-2</v>
      </c>
      <c r="R192" s="142">
        <f>+IF(P192&lt;0,0,P192*(1+'[14]Ind. Crecimiento'!$E$8))</f>
        <v>21.888339129272005</v>
      </c>
      <c r="S192" s="143">
        <f t="shared" si="101"/>
        <v>7.0000000000000062E-2</v>
      </c>
      <c r="T192" s="142">
        <f>+IF(R192&lt;0,0,R192*(1+'[14]Ind. Crecimiento'!$F$8))</f>
        <v>23.420522868321047</v>
      </c>
      <c r="U192" s="143">
        <f t="shared" si="102"/>
        <v>7.0000000000000062E-2</v>
      </c>
      <c r="V192" s="142">
        <f>+IF(T192&lt;0,0,T192*(1+'[14]Ind. Crecimiento'!$G$8))</f>
        <v>25.059959469103521</v>
      </c>
      <c r="W192" s="143">
        <f t="shared" si="103"/>
        <v>7.0000000000000062E-2</v>
      </c>
    </row>
    <row r="193" spans="2:23" ht="14.25" outlineLevel="1">
      <c r="B193" s="120">
        <v>5135550000</v>
      </c>
      <c r="C193" s="21">
        <v>5135550000</v>
      </c>
      <c r="D193" s="27" t="s">
        <v>210</v>
      </c>
      <c r="E193" s="142">
        <v>0.32200000000000001</v>
      </c>
      <c r="F193" s="142">
        <v>1.1020000000000001</v>
      </c>
      <c r="G193" s="143">
        <f t="shared" si="95"/>
        <v>2.4223602484472053</v>
      </c>
      <c r="H193" s="142">
        <v>2.569</v>
      </c>
      <c r="I193" s="143">
        <f t="shared" si="96"/>
        <v>1.3312159709618872</v>
      </c>
      <c r="J193" s="142">
        <v>17.279</v>
      </c>
      <c r="K193" s="143">
        <f t="shared" si="97"/>
        <v>5.7259634098871155</v>
      </c>
      <c r="L193" s="142">
        <v>18.815392900000003</v>
      </c>
      <c r="M193" s="143">
        <f t="shared" si="98"/>
        <v>8.89167718039241E-2</v>
      </c>
      <c r="N193" s="142">
        <f>+IF(L193&lt;0,0,L193*(1+'[14]Ind. Crecimiento'!$C$8))</f>
        <v>20.696932190000005</v>
      </c>
      <c r="O193" s="143">
        <f t="shared" si="99"/>
        <v>0.10000000000000009</v>
      </c>
      <c r="P193" s="142">
        <f>+IF(N193&lt;0,0,N193*(1+'[14]Ind. Crecimiento'!$D$8))</f>
        <v>22.373383697390004</v>
      </c>
      <c r="Q193" s="143">
        <f t="shared" si="100"/>
        <v>8.0999999999999961E-2</v>
      </c>
      <c r="R193" s="142">
        <f>+IF(P193&lt;0,0,P193*(1+'[14]Ind. Crecimiento'!$E$8))</f>
        <v>23.939520556207306</v>
      </c>
      <c r="S193" s="143">
        <f t="shared" si="101"/>
        <v>7.0000000000000062E-2</v>
      </c>
      <c r="T193" s="142">
        <f>+IF(R193&lt;0,0,R193*(1+'[14]Ind. Crecimiento'!$F$8))</f>
        <v>25.615286995141819</v>
      </c>
      <c r="U193" s="143">
        <f t="shared" si="102"/>
        <v>7.0000000000000062E-2</v>
      </c>
      <c r="V193" s="142">
        <f>+IF(T193&lt;0,0,T193*(1+'[14]Ind. Crecimiento'!$G$8))</f>
        <v>27.408357084801747</v>
      </c>
      <c r="W193" s="143">
        <f t="shared" si="103"/>
        <v>7.0000000000000062E-2</v>
      </c>
    </row>
    <row r="194" spans="2:23" ht="14.25" outlineLevel="1">
      <c r="B194" s="118">
        <v>5135950100</v>
      </c>
      <c r="C194" s="21">
        <v>5135950100</v>
      </c>
      <c r="D194" s="27" t="s">
        <v>211</v>
      </c>
      <c r="E194" s="142">
        <v>1.78</v>
      </c>
      <c r="F194" s="142">
        <v>5.3019999999999996</v>
      </c>
      <c r="G194" s="143">
        <f t="shared" si="95"/>
        <v>1.9786516853932583</v>
      </c>
      <c r="H194" s="142">
        <v>11.321</v>
      </c>
      <c r="I194" s="143">
        <f t="shared" si="96"/>
        <v>1.1352319879290835</v>
      </c>
      <c r="J194" s="142">
        <v>15.91</v>
      </c>
      <c r="K194" s="143">
        <f t="shared" si="97"/>
        <v>0.40535288402084624</v>
      </c>
      <c r="L194" s="142">
        <v>16.916</v>
      </c>
      <c r="M194" s="143">
        <f t="shared" si="98"/>
        <v>6.3230672532998078E-2</v>
      </c>
      <c r="N194" s="142">
        <f>+IF(L194&lt;0,0,L194*(1+'[14]Ind. Crecimiento'!$C$8))</f>
        <v>18.607600000000001</v>
      </c>
      <c r="O194" s="143">
        <f t="shared" si="99"/>
        <v>0.10000000000000009</v>
      </c>
      <c r="P194" s="142">
        <f>+IF(N194&lt;0,0,N194*(1+'[14]Ind. Crecimiento'!$D$8))</f>
        <v>20.1148156</v>
      </c>
      <c r="Q194" s="143">
        <f t="shared" si="100"/>
        <v>8.0999999999999961E-2</v>
      </c>
      <c r="R194" s="142">
        <f>+IF(P194&lt;0,0,P194*(1+'[14]Ind. Crecimiento'!$E$8))</f>
        <v>21.522852692000001</v>
      </c>
      <c r="S194" s="143">
        <f t="shared" si="101"/>
        <v>7.0000000000000062E-2</v>
      </c>
      <c r="T194" s="142">
        <f>+IF(R194&lt;0,0,R194*(1+'[14]Ind. Crecimiento'!$F$8))</f>
        <v>23.029452380440002</v>
      </c>
      <c r="U194" s="143">
        <f t="shared" si="102"/>
        <v>7.0000000000000062E-2</v>
      </c>
      <c r="V194" s="142">
        <f>+IF(T194&lt;0,0,T194*(1+'[14]Ind. Crecimiento'!$G$8))</f>
        <v>24.641514047070803</v>
      </c>
      <c r="W194" s="143">
        <f t="shared" si="103"/>
        <v>7.0000000000000062E-2</v>
      </c>
    </row>
    <row r="195" spans="2:23" ht="14.25" outlineLevel="1">
      <c r="B195" s="118">
        <v>5135950200</v>
      </c>
      <c r="C195" s="21">
        <v>5135950200</v>
      </c>
      <c r="D195" s="27" t="s">
        <v>212</v>
      </c>
      <c r="E195" s="142">
        <v>34.906999999999996</v>
      </c>
      <c r="F195" s="142">
        <v>0</v>
      </c>
      <c r="G195" s="143" t="str">
        <f t="shared" si="95"/>
        <v/>
      </c>
      <c r="H195" s="142">
        <v>62.398000000000003</v>
      </c>
      <c r="I195" s="143" t="str">
        <f t="shared" si="96"/>
        <v/>
      </c>
      <c r="J195" s="142">
        <v>7.6589999999999998</v>
      </c>
      <c r="K195" s="143">
        <f t="shared" si="97"/>
        <v>-0.87725568127183562</v>
      </c>
      <c r="L195" s="142">
        <v>7.77915416</v>
      </c>
      <c r="M195" s="143">
        <f t="shared" si="98"/>
        <v>1.5687969708839233E-2</v>
      </c>
      <c r="N195" s="142">
        <f>+IF(L195&lt;0,0,L195*(1+'[14]Ind. Crecimiento'!$C$8))</f>
        <v>8.557069576</v>
      </c>
      <c r="O195" s="143">
        <f t="shared" si="99"/>
        <v>0.10000000000000009</v>
      </c>
      <c r="P195" s="142">
        <f>+IF(N195&lt;0,0,N195*(1+'[14]Ind. Crecimiento'!$D$8))</f>
        <v>9.2501922116559996</v>
      </c>
      <c r="Q195" s="143">
        <f t="shared" si="100"/>
        <v>8.0999999999999961E-2</v>
      </c>
      <c r="R195" s="142">
        <f>+IF(P195&lt;0,0,P195*(1+'[14]Ind. Crecimiento'!$E$8))</f>
        <v>9.8977056664719196</v>
      </c>
      <c r="S195" s="143">
        <f t="shared" si="101"/>
        <v>7.0000000000000062E-2</v>
      </c>
      <c r="T195" s="142">
        <f>+IF(R195&lt;0,0,R195*(1+'[14]Ind. Crecimiento'!$F$8))</f>
        <v>10.590545063124955</v>
      </c>
      <c r="U195" s="143">
        <f t="shared" si="102"/>
        <v>7.0000000000000062E-2</v>
      </c>
      <c r="V195" s="142">
        <f>+IF(T195&lt;0,0,T195*(1+'[14]Ind. Crecimiento'!$G$8))</f>
        <v>11.331883217543702</v>
      </c>
      <c r="W195" s="143">
        <f t="shared" si="103"/>
        <v>7.0000000000000062E-2</v>
      </c>
    </row>
    <row r="196" spans="2:23" ht="14.25" outlineLevel="1">
      <c r="B196" s="117">
        <v>5135950300</v>
      </c>
      <c r="C196" s="21">
        <v>5135950300</v>
      </c>
      <c r="D196" s="27" t="s">
        <v>213</v>
      </c>
      <c r="E196" s="142">
        <v>255.971</v>
      </c>
      <c r="F196" s="142">
        <v>289.25700000000001</v>
      </c>
      <c r="G196" s="143">
        <f t="shared" si="95"/>
        <v>0.13003816838626259</v>
      </c>
      <c r="H196" s="142">
        <v>307.31</v>
      </c>
      <c r="I196" s="143">
        <f t="shared" si="96"/>
        <v>6.2411627030633632E-2</v>
      </c>
      <c r="J196" s="142">
        <v>380.48500000000001</v>
      </c>
      <c r="K196" s="143">
        <f t="shared" si="97"/>
        <v>0.23811460739969426</v>
      </c>
      <c r="L196" s="142">
        <v>399.53297489000005</v>
      </c>
      <c r="M196" s="143">
        <f t="shared" si="98"/>
        <v>5.006235433722761E-2</v>
      </c>
      <c r="N196" s="142">
        <f>+IF(L196&lt;0,0,L196*(1+'[14]Ind. Crecimiento'!$C$8))</f>
        <v>439.48627237900007</v>
      </c>
      <c r="O196" s="143">
        <f t="shared" si="99"/>
        <v>0.10000000000000009</v>
      </c>
      <c r="P196" s="142">
        <f>+IF(N196&lt;0,0,N196*(1+'[14]Ind. Crecimiento'!$D$8))</f>
        <v>475.08466044169904</v>
      </c>
      <c r="Q196" s="143">
        <f t="shared" si="100"/>
        <v>8.0999999999999961E-2</v>
      </c>
      <c r="R196" s="142">
        <f>+IF(P196&lt;0,0,P196*(1+'[14]Ind. Crecimiento'!$E$8))</f>
        <v>508.34058667261803</v>
      </c>
      <c r="S196" s="143">
        <f t="shared" si="101"/>
        <v>7.0000000000000062E-2</v>
      </c>
      <c r="T196" s="142">
        <f>+IF(R196&lt;0,0,R196*(1+'[14]Ind. Crecimiento'!$F$8))</f>
        <v>543.92442773970129</v>
      </c>
      <c r="U196" s="143">
        <f t="shared" si="102"/>
        <v>7.0000000000000062E-2</v>
      </c>
      <c r="V196" s="142">
        <f>+IF(T196&lt;0,0,T196*(1+'[14]Ind. Crecimiento'!$G$8))</f>
        <v>581.99913768148042</v>
      </c>
      <c r="W196" s="143">
        <f t="shared" si="103"/>
        <v>7.0000000000000062E-2</v>
      </c>
    </row>
    <row r="197" spans="2:23" ht="14.25" outlineLevel="1">
      <c r="B197" s="117">
        <v>5135950400</v>
      </c>
      <c r="C197" s="21">
        <v>5135950400</v>
      </c>
      <c r="D197" s="27" t="s">
        <v>214</v>
      </c>
      <c r="E197" s="142">
        <v>37.909999999999997</v>
      </c>
      <c r="F197" s="142">
        <v>8.2390000000000008</v>
      </c>
      <c r="G197" s="143">
        <f t="shared" si="95"/>
        <v>-0.78266948034819306</v>
      </c>
      <c r="H197" s="142">
        <v>0</v>
      </c>
      <c r="I197" s="143" t="str">
        <f t="shared" si="96"/>
        <v/>
      </c>
      <c r="J197" s="142">
        <v>3.81</v>
      </c>
      <c r="K197" s="143" t="str">
        <f t="shared" si="97"/>
        <v/>
      </c>
      <c r="L197" s="142">
        <v>4.0390000000000006</v>
      </c>
      <c r="M197" s="143">
        <f t="shared" si="98"/>
        <v>6.0104986876640565E-2</v>
      </c>
      <c r="N197" s="142">
        <f>+IF(L197&lt;0,0,L197*(1+'[14]Ind. Crecimiento'!$C$8))</f>
        <v>4.4429000000000007</v>
      </c>
      <c r="O197" s="143">
        <f t="shared" si="99"/>
        <v>0.10000000000000009</v>
      </c>
      <c r="P197" s="142">
        <f>+IF(N197&lt;0,0,N197*(1+'[14]Ind. Crecimiento'!$D$8))</f>
        <v>4.8027749000000002</v>
      </c>
      <c r="Q197" s="143">
        <f t="shared" si="100"/>
        <v>8.0999999999999961E-2</v>
      </c>
      <c r="R197" s="142">
        <f>+IF(P197&lt;0,0,P197*(1+'[14]Ind. Crecimiento'!$E$8))</f>
        <v>5.1389691430000006</v>
      </c>
      <c r="S197" s="143">
        <f t="shared" si="101"/>
        <v>7.0000000000000062E-2</v>
      </c>
      <c r="T197" s="142">
        <f>+IF(R197&lt;0,0,R197*(1+'[14]Ind. Crecimiento'!$F$8))</f>
        <v>5.4986969830100012</v>
      </c>
      <c r="U197" s="143">
        <f t="shared" si="102"/>
        <v>7.0000000000000062E-2</v>
      </c>
      <c r="V197" s="142">
        <f>+IF(T197&lt;0,0,T197*(1+'[14]Ind. Crecimiento'!$G$8))</f>
        <v>5.8836057718207018</v>
      </c>
      <c r="W197" s="143">
        <f t="shared" si="103"/>
        <v>7.0000000000000062E-2</v>
      </c>
    </row>
    <row r="198" spans="2:23" ht="14.25" outlineLevel="1">
      <c r="B198" s="117">
        <v>5135950500</v>
      </c>
      <c r="C198" s="21">
        <v>5135950500</v>
      </c>
      <c r="D198" s="27" t="s">
        <v>215</v>
      </c>
      <c r="E198" s="142">
        <v>446.32</v>
      </c>
      <c r="F198" s="142">
        <v>671.76300000000003</v>
      </c>
      <c r="G198" s="143">
        <f t="shared" si="95"/>
        <v>0.50511516400788681</v>
      </c>
      <c r="H198" s="142">
        <v>682.36090000000002</v>
      </c>
      <c r="I198" s="143">
        <f t="shared" si="96"/>
        <v>1.5776248468581944E-2</v>
      </c>
      <c r="J198" s="142">
        <v>1135.9760000000001</v>
      </c>
      <c r="K198" s="143">
        <f t="shared" si="97"/>
        <v>0.6647729962253115</v>
      </c>
      <c r="L198" s="142">
        <v>1178.6154899999999</v>
      </c>
      <c r="M198" s="143">
        <f t="shared" si="98"/>
        <v>3.7535555328633619E-2</v>
      </c>
      <c r="N198" s="142">
        <f>+IF(L198&lt;0,0,L198*(1+'[14]Ind. Crecimiento'!$C$8))</f>
        <v>1296.4770390000001</v>
      </c>
      <c r="O198" s="143">
        <f t="shared" si="99"/>
        <v>0.10000000000000009</v>
      </c>
      <c r="P198" s="142">
        <f>+IF(N198&lt;0,0,N198*(1+'[14]Ind. Crecimiento'!$D$8))</f>
        <v>1401.4916791590001</v>
      </c>
      <c r="Q198" s="143">
        <f t="shared" si="100"/>
        <v>8.0999999999999961E-2</v>
      </c>
      <c r="R198" s="142">
        <f>+IF(P198&lt;0,0,P198*(1+'[14]Ind. Crecimiento'!$E$8))</f>
        <v>1499.5960967001301</v>
      </c>
      <c r="S198" s="143">
        <f t="shared" si="101"/>
        <v>7.0000000000000062E-2</v>
      </c>
      <c r="T198" s="142">
        <f>+IF(R198&lt;0,0,R198*(1+'[14]Ind. Crecimiento'!$F$8))</f>
        <v>1604.5678234691393</v>
      </c>
      <c r="U198" s="143">
        <f t="shared" si="102"/>
        <v>7.0000000000000062E-2</v>
      </c>
      <c r="V198" s="142">
        <f>+IF(T198&lt;0,0,T198*(1+'[14]Ind. Crecimiento'!$G$8))</f>
        <v>1716.8875711119792</v>
      </c>
      <c r="W198" s="143">
        <f t="shared" si="103"/>
        <v>7.0000000000000062E-2</v>
      </c>
    </row>
    <row r="199" spans="2:23" ht="14.25" outlineLevel="1">
      <c r="B199" s="117">
        <v>5135950600</v>
      </c>
      <c r="C199" s="21">
        <v>5135950600</v>
      </c>
      <c r="D199" s="27" t="s">
        <v>216</v>
      </c>
      <c r="E199" s="142">
        <v>459.58600000000001</v>
      </c>
      <c r="F199" s="142">
        <v>331.43599999999998</v>
      </c>
      <c r="G199" s="143">
        <f t="shared" si="95"/>
        <v>-0.27883791064131636</v>
      </c>
      <c r="H199" s="142">
        <v>355.91399999999999</v>
      </c>
      <c r="I199" s="143">
        <f t="shared" si="96"/>
        <v>7.3854379125985137E-2</v>
      </c>
      <c r="J199" s="142">
        <v>515.98099999999999</v>
      </c>
      <c r="K199" s="143">
        <f t="shared" si="97"/>
        <v>0.44973504835437783</v>
      </c>
      <c r="L199" s="142">
        <v>565.44872600000008</v>
      </c>
      <c r="M199" s="143">
        <f t="shared" si="98"/>
        <v>9.5871216188193165E-2</v>
      </c>
      <c r="N199" s="142">
        <f>+IF(L199&lt;0,0,L199*(1+'[14]Ind. Crecimiento'!$C$8))</f>
        <v>621.99359860000015</v>
      </c>
      <c r="O199" s="143">
        <f t="shared" si="99"/>
        <v>0.10000000000000009</v>
      </c>
      <c r="P199" s="142">
        <f>+IF(N199&lt;0,0,N199*(1+'[14]Ind. Crecimiento'!$D$8))</f>
        <v>672.37508008660018</v>
      </c>
      <c r="Q199" s="143">
        <f t="shared" si="100"/>
        <v>8.0999999999999961E-2</v>
      </c>
      <c r="R199" s="142">
        <f>+IF(P199&lt;0,0,P199*(1+'[14]Ind. Crecimiento'!$E$8))</f>
        <v>719.44133569266228</v>
      </c>
      <c r="S199" s="143">
        <f t="shared" si="101"/>
        <v>7.0000000000000062E-2</v>
      </c>
      <c r="T199" s="142">
        <f>+IF(R199&lt;0,0,R199*(1+'[14]Ind. Crecimiento'!$F$8))</f>
        <v>769.80222919114863</v>
      </c>
      <c r="U199" s="143">
        <f t="shared" si="102"/>
        <v>7.0000000000000062E-2</v>
      </c>
      <c r="V199" s="142">
        <f>+IF(T199&lt;0,0,T199*(1+'[14]Ind. Crecimiento'!$G$8))</f>
        <v>823.68838523452905</v>
      </c>
      <c r="W199" s="143">
        <f t="shared" si="103"/>
        <v>7.0000000000000062E-2</v>
      </c>
    </row>
    <row r="200" spans="2:23" ht="14.25" outlineLevel="1">
      <c r="B200" s="117">
        <v>5135950700</v>
      </c>
      <c r="C200" s="21">
        <v>5135950700</v>
      </c>
      <c r="D200" s="27" t="s">
        <v>217</v>
      </c>
      <c r="E200" s="142">
        <v>488.06799999999998</v>
      </c>
      <c r="F200" s="142">
        <v>640.29999999999995</v>
      </c>
      <c r="G200" s="143">
        <f t="shared" si="95"/>
        <v>0.31190735717154161</v>
      </c>
      <c r="H200" s="142">
        <v>1127.4839999999999</v>
      </c>
      <c r="I200" s="143">
        <f t="shared" si="96"/>
        <v>0.76086834296423556</v>
      </c>
      <c r="J200" s="142">
        <v>1584.75</v>
      </c>
      <c r="K200" s="143">
        <f t="shared" si="97"/>
        <v>0.40556318315825335</v>
      </c>
      <c r="L200" s="142">
        <v>1884.9699047799998</v>
      </c>
      <c r="M200" s="143">
        <f t="shared" si="98"/>
        <v>0.18944306974601655</v>
      </c>
      <c r="N200" s="142">
        <f>+IF(L200&lt;0,0,L200*(1+'[14]Ind. Crecimiento'!$C$8))</f>
        <v>2073.466895258</v>
      </c>
      <c r="O200" s="143">
        <f t="shared" si="99"/>
        <v>0.10000000000000009</v>
      </c>
      <c r="P200" s="142">
        <f>+IF(N200&lt;0,0,N200*(1+'[14]Ind. Crecimiento'!$D$8))</f>
        <v>2241.417713773898</v>
      </c>
      <c r="Q200" s="143">
        <f t="shared" si="100"/>
        <v>8.0999999999999961E-2</v>
      </c>
      <c r="R200" s="142">
        <f>+IF(P200&lt;0,0,P200*(1+'[14]Ind. Crecimiento'!$E$8))</f>
        <v>2398.3169537380709</v>
      </c>
      <c r="S200" s="143">
        <f t="shared" si="101"/>
        <v>7.0000000000000062E-2</v>
      </c>
      <c r="T200" s="142">
        <f>+IF(R200&lt;0,0,R200*(1+'[14]Ind. Crecimiento'!$F$8))</f>
        <v>2566.1991404997361</v>
      </c>
      <c r="U200" s="143">
        <f t="shared" si="102"/>
        <v>7.0000000000000062E-2</v>
      </c>
      <c r="V200" s="142">
        <f>+IF(T200&lt;0,0,T200*(1+'[14]Ind. Crecimiento'!$G$8))</f>
        <v>2745.833080334718</v>
      </c>
      <c r="W200" s="143">
        <f t="shared" si="103"/>
        <v>7.0000000000000062E-2</v>
      </c>
    </row>
    <row r="201" spans="2:23" ht="14.25" outlineLevel="1">
      <c r="B201" s="117">
        <v>5135950900</v>
      </c>
      <c r="C201" s="21">
        <v>5135950900</v>
      </c>
      <c r="D201" s="27" t="s">
        <v>218</v>
      </c>
      <c r="E201" s="142">
        <v>16.709</v>
      </c>
      <c r="F201" s="142">
        <v>8.4610000000000003</v>
      </c>
      <c r="G201" s="143">
        <f t="shared" si="95"/>
        <v>-0.49362618947872405</v>
      </c>
      <c r="H201" s="142">
        <v>8.7680000000000007</v>
      </c>
      <c r="I201" s="143">
        <f t="shared" si="96"/>
        <v>3.628412717172913E-2</v>
      </c>
      <c r="J201" s="142">
        <v>9.6980000000000004</v>
      </c>
      <c r="K201" s="143">
        <f t="shared" si="97"/>
        <v>0.10606751824817517</v>
      </c>
      <c r="L201" s="142">
        <v>10.377380020000002</v>
      </c>
      <c r="M201" s="143">
        <f t="shared" si="98"/>
        <v>7.0053621365230079E-2</v>
      </c>
      <c r="N201" s="142">
        <f>+IF(L201&lt;0,0,L201*(1+'[14]Ind. Crecimiento'!$C$8))</f>
        <v>11.415118022000003</v>
      </c>
      <c r="O201" s="143">
        <f t="shared" si="99"/>
        <v>0.10000000000000009</v>
      </c>
      <c r="P201" s="142">
        <f>+IF(N201&lt;0,0,N201*(1+'[14]Ind. Crecimiento'!$D$8))</f>
        <v>12.339742581782003</v>
      </c>
      <c r="Q201" s="143">
        <f t="shared" si="100"/>
        <v>8.0999999999999961E-2</v>
      </c>
      <c r="R201" s="142">
        <f>+IF(P201&lt;0,0,P201*(1+'[14]Ind. Crecimiento'!$E$8))</f>
        <v>13.203524562506745</v>
      </c>
      <c r="S201" s="143">
        <f t="shared" si="101"/>
        <v>7.0000000000000062E-2</v>
      </c>
      <c r="T201" s="142">
        <f>+IF(R201&lt;0,0,R201*(1+'[14]Ind. Crecimiento'!$F$8))</f>
        <v>14.127771281882218</v>
      </c>
      <c r="U201" s="143">
        <f t="shared" si="102"/>
        <v>7.0000000000000062E-2</v>
      </c>
      <c r="V201" s="142">
        <f>+IF(T201&lt;0,0,T201*(1+'[14]Ind. Crecimiento'!$G$8))</f>
        <v>15.116715271613975</v>
      </c>
      <c r="W201" s="143">
        <f t="shared" si="103"/>
        <v>7.0000000000000062E-2</v>
      </c>
    </row>
    <row r="202" spans="2:23" ht="14.25" outlineLevel="1">
      <c r="B202" s="117">
        <v>5135951000</v>
      </c>
      <c r="C202" s="21">
        <v>5135951000</v>
      </c>
      <c r="D202" s="27" t="s">
        <v>219</v>
      </c>
      <c r="E202" s="142">
        <v>20.412637999999998</v>
      </c>
      <c r="F202" s="142">
        <v>26.115051999999999</v>
      </c>
      <c r="G202" s="143">
        <f t="shared" si="95"/>
        <v>0.27935703361809483</v>
      </c>
      <c r="H202" s="142">
        <v>34.759194000000001</v>
      </c>
      <c r="I202" s="143">
        <f t="shared" si="96"/>
        <v>0.33100228940765675</v>
      </c>
      <c r="J202" s="142">
        <v>19.150441999999998</v>
      </c>
      <c r="K202" s="143">
        <f t="shared" si="97"/>
        <v>-0.44905391074373024</v>
      </c>
      <c r="L202" s="142">
        <v>20.737176640000001</v>
      </c>
      <c r="M202" s="143">
        <f t="shared" si="98"/>
        <v>8.2856293342994602E-2</v>
      </c>
      <c r="N202" s="142">
        <f>+IF(L202&lt;0,0,L202*(1+'[14]Ind. Crecimiento'!$C$8))</f>
        <v>22.810894304000005</v>
      </c>
      <c r="O202" s="143">
        <f t="shared" si="99"/>
        <v>0.10000000000000009</v>
      </c>
      <c r="P202" s="142">
        <f>+IF(N202&lt;0,0,N202*(1+'[14]Ind. Crecimiento'!$D$8))</f>
        <v>24.658576742624003</v>
      </c>
      <c r="Q202" s="143">
        <f t="shared" si="100"/>
        <v>8.0999999999999961E-2</v>
      </c>
      <c r="R202" s="142">
        <f>+IF(P202&lt;0,0,P202*(1+'[14]Ind. Crecimiento'!$E$8))</f>
        <v>26.384677114607683</v>
      </c>
      <c r="S202" s="143">
        <f t="shared" si="101"/>
        <v>7.0000000000000062E-2</v>
      </c>
      <c r="T202" s="142">
        <f>+IF(R202&lt;0,0,R202*(1+'[14]Ind. Crecimiento'!$F$8))</f>
        <v>28.231604512630224</v>
      </c>
      <c r="U202" s="143">
        <f t="shared" si="102"/>
        <v>7.0000000000000062E-2</v>
      </c>
      <c r="V202" s="142">
        <f>+IF(T202&lt;0,0,T202*(1+'[14]Ind. Crecimiento'!$G$8))</f>
        <v>30.207816828514343</v>
      </c>
      <c r="W202" s="143">
        <f t="shared" si="103"/>
        <v>7.0000000000000062E-2</v>
      </c>
    </row>
    <row r="203" spans="2:23" ht="14.25" outlineLevel="1">
      <c r="B203" s="117">
        <v>5135951100</v>
      </c>
      <c r="C203" s="21">
        <v>5135951100</v>
      </c>
      <c r="D203" s="27" t="s">
        <v>220</v>
      </c>
      <c r="E203" s="142">
        <v>7.18</v>
      </c>
      <c r="F203" s="142">
        <v>7.9809999999999999</v>
      </c>
      <c r="G203" s="143">
        <f t="shared" si="95"/>
        <v>0.11155988857938715</v>
      </c>
      <c r="H203" s="142">
        <v>9.7249999999999996</v>
      </c>
      <c r="I203" s="143">
        <f t="shared" si="96"/>
        <v>0.218518982583636</v>
      </c>
      <c r="J203" s="142">
        <v>13.885999999999999</v>
      </c>
      <c r="K203" s="143">
        <f t="shared" si="97"/>
        <v>0.42786632390745494</v>
      </c>
      <c r="L203" s="142">
        <v>14.773130000000002</v>
      </c>
      <c r="M203" s="143">
        <f t="shared" si="98"/>
        <v>6.3886648422872172E-2</v>
      </c>
      <c r="N203" s="142">
        <f>+IF(L203&lt;0,0,L203*(1+'[14]Ind. Crecimiento'!$C$8))</f>
        <v>16.250443000000004</v>
      </c>
      <c r="O203" s="143">
        <f t="shared" si="99"/>
        <v>0.10000000000000009</v>
      </c>
      <c r="P203" s="142">
        <f>+IF(N203&lt;0,0,N203*(1+'[14]Ind. Crecimiento'!$D$8))</f>
        <v>17.566728883000003</v>
      </c>
      <c r="Q203" s="143">
        <f t="shared" si="100"/>
        <v>8.0999999999999961E-2</v>
      </c>
      <c r="R203" s="142">
        <f>+IF(P203&lt;0,0,P203*(1+'[14]Ind. Crecimiento'!$E$8))</f>
        <v>18.796399904810006</v>
      </c>
      <c r="S203" s="143">
        <f t="shared" si="101"/>
        <v>7.0000000000000062E-2</v>
      </c>
      <c r="T203" s="142">
        <f>+IF(R203&lt;0,0,R203*(1+'[14]Ind. Crecimiento'!$F$8))</f>
        <v>20.112147898146706</v>
      </c>
      <c r="U203" s="143">
        <f t="shared" si="102"/>
        <v>7.0000000000000062E-2</v>
      </c>
      <c r="V203" s="142">
        <f>+IF(T203&lt;0,0,T203*(1+'[14]Ind. Crecimiento'!$G$8))</f>
        <v>21.519998251016975</v>
      </c>
      <c r="W203" s="143">
        <f t="shared" si="103"/>
        <v>7.0000000000000062E-2</v>
      </c>
    </row>
    <row r="204" spans="2:23" ht="14.25" outlineLevel="1">
      <c r="B204" s="117">
        <v>5135951300</v>
      </c>
      <c r="C204" s="21">
        <v>5135951300</v>
      </c>
      <c r="D204" s="27" t="s">
        <v>221</v>
      </c>
      <c r="E204" s="142">
        <v>-1.8800000002374873E-4</v>
      </c>
      <c r="F204" s="142">
        <v>-3.3299999998416752E-4</v>
      </c>
      <c r="G204" s="143">
        <f t="shared" si="95"/>
        <v>0.77127659543671245</v>
      </c>
      <c r="H204" s="142">
        <v>0</v>
      </c>
      <c r="I204" s="143" t="str">
        <f t="shared" si="96"/>
        <v/>
      </c>
      <c r="J204" s="142">
        <v>0</v>
      </c>
      <c r="K204" s="143" t="str">
        <f t="shared" si="97"/>
        <v/>
      </c>
      <c r="L204" s="142">
        <v>0</v>
      </c>
      <c r="M204" s="143" t="str">
        <f t="shared" si="98"/>
        <v/>
      </c>
      <c r="N204" s="142">
        <f>+IF(L204&lt;0,0,L204*(1+'[14]Ind. Crecimiento'!$C$8))</f>
        <v>0</v>
      </c>
      <c r="O204" s="143" t="str">
        <f t="shared" si="99"/>
        <v/>
      </c>
      <c r="P204" s="142">
        <f>+IF(N204&lt;0,0,N204*(1+'[14]Ind. Crecimiento'!$D$8))</f>
        <v>0</v>
      </c>
      <c r="Q204" s="143" t="str">
        <f t="shared" si="100"/>
        <v/>
      </c>
      <c r="R204" s="142">
        <f>+IF(P204&lt;0,0,P204*(1+'[14]Ind. Crecimiento'!$E$8))</f>
        <v>0</v>
      </c>
      <c r="S204" s="143" t="str">
        <f t="shared" si="101"/>
        <v/>
      </c>
      <c r="T204" s="142">
        <f>+IF(R204&lt;0,0,R204*(1+'[14]Ind. Crecimiento'!$F$8))</f>
        <v>0</v>
      </c>
      <c r="U204" s="143" t="str">
        <f t="shared" si="102"/>
        <v/>
      </c>
      <c r="V204" s="142">
        <f>+IF(T204&lt;0,0,T204*(1+'[14]Ind. Crecimiento'!$G$8))</f>
        <v>0</v>
      </c>
      <c r="W204" s="143" t="str">
        <f t="shared" si="103"/>
        <v/>
      </c>
    </row>
    <row r="205" spans="2:23" ht="14.25" outlineLevel="1">
      <c r="B205" s="117">
        <v>5135951600</v>
      </c>
      <c r="C205" s="21">
        <v>5135951600</v>
      </c>
      <c r="D205" s="27" t="s">
        <v>222</v>
      </c>
      <c r="E205" s="142">
        <v>44.981000000000002</v>
      </c>
      <c r="F205" s="142">
        <v>92.126999999999995</v>
      </c>
      <c r="G205" s="143">
        <f t="shared" si="95"/>
        <v>1.0481314332718257</v>
      </c>
      <c r="H205" s="142">
        <v>183.43100000000001</v>
      </c>
      <c r="I205" s="143">
        <f t="shared" si="96"/>
        <v>0.99106667969216433</v>
      </c>
      <c r="J205" s="142">
        <v>122.651</v>
      </c>
      <c r="K205" s="143">
        <f t="shared" si="97"/>
        <v>-0.33135075314423412</v>
      </c>
      <c r="L205" s="142">
        <v>131.23665453000001</v>
      </c>
      <c r="M205" s="143">
        <f t="shared" si="98"/>
        <v>7.0000689191282772E-2</v>
      </c>
      <c r="N205" s="142">
        <f>+IF(L205&lt;0,0,L205*(1+'[14]Ind. Crecimiento'!$C$8))</f>
        <v>144.36031998300001</v>
      </c>
      <c r="O205" s="143">
        <f t="shared" si="99"/>
        <v>0.10000000000000009</v>
      </c>
      <c r="P205" s="142">
        <f>+IF(N205&lt;0,0,N205*(1+'[14]Ind. Crecimiento'!$D$8))</f>
        <v>156.053505901623</v>
      </c>
      <c r="Q205" s="143">
        <f t="shared" si="100"/>
        <v>8.0999999999999961E-2</v>
      </c>
      <c r="R205" s="142">
        <f>+IF(P205&lt;0,0,P205*(1+'[14]Ind. Crecimiento'!$E$8))</f>
        <v>166.97725131473661</v>
      </c>
      <c r="S205" s="143">
        <f t="shared" si="101"/>
        <v>7.0000000000000062E-2</v>
      </c>
      <c r="T205" s="142">
        <f>+IF(R205&lt;0,0,R205*(1+'[14]Ind. Crecimiento'!$F$8))</f>
        <v>178.66565890676819</v>
      </c>
      <c r="U205" s="143">
        <f t="shared" si="102"/>
        <v>7.0000000000000062E-2</v>
      </c>
      <c r="V205" s="142">
        <f>+IF(T205&lt;0,0,T205*(1+'[14]Ind. Crecimiento'!$G$8))</f>
        <v>191.17225503024198</v>
      </c>
      <c r="W205" s="143">
        <f t="shared" si="103"/>
        <v>7.0000000000000062E-2</v>
      </c>
    </row>
    <row r="206" spans="2:23" ht="14.25" outlineLevel="1">
      <c r="B206" s="117">
        <v>5135951700</v>
      </c>
      <c r="C206" s="21">
        <v>5135951700</v>
      </c>
      <c r="D206" s="27" t="s">
        <v>223</v>
      </c>
      <c r="E206" s="142">
        <v>80.406999999999996</v>
      </c>
      <c r="F206" s="142">
        <v>22.433</v>
      </c>
      <c r="G206" s="143">
        <f t="shared" si="95"/>
        <v>-0.7210068775106645</v>
      </c>
      <c r="H206" s="142">
        <v>0.35199999999999998</v>
      </c>
      <c r="I206" s="143">
        <f t="shared" si="96"/>
        <v>-0.98430883074042708</v>
      </c>
      <c r="J206" s="142">
        <v>75.408000000000001</v>
      </c>
      <c r="K206" s="143">
        <f t="shared" si="97"/>
        <v>213.22727272727275</v>
      </c>
      <c r="L206" s="142">
        <v>80.686399500000007</v>
      </c>
      <c r="M206" s="143">
        <f t="shared" si="98"/>
        <v>6.9997871578612481E-2</v>
      </c>
      <c r="N206" s="142">
        <f>+IF(L206&lt;0,0,L206*(1+'[14]Ind. Crecimiento'!$C$8))</f>
        <v>88.755039450000012</v>
      </c>
      <c r="O206" s="143">
        <f t="shared" si="99"/>
        <v>0.10000000000000009</v>
      </c>
      <c r="P206" s="142">
        <f>+IF(N206&lt;0,0,N206*(1+'[14]Ind. Crecimiento'!$D$8))</f>
        <v>95.944197645450004</v>
      </c>
      <c r="Q206" s="143">
        <f t="shared" si="100"/>
        <v>8.0999999999999961E-2</v>
      </c>
      <c r="R206" s="142">
        <f>+IF(P206&lt;0,0,P206*(1+'[14]Ind. Crecimiento'!$E$8))</f>
        <v>102.66029148063151</v>
      </c>
      <c r="S206" s="143">
        <f t="shared" si="101"/>
        <v>7.0000000000000062E-2</v>
      </c>
      <c r="T206" s="142">
        <f>+IF(R206&lt;0,0,R206*(1+'[14]Ind. Crecimiento'!$F$8))</f>
        <v>109.84651188427573</v>
      </c>
      <c r="U206" s="143">
        <f t="shared" si="102"/>
        <v>7.0000000000000062E-2</v>
      </c>
      <c r="V206" s="142">
        <f>+IF(T206&lt;0,0,T206*(1+'[14]Ind. Crecimiento'!$G$8))</f>
        <v>117.53576771617503</v>
      </c>
      <c r="W206" s="143">
        <f t="shared" si="103"/>
        <v>7.0000000000000062E-2</v>
      </c>
    </row>
    <row r="207" spans="2:23" ht="14.25" outlineLevel="1">
      <c r="B207" s="117">
        <v>5135951900</v>
      </c>
      <c r="C207" s="21">
        <v>5135951900</v>
      </c>
      <c r="D207" s="27" t="s">
        <v>224</v>
      </c>
      <c r="E207" s="142">
        <v>20.941580000000002</v>
      </c>
      <c r="F207" s="142">
        <v>30.155999999999999</v>
      </c>
      <c r="G207" s="143">
        <f t="shared" si="95"/>
        <v>0.44000595943572529</v>
      </c>
      <c r="H207" s="142">
        <v>97.8</v>
      </c>
      <c r="I207" s="143">
        <f t="shared" si="96"/>
        <v>2.2431356943891765</v>
      </c>
      <c r="J207" s="142">
        <v>100.203</v>
      </c>
      <c r="K207" s="143">
        <f t="shared" si="97"/>
        <v>2.4570552147239244E-2</v>
      </c>
      <c r="L207" s="142">
        <v>107.20759744</v>
      </c>
      <c r="M207" s="143">
        <f t="shared" si="98"/>
        <v>6.9904069139646419E-2</v>
      </c>
      <c r="N207" s="142">
        <f>+IF(L207&lt;0,0,L207*(1+'[14]Ind. Crecimiento'!$C$8))</f>
        <v>117.92835718400001</v>
      </c>
      <c r="O207" s="143">
        <f t="shared" si="99"/>
        <v>0.10000000000000009</v>
      </c>
      <c r="P207" s="142">
        <f>+IF(N207&lt;0,0,N207*(1+'[14]Ind. Crecimiento'!$D$8))</f>
        <v>127.480554115904</v>
      </c>
      <c r="Q207" s="143">
        <f t="shared" si="100"/>
        <v>8.0999999999999961E-2</v>
      </c>
      <c r="R207" s="142">
        <f>+IF(P207&lt;0,0,P207*(1+'[14]Ind. Crecimiento'!$E$8))</f>
        <v>136.40419290401729</v>
      </c>
      <c r="S207" s="143">
        <f t="shared" si="101"/>
        <v>7.0000000000000062E-2</v>
      </c>
      <c r="T207" s="142">
        <f>+IF(R207&lt;0,0,R207*(1+'[14]Ind. Crecimiento'!$F$8))</f>
        <v>145.95248640729852</v>
      </c>
      <c r="U207" s="143">
        <f t="shared" si="102"/>
        <v>7.0000000000000062E-2</v>
      </c>
      <c r="V207" s="142">
        <f>+IF(T207&lt;0,0,T207*(1+'[14]Ind. Crecimiento'!$G$8))</f>
        <v>156.16916045580942</v>
      </c>
      <c r="W207" s="143">
        <f t="shared" si="103"/>
        <v>7.0000000000000062E-2</v>
      </c>
    </row>
    <row r="208" spans="2:23" ht="14.25" outlineLevel="1">
      <c r="B208" s="117">
        <v>5135953000</v>
      </c>
      <c r="C208" s="21">
        <v>5135955000</v>
      </c>
      <c r="D208" s="27" t="s">
        <v>225</v>
      </c>
      <c r="E208" s="142">
        <v>0</v>
      </c>
      <c r="F208" s="142">
        <v>0</v>
      </c>
      <c r="G208" s="143" t="str">
        <f t="shared" si="95"/>
        <v/>
      </c>
      <c r="H208" s="142">
        <v>422.12200000000001</v>
      </c>
      <c r="I208" s="143" t="str">
        <f t="shared" si="96"/>
        <v/>
      </c>
      <c r="J208" s="142">
        <v>476.07499999999999</v>
      </c>
      <c r="K208" s="143">
        <f t="shared" si="97"/>
        <v>0.12781376000303224</v>
      </c>
      <c r="L208" s="142">
        <v>530.80966855000008</v>
      </c>
      <c r="M208" s="143">
        <f t="shared" si="98"/>
        <v>0.11497068434595414</v>
      </c>
      <c r="N208" s="142">
        <f>+IF(L208&lt;0,0,L208*(1+'[14]Ind. Crecimiento'!$C$8))</f>
        <v>583.89063540500013</v>
      </c>
      <c r="O208" s="143">
        <f t="shared" si="99"/>
        <v>0.10000000000000009</v>
      </c>
      <c r="P208" s="142">
        <f>+IF(N208&lt;0,0,N208*(1+'[14]Ind. Crecimiento'!$D$8))</f>
        <v>631.18577687280515</v>
      </c>
      <c r="Q208" s="143">
        <f t="shared" si="100"/>
        <v>8.0999999999999961E-2</v>
      </c>
      <c r="R208" s="142">
        <f>+IF(P208&lt;0,0,P208*(1+'[14]Ind. Crecimiento'!$E$8))</f>
        <v>675.3687812539016</v>
      </c>
      <c r="S208" s="143">
        <f t="shared" si="101"/>
        <v>7.0000000000000062E-2</v>
      </c>
      <c r="T208" s="142">
        <f>+IF(R208&lt;0,0,R208*(1+'[14]Ind. Crecimiento'!$F$8))</f>
        <v>722.64459594167477</v>
      </c>
      <c r="U208" s="143">
        <f t="shared" si="102"/>
        <v>7.0000000000000062E-2</v>
      </c>
      <c r="V208" s="142">
        <f>+IF(T208&lt;0,0,T208*(1+'[14]Ind. Crecimiento'!$G$8))</f>
        <v>773.229717657592</v>
      </c>
      <c r="W208" s="143">
        <f t="shared" si="103"/>
        <v>7.0000000000000062E-2</v>
      </c>
    </row>
    <row r="209" spans="2:23" ht="14.25" outlineLevel="1">
      <c r="B209" s="117">
        <v>5135955000</v>
      </c>
      <c r="C209" s="21">
        <v>5135955000</v>
      </c>
      <c r="D209" s="27" t="s">
        <v>226</v>
      </c>
      <c r="E209" s="142">
        <v>106.55408100000001</v>
      </c>
      <c r="F209" s="142">
        <v>222.67566500000001</v>
      </c>
      <c r="G209" s="143">
        <f t="shared" si="95"/>
        <v>1.0897901132477505</v>
      </c>
      <c r="H209" s="142">
        <v>255.724999</v>
      </c>
      <c r="I209" s="143">
        <f t="shared" si="96"/>
        <v>0.14841915482771761</v>
      </c>
      <c r="J209" s="142">
        <v>262.18042500000001</v>
      </c>
      <c r="K209" s="143">
        <f t="shared" si="97"/>
        <v>2.5243625086493804E-2</v>
      </c>
      <c r="L209" s="142">
        <v>282.99018390000003</v>
      </c>
      <c r="M209" s="143">
        <f t="shared" si="98"/>
        <v>7.9371901620801877E-2</v>
      </c>
      <c r="N209" s="142">
        <f>+IF(L209&lt;0,0,L209*(1+'[14]Ind. Crecimiento'!$C$8))</f>
        <v>311.28920229000005</v>
      </c>
      <c r="O209" s="143">
        <f t="shared" si="99"/>
        <v>0.10000000000000009</v>
      </c>
      <c r="P209" s="142">
        <f>+IF(N209&lt;0,0,N209*(1+'[14]Ind. Crecimiento'!$D$8))</f>
        <v>336.50362767549007</v>
      </c>
      <c r="Q209" s="143">
        <f t="shared" si="100"/>
        <v>8.0999999999999961E-2</v>
      </c>
      <c r="R209" s="142">
        <f>+IF(P209&lt;0,0,P209*(1+'[14]Ind. Crecimiento'!$E$8))</f>
        <v>360.05888161277437</v>
      </c>
      <c r="S209" s="143">
        <f t="shared" si="101"/>
        <v>7.0000000000000062E-2</v>
      </c>
      <c r="T209" s="142">
        <f>+IF(R209&lt;0,0,R209*(1+'[14]Ind. Crecimiento'!$F$8))</f>
        <v>385.26300332566859</v>
      </c>
      <c r="U209" s="143">
        <f t="shared" si="102"/>
        <v>7.0000000000000062E-2</v>
      </c>
      <c r="V209" s="142">
        <f>+IF(T209&lt;0,0,T209*(1+'[14]Ind. Crecimiento'!$G$8))</f>
        <v>412.23141355846542</v>
      </c>
      <c r="W209" s="143">
        <f t="shared" si="103"/>
        <v>7.0000000000000062E-2</v>
      </c>
    </row>
    <row r="210" spans="2:23" ht="14.25" outlineLevel="1">
      <c r="B210" s="117">
        <v>5135956900</v>
      </c>
      <c r="C210" s="21">
        <v>5135956900</v>
      </c>
      <c r="D210" s="27" t="s">
        <v>227</v>
      </c>
      <c r="E210" s="142">
        <v>0</v>
      </c>
      <c r="F210" s="142">
        <v>-3.5699999995995315E-4</v>
      </c>
      <c r="G210" s="143" t="str">
        <f t="shared" si="95"/>
        <v/>
      </c>
      <c r="H210" s="142">
        <v>0</v>
      </c>
      <c r="I210" s="143" t="str">
        <f t="shared" si="96"/>
        <v/>
      </c>
      <c r="J210" s="142">
        <v>0</v>
      </c>
      <c r="K210" s="143" t="str">
        <f t="shared" si="97"/>
        <v/>
      </c>
      <c r="L210" s="142">
        <v>0</v>
      </c>
      <c r="M210" s="143" t="str">
        <f t="shared" si="98"/>
        <v/>
      </c>
      <c r="N210" s="142">
        <f>+IF(L210&lt;0,0,L210*(1+'[14]Ind. Crecimiento'!$C$8))</f>
        <v>0</v>
      </c>
      <c r="O210" s="143" t="str">
        <f t="shared" si="99"/>
        <v/>
      </c>
      <c r="P210" s="142">
        <f>+IF(N210&lt;0,0,N210*(1+'[14]Ind. Crecimiento'!$D$8))</f>
        <v>0</v>
      </c>
      <c r="Q210" s="143" t="str">
        <f t="shared" si="100"/>
        <v/>
      </c>
      <c r="R210" s="142">
        <f>+IF(P210&lt;0,0,P210*(1+'[14]Ind. Crecimiento'!$E$8))</f>
        <v>0</v>
      </c>
      <c r="S210" s="143" t="str">
        <f t="shared" si="101"/>
        <v/>
      </c>
      <c r="T210" s="142">
        <f>+IF(R210&lt;0,0,R210*(1+'[14]Ind. Crecimiento'!$F$8))</f>
        <v>0</v>
      </c>
      <c r="U210" s="143" t="str">
        <f t="shared" si="102"/>
        <v/>
      </c>
      <c r="V210" s="142">
        <f>+IF(T210&lt;0,0,T210*(1+'[14]Ind. Crecimiento'!$G$8))</f>
        <v>0</v>
      </c>
      <c r="W210" s="143" t="str">
        <f t="shared" si="103"/>
        <v/>
      </c>
    </row>
    <row r="211" spans="2:23" ht="14.25" outlineLevel="1">
      <c r="B211" s="117"/>
      <c r="C211" s="21"/>
      <c r="D211" s="33" t="s">
        <v>228</v>
      </c>
      <c r="E211" s="147"/>
      <c r="F211" s="147"/>
      <c r="G211" s="148"/>
      <c r="H211" s="147"/>
      <c r="I211" s="148"/>
      <c r="J211" s="147"/>
      <c r="K211" s="148"/>
      <c r="L211" s="147"/>
      <c r="M211" s="148"/>
      <c r="N211" s="147"/>
      <c r="O211" s="148"/>
      <c r="P211" s="147"/>
      <c r="Q211" s="148"/>
      <c r="R211" s="147"/>
      <c r="S211" s="148"/>
      <c r="T211" s="147"/>
      <c r="U211" s="148"/>
      <c r="V211" s="147"/>
      <c r="W211" s="148"/>
    </row>
    <row r="212" spans="2:23" ht="14.25" outlineLevel="1">
      <c r="B212" s="117">
        <v>5140050000</v>
      </c>
      <c r="C212" s="21">
        <v>5140050000</v>
      </c>
      <c r="D212" s="27" t="s">
        <v>229</v>
      </c>
      <c r="E212" s="142">
        <v>5.63</v>
      </c>
      <c r="F212" s="142">
        <v>53.709000000000003</v>
      </c>
      <c r="G212" s="143">
        <f t="shared" ref="G212:G218" si="104">IF(F212=0,"",IF(E212=0,"",(F212/E212)-1))</f>
        <v>8.5397868561278862</v>
      </c>
      <c r="H212" s="142">
        <v>5.77</v>
      </c>
      <c r="I212" s="143">
        <f t="shared" ref="I212:I218" si="105">IF(H212=0,"",IF(F212=0,"",(H212/F212)-1))</f>
        <v>-0.89256921558770408</v>
      </c>
      <c r="J212" s="142">
        <v>25.416</v>
      </c>
      <c r="K212" s="143">
        <f t="shared" ref="K212:K218" si="106">IF(J212=0,"",IF(H212=0,"",(J212/H212)-1))</f>
        <v>3.4048526863084927</v>
      </c>
      <c r="L212" s="142">
        <v>27.19467916</v>
      </c>
      <c r="M212" s="143">
        <f t="shared" ref="M212:M218" si="107">IF(L212=0,"",IF(J212=0,"",(L212/J212)-1))</f>
        <v>6.9982655020459417E-2</v>
      </c>
      <c r="N212" s="142">
        <f>+IF(L212&lt;0,0,L212*(1+'[14]Ind. Crecimiento'!$C$8))</f>
        <v>29.914147076000003</v>
      </c>
      <c r="O212" s="143">
        <f t="shared" ref="O212:O218" si="108">IF(N212=0,"",IF(L212=0,"",(N212/L212)-1))</f>
        <v>0.10000000000000009</v>
      </c>
      <c r="P212" s="142">
        <f>+IF(N212&lt;0,0,N212*(1+'[14]Ind. Crecimiento'!$D$8))</f>
        <v>32.337192989156001</v>
      </c>
      <c r="Q212" s="143">
        <f t="shared" ref="Q212:Q218" si="109">IF(P212=0,"",IF(N212=0,"",(P212/N212)-1))</f>
        <v>8.0999999999999961E-2</v>
      </c>
      <c r="R212" s="142">
        <f>+IF(P212&lt;0,0,P212*(1+'[14]Ind. Crecimiento'!$E$8))</f>
        <v>34.600796498396925</v>
      </c>
      <c r="S212" s="143">
        <f t="shared" ref="S212:S218" si="110">IF(R212=0,"",IF(P212=0,"",(R212/P212)-1))</f>
        <v>7.0000000000000062E-2</v>
      </c>
      <c r="T212" s="142">
        <f>+IF(R212&lt;0,0,R212*(1+'[14]Ind. Crecimiento'!$F$8))</f>
        <v>37.022852253284711</v>
      </c>
      <c r="U212" s="143">
        <f t="shared" ref="U212:U218" si="111">IF(T212=0,"",IF(R212=0,"",(T212/R212)-1))</f>
        <v>7.0000000000000062E-2</v>
      </c>
      <c r="V212" s="142">
        <f>+IF(T212&lt;0,0,T212*(1+'[14]Ind. Crecimiento'!$G$8))</f>
        <v>39.61445191101464</v>
      </c>
      <c r="W212" s="143">
        <f t="shared" ref="W212:W218" si="112">IF(V212=0,"",IF(T212=0,"",(V212/T212)-1))</f>
        <v>7.0000000000000062E-2</v>
      </c>
    </row>
    <row r="213" spans="2:23" ht="14.25" outlineLevel="1">
      <c r="B213" s="117">
        <v>5140150000</v>
      </c>
      <c r="C213" s="21">
        <v>5140150000</v>
      </c>
      <c r="D213" s="27" t="s">
        <v>230</v>
      </c>
      <c r="E213" s="142">
        <v>430.68400000000003</v>
      </c>
      <c r="F213" s="142">
        <v>111.742</v>
      </c>
      <c r="G213" s="143">
        <f t="shared" si="104"/>
        <v>-0.74054759405968174</v>
      </c>
      <c r="H213" s="142">
        <v>62.637</v>
      </c>
      <c r="I213" s="143">
        <f t="shared" si="105"/>
        <v>-0.4394498040128153</v>
      </c>
      <c r="J213" s="142">
        <v>104.593</v>
      </c>
      <c r="K213" s="143">
        <f t="shared" si="106"/>
        <v>0.66982773759918257</v>
      </c>
      <c r="L213" s="142">
        <v>111.91448539</v>
      </c>
      <c r="M213" s="143">
        <f t="shared" si="107"/>
        <v>6.9999764707007195E-2</v>
      </c>
      <c r="N213" s="142">
        <f>+IF(L213&lt;0,0,L213*(1+'[14]Ind. Crecimiento'!$C$8))</f>
        <v>123.105933929</v>
      </c>
      <c r="O213" s="143">
        <f t="shared" si="108"/>
        <v>0.10000000000000009</v>
      </c>
      <c r="P213" s="142">
        <f>+IF(N213&lt;0,0,N213*(1+'[14]Ind. Crecimiento'!$D$8))</f>
        <v>133.07751457724899</v>
      </c>
      <c r="Q213" s="143">
        <f t="shared" si="109"/>
        <v>8.0999999999999961E-2</v>
      </c>
      <c r="R213" s="142">
        <f>+IF(P213&lt;0,0,P213*(1+'[14]Ind. Crecimiento'!$E$8))</f>
        <v>142.39294059765643</v>
      </c>
      <c r="S213" s="143">
        <f t="shared" si="110"/>
        <v>7.0000000000000062E-2</v>
      </c>
      <c r="T213" s="142">
        <f>+IF(R213&lt;0,0,R213*(1+'[14]Ind. Crecimiento'!$F$8))</f>
        <v>152.36044643949239</v>
      </c>
      <c r="U213" s="143">
        <f t="shared" si="111"/>
        <v>7.0000000000000062E-2</v>
      </c>
      <c r="V213" s="142">
        <f>+IF(T213&lt;0,0,T213*(1+'[14]Ind. Crecimiento'!$G$8))</f>
        <v>163.02567769025686</v>
      </c>
      <c r="W213" s="143">
        <f t="shared" si="112"/>
        <v>7.0000000000000062E-2</v>
      </c>
    </row>
    <row r="214" spans="2:23" ht="14.25" outlineLevel="1">
      <c r="B214" s="117">
        <v>5140200000</v>
      </c>
      <c r="C214" s="21">
        <v>5140200000</v>
      </c>
      <c r="D214" s="27" t="s">
        <v>231</v>
      </c>
      <c r="E214" s="142">
        <v>19.867999999999999</v>
      </c>
      <c r="F214" s="142">
        <v>12.201000000000001</v>
      </c>
      <c r="G214" s="143">
        <f t="shared" si="104"/>
        <v>-0.38589691966982076</v>
      </c>
      <c r="H214" s="142">
        <v>14.989000000000001</v>
      </c>
      <c r="I214" s="143">
        <f t="shared" si="105"/>
        <v>0.22850586017539554</v>
      </c>
      <c r="J214" s="142">
        <v>9.08</v>
      </c>
      <c r="K214" s="143">
        <f t="shared" si="106"/>
        <v>-0.39422242978184008</v>
      </c>
      <c r="L214" s="142">
        <v>9.5682493999999991</v>
      </c>
      <c r="M214" s="143">
        <f t="shared" si="107"/>
        <v>5.377196035242271E-2</v>
      </c>
      <c r="N214" s="142">
        <f>+IF(L214&lt;0,0,L214*(1+'[14]Ind. Crecimiento'!$C$8))</f>
        <v>10.52507434</v>
      </c>
      <c r="O214" s="143">
        <f t="shared" si="108"/>
        <v>0.10000000000000009</v>
      </c>
      <c r="P214" s="142">
        <f>+IF(N214&lt;0,0,N214*(1+'[14]Ind. Crecimiento'!$D$8))</f>
        <v>11.377605361539999</v>
      </c>
      <c r="Q214" s="143">
        <f t="shared" si="109"/>
        <v>8.0999999999999961E-2</v>
      </c>
      <c r="R214" s="142">
        <f>+IF(P214&lt;0,0,P214*(1+'[14]Ind. Crecimiento'!$E$8))</f>
        <v>12.174037736847799</v>
      </c>
      <c r="S214" s="143">
        <f t="shared" si="110"/>
        <v>7.0000000000000062E-2</v>
      </c>
      <c r="T214" s="142">
        <f>+IF(R214&lt;0,0,R214*(1+'[14]Ind. Crecimiento'!$F$8))</f>
        <v>13.026220378427146</v>
      </c>
      <c r="U214" s="143">
        <f t="shared" si="111"/>
        <v>7.0000000000000062E-2</v>
      </c>
      <c r="V214" s="142">
        <f>+IF(T214&lt;0,0,T214*(1+'[14]Ind. Crecimiento'!$G$8))</f>
        <v>13.938055804917047</v>
      </c>
      <c r="W214" s="143">
        <f t="shared" si="112"/>
        <v>7.0000000000000062E-2</v>
      </c>
    </row>
    <row r="215" spans="2:23" ht="14.25" outlineLevel="1">
      <c r="B215" s="117">
        <v>5140210000</v>
      </c>
      <c r="C215" s="21"/>
      <c r="D215" s="27" t="s">
        <v>232</v>
      </c>
      <c r="E215" s="142">
        <v>0</v>
      </c>
      <c r="F215" s="142">
        <v>0</v>
      </c>
      <c r="G215" s="143" t="str">
        <f t="shared" si="104"/>
        <v/>
      </c>
      <c r="H215" s="142">
        <v>0</v>
      </c>
      <c r="I215" s="143" t="str">
        <f t="shared" si="105"/>
        <v/>
      </c>
      <c r="J215" s="142">
        <v>131.53299999999999</v>
      </c>
      <c r="K215" s="143" t="str">
        <f t="shared" si="106"/>
        <v/>
      </c>
      <c r="L215" s="142">
        <v>50</v>
      </c>
      <c r="M215" s="143">
        <f t="shared" si="107"/>
        <v>-0.61986725764637007</v>
      </c>
      <c r="N215" s="142">
        <f>+IF(L215&lt;0,0,L215*(1+'[14]Ind. Crecimiento'!$C$8))</f>
        <v>55.000000000000007</v>
      </c>
      <c r="O215" s="143">
        <f t="shared" si="108"/>
        <v>0.10000000000000009</v>
      </c>
      <c r="P215" s="142">
        <f>+IF(N215&lt;0,0,N215*(1+'[14]Ind. Crecimiento'!$D$8))</f>
        <v>59.455000000000005</v>
      </c>
      <c r="Q215" s="143">
        <f t="shared" si="109"/>
        <v>8.0999999999999961E-2</v>
      </c>
      <c r="R215" s="142">
        <f>+IF(P215&lt;0,0,P215*(1+'[14]Ind. Crecimiento'!$E$8))</f>
        <v>63.616850000000007</v>
      </c>
      <c r="S215" s="143">
        <f t="shared" si="110"/>
        <v>7.0000000000000062E-2</v>
      </c>
      <c r="T215" s="142">
        <f>+IF(R215&lt;0,0,R215*(1+'[14]Ind. Crecimiento'!$F$8))</f>
        <v>68.070029500000004</v>
      </c>
      <c r="U215" s="143">
        <f t="shared" si="111"/>
        <v>7.0000000000000062E-2</v>
      </c>
      <c r="V215" s="142">
        <f>+IF(T215&lt;0,0,T215*(1+'[14]Ind. Crecimiento'!$G$8))</f>
        <v>72.834931565000005</v>
      </c>
      <c r="W215" s="143">
        <f t="shared" si="112"/>
        <v>7.0000000000000062E-2</v>
      </c>
    </row>
    <row r="216" spans="2:23" ht="14.25" outlineLevel="1">
      <c r="B216" s="117">
        <v>5140250000</v>
      </c>
      <c r="C216" s="21">
        <v>5140200000</v>
      </c>
      <c r="D216" s="27" t="s">
        <v>233</v>
      </c>
      <c r="E216" s="142">
        <v>0</v>
      </c>
      <c r="F216" s="142">
        <v>0</v>
      </c>
      <c r="G216" s="143" t="str">
        <f t="shared" si="104"/>
        <v/>
      </c>
      <c r="H216" s="142">
        <v>1.524</v>
      </c>
      <c r="I216" s="143" t="str">
        <f t="shared" si="105"/>
        <v/>
      </c>
      <c r="J216" s="142">
        <v>0</v>
      </c>
      <c r="K216" s="143" t="str">
        <f t="shared" si="106"/>
        <v/>
      </c>
      <c r="L216" s="142">
        <v>0</v>
      </c>
      <c r="M216" s="143" t="str">
        <f t="shared" si="107"/>
        <v/>
      </c>
      <c r="N216" s="142">
        <f>+IF(L216&lt;0,0,L216*(1+'[14]Ind. Crecimiento'!$C$8))</f>
        <v>0</v>
      </c>
      <c r="O216" s="143" t="str">
        <f t="shared" si="108"/>
        <v/>
      </c>
      <c r="P216" s="142">
        <f>+IF(N216&lt;0,0,N216*(1+'[14]Ind. Crecimiento'!$D$8))</f>
        <v>0</v>
      </c>
      <c r="Q216" s="143" t="str">
        <f t="shared" si="109"/>
        <v/>
      </c>
      <c r="R216" s="142">
        <f>+IF(P216&lt;0,0,P216*(1+'[14]Ind. Crecimiento'!$E$8))</f>
        <v>0</v>
      </c>
      <c r="S216" s="143" t="str">
        <f t="shared" si="110"/>
        <v/>
      </c>
      <c r="T216" s="142">
        <f>+IF(R216&lt;0,0,R216*(1+'[14]Ind. Crecimiento'!$F$8))</f>
        <v>0</v>
      </c>
      <c r="U216" s="143" t="str">
        <f t="shared" si="111"/>
        <v/>
      </c>
      <c r="V216" s="142">
        <f>+IF(T216&lt;0,0,T216*(1+'[14]Ind. Crecimiento'!$G$8))</f>
        <v>0</v>
      </c>
      <c r="W216" s="143" t="str">
        <f t="shared" si="112"/>
        <v/>
      </c>
    </row>
    <row r="217" spans="2:23" ht="14.25" outlineLevel="1">
      <c r="B217" s="117">
        <v>5140950100</v>
      </c>
      <c r="C217" s="21">
        <v>5140950100</v>
      </c>
      <c r="D217" s="27" t="s">
        <v>234</v>
      </c>
      <c r="E217" s="142">
        <v>2.1749999999999998</v>
      </c>
      <c r="F217" s="142">
        <v>0.626</v>
      </c>
      <c r="G217" s="143">
        <f t="shared" si="104"/>
        <v>-0.71218390804597698</v>
      </c>
      <c r="H217" s="142">
        <v>0</v>
      </c>
      <c r="I217" s="143" t="str">
        <f t="shared" si="105"/>
        <v/>
      </c>
      <c r="J217" s="142">
        <v>0</v>
      </c>
      <c r="K217" s="143" t="str">
        <f t="shared" si="106"/>
        <v/>
      </c>
      <c r="L217" s="142">
        <v>0</v>
      </c>
      <c r="M217" s="143" t="str">
        <f t="shared" si="107"/>
        <v/>
      </c>
      <c r="N217" s="142">
        <f>+IF(L217&lt;0,0,L217*(1+'[14]Ind. Crecimiento'!$C$8))</f>
        <v>0</v>
      </c>
      <c r="O217" s="143" t="str">
        <f t="shared" si="108"/>
        <v/>
      </c>
      <c r="P217" s="142">
        <f>+IF(N217&lt;0,0,N217*(1+'[14]Ind. Crecimiento'!$D$8))</f>
        <v>0</v>
      </c>
      <c r="Q217" s="143" t="str">
        <f t="shared" si="109"/>
        <v/>
      </c>
      <c r="R217" s="142">
        <f>+IF(P217&lt;0,0,P217*(1+'[14]Ind. Crecimiento'!$E$8))</f>
        <v>0</v>
      </c>
      <c r="S217" s="143" t="str">
        <f t="shared" si="110"/>
        <v/>
      </c>
      <c r="T217" s="142">
        <f>+IF(R217&lt;0,0,R217*(1+'[14]Ind. Crecimiento'!$F$8))</f>
        <v>0</v>
      </c>
      <c r="U217" s="143" t="str">
        <f t="shared" si="111"/>
        <v/>
      </c>
      <c r="V217" s="142">
        <f>+IF(T217&lt;0,0,T217*(1+'[14]Ind. Crecimiento'!$G$8))</f>
        <v>0</v>
      </c>
      <c r="W217" s="143" t="str">
        <f t="shared" si="112"/>
        <v/>
      </c>
    </row>
    <row r="218" spans="2:23" ht="14.25" outlineLevel="1">
      <c r="B218" s="117">
        <v>5140950200</v>
      </c>
      <c r="C218" s="21">
        <v>5140950200</v>
      </c>
      <c r="D218" s="27" t="s">
        <v>235</v>
      </c>
      <c r="E218" s="142">
        <v>1.994</v>
      </c>
      <c r="F218" s="142">
        <v>2.1989999999999998</v>
      </c>
      <c r="G218" s="143">
        <f t="shared" si="104"/>
        <v>0.10280842527582745</v>
      </c>
      <c r="H218" s="142">
        <v>4.71</v>
      </c>
      <c r="I218" s="143">
        <f t="shared" si="105"/>
        <v>1.1418826739427015</v>
      </c>
      <c r="J218" s="142">
        <v>7.085</v>
      </c>
      <c r="K218" s="143">
        <f t="shared" si="106"/>
        <v>0.50424628450106157</v>
      </c>
      <c r="L218" s="142">
        <v>7.6001000000000003</v>
      </c>
      <c r="M218" s="143">
        <f t="shared" si="107"/>
        <v>7.2702893436838334E-2</v>
      </c>
      <c r="N218" s="142">
        <f>+IF(L218&lt;0,0,L218*(1+'[14]Ind. Crecimiento'!$C$8))</f>
        <v>8.3601100000000006</v>
      </c>
      <c r="O218" s="143">
        <f t="shared" si="108"/>
        <v>0.10000000000000009</v>
      </c>
      <c r="P218" s="142">
        <f>+IF(N218&lt;0,0,N218*(1+'[14]Ind. Crecimiento'!$D$8))</f>
        <v>9.0372789099999995</v>
      </c>
      <c r="Q218" s="143">
        <f t="shared" si="109"/>
        <v>8.0999999999999961E-2</v>
      </c>
      <c r="R218" s="142">
        <f>+IF(P218&lt;0,0,P218*(1+'[14]Ind. Crecimiento'!$E$8))</f>
        <v>9.6698884337000006</v>
      </c>
      <c r="S218" s="143">
        <f t="shared" si="110"/>
        <v>7.0000000000000062E-2</v>
      </c>
      <c r="T218" s="142">
        <f>+IF(R218&lt;0,0,R218*(1+'[14]Ind. Crecimiento'!$F$8))</f>
        <v>10.346780624059001</v>
      </c>
      <c r="U218" s="143">
        <f t="shared" si="111"/>
        <v>7.0000000000000062E-2</v>
      </c>
      <c r="V218" s="142">
        <f>+IF(T218&lt;0,0,T218*(1+'[14]Ind. Crecimiento'!$G$8))</f>
        <v>11.071055267743132</v>
      </c>
      <c r="W218" s="143">
        <f t="shared" si="112"/>
        <v>7.0000000000000062E-2</v>
      </c>
    </row>
    <row r="219" spans="2:23" ht="14.25" outlineLevel="1">
      <c r="B219" s="117"/>
      <c r="C219" s="21"/>
      <c r="D219" s="33" t="s">
        <v>236</v>
      </c>
      <c r="E219" s="147"/>
      <c r="F219" s="147"/>
      <c r="G219" s="148"/>
      <c r="H219" s="147"/>
      <c r="I219" s="148"/>
      <c r="J219" s="147"/>
      <c r="K219" s="148"/>
      <c r="L219" s="147"/>
      <c r="M219" s="148"/>
      <c r="N219" s="147"/>
      <c r="O219" s="148"/>
      <c r="P219" s="147"/>
      <c r="Q219" s="148"/>
      <c r="R219" s="147"/>
      <c r="S219" s="148"/>
      <c r="T219" s="147"/>
      <c r="U219" s="148"/>
      <c r="V219" s="147"/>
      <c r="W219" s="148"/>
    </row>
    <row r="220" spans="2:23" ht="14.25" outlineLevel="1">
      <c r="B220" s="117">
        <v>5145100000</v>
      </c>
      <c r="C220" s="21">
        <v>5145100000</v>
      </c>
      <c r="D220" s="27" t="s">
        <v>237</v>
      </c>
      <c r="E220" s="142">
        <v>167.88300000000001</v>
      </c>
      <c r="F220" s="142">
        <v>255.946</v>
      </c>
      <c r="G220" s="143">
        <f t="shared" ref="G220:G230" si="113">IF(F220=0,"",IF(E220=0,"",(F220/E220)-1))</f>
        <v>0.52454983530196619</v>
      </c>
      <c r="H220" s="142">
        <v>201.142</v>
      </c>
      <c r="I220" s="143">
        <f t="shared" ref="I220:I230" si="114">IF(H220=0,"",IF(F220=0,"",(H220/F220)-1))</f>
        <v>-0.21412329163182864</v>
      </c>
      <c r="J220" s="142">
        <v>385.63</v>
      </c>
      <c r="K220" s="143">
        <f t="shared" ref="K220:K230" si="115">IF(J220=0,"",IF(H220=0,"",(J220/H220)-1))</f>
        <v>0.91720277217090418</v>
      </c>
      <c r="L220" s="142">
        <v>246.779</v>
      </c>
      <c r="M220" s="143">
        <f t="shared" ref="M220:M230" si="116">IF(L220=0,"",IF(J220=0,"",(L220/J220)-1))</f>
        <v>-0.36006275445375102</v>
      </c>
      <c r="N220" s="142">
        <f>+IF(L220&lt;0,0,L220*(1+'[14]Ind. Crecimiento'!$C$8))</f>
        <v>271.45690000000002</v>
      </c>
      <c r="O220" s="143">
        <f t="shared" ref="O220:O230" si="117">IF(N220=0,"",IF(L220=0,"",(N220/L220)-1))</f>
        <v>0.10000000000000009</v>
      </c>
      <c r="P220" s="142">
        <f>+IF(N220&lt;0,0,N220*(1+'[14]Ind. Crecimiento'!$D$8))</f>
        <v>293.44490890000003</v>
      </c>
      <c r="Q220" s="143">
        <f t="shared" ref="Q220:Q230" si="118">IF(P220=0,"",IF(N220=0,"",(P220/N220)-1))</f>
        <v>8.0999999999999961E-2</v>
      </c>
      <c r="R220" s="142">
        <f>+IF(P220&lt;0,0,P220*(1+'[14]Ind. Crecimiento'!$E$8))</f>
        <v>313.98605252300007</v>
      </c>
      <c r="S220" s="143">
        <f t="shared" ref="S220:S230" si="119">IF(R220=0,"",IF(P220=0,"",(R220/P220)-1))</f>
        <v>7.0000000000000062E-2</v>
      </c>
      <c r="T220" s="142">
        <f>+IF(R220&lt;0,0,R220*(1+'[14]Ind. Crecimiento'!$F$8))</f>
        <v>335.96507619961011</v>
      </c>
      <c r="U220" s="143">
        <f t="shared" ref="U220:U230" si="120">IF(T220=0,"",IF(R220=0,"",(T220/R220)-1))</f>
        <v>7.0000000000000062E-2</v>
      </c>
      <c r="V220" s="142">
        <f>+IF(T220&lt;0,0,T220*(1+'[14]Ind. Crecimiento'!$G$8))</f>
        <v>359.48263153358283</v>
      </c>
      <c r="W220" s="143">
        <f t="shared" ref="W220:W230" si="121">IF(V220=0,"",IF(T220=0,"",(V220/T220)-1))</f>
        <v>7.0000000000000062E-2</v>
      </c>
    </row>
    <row r="221" spans="2:23" ht="14.25" outlineLevel="1">
      <c r="B221" s="117">
        <v>5145150000</v>
      </c>
      <c r="C221" s="21">
        <v>5145150000</v>
      </c>
      <c r="D221" s="27" t="s">
        <v>238</v>
      </c>
      <c r="E221" s="142">
        <v>6.2030000000000003</v>
      </c>
      <c r="F221" s="142">
        <v>17.991</v>
      </c>
      <c r="G221" s="143">
        <f t="shared" si="113"/>
        <v>1.9003707883282281</v>
      </c>
      <c r="H221" s="142">
        <v>5.2530000000000001</v>
      </c>
      <c r="I221" s="143">
        <f t="shared" si="114"/>
        <v>-0.70802067700516924</v>
      </c>
      <c r="J221" s="142">
        <v>0</v>
      </c>
      <c r="K221" s="143" t="str">
        <f t="shared" si="115"/>
        <v/>
      </c>
      <c r="L221" s="142">
        <v>0</v>
      </c>
      <c r="M221" s="143" t="str">
        <f t="shared" si="116"/>
        <v/>
      </c>
      <c r="N221" s="142">
        <f>+IF(L221&lt;0,0,L221*(1+'[14]Ind. Crecimiento'!$C$8))</f>
        <v>0</v>
      </c>
      <c r="O221" s="143" t="str">
        <f t="shared" si="117"/>
        <v/>
      </c>
      <c r="P221" s="142">
        <f>+IF(N221&lt;0,0,N221*(1+'[14]Ind. Crecimiento'!$D$8))</f>
        <v>0</v>
      </c>
      <c r="Q221" s="143" t="str">
        <f t="shared" si="118"/>
        <v/>
      </c>
      <c r="R221" s="142">
        <f>+IF(P221&lt;0,0,P221*(1+'[14]Ind. Crecimiento'!$E$8))</f>
        <v>0</v>
      </c>
      <c r="S221" s="143" t="str">
        <f t="shared" si="119"/>
        <v/>
      </c>
      <c r="T221" s="142">
        <f>+IF(R221&lt;0,0,R221*(1+'[14]Ind. Crecimiento'!$F$8))</f>
        <v>0</v>
      </c>
      <c r="U221" s="143" t="str">
        <f t="shared" si="120"/>
        <v/>
      </c>
      <c r="V221" s="142">
        <f>+IF(T221&lt;0,0,T221*(1+'[14]Ind. Crecimiento'!$G$8))</f>
        <v>0</v>
      </c>
      <c r="W221" s="143" t="str">
        <f t="shared" si="121"/>
        <v/>
      </c>
    </row>
    <row r="222" spans="2:23" ht="14.25" outlineLevel="1">
      <c r="B222" s="121">
        <v>5145150100</v>
      </c>
      <c r="C222" s="21">
        <v>5145150100</v>
      </c>
      <c r="D222" s="27" t="s">
        <v>239</v>
      </c>
      <c r="E222" s="142">
        <v>4.0000000000009093E-4</v>
      </c>
      <c r="F222" s="142">
        <v>0</v>
      </c>
      <c r="G222" s="143" t="str">
        <f t="shared" si="113"/>
        <v/>
      </c>
      <c r="H222" s="142">
        <v>0</v>
      </c>
      <c r="I222" s="143" t="str">
        <f t="shared" si="114"/>
        <v/>
      </c>
      <c r="J222" s="142">
        <v>0</v>
      </c>
      <c r="K222" s="143" t="str">
        <f t="shared" si="115"/>
        <v/>
      </c>
      <c r="L222" s="142">
        <v>0</v>
      </c>
      <c r="M222" s="143" t="str">
        <f t="shared" si="116"/>
        <v/>
      </c>
      <c r="N222" s="142">
        <f>+IF(L222&lt;0,0,L222*(1+'[14]Ind. Crecimiento'!$C$8))</f>
        <v>0</v>
      </c>
      <c r="O222" s="143" t="str">
        <f t="shared" si="117"/>
        <v/>
      </c>
      <c r="P222" s="142">
        <f>+IF(N222&lt;0,0,N222*(1+'[14]Ind. Crecimiento'!$D$8))</f>
        <v>0</v>
      </c>
      <c r="Q222" s="143" t="str">
        <f t="shared" si="118"/>
        <v/>
      </c>
      <c r="R222" s="142">
        <f>+IF(P222&lt;0,0,P222*(1+'[14]Ind. Crecimiento'!$E$8))</f>
        <v>0</v>
      </c>
      <c r="S222" s="143" t="str">
        <f t="shared" si="119"/>
        <v/>
      </c>
      <c r="T222" s="142">
        <f>+IF(R222&lt;0,0,R222*(1+'[14]Ind. Crecimiento'!$F$8))</f>
        <v>0</v>
      </c>
      <c r="U222" s="143" t="str">
        <f t="shared" si="120"/>
        <v/>
      </c>
      <c r="V222" s="142">
        <f>+IF(T222&lt;0,0,T222*(1+'[14]Ind. Crecimiento'!$G$8))</f>
        <v>0</v>
      </c>
      <c r="W222" s="143" t="str">
        <f t="shared" si="121"/>
        <v/>
      </c>
    </row>
    <row r="223" spans="2:23" ht="14.25" outlineLevel="1">
      <c r="B223" s="117">
        <v>5145150200</v>
      </c>
      <c r="C223" s="21">
        <v>5145150200</v>
      </c>
      <c r="D223" s="27" t="s">
        <v>240</v>
      </c>
      <c r="E223" s="142">
        <v>5.4989999999999997</v>
      </c>
      <c r="F223" s="142">
        <v>1.9950000000000001</v>
      </c>
      <c r="G223" s="143">
        <f t="shared" si="113"/>
        <v>-0.63720676486633931</v>
      </c>
      <c r="H223" s="142">
        <v>3.716612</v>
      </c>
      <c r="I223" s="143">
        <f t="shared" si="114"/>
        <v>0.86296340852130315</v>
      </c>
      <c r="J223" s="142">
        <v>0.74199999999999999</v>
      </c>
      <c r="K223" s="143">
        <f t="shared" si="115"/>
        <v>-0.80035580792399097</v>
      </c>
      <c r="L223" s="142">
        <v>13.95</v>
      </c>
      <c r="M223" s="143">
        <f t="shared" si="116"/>
        <v>17.80053908355795</v>
      </c>
      <c r="N223" s="142">
        <f>+IF(L223&lt;0,0,L223*(1+'[14]Ind. Crecimiento'!$C$8))</f>
        <v>15.345000000000001</v>
      </c>
      <c r="O223" s="143">
        <f t="shared" si="117"/>
        <v>0.10000000000000009</v>
      </c>
      <c r="P223" s="142">
        <f>+IF(N223&lt;0,0,N223*(1+'[14]Ind. Crecimiento'!$D$8))</f>
        <v>16.587945000000001</v>
      </c>
      <c r="Q223" s="143">
        <f t="shared" si="118"/>
        <v>8.0999999999999961E-2</v>
      </c>
      <c r="R223" s="142">
        <f>+IF(P223&lt;0,0,P223*(1+'[14]Ind. Crecimiento'!$E$8))</f>
        <v>17.749101150000001</v>
      </c>
      <c r="S223" s="143">
        <f t="shared" si="119"/>
        <v>7.0000000000000062E-2</v>
      </c>
      <c r="T223" s="142">
        <f>+IF(R223&lt;0,0,R223*(1+'[14]Ind. Crecimiento'!$F$8))</f>
        <v>18.991538230500002</v>
      </c>
      <c r="U223" s="143">
        <f t="shared" si="120"/>
        <v>7.0000000000000062E-2</v>
      </c>
      <c r="V223" s="142">
        <f>+IF(T223&lt;0,0,T223*(1+'[14]Ind. Crecimiento'!$G$8))</f>
        <v>20.320945906635004</v>
      </c>
      <c r="W223" s="143">
        <f t="shared" si="121"/>
        <v>7.0000000000000062E-2</v>
      </c>
    </row>
    <row r="224" spans="2:23" ht="14.25" outlineLevel="1">
      <c r="B224" s="117">
        <v>5145150300</v>
      </c>
      <c r="C224" s="21">
        <v>5145150300</v>
      </c>
      <c r="D224" s="27" t="s">
        <v>241</v>
      </c>
      <c r="E224" s="142">
        <v>4.8680000000000003</v>
      </c>
      <c r="F224" s="142">
        <v>5.2869999999999999</v>
      </c>
      <c r="G224" s="143">
        <f t="shared" si="113"/>
        <v>8.6072308956450128E-2</v>
      </c>
      <c r="H224" s="142">
        <v>8.9730000000000008</v>
      </c>
      <c r="I224" s="143">
        <f t="shared" si="114"/>
        <v>0.69718176659731435</v>
      </c>
      <c r="J224" s="142">
        <v>1.756</v>
      </c>
      <c r="K224" s="143">
        <f t="shared" si="115"/>
        <v>-0.80430179427170401</v>
      </c>
      <c r="L224" s="142">
        <v>1.87892214</v>
      </c>
      <c r="M224" s="143">
        <f t="shared" si="116"/>
        <v>7.000121867881548E-2</v>
      </c>
      <c r="N224" s="142">
        <f>+IF(L224&lt;0,0,L224*(1+'[14]Ind. Crecimiento'!$C$8))</f>
        <v>2.0668143540000004</v>
      </c>
      <c r="O224" s="143">
        <f t="shared" si="117"/>
        <v>0.10000000000000009</v>
      </c>
      <c r="P224" s="142">
        <f>+IF(N224&lt;0,0,N224*(1+'[14]Ind. Crecimiento'!$D$8))</f>
        <v>2.2342263166740004</v>
      </c>
      <c r="Q224" s="143">
        <f t="shared" si="118"/>
        <v>8.0999999999999961E-2</v>
      </c>
      <c r="R224" s="142">
        <f>+IF(P224&lt;0,0,P224*(1+'[14]Ind. Crecimiento'!$E$8))</f>
        <v>2.3906221588411807</v>
      </c>
      <c r="S224" s="143">
        <f t="shared" si="119"/>
        <v>7.0000000000000062E-2</v>
      </c>
      <c r="T224" s="142">
        <f>+IF(R224&lt;0,0,R224*(1+'[14]Ind. Crecimiento'!$F$8))</f>
        <v>2.5579657099600634</v>
      </c>
      <c r="U224" s="143">
        <f t="shared" si="120"/>
        <v>7.0000000000000062E-2</v>
      </c>
      <c r="V224" s="142">
        <f>+IF(T224&lt;0,0,T224*(1+'[14]Ind. Crecimiento'!$G$8))</f>
        <v>2.737023309657268</v>
      </c>
      <c r="W224" s="143">
        <f t="shared" si="121"/>
        <v>7.0000000000000062E-2</v>
      </c>
    </row>
    <row r="225" spans="2:23" ht="14.25" outlineLevel="1">
      <c r="B225" s="117">
        <v>5145150400</v>
      </c>
      <c r="C225" s="21">
        <v>5145150400</v>
      </c>
      <c r="D225" s="27" t="s">
        <v>242</v>
      </c>
      <c r="E225" s="142">
        <v>11.391</v>
      </c>
      <c r="F225" s="142">
        <v>9.0269999999999992</v>
      </c>
      <c r="G225" s="143">
        <f t="shared" si="113"/>
        <v>-0.20753226231235189</v>
      </c>
      <c r="H225" s="142">
        <v>43.795000000000002</v>
      </c>
      <c r="I225" s="143">
        <f t="shared" si="114"/>
        <v>3.8515564417857542</v>
      </c>
      <c r="J225" s="142">
        <v>70.116</v>
      </c>
      <c r="K225" s="143">
        <f t="shared" si="115"/>
        <v>0.60100468089964609</v>
      </c>
      <c r="L225" s="142">
        <v>74.686000000000007</v>
      </c>
      <c r="M225" s="143">
        <f t="shared" si="116"/>
        <v>6.5177705516572537E-2</v>
      </c>
      <c r="N225" s="142">
        <f>+IF(L225&lt;0,0,L225*(1+'[14]Ind. Crecimiento'!$C$8))</f>
        <v>82.154600000000016</v>
      </c>
      <c r="O225" s="143">
        <f t="shared" si="117"/>
        <v>0.10000000000000009</v>
      </c>
      <c r="P225" s="142">
        <f>+IF(N225&lt;0,0,N225*(1+'[14]Ind. Crecimiento'!$D$8))</f>
        <v>88.809122600000009</v>
      </c>
      <c r="Q225" s="143">
        <f t="shared" si="118"/>
        <v>8.0999999999999961E-2</v>
      </c>
      <c r="R225" s="142">
        <f>+IF(P225&lt;0,0,P225*(1+'[14]Ind. Crecimiento'!$E$8))</f>
        <v>95.025761182000011</v>
      </c>
      <c r="S225" s="143">
        <f t="shared" si="119"/>
        <v>7.0000000000000062E-2</v>
      </c>
      <c r="T225" s="142">
        <f>+IF(R225&lt;0,0,R225*(1+'[14]Ind. Crecimiento'!$F$8))</f>
        <v>101.67756446474002</v>
      </c>
      <c r="U225" s="143">
        <f t="shared" si="120"/>
        <v>7.0000000000000062E-2</v>
      </c>
      <c r="V225" s="142">
        <f>+IF(T225&lt;0,0,T225*(1+'[14]Ind. Crecimiento'!$G$8))</f>
        <v>108.79499397727183</v>
      </c>
      <c r="W225" s="143">
        <f t="shared" si="121"/>
        <v>7.0000000000000062E-2</v>
      </c>
    </row>
    <row r="226" spans="2:23" ht="14.25" outlineLevel="1">
      <c r="B226" s="117">
        <v>5145250000</v>
      </c>
      <c r="C226" s="21">
        <v>5145250000</v>
      </c>
      <c r="D226" s="27" t="s">
        <v>243</v>
      </c>
      <c r="E226" s="142">
        <v>39.167000000000002</v>
      </c>
      <c r="F226" s="142">
        <v>51.231999999999999</v>
      </c>
      <c r="G226" s="143">
        <f t="shared" si="113"/>
        <v>0.30803993157505039</v>
      </c>
      <c r="H226" s="142">
        <v>60.15728</v>
      </c>
      <c r="I226" s="143">
        <f t="shared" si="114"/>
        <v>0.174212991880075</v>
      </c>
      <c r="J226" s="142">
        <v>94.338999999999999</v>
      </c>
      <c r="K226" s="143">
        <f t="shared" si="115"/>
        <v>0.5682058763295148</v>
      </c>
      <c r="L226" s="142">
        <v>101.11193303000002</v>
      </c>
      <c r="M226" s="143">
        <f t="shared" si="116"/>
        <v>7.1793563955522277E-2</v>
      </c>
      <c r="N226" s="142">
        <f>+IF(L226&lt;0,0,L226*(1+'[14]Ind. Crecimiento'!$C$8))</f>
        <v>111.22312633300002</v>
      </c>
      <c r="O226" s="143">
        <f t="shared" si="117"/>
        <v>0.10000000000000009</v>
      </c>
      <c r="P226" s="142">
        <f>+IF(N226&lt;0,0,N226*(1+'[14]Ind. Crecimiento'!$D$8))</f>
        <v>120.23219956597302</v>
      </c>
      <c r="Q226" s="143">
        <f t="shared" si="118"/>
        <v>8.0999999999999961E-2</v>
      </c>
      <c r="R226" s="142">
        <f>+IF(P226&lt;0,0,P226*(1+'[14]Ind. Crecimiento'!$E$8))</f>
        <v>128.64845353559113</v>
      </c>
      <c r="S226" s="143">
        <f t="shared" si="119"/>
        <v>7.0000000000000062E-2</v>
      </c>
      <c r="T226" s="142">
        <f>+IF(R226&lt;0,0,R226*(1+'[14]Ind. Crecimiento'!$F$8))</f>
        <v>137.65384528308252</v>
      </c>
      <c r="U226" s="143">
        <f t="shared" si="120"/>
        <v>7.0000000000000062E-2</v>
      </c>
      <c r="V226" s="142">
        <f>+IF(T226&lt;0,0,T226*(1+'[14]Ind. Crecimiento'!$G$8))</f>
        <v>147.28961445289829</v>
      </c>
      <c r="W226" s="143">
        <f t="shared" si="121"/>
        <v>7.0000000000000062E-2</v>
      </c>
    </row>
    <row r="227" spans="2:23" ht="14.25" outlineLevel="1">
      <c r="B227" s="117">
        <v>5145300000</v>
      </c>
      <c r="C227" s="21">
        <v>5145300000</v>
      </c>
      <c r="D227" s="27" t="s">
        <v>244</v>
      </c>
      <c r="E227" s="142">
        <v>68.832880000000003</v>
      </c>
      <c r="F227" s="142">
        <v>82.704759999999993</v>
      </c>
      <c r="G227" s="143">
        <f t="shared" si="113"/>
        <v>0.20152985026923154</v>
      </c>
      <c r="H227" s="142">
        <v>147.25539999999998</v>
      </c>
      <c r="I227" s="143">
        <f t="shared" si="114"/>
        <v>0.78049485906252536</v>
      </c>
      <c r="J227" s="142">
        <v>135.81183999999999</v>
      </c>
      <c r="K227" s="143">
        <f t="shared" si="115"/>
        <v>-7.771232837641262E-2</v>
      </c>
      <c r="L227" s="142">
        <v>182.05391405000003</v>
      </c>
      <c r="M227" s="143">
        <f t="shared" si="116"/>
        <v>0.3404863232101123</v>
      </c>
      <c r="N227" s="142">
        <f>+IF(L227&lt;0,0,L227*(1+'[14]Ind. Crecimiento'!$C$8))</f>
        <v>200.25930545500006</v>
      </c>
      <c r="O227" s="143">
        <f t="shared" si="117"/>
        <v>0.10000000000000009</v>
      </c>
      <c r="P227" s="142">
        <f>+IF(N227&lt;0,0,N227*(1+'[14]Ind. Crecimiento'!$D$8))</f>
        <v>216.48030919685505</v>
      </c>
      <c r="Q227" s="143">
        <f t="shared" si="118"/>
        <v>8.0999999999999961E-2</v>
      </c>
      <c r="R227" s="142">
        <f>+IF(P227&lt;0,0,P227*(1+'[14]Ind. Crecimiento'!$E$8))</f>
        <v>231.63393084063492</v>
      </c>
      <c r="S227" s="143">
        <f t="shared" si="119"/>
        <v>7.0000000000000062E-2</v>
      </c>
      <c r="T227" s="142">
        <f>+IF(R227&lt;0,0,R227*(1+'[14]Ind. Crecimiento'!$F$8))</f>
        <v>247.84830599947938</v>
      </c>
      <c r="U227" s="143">
        <f t="shared" si="120"/>
        <v>7.0000000000000062E-2</v>
      </c>
      <c r="V227" s="142">
        <f>+IF(T227&lt;0,0,T227*(1+'[14]Ind. Crecimiento'!$G$8))</f>
        <v>265.19768741944296</v>
      </c>
      <c r="W227" s="143">
        <f t="shared" si="121"/>
        <v>7.0000000000000062E-2</v>
      </c>
    </row>
    <row r="228" spans="2:23" ht="14.25" outlineLevel="1">
      <c r="B228" s="117">
        <v>5145600000</v>
      </c>
      <c r="C228" s="21">
        <v>5145600000</v>
      </c>
      <c r="D228" s="27" t="s">
        <v>245</v>
      </c>
      <c r="E228" s="142">
        <v>1.736</v>
      </c>
      <c r="F228" s="142">
        <v>0.83499999999999996</v>
      </c>
      <c r="G228" s="143">
        <f t="shared" si="113"/>
        <v>-0.51900921658986177</v>
      </c>
      <c r="H228" s="142">
        <v>1.159</v>
      </c>
      <c r="I228" s="143">
        <f t="shared" si="114"/>
        <v>0.38802395209580842</v>
      </c>
      <c r="J228" s="142">
        <v>0</v>
      </c>
      <c r="K228" s="143" t="str">
        <f t="shared" si="115"/>
        <v/>
      </c>
      <c r="L228" s="142">
        <v>0</v>
      </c>
      <c r="M228" s="143" t="str">
        <f t="shared" si="116"/>
        <v/>
      </c>
      <c r="N228" s="142">
        <f>+IF(L228&lt;0,0,L228*(1+'[14]Ind. Crecimiento'!$C$8))</f>
        <v>0</v>
      </c>
      <c r="O228" s="143" t="str">
        <f t="shared" si="117"/>
        <v/>
      </c>
      <c r="P228" s="142">
        <f>+IF(N228&lt;0,0,N228*(1+'[14]Ind. Crecimiento'!$D$8))</f>
        <v>0</v>
      </c>
      <c r="Q228" s="143" t="str">
        <f t="shared" si="118"/>
        <v/>
      </c>
      <c r="R228" s="142">
        <f>+IF(P228&lt;0,0,P228*(1+'[14]Ind. Crecimiento'!$E$8))</f>
        <v>0</v>
      </c>
      <c r="S228" s="143" t="str">
        <f t="shared" si="119"/>
        <v/>
      </c>
      <c r="T228" s="142">
        <f>+IF(R228&lt;0,0,R228*(1+'[14]Ind. Crecimiento'!$F$8))</f>
        <v>0</v>
      </c>
      <c r="U228" s="143" t="str">
        <f t="shared" si="120"/>
        <v/>
      </c>
      <c r="V228" s="142">
        <f>+IF(T228&lt;0,0,T228*(1+'[14]Ind. Crecimiento'!$G$8))</f>
        <v>0</v>
      </c>
      <c r="W228" s="143" t="str">
        <f t="shared" si="121"/>
        <v/>
      </c>
    </row>
    <row r="229" spans="2:23" ht="14.25" outlineLevel="1">
      <c r="B229" s="117">
        <v>5150150000</v>
      </c>
      <c r="C229" s="21">
        <v>5150150000</v>
      </c>
      <c r="D229" s="27" t="s">
        <v>246</v>
      </c>
      <c r="E229" s="142">
        <v>33.482999999999997</v>
      </c>
      <c r="F229" s="142">
        <v>0</v>
      </c>
      <c r="G229" s="143" t="str">
        <f t="shared" si="113"/>
        <v/>
      </c>
      <c r="H229" s="142">
        <v>0</v>
      </c>
      <c r="I229" s="143" t="str">
        <f t="shared" si="114"/>
        <v/>
      </c>
      <c r="J229" s="142">
        <v>0</v>
      </c>
      <c r="K229" s="143" t="str">
        <f t="shared" si="115"/>
        <v/>
      </c>
      <c r="L229" s="142">
        <v>0</v>
      </c>
      <c r="M229" s="143" t="str">
        <f t="shared" si="116"/>
        <v/>
      </c>
      <c r="N229" s="142">
        <f>+IF(L229&lt;0,0,L229*(1+'[14]Ind. Crecimiento'!$C$8))</f>
        <v>0</v>
      </c>
      <c r="O229" s="143" t="str">
        <f t="shared" si="117"/>
        <v/>
      </c>
      <c r="P229" s="142">
        <f>+IF(N229&lt;0,0,N229*(1+'[14]Ind. Crecimiento'!$D$8))</f>
        <v>0</v>
      </c>
      <c r="Q229" s="143" t="str">
        <f t="shared" si="118"/>
        <v/>
      </c>
      <c r="R229" s="142">
        <f>+IF(P229&lt;0,0,P229*(1+'[14]Ind. Crecimiento'!$E$8))</f>
        <v>0</v>
      </c>
      <c r="S229" s="143" t="str">
        <f t="shared" si="119"/>
        <v/>
      </c>
      <c r="T229" s="142">
        <f>+IF(R229&lt;0,0,R229*(1+'[14]Ind. Crecimiento'!$F$8))</f>
        <v>0</v>
      </c>
      <c r="U229" s="143" t="str">
        <f t="shared" si="120"/>
        <v/>
      </c>
      <c r="V229" s="142">
        <f>+IF(T229&lt;0,0,T229*(1+'[14]Ind. Crecimiento'!$G$8))</f>
        <v>0</v>
      </c>
      <c r="W229" s="143" t="str">
        <f t="shared" si="121"/>
        <v/>
      </c>
    </row>
    <row r="230" spans="2:23" ht="14.25" outlineLevel="1">
      <c r="B230" s="117">
        <v>5150950000</v>
      </c>
      <c r="C230" s="21">
        <v>5150950000</v>
      </c>
      <c r="D230" s="27" t="s">
        <v>247</v>
      </c>
      <c r="E230" s="142">
        <v>522.02200100000005</v>
      </c>
      <c r="F230" s="142">
        <v>320.61399999999998</v>
      </c>
      <c r="G230" s="143">
        <f t="shared" si="113"/>
        <v>-0.38582282090443931</v>
      </c>
      <c r="H230" s="142">
        <v>415.63</v>
      </c>
      <c r="I230" s="143">
        <f t="shared" si="114"/>
        <v>0.29635636622231099</v>
      </c>
      <c r="J230" s="142">
        <v>485.82</v>
      </c>
      <c r="K230" s="143">
        <f t="shared" si="115"/>
        <v>0.16887616389577276</v>
      </c>
      <c r="L230" s="142">
        <v>510.16880011000001</v>
      </c>
      <c r="M230" s="143">
        <f t="shared" si="116"/>
        <v>5.0118974332057142E-2</v>
      </c>
      <c r="N230" s="142">
        <f>+IF(L230&lt;0,0,L230*(1+'[14]Ind. Crecimiento'!$C$8))</f>
        <v>561.18568012100002</v>
      </c>
      <c r="O230" s="143">
        <f t="shared" si="117"/>
        <v>0.10000000000000009</v>
      </c>
      <c r="P230" s="142">
        <f>+IF(N230&lt;0,0,N230*(1+'[14]Ind. Crecimiento'!$D$8))</f>
        <v>606.64172021080105</v>
      </c>
      <c r="Q230" s="143">
        <f t="shared" si="118"/>
        <v>8.0999999999999961E-2</v>
      </c>
      <c r="R230" s="142">
        <f>+IF(P230&lt;0,0,P230*(1+'[14]Ind. Crecimiento'!$E$8))</f>
        <v>649.10664062555713</v>
      </c>
      <c r="S230" s="143">
        <f t="shared" si="119"/>
        <v>7.0000000000000062E-2</v>
      </c>
      <c r="T230" s="142">
        <f>+IF(R230&lt;0,0,R230*(1+'[14]Ind. Crecimiento'!$F$8))</f>
        <v>694.54410546934616</v>
      </c>
      <c r="U230" s="143">
        <f t="shared" si="120"/>
        <v>7.0000000000000062E-2</v>
      </c>
      <c r="V230" s="142">
        <f>+IF(T230&lt;0,0,T230*(1+'[14]Ind. Crecimiento'!$G$8))</f>
        <v>743.16219285220041</v>
      </c>
      <c r="W230" s="143">
        <f t="shared" si="121"/>
        <v>7.0000000000000062E-2</v>
      </c>
    </row>
    <row r="231" spans="2:23" ht="14.25" outlineLevel="1">
      <c r="B231" s="117"/>
      <c r="C231" s="21"/>
      <c r="D231" s="33" t="s">
        <v>248</v>
      </c>
      <c r="E231" s="147"/>
      <c r="F231" s="147"/>
      <c r="G231" s="148"/>
      <c r="H231" s="147"/>
      <c r="I231" s="148"/>
      <c r="J231" s="147"/>
      <c r="K231" s="148"/>
      <c r="L231" s="147"/>
      <c r="M231" s="148"/>
      <c r="N231" s="147"/>
      <c r="O231" s="148"/>
      <c r="P231" s="147"/>
      <c r="Q231" s="148"/>
      <c r="R231" s="147"/>
      <c r="S231" s="148"/>
      <c r="T231" s="147"/>
      <c r="U231" s="148"/>
      <c r="V231" s="147"/>
      <c r="W231" s="148"/>
    </row>
    <row r="232" spans="2:23" ht="14.25" outlineLevel="1">
      <c r="B232" s="117">
        <v>5155050000</v>
      </c>
      <c r="C232" s="21">
        <v>5155050000</v>
      </c>
      <c r="D232" s="27" t="s">
        <v>249</v>
      </c>
      <c r="E232" s="142">
        <v>130.342702</v>
      </c>
      <c r="F232" s="142">
        <v>124.0081</v>
      </c>
      <c r="G232" s="143">
        <f>IF(F232=0,"",IF(E232=0,"",(F232/E232)-1))</f>
        <v>-4.8599590946027837E-2</v>
      </c>
      <c r="H232" s="142">
        <v>137.92098000000001</v>
      </c>
      <c r="I232" s="143">
        <f>IF(H232=0,"",IF(F232=0,"",(H232/F232)-1))</f>
        <v>0.11219331640433183</v>
      </c>
      <c r="J232" s="142">
        <v>100.06352800000001</v>
      </c>
      <c r="K232" s="143">
        <f>IF(J232=0,"",IF(H232=0,"",(J232/H232)-1))</f>
        <v>-0.27448653569601955</v>
      </c>
      <c r="L232" s="142">
        <v>276.05160820000009</v>
      </c>
      <c r="M232" s="143">
        <f>IF(L232=0,"",IF(J232=0,"",(L232/J232)-1))</f>
        <v>1.7587634947270705</v>
      </c>
      <c r="N232" s="142">
        <f>+IF(L232&lt;0,0,L232*(1+'[14]Ind. Crecimiento'!$C$8))</f>
        <v>303.65676902000013</v>
      </c>
      <c r="O232" s="143">
        <f>IF(N232=0,"",IF(L232=0,"",(N232/L232)-1))</f>
        <v>0.10000000000000009</v>
      </c>
      <c r="P232" s="142">
        <f>+IF(N232&lt;0,0,N232*(1+'[14]Ind. Crecimiento'!$D$8))</f>
        <v>328.25296731062014</v>
      </c>
      <c r="Q232" s="143">
        <f>IF(P232=0,"",IF(N232=0,"",(P232/N232)-1))</f>
        <v>8.0999999999999961E-2</v>
      </c>
      <c r="R232" s="142">
        <f>+IF(P232&lt;0,0,P232*(1+'[14]Ind. Crecimiento'!$E$8))</f>
        <v>351.23067502236358</v>
      </c>
      <c r="S232" s="143">
        <f>IF(R232=0,"",IF(P232=0,"",(R232/P232)-1))</f>
        <v>7.0000000000000062E-2</v>
      </c>
      <c r="T232" s="142">
        <f>+IF(R232&lt;0,0,R232*(1+'[14]Ind. Crecimiento'!$F$8))</f>
        <v>375.81682227392906</v>
      </c>
      <c r="U232" s="143">
        <f>IF(T232=0,"",IF(R232=0,"",(T232/R232)-1))</f>
        <v>7.0000000000000062E-2</v>
      </c>
      <c r="V232" s="142">
        <f>+IF(T232&lt;0,0,T232*(1+'[14]Ind. Crecimiento'!$G$8))</f>
        <v>402.12399983310411</v>
      </c>
      <c r="W232" s="143">
        <f>IF(V232=0,"",IF(T232=0,"",(V232/T232)-1))</f>
        <v>7.0000000000000062E-2</v>
      </c>
    </row>
    <row r="233" spans="2:23" ht="14.25" outlineLevel="1">
      <c r="B233" s="117">
        <v>5155150000</v>
      </c>
      <c r="C233" s="21">
        <v>5155150000</v>
      </c>
      <c r="D233" s="27" t="s">
        <v>250</v>
      </c>
      <c r="E233" s="142">
        <v>231.93381299999999</v>
      </c>
      <c r="F233" s="142">
        <v>255.94268</v>
      </c>
      <c r="G233" s="143">
        <f>IF(F233=0,"",IF(E233=0,"",(F233/E233)-1))</f>
        <v>0.1035160276522511</v>
      </c>
      <c r="H233" s="142">
        <v>406.77749</v>
      </c>
      <c r="I233" s="143">
        <f>IF(H233=0,"",IF(F233=0,"",(H233/F233)-1))</f>
        <v>0.58933043132938989</v>
      </c>
      <c r="J233" s="142">
        <v>269.78312</v>
      </c>
      <c r="K233" s="143">
        <f>IF(J233=0,"",IF(H233=0,"",(J233/H233)-1))</f>
        <v>-0.33677962367091652</v>
      </c>
      <c r="L233" s="142">
        <v>474.82494179999998</v>
      </c>
      <c r="M233" s="143">
        <f>IF(L233=0,"",IF(J233=0,"",(L233/J233)-1))</f>
        <v>0.76002465165352073</v>
      </c>
      <c r="N233" s="142">
        <f>+IF(L233&lt;0,0,L233*(1+'[14]Ind. Crecimiento'!$C$8))</f>
        <v>522.30743598000004</v>
      </c>
      <c r="O233" s="143">
        <f>IF(N233=0,"",IF(L233=0,"",(N233/L233)-1))</f>
        <v>0.10000000000000009</v>
      </c>
      <c r="P233" s="142">
        <f>+IF(N233&lt;0,0,N233*(1+'[14]Ind. Crecimiento'!$D$8))</f>
        <v>564.61433829437999</v>
      </c>
      <c r="Q233" s="143">
        <f>IF(P233=0,"",IF(N233=0,"",(P233/N233)-1))</f>
        <v>8.0999999999999961E-2</v>
      </c>
      <c r="R233" s="142">
        <f>+IF(P233&lt;0,0,P233*(1+'[14]Ind. Crecimiento'!$E$8))</f>
        <v>604.13734197498661</v>
      </c>
      <c r="S233" s="143">
        <f>IF(R233=0,"",IF(P233=0,"",(R233/P233)-1))</f>
        <v>7.0000000000000062E-2</v>
      </c>
      <c r="T233" s="142">
        <f>+IF(R233&lt;0,0,R233*(1+'[14]Ind. Crecimiento'!$F$8))</f>
        <v>646.4269559132357</v>
      </c>
      <c r="U233" s="143">
        <f>IF(T233=0,"",IF(R233=0,"",(T233/R233)-1))</f>
        <v>7.0000000000000062E-2</v>
      </c>
      <c r="V233" s="142">
        <f>+IF(T233&lt;0,0,T233*(1+'[14]Ind. Crecimiento'!$G$8))</f>
        <v>691.6768428271622</v>
      </c>
      <c r="W233" s="143">
        <f>IF(V233=0,"",IF(T233=0,"",(V233/T233)-1))</f>
        <v>7.0000000000000062E-2</v>
      </c>
    </row>
    <row r="234" spans="2:23" ht="14.25" outlineLevel="1">
      <c r="B234" s="117">
        <v>5155200000</v>
      </c>
      <c r="C234" s="21">
        <v>5155200000</v>
      </c>
      <c r="D234" s="27" t="s">
        <v>251</v>
      </c>
      <c r="E234" s="142">
        <v>13.366</v>
      </c>
      <c r="F234" s="142">
        <v>13.874000000000001</v>
      </c>
      <c r="G234" s="143">
        <f>IF(F234=0,"",IF(E234=0,"",(F234/E234)-1))</f>
        <v>3.8006883136316061E-2</v>
      </c>
      <c r="H234" s="142">
        <v>13.494</v>
      </c>
      <c r="I234" s="143">
        <f>IF(H234=0,"",IF(F234=0,"",(H234/F234)-1))</f>
        <v>-2.7389361395415923E-2</v>
      </c>
      <c r="J234" s="142">
        <v>6</v>
      </c>
      <c r="K234" s="143">
        <f>IF(J234=0,"",IF(H234=0,"",(J234/H234)-1))</f>
        <v>-0.55535793686082702</v>
      </c>
      <c r="L234" s="142">
        <v>6</v>
      </c>
      <c r="M234" s="143">
        <f>IF(L234=0,"",IF(J234=0,"",(L234/J234)-1))</f>
        <v>0</v>
      </c>
      <c r="N234" s="142">
        <f>+IF(L234&lt;0,0,L234*(1+'[14]Ind. Crecimiento'!$C$8))</f>
        <v>6.6000000000000005</v>
      </c>
      <c r="O234" s="143">
        <f>IF(N234=0,"",IF(L234=0,"",(N234/L234)-1))</f>
        <v>0.10000000000000009</v>
      </c>
      <c r="P234" s="142">
        <f>+IF(N234&lt;0,0,N234*(1+'[14]Ind. Crecimiento'!$D$8))</f>
        <v>7.1346000000000007</v>
      </c>
      <c r="Q234" s="143">
        <f>IF(P234=0,"",IF(N234=0,"",(P234/N234)-1))</f>
        <v>8.0999999999999961E-2</v>
      </c>
      <c r="R234" s="142">
        <f>+IF(P234&lt;0,0,P234*(1+'[14]Ind. Crecimiento'!$E$8))</f>
        <v>7.6340220000000016</v>
      </c>
      <c r="S234" s="143">
        <f>IF(R234=0,"",IF(P234=0,"",(R234/P234)-1))</f>
        <v>7.0000000000000062E-2</v>
      </c>
      <c r="T234" s="142">
        <f>+IF(R234&lt;0,0,R234*(1+'[14]Ind. Crecimiento'!$F$8))</f>
        <v>8.1684035400000017</v>
      </c>
      <c r="U234" s="143">
        <f>IF(T234=0,"",IF(R234=0,"",(T234/R234)-1))</f>
        <v>7.0000000000000062E-2</v>
      </c>
      <c r="V234" s="142">
        <f>+IF(T234&lt;0,0,T234*(1+'[14]Ind. Crecimiento'!$G$8))</f>
        <v>8.7401917878000024</v>
      </c>
      <c r="W234" s="143">
        <f>IF(V234=0,"",IF(T234=0,"",(V234/T234)-1))</f>
        <v>7.0000000000000062E-2</v>
      </c>
    </row>
    <row r="235" spans="2:23" ht="14.25" outlineLevel="1">
      <c r="B235" s="117">
        <v>5155950100</v>
      </c>
      <c r="C235" s="21">
        <v>5155950100</v>
      </c>
      <c r="D235" s="27" t="s">
        <v>252</v>
      </c>
      <c r="E235" s="142">
        <v>90.504000000000005</v>
      </c>
      <c r="F235" s="142">
        <v>112.161</v>
      </c>
      <c r="G235" s="143">
        <f>IF(F235=0,"",IF(E235=0,"",(F235/E235)-1))</f>
        <v>0.23929329090426932</v>
      </c>
      <c r="H235" s="142">
        <v>112.074</v>
      </c>
      <c r="I235" s="143">
        <f>IF(H235=0,"",IF(F235=0,"",(H235/F235)-1))</f>
        <v>-7.7567068767225855E-4</v>
      </c>
      <c r="J235" s="142">
        <v>151.16300000000001</v>
      </c>
      <c r="K235" s="143">
        <f>IF(J235=0,"",IF(H235=0,"",(J235/H235)-1))</f>
        <v>0.3487784856434144</v>
      </c>
      <c r="L235" s="142">
        <v>169.36371700999999</v>
      </c>
      <c r="M235" s="143">
        <f>IF(L235=0,"",IF(J235=0,"",(L235/J235)-1))</f>
        <v>0.12040457658289383</v>
      </c>
      <c r="N235" s="142">
        <f>+IF(L235&lt;0,0,L235*(1+'[14]Ind. Crecimiento'!$C$8))</f>
        <v>186.300088711</v>
      </c>
      <c r="O235" s="143">
        <f>IF(N235=0,"",IF(L235=0,"",(N235/L235)-1))</f>
        <v>0.10000000000000009</v>
      </c>
      <c r="P235" s="142">
        <f>+IF(N235&lt;0,0,N235*(1+'[14]Ind. Crecimiento'!$D$8))</f>
        <v>201.390395896591</v>
      </c>
      <c r="Q235" s="143">
        <f>IF(P235=0,"",IF(N235=0,"",(P235/N235)-1))</f>
        <v>8.0999999999999961E-2</v>
      </c>
      <c r="R235" s="142">
        <f>+IF(P235&lt;0,0,P235*(1+'[14]Ind. Crecimiento'!$E$8))</f>
        <v>215.48772360935237</v>
      </c>
      <c r="S235" s="143">
        <f>IF(R235=0,"",IF(P235=0,"",(R235/P235)-1))</f>
        <v>7.0000000000000062E-2</v>
      </c>
      <c r="T235" s="142">
        <f>+IF(R235&lt;0,0,R235*(1+'[14]Ind. Crecimiento'!$F$8))</f>
        <v>230.57186426200704</v>
      </c>
      <c r="U235" s="143">
        <f>IF(T235=0,"",IF(R235=0,"",(T235/R235)-1))</f>
        <v>7.0000000000000062E-2</v>
      </c>
      <c r="V235" s="142">
        <f>+IF(T235&lt;0,0,T235*(1+'[14]Ind. Crecimiento'!$G$8))</f>
        <v>246.71189476034755</v>
      </c>
      <c r="W235" s="143">
        <f>IF(V235=0,"",IF(T235=0,"",(V235/T235)-1))</f>
        <v>7.0000000000000062E-2</v>
      </c>
    </row>
    <row r="236" spans="2:23" ht="14.25" outlineLevel="1">
      <c r="B236" s="117">
        <v>5155950200</v>
      </c>
      <c r="C236" s="21">
        <v>5155950200</v>
      </c>
      <c r="D236" s="27" t="s">
        <v>253</v>
      </c>
      <c r="E236" s="142">
        <v>0.152</v>
      </c>
      <c r="F236" s="142">
        <v>0.29499999999999998</v>
      </c>
      <c r="G236" s="143">
        <f>IF(F236=0,"",IF(E236=0,"",(F236/E236)-1))</f>
        <v>0.9407894736842104</v>
      </c>
      <c r="H236" s="142">
        <v>0.39700000000000002</v>
      </c>
      <c r="I236" s="143">
        <f>IF(H236=0,"",IF(F236=0,"",(H236/F236)-1))</f>
        <v>0.34576271186440688</v>
      </c>
      <c r="J236" s="142">
        <v>0.441</v>
      </c>
      <c r="K236" s="143">
        <f>IF(J236=0,"",IF(H236=0,"",(J236/H236)-1))</f>
        <v>0.11083123425692687</v>
      </c>
      <c r="L236" s="142">
        <v>0.50163999999999997</v>
      </c>
      <c r="M236" s="143">
        <f>IF(L236=0,"",IF(J236=0,"",(L236/J236)-1))</f>
        <v>0.13750566893424021</v>
      </c>
      <c r="N236" s="142">
        <f>+IF(L236&lt;0,0,L236*(1+'[14]Ind. Crecimiento'!$C$8))</f>
        <v>0.55180400000000007</v>
      </c>
      <c r="O236" s="143">
        <f>IF(N236=0,"",IF(L236=0,"",(N236/L236)-1))</f>
        <v>0.10000000000000009</v>
      </c>
      <c r="P236" s="142">
        <f>+IF(N236&lt;0,0,N236*(1+'[14]Ind. Crecimiento'!$D$8))</f>
        <v>0.59650012400000008</v>
      </c>
      <c r="Q236" s="143">
        <f>IF(P236=0,"",IF(N236=0,"",(P236/N236)-1))</f>
        <v>8.0999999999999961E-2</v>
      </c>
      <c r="R236" s="142">
        <f>+IF(P236&lt;0,0,P236*(1+'[14]Ind. Crecimiento'!$E$8))</f>
        <v>0.63825513268000011</v>
      </c>
      <c r="S236" s="143">
        <f>IF(R236=0,"",IF(P236=0,"",(R236/P236)-1))</f>
        <v>7.0000000000000062E-2</v>
      </c>
      <c r="T236" s="142">
        <f>+IF(R236&lt;0,0,R236*(1+'[14]Ind. Crecimiento'!$F$8))</f>
        <v>0.68293299196760016</v>
      </c>
      <c r="U236" s="143">
        <f>IF(T236=0,"",IF(R236=0,"",(T236/R236)-1))</f>
        <v>7.0000000000000062E-2</v>
      </c>
      <c r="V236" s="142">
        <f>+IF(T236&lt;0,0,T236*(1+'[14]Ind. Crecimiento'!$G$8))</f>
        <v>0.73073830140533225</v>
      </c>
      <c r="W236" s="143">
        <f>IF(V236=0,"",IF(T236=0,"",(V236/T236)-1))</f>
        <v>7.0000000000000062E-2</v>
      </c>
    </row>
    <row r="237" spans="2:23" ht="14.25" outlineLevel="1">
      <c r="B237" s="117"/>
      <c r="C237" s="21"/>
      <c r="D237" s="33" t="s">
        <v>254</v>
      </c>
      <c r="E237" s="147"/>
      <c r="F237" s="147"/>
      <c r="G237" s="148"/>
      <c r="H237" s="147"/>
      <c r="I237" s="148"/>
      <c r="J237" s="147"/>
      <c r="K237" s="148"/>
      <c r="L237" s="147"/>
      <c r="M237" s="148"/>
      <c r="N237" s="147"/>
      <c r="O237" s="148"/>
      <c r="P237" s="147"/>
      <c r="Q237" s="148"/>
      <c r="R237" s="147"/>
      <c r="S237" s="148"/>
      <c r="T237" s="147"/>
      <c r="U237" s="148"/>
      <c r="V237" s="147"/>
      <c r="W237" s="148"/>
    </row>
    <row r="238" spans="2:23" ht="14.25" outlineLevel="1">
      <c r="B238" s="117">
        <v>5165951000</v>
      </c>
      <c r="C238" s="21">
        <v>5165951000</v>
      </c>
      <c r="D238" s="27" t="s">
        <v>255</v>
      </c>
      <c r="E238" s="142">
        <v>326.15600000000001</v>
      </c>
      <c r="F238" s="142">
        <v>301.82499999999999</v>
      </c>
      <c r="G238" s="143">
        <f>IF(F238=0,"",IF(E238=0,"",(F238/E238)-1))</f>
        <v>-7.4599271514244725E-2</v>
      </c>
      <c r="H238" s="142">
        <v>170.47900000000001</v>
      </c>
      <c r="I238" s="143">
        <f>IF(H238=0,"",IF(F238=0,"",(H238/F238)-1))</f>
        <v>-0.43517269941191083</v>
      </c>
      <c r="J238" s="142">
        <v>66.846999999999994</v>
      </c>
      <c r="K238" s="143">
        <f>IF(J238=0,"",IF(H238=0,"",(J238/H238)-1))</f>
        <v>-0.60788718845136358</v>
      </c>
      <c r="L238" s="142">
        <v>136.13430395359998</v>
      </c>
      <c r="M238" s="143">
        <f>IF(L238=0,"",IF(J238=0,"",(L238/J238)-1))</f>
        <v>1.0365058110850152</v>
      </c>
      <c r="N238" s="142">
        <f>+IF(L238&lt;0,0,L238*(1+'[14]Ind. Crecimiento'!$C$8))</f>
        <v>149.74773434895999</v>
      </c>
      <c r="O238" s="143">
        <f>IF(N238=0,"",IF(L238=0,"",(N238/L238)-1))</f>
        <v>0.10000000000000009</v>
      </c>
      <c r="P238" s="142">
        <f>+IF(N238&lt;0,0,N238*(1+'[14]Ind. Crecimiento'!$D$8))</f>
        <v>161.87730083122574</v>
      </c>
      <c r="Q238" s="143">
        <f>IF(P238=0,"",IF(N238=0,"",(P238/N238)-1))</f>
        <v>8.0999999999999961E-2</v>
      </c>
      <c r="R238" s="142">
        <f>+IF(P238&lt;0,0,P238*(1+'[14]Ind. Crecimiento'!$E$8))</f>
        <v>173.20871188941155</v>
      </c>
      <c r="S238" s="143">
        <f>IF(R238=0,"",IF(P238=0,"",(R238/P238)-1))</f>
        <v>7.0000000000000062E-2</v>
      </c>
      <c r="T238" s="142">
        <f>+IF(R238&lt;0,0,R238*(1+'[14]Ind. Crecimiento'!$F$8))</f>
        <v>185.33332172167036</v>
      </c>
      <c r="U238" s="143">
        <f>IF(T238=0,"",IF(R238=0,"",(T238/R238)-1))</f>
        <v>7.0000000000000062E-2</v>
      </c>
      <c r="V238" s="142">
        <f>+IF(T238&lt;0,0,T238*(1+'[14]Ind. Crecimiento'!$G$8))</f>
        <v>198.30665424218731</v>
      </c>
      <c r="W238" s="143">
        <f>IF(V238=0,"",IF(T238=0,"",(V238/T238)-1))</f>
        <v>7.0000000000000062E-2</v>
      </c>
    </row>
    <row r="239" spans="2:23" ht="14.25" outlineLevel="1">
      <c r="B239" s="117"/>
      <c r="C239" s="21"/>
      <c r="D239" s="33" t="s">
        <v>256</v>
      </c>
      <c r="E239" s="147"/>
      <c r="F239" s="147"/>
      <c r="G239" s="148"/>
      <c r="H239" s="147"/>
      <c r="I239" s="148"/>
      <c r="J239" s="147"/>
      <c r="K239" s="148"/>
      <c r="L239" s="147"/>
      <c r="M239" s="148"/>
      <c r="N239" s="147"/>
      <c r="O239" s="148"/>
      <c r="P239" s="147"/>
      <c r="Q239" s="148"/>
      <c r="R239" s="147"/>
      <c r="S239" s="148"/>
      <c r="T239" s="147"/>
      <c r="U239" s="148"/>
      <c r="V239" s="147"/>
      <c r="W239" s="148"/>
    </row>
    <row r="240" spans="2:23" ht="14.25" outlineLevel="1">
      <c r="B240" s="117">
        <v>5195050000</v>
      </c>
      <c r="C240" s="21">
        <v>5195050000</v>
      </c>
      <c r="D240" s="27" t="s">
        <v>257</v>
      </c>
      <c r="E240" s="142">
        <v>4.149</v>
      </c>
      <c r="F240" s="142">
        <v>0</v>
      </c>
      <c r="G240" s="143" t="str">
        <f t="shared" ref="G240:G280" si="122">IF(F240=0,"",IF(E240=0,"",(F240/E240)-1))</f>
        <v/>
      </c>
      <c r="H240" s="142">
        <v>0</v>
      </c>
      <c r="I240" s="143" t="str">
        <f t="shared" ref="I240:I280" si="123">IF(H240=0,"",IF(F240=0,"",(H240/F240)-1))</f>
        <v/>
      </c>
      <c r="J240" s="142">
        <v>0</v>
      </c>
      <c r="K240" s="143" t="str">
        <f t="shared" ref="K240:K280" si="124">IF(J240=0,"",IF(H240=0,"",(J240/H240)-1))</f>
        <v/>
      </c>
      <c r="L240" s="142">
        <v>0</v>
      </c>
      <c r="M240" s="143" t="str">
        <f t="shared" ref="M240:M280" si="125">IF(L240=0,"",IF(J240=0,"",(L240/J240)-1))</f>
        <v/>
      </c>
      <c r="N240" s="142">
        <f>+IF(L240&lt;0,0,L240*(1+'[14]Ind. Crecimiento'!$C$8))</f>
        <v>0</v>
      </c>
      <c r="O240" s="143" t="str">
        <f t="shared" ref="O240:O280" si="126">IF(N240=0,"",IF(L240=0,"",(N240/L240)-1))</f>
        <v/>
      </c>
      <c r="P240" s="142">
        <f>+IF(N240&lt;0,0,N240*(1+'[14]Ind. Crecimiento'!$D$8))</f>
        <v>0</v>
      </c>
      <c r="Q240" s="143" t="str">
        <f t="shared" ref="Q240:Q280" si="127">IF(P240=0,"",IF(N240=0,"",(P240/N240)-1))</f>
        <v/>
      </c>
      <c r="R240" s="142">
        <f>+IF(P240&lt;0,0,P240*(1+'[14]Ind. Crecimiento'!$E$8))</f>
        <v>0</v>
      </c>
      <c r="S240" s="143" t="str">
        <f t="shared" ref="S240:S280" si="128">IF(R240=0,"",IF(P240=0,"",(R240/P240)-1))</f>
        <v/>
      </c>
      <c r="T240" s="142">
        <f>+IF(R240&lt;0,0,R240*(1+'[14]Ind. Crecimiento'!$F$8))</f>
        <v>0</v>
      </c>
      <c r="U240" s="143" t="str">
        <f t="shared" ref="U240:U280" si="129">IF(T240=0,"",IF(R240=0,"",(T240/R240)-1))</f>
        <v/>
      </c>
      <c r="V240" s="142">
        <f>+IF(T240&lt;0,0,T240*(1+'[14]Ind. Crecimiento'!$G$8))</f>
        <v>0</v>
      </c>
      <c r="W240" s="143" t="str">
        <f t="shared" ref="W240:W280" si="130">IF(V240=0,"",IF(T240=0,"",(V240/T240)-1))</f>
        <v/>
      </c>
    </row>
    <row r="241" spans="2:23" ht="14.25" outlineLevel="1">
      <c r="B241" s="117">
        <v>5195100000</v>
      </c>
      <c r="C241" s="21">
        <v>5195100000</v>
      </c>
      <c r="D241" s="27" t="s">
        <v>258</v>
      </c>
      <c r="E241" s="142">
        <v>18.774000000000001</v>
      </c>
      <c r="F241" s="142">
        <v>41.56</v>
      </c>
      <c r="G241" s="143">
        <f t="shared" si="122"/>
        <v>1.2136997975924149</v>
      </c>
      <c r="H241" s="142">
        <v>42.865000000000002</v>
      </c>
      <c r="I241" s="143">
        <f t="shared" si="123"/>
        <v>3.1400384985563079E-2</v>
      </c>
      <c r="J241" s="142">
        <v>24.802</v>
      </c>
      <c r="K241" s="143">
        <f t="shared" si="124"/>
        <v>-0.42139274466347842</v>
      </c>
      <c r="L241" s="142">
        <v>26.621020000000001</v>
      </c>
      <c r="M241" s="143">
        <f t="shared" si="125"/>
        <v>7.3341665994677951E-2</v>
      </c>
      <c r="N241" s="142">
        <f>+IF(L241&lt;0,0,L241*(1+'[14]Ind. Crecimiento'!$C$8))</f>
        <v>29.283122000000002</v>
      </c>
      <c r="O241" s="143">
        <f t="shared" si="126"/>
        <v>0.10000000000000009</v>
      </c>
      <c r="P241" s="142">
        <f>+IF(N241&lt;0,0,N241*(1+'[14]Ind. Crecimiento'!$D$8))</f>
        <v>31.655054882000002</v>
      </c>
      <c r="Q241" s="143">
        <f t="shared" si="127"/>
        <v>8.0999999999999961E-2</v>
      </c>
      <c r="R241" s="142">
        <f>+IF(P241&lt;0,0,P241*(1+'[14]Ind. Crecimiento'!$E$8))</f>
        <v>33.870908723740001</v>
      </c>
      <c r="S241" s="143">
        <f t="shared" si="128"/>
        <v>7.0000000000000062E-2</v>
      </c>
      <c r="T241" s="142">
        <f>+IF(R241&lt;0,0,R241*(1+'[14]Ind. Crecimiento'!$F$8))</f>
        <v>36.241872334401805</v>
      </c>
      <c r="U241" s="143">
        <f t="shared" si="129"/>
        <v>7.0000000000000062E-2</v>
      </c>
      <c r="V241" s="142">
        <f>+IF(T241&lt;0,0,T241*(1+'[14]Ind. Crecimiento'!$G$8))</f>
        <v>38.778803397809931</v>
      </c>
      <c r="W241" s="143">
        <f t="shared" si="130"/>
        <v>7.0000000000000062E-2</v>
      </c>
    </row>
    <row r="242" spans="2:23" ht="14.25" outlineLevel="1">
      <c r="B242" s="117">
        <v>5195200000</v>
      </c>
      <c r="C242" s="21">
        <v>5195200000</v>
      </c>
      <c r="D242" s="27" t="s">
        <v>259</v>
      </c>
      <c r="E242" s="142">
        <v>661.3386999999999</v>
      </c>
      <c r="F242" s="142">
        <v>731.88473999999997</v>
      </c>
      <c r="G242" s="143">
        <f t="shared" si="122"/>
        <v>0.10667157388490955</v>
      </c>
      <c r="H242" s="142">
        <v>825.03929200000005</v>
      </c>
      <c r="I242" s="143">
        <f t="shared" si="123"/>
        <v>0.12728035837992757</v>
      </c>
      <c r="J242" s="142">
        <v>975.08604000000003</v>
      </c>
      <c r="K242" s="143">
        <f t="shared" si="124"/>
        <v>0.18186618438046454</v>
      </c>
      <c r="L242" s="142">
        <v>1010.921</v>
      </c>
      <c r="M242" s="143">
        <f t="shared" si="125"/>
        <v>3.6750562032454193E-2</v>
      </c>
      <c r="N242" s="142">
        <f>+IF(L242&lt;0,0,L242*(1+'[14]Ind. Crecimiento'!$C$8))</f>
        <v>1112.0131000000001</v>
      </c>
      <c r="O242" s="143">
        <f t="shared" si="126"/>
        <v>0.10000000000000009</v>
      </c>
      <c r="P242" s="142">
        <f>+IF(N242&lt;0,0,N242*(1+'[14]Ind. Crecimiento'!$D$8))</f>
        <v>1202.0861611</v>
      </c>
      <c r="Q242" s="143">
        <f t="shared" si="127"/>
        <v>8.0999999999999961E-2</v>
      </c>
      <c r="R242" s="142">
        <f>+IF(P242&lt;0,0,P242*(1+'[14]Ind. Crecimiento'!$E$8))</f>
        <v>1286.232192377</v>
      </c>
      <c r="S242" s="143">
        <f t="shared" si="128"/>
        <v>7.0000000000000062E-2</v>
      </c>
      <c r="T242" s="142">
        <f>+IF(R242&lt;0,0,R242*(1+'[14]Ind. Crecimiento'!$F$8))</f>
        <v>1376.2684458433901</v>
      </c>
      <c r="U242" s="143">
        <f t="shared" si="129"/>
        <v>7.0000000000000062E-2</v>
      </c>
      <c r="V242" s="142">
        <f>+IF(T242&lt;0,0,T242*(1+'[14]Ind. Crecimiento'!$G$8))</f>
        <v>1472.6072370524275</v>
      </c>
      <c r="W242" s="143">
        <f t="shared" si="130"/>
        <v>7.0000000000000062E-2</v>
      </c>
    </row>
    <row r="243" spans="2:23" ht="14.25" outlineLevel="1">
      <c r="B243" s="117">
        <v>5195250000</v>
      </c>
      <c r="C243" s="21">
        <v>5195250000</v>
      </c>
      <c r="D243" s="27" t="s">
        <v>260</v>
      </c>
      <c r="E243" s="142">
        <v>251.55593100000002</v>
      </c>
      <c r="F243" s="142">
        <v>255.75752799999998</v>
      </c>
      <c r="G243" s="143">
        <f t="shared" si="122"/>
        <v>1.6702436644198793E-2</v>
      </c>
      <c r="H243" s="142">
        <v>262.37914899999998</v>
      </c>
      <c r="I243" s="143">
        <f t="shared" si="123"/>
        <v>2.5890229123578301E-2</v>
      </c>
      <c r="J243" s="142">
        <v>276.109216</v>
      </c>
      <c r="K243" s="143">
        <f t="shared" si="124"/>
        <v>5.2329108667091617E-2</v>
      </c>
      <c r="L243" s="142">
        <v>300.97964001000003</v>
      </c>
      <c r="M243" s="143">
        <f t="shared" si="125"/>
        <v>9.0074588491823482E-2</v>
      </c>
      <c r="N243" s="142">
        <f>+IF(L243&lt;0,0,L243*(1+'[14]Ind. Crecimiento'!$C$8))</f>
        <v>331.07760401100006</v>
      </c>
      <c r="O243" s="143">
        <f t="shared" si="126"/>
        <v>0.10000000000000009</v>
      </c>
      <c r="P243" s="142">
        <f>+IF(N243&lt;0,0,N243*(1+'[14]Ind. Crecimiento'!$D$8))</f>
        <v>357.89488993589106</v>
      </c>
      <c r="Q243" s="143">
        <f t="shared" si="127"/>
        <v>8.0999999999999961E-2</v>
      </c>
      <c r="R243" s="142">
        <f>+IF(P243&lt;0,0,P243*(1+'[14]Ind. Crecimiento'!$E$8))</f>
        <v>382.94753223140344</v>
      </c>
      <c r="S243" s="143">
        <f t="shared" si="128"/>
        <v>7.0000000000000062E-2</v>
      </c>
      <c r="T243" s="142">
        <f>+IF(R243&lt;0,0,R243*(1+'[14]Ind. Crecimiento'!$F$8))</f>
        <v>409.75385948760169</v>
      </c>
      <c r="U243" s="143">
        <f t="shared" si="129"/>
        <v>7.0000000000000062E-2</v>
      </c>
      <c r="V243" s="142">
        <f>+IF(T243&lt;0,0,T243*(1+'[14]Ind. Crecimiento'!$G$8))</f>
        <v>438.43662965173382</v>
      </c>
      <c r="W243" s="143">
        <f t="shared" si="130"/>
        <v>7.0000000000000062E-2</v>
      </c>
    </row>
    <row r="244" spans="2:23" ht="14.25" outlineLevel="1">
      <c r="B244" s="117">
        <v>5195300000</v>
      </c>
      <c r="C244" s="21">
        <v>5195300000</v>
      </c>
      <c r="D244" s="27" t="s">
        <v>261</v>
      </c>
      <c r="E244" s="142">
        <v>282.75857100000002</v>
      </c>
      <c r="F244" s="142">
        <v>363.30745299999995</v>
      </c>
      <c r="G244" s="143">
        <f t="shared" si="122"/>
        <v>0.28486804737742122</v>
      </c>
      <c r="H244" s="142">
        <v>333.93968800000005</v>
      </c>
      <c r="I244" s="143">
        <f t="shared" si="123"/>
        <v>-8.083446887063972E-2</v>
      </c>
      <c r="J244" s="142">
        <v>328.52817599999997</v>
      </c>
      <c r="K244" s="143">
        <f t="shared" si="124"/>
        <v>-1.620505796244287E-2</v>
      </c>
      <c r="L244" s="142">
        <v>351.31353273000008</v>
      </c>
      <c r="M244" s="143">
        <f t="shared" si="125"/>
        <v>6.9355867759726353E-2</v>
      </c>
      <c r="N244" s="142">
        <f>+IF(L244&lt;0,0,L244*(1+'[14]Ind. Crecimiento'!$C$8))</f>
        <v>386.44488600300014</v>
      </c>
      <c r="O244" s="143">
        <f t="shared" si="126"/>
        <v>0.10000000000000009</v>
      </c>
      <c r="P244" s="142">
        <f>+IF(N244&lt;0,0,N244*(1+'[14]Ind. Crecimiento'!$D$8))</f>
        <v>417.74692176924316</v>
      </c>
      <c r="Q244" s="143">
        <f t="shared" si="127"/>
        <v>8.0999999999999961E-2</v>
      </c>
      <c r="R244" s="142">
        <f>+IF(P244&lt;0,0,P244*(1+'[14]Ind. Crecimiento'!$E$8))</f>
        <v>446.98920629309021</v>
      </c>
      <c r="S244" s="143">
        <f t="shared" si="128"/>
        <v>7.0000000000000062E-2</v>
      </c>
      <c r="T244" s="142">
        <f>+IF(R244&lt;0,0,R244*(1+'[14]Ind. Crecimiento'!$F$8))</f>
        <v>478.27845073360658</v>
      </c>
      <c r="U244" s="143">
        <f t="shared" si="129"/>
        <v>7.0000000000000062E-2</v>
      </c>
      <c r="V244" s="142">
        <f>+IF(T244&lt;0,0,T244*(1+'[14]Ind. Crecimiento'!$G$8))</f>
        <v>511.75794228495909</v>
      </c>
      <c r="W244" s="143">
        <f t="shared" si="130"/>
        <v>7.0000000000000062E-2</v>
      </c>
    </row>
    <row r="245" spans="2:23" ht="14.25" outlineLevel="1">
      <c r="B245" s="117">
        <v>5195350000</v>
      </c>
      <c r="C245" s="21">
        <v>5195350000</v>
      </c>
      <c r="D245" s="27" t="s">
        <v>262</v>
      </c>
      <c r="E245" s="142">
        <v>4.1449999999999996</v>
      </c>
      <c r="F245" s="142">
        <v>3.7570000000000001</v>
      </c>
      <c r="G245" s="143">
        <f t="shared" si="122"/>
        <v>-9.3606755126658503E-2</v>
      </c>
      <c r="H245" s="142">
        <v>8.7330000000000005</v>
      </c>
      <c r="I245" s="143">
        <f t="shared" si="123"/>
        <v>1.324461006121906</v>
      </c>
      <c r="J245" s="142">
        <v>3.383</v>
      </c>
      <c r="K245" s="143">
        <f t="shared" si="124"/>
        <v>-0.61261880224436049</v>
      </c>
      <c r="L245" s="142">
        <v>3.7400817700000002</v>
      </c>
      <c r="M245" s="143">
        <f t="shared" si="125"/>
        <v>0.1055518090452261</v>
      </c>
      <c r="N245" s="142">
        <f>+IF(L245&lt;0,0,L245*(1+'[14]Ind. Crecimiento'!$C$8))</f>
        <v>4.114089947000001</v>
      </c>
      <c r="O245" s="143">
        <f t="shared" si="126"/>
        <v>0.10000000000000031</v>
      </c>
      <c r="P245" s="142">
        <f>+IF(N245&lt;0,0,N245*(1+'[14]Ind. Crecimiento'!$D$8))</f>
        <v>4.4473312327070005</v>
      </c>
      <c r="Q245" s="143">
        <f t="shared" si="127"/>
        <v>8.0999999999999961E-2</v>
      </c>
      <c r="R245" s="142">
        <f>+IF(P245&lt;0,0,P245*(1+'[14]Ind. Crecimiento'!$E$8))</f>
        <v>4.7586444189964912</v>
      </c>
      <c r="S245" s="143">
        <f t="shared" si="128"/>
        <v>7.0000000000000062E-2</v>
      </c>
      <c r="T245" s="142">
        <f>+IF(R245&lt;0,0,R245*(1+'[14]Ind. Crecimiento'!$F$8))</f>
        <v>5.0917495283262459</v>
      </c>
      <c r="U245" s="143">
        <f t="shared" si="129"/>
        <v>7.0000000000000062E-2</v>
      </c>
      <c r="V245" s="142">
        <f>+IF(T245&lt;0,0,T245*(1+'[14]Ind. Crecimiento'!$G$8))</f>
        <v>5.4481719953090835</v>
      </c>
      <c r="W245" s="143">
        <f t="shared" si="130"/>
        <v>7.0000000000000062E-2</v>
      </c>
    </row>
    <row r="246" spans="2:23" ht="14.25" outlineLevel="1">
      <c r="B246" s="117">
        <v>5195450000</v>
      </c>
      <c r="C246" s="21">
        <v>5195450000</v>
      </c>
      <c r="D246" s="27" t="s">
        <v>263</v>
      </c>
      <c r="E246" s="142">
        <v>31.885000000000002</v>
      </c>
      <c r="F246" s="142">
        <v>60.135519000000002</v>
      </c>
      <c r="G246" s="143">
        <f t="shared" si="122"/>
        <v>0.88601282734828279</v>
      </c>
      <c r="H246" s="142">
        <v>72.528147999999987</v>
      </c>
      <c r="I246" s="143">
        <f t="shared" si="123"/>
        <v>0.20607835778385786</v>
      </c>
      <c r="J246" s="142">
        <v>57.86686499999999</v>
      </c>
      <c r="K246" s="143">
        <f t="shared" si="124"/>
        <v>-0.20214611022468132</v>
      </c>
      <c r="L246" s="142">
        <v>128.97563699000003</v>
      </c>
      <c r="M246" s="143">
        <f t="shared" si="125"/>
        <v>1.2288340139041583</v>
      </c>
      <c r="N246" s="142">
        <f>+IF(L246&lt;0,0,L246*(1+'[14]Ind. Crecimiento'!$C$8))</f>
        <v>141.87320068900004</v>
      </c>
      <c r="O246" s="143">
        <f t="shared" si="126"/>
        <v>0.10000000000000009</v>
      </c>
      <c r="P246" s="142">
        <f>+IF(N246&lt;0,0,N246*(1+'[14]Ind. Crecimiento'!$D$8))</f>
        <v>153.36492994480903</v>
      </c>
      <c r="Q246" s="143">
        <f t="shared" si="127"/>
        <v>8.0999999999999961E-2</v>
      </c>
      <c r="R246" s="142">
        <f>+IF(P246&lt;0,0,P246*(1+'[14]Ind. Crecimiento'!$E$8))</f>
        <v>164.10047504094567</v>
      </c>
      <c r="S246" s="143">
        <f t="shared" si="128"/>
        <v>7.0000000000000062E-2</v>
      </c>
      <c r="T246" s="142">
        <f>+IF(R246&lt;0,0,R246*(1+'[14]Ind. Crecimiento'!$F$8))</f>
        <v>175.58750829381188</v>
      </c>
      <c r="U246" s="143">
        <f t="shared" si="129"/>
        <v>7.0000000000000062E-2</v>
      </c>
      <c r="V246" s="142">
        <f>+IF(T246&lt;0,0,T246*(1+'[14]Ind. Crecimiento'!$G$8))</f>
        <v>187.87863387437872</v>
      </c>
      <c r="W246" s="143">
        <f t="shared" si="130"/>
        <v>7.0000000000000062E-2</v>
      </c>
    </row>
    <row r="247" spans="2:23" ht="14.25" outlineLevel="1">
      <c r="B247" s="117">
        <v>5195500000</v>
      </c>
      <c r="C247" s="21">
        <v>5195500000</v>
      </c>
      <c r="D247" s="27" t="s">
        <v>264</v>
      </c>
      <c r="E247" s="142">
        <v>0.60899999999999999</v>
      </c>
      <c r="F247" s="142">
        <v>3.4000000000000002E-2</v>
      </c>
      <c r="G247" s="143">
        <f t="shared" si="122"/>
        <v>-0.94417077175697861</v>
      </c>
      <c r="H247" s="142">
        <v>0.64100000000000001</v>
      </c>
      <c r="I247" s="143">
        <f t="shared" si="123"/>
        <v>17.852941176470587</v>
      </c>
      <c r="J247" s="142">
        <v>0.16600000000000001</v>
      </c>
      <c r="K247" s="143">
        <f t="shared" si="124"/>
        <v>-0.7410296411856474</v>
      </c>
      <c r="L247" s="142">
        <v>0.16800000000000001</v>
      </c>
      <c r="M247" s="143">
        <f t="shared" si="125"/>
        <v>1.2048192771084265E-2</v>
      </c>
      <c r="N247" s="142">
        <f>+IF(L247&lt;0,0,L247*(1+'[14]Ind. Crecimiento'!$C$8))</f>
        <v>0.18480000000000002</v>
      </c>
      <c r="O247" s="143">
        <f t="shared" si="126"/>
        <v>0.10000000000000009</v>
      </c>
      <c r="P247" s="142">
        <f>+IF(N247&lt;0,0,N247*(1+'[14]Ind. Crecimiento'!$D$8))</f>
        <v>0.19976880000000002</v>
      </c>
      <c r="Q247" s="143">
        <f t="shared" si="127"/>
        <v>8.0999999999999961E-2</v>
      </c>
      <c r="R247" s="142">
        <f>+IF(P247&lt;0,0,P247*(1+'[14]Ind. Crecimiento'!$E$8))</f>
        <v>0.21375261600000003</v>
      </c>
      <c r="S247" s="143">
        <f t="shared" si="128"/>
        <v>7.0000000000000062E-2</v>
      </c>
      <c r="T247" s="142">
        <f>+IF(R247&lt;0,0,R247*(1+'[14]Ind. Crecimiento'!$F$8))</f>
        <v>0.22871529912000005</v>
      </c>
      <c r="U247" s="143">
        <f t="shared" si="129"/>
        <v>7.0000000000000062E-2</v>
      </c>
      <c r="V247" s="142">
        <f>+IF(T247&lt;0,0,T247*(1+'[14]Ind. Crecimiento'!$G$8))</f>
        <v>0.24472537005840006</v>
      </c>
      <c r="W247" s="143">
        <f t="shared" si="130"/>
        <v>7.0000000000000062E-2</v>
      </c>
    </row>
    <row r="248" spans="2:23" ht="14.25" outlineLevel="1">
      <c r="B248" s="117">
        <v>5195650000</v>
      </c>
      <c r="C248" s="28">
        <v>5195650000</v>
      </c>
      <c r="D248" s="27" t="s">
        <v>265</v>
      </c>
      <c r="E248" s="142">
        <v>0.16</v>
      </c>
      <c r="F248" s="142">
        <v>3.9E-2</v>
      </c>
      <c r="G248" s="143">
        <f t="shared" si="122"/>
        <v>-0.75624999999999998</v>
      </c>
      <c r="H248" s="142">
        <v>0.22500000000000001</v>
      </c>
      <c r="I248" s="143">
        <f t="shared" si="123"/>
        <v>4.7692307692307692</v>
      </c>
      <c r="J248" s="142">
        <v>0.16900000000000001</v>
      </c>
      <c r="K248" s="143">
        <f t="shared" si="124"/>
        <v>-0.24888888888888883</v>
      </c>
      <c r="L248" s="142">
        <v>0.18</v>
      </c>
      <c r="M248" s="143">
        <f t="shared" si="125"/>
        <v>6.5088757396449592E-2</v>
      </c>
      <c r="N248" s="142">
        <f>+IF(L248&lt;0,0,L248*(1+'[14]Ind. Crecimiento'!$C$8))</f>
        <v>0.19800000000000001</v>
      </c>
      <c r="O248" s="143">
        <f t="shared" si="126"/>
        <v>0.10000000000000009</v>
      </c>
      <c r="P248" s="142">
        <f>+IF(N248&lt;0,0,N248*(1+'[14]Ind. Crecimiento'!$D$8))</f>
        <v>0.21403800000000001</v>
      </c>
      <c r="Q248" s="143">
        <f t="shared" si="127"/>
        <v>8.0999999999999961E-2</v>
      </c>
      <c r="R248" s="142">
        <f>+IF(P248&lt;0,0,P248*(1+'[14]Ind. Crecimiento'!$E$8))</f>
        <v>0.22902066000000001</v>
      </c>
      <c r="S248" s="143">
        <f t="shared" si="128"/>
        <v>7.0000000000000062E-2</v>
      </c>
      <c r="T248" s="142">
        <f>+IF(R248&lt;0,0,R248*(1+'[14]Ind. Crecimiento'!$F$8))</f>
        <v>0.24505210620000004</v>
      </c>
      <c r="U248" s="143">
        <f t="shared" si="129"/>
        <v>7.0000000000000062E-2</v>
      </c>
      <c r="V248" s="142">
        <f>+IF(T248&lt;0,0,T248*(1+'[14]Ind. Crecimiento'!$G$8))</f>
        <v>0.26220575363400006</v>
      </c>
      <c r="W248" s="143">
        <f t="shared" si="130"/>
        <v>7.0000000000000062E-2</v>
      </c>
    </row>
    <row r="249" spans="2:23" ht="14.25" outlineLevel="1">
      <c r="B249" s="117">
        <v>5195950100</v>
      </c>
      <c r="C249" s="21">
        <v>5195950100</v>
      </c>
      <c r="D249" s="27" t="s">
        <v>214</v>
      </c>
      <c r="E249" s="142">
        <v>283.04011300000002</v>
      </c>
      <c r="F249" s="142">
        <v>273.917145</v>
      </c>
      <c r="G249" s="143">
        <f t="shared" si="122"/>
        <v>-3.2232067403110465E-2</v>
      </c>
      <c r="H249" s="142">
        <v>374.71063099999998</v>
      </c>
      <c r="I249" s="143">
        <f t="shared" si="123"/>
        <v>0.36797070880685467</v>
      </c>
      <c r="J249" s="142">
        <v>383.721046</v>
      </c>
      <c r="K249" s="143">
        <f t="shared" si="124"/>
        <v>2.4046328698904773E-2</v>
      </c>
      <c r="L249" s="142">
        <v>597.16637821999996</v>
      </c>
      <c r="M249" s="143">
        <f t="shared" si="125"/>
        <v>0.55625130402672762</v>
      </c>
      <c r="N249" s="142">
        <f>+IF(L249&lt;0,0,L249*(1+'[14]Ind. Crecimiento'!$C$8))</f>
        <v>656.88301604200001</v>
      </c>
      <c r="O249" s="143">
        <f t="shared" si="126"/>
        <v>0.10000000000000009</v>
      </c>
      <c r="P249" s="142">
        <f>+IF(N249&lt;0,0,N249*(1+'[14]Ind. Crecimiento'!$D$8))</f>
        <v>710.09054034140195</v>
      </c>
      <c r="Q249" s="143">
        <f t="shared" si="127"/>
        <v>8.0999999999999961E-2</v>
      </c>
      <c r="R249" s="142">
        <f>+IF(P249&lt;0,0,P249*(1+'[14]Ind. Crecimiento'!$E$8))</f>
        <v>759.79687816530009</v>
      </c>
      <c r="S249" s="143">
        <f t="shared" si="128"/>
        <v>7.0000000000000062E-2</v>
      </c>
      <c r="T249" s="142">
        <f>+IF(R249&lt;0,0,R249*(1+'[14]Ind. Crecimiento'!$F$8))</f>
        <v>812.98265963687118</v>
      </c>
      <c r="U249" s="143">
        <f t="shared" si="129"/>
        <v>7.0000000000000062E-2</v>
      </c>
      <c r="V249" s="142">
        <f>+IF(T249&lt;0,0,T249*(1+'[14]Ind. Crecimiento'!$G$8))</f>
        <v>869.89144581145217</v>
      </c>
      <c r="W249" s="143">
        <f t="shared" si="130"/>
        <v>7.0000000000000062E-2</v>
      </c>
    </row>
    <row r="250" spans="2:23" ht="14.25" outlineLevel="1">
      <c r="B250" s="117">
        <v>5195950200</v>
      </c>
      <c r="C250" s="21">
        <v>5195950200</v>
      </c>
      <c r="D250" s="27" t="s">
        <v>266</v>
      </c>
      <c r="E250" s="142">
        <v>1506.792064</v>
      </c>
      <c r="F250" s="142">
        <v>1611.3589010000001</v>
      </c>
      <c r="G250" s="143">
        <f t="shared" si="122"/>
        <v>6.9396992125384749E-2</v>
      </c>
      <c r="H250" s="142">
        <v>1654.6316079999999</v>
      </c>
      <c r="I250" s="143">
        <f t="shared" si="123"/>
        <v>2.6854791302636016E-2</v>
      </c>
      <c r="J250" s="142">
        <v>1880.7290619999999</v>
      </c>
      <c r="K250" s="143">
        <f t="shared" si="124"/>
        <v>0.13664519214237081</v>
      </c>
      <c r="L250" s="142">
        <v>2204.9912661833337</v>
      </c>
      <c r="M250" s="143">
        <f t="shared" si="125"/>
        <v>0.17241303425093446</v>
      </c>
      <c r="N250" s="142">
        <f>+IF(L250&lt;0,0,L250*(1+'[14]Ind. Crecimiento'!$C$8))</f>
        <v>2425.4903928016674</v>
      </c>
      <c r="O250" s="143">
        <f t="shared" si="126"/>
        <v>0.10000000000000009</v>
      </c>
      <c r="P250" s="142">
        <f>+IF(N250&lt;0,0,N250*(1+'[14]Ind. Crecimiento'!$D$8))</f>
        <v>2621.9551146186022</v>
      </c>
      <c r="Q250" s="143">
        <f t="shared" si="127"/>
        <v>8.0999999999999961E-2</v>
      </c>
      <c r="R250" s="142">
        <f>+IF(P250&lt;0,0,P250*(1+'[14]Ind. Crecimiento'!$E$8))</f>
        <v>2805.4919726419043</v>
      </c>
      <c r="S250" s="143">
        <f t="shared" si="128"/>
        <v>7.0000000000000062E-2</v>
      </c>
      <c r="T250" s="142">
        <f>+IF(R250&lt;0,0,R250*(1+'[14]Ind. Crecimiento'!$F$8))</f>
        <v>3001.876410726838</v>
      </c>
      <c r="U250" s="143">
        <f t="shared" si="129"/>
        <v>7.0000000000000062E-2</v>
      </c>
      <c r="V250" s="142">
        <f>+IF(T250&lt;0,0,T250*(1+'[14]Ind. Crecimiento'!$G$8))</f>
        <v>3212.0077594777167</v>
      </c>
      <c r="W250" s="143">
        <f t="shared" si="130"/>
        <v>7.0000000000000062E-2</v>
      </c>
    </row>
    <row r="251" spans="2:23" ht="14.25" outlineLevel="1">
      <c r="B251" s="117">
        <v>5195950300</v>
      </c>
      <c r="C251" s="21">
        <v>5195950300</v>
      </c>
      <c r="D251" s="27" t="s">
        <v>267</v>
      </c>
      <c r="E251" s="142">
        <v>100.217304</v>
      </c>
      <c r="F251" s="142">
        <v>166.343999</v>
      </c>
      <c r="G251" s="143">
        <f t="shared" si="122"/>
        <v>0.65983310626675817</v>
      </c>
      <c r="H251" s="142">
        <v>129.83719500000001</v>
      </c>
      <c r="I251" s="143">
        <f t="shared" si="123"/>
        <v>-0.21946571093316081</v>
      </c>
      <c r="J251" s="142">
        <v>175.64859300000001</v>
      </c>
      <c r="K251" s="143">
        <f t="shared" si="124"/>
        <v>0.35283724359571988</v>
      </c>
      <c r="L251" s="142">
        <v>186.40620462999999</v>
      </c>
      <c r="M251" s="143">
        <f t="shared" si="125"/>
        <v>6.1245077152425553E-2</v>
      </c>
      <c r="N251" s="142">
        <f>+IF(L251&lt;0,0,L251*(1+'[14]Ind. Crecimiento'!$C$8))</f>
        <v>205.046825093</v>
      </c>
      <c r="O251" s="143">
        <f t="shared" si="126"/>
        <v>0.10000000000000009</v>
      </c>
      <c r="P251" s="142">
        <f>+IF(N251&lt;0,0,N251*(1+'[14]Ind. Crecimiento'!$D$8))</f>
        <v>221.65561792553299</v>
      </c>
      <c r="Q251" s="143">
        <f t="shared" si="127"/>
        <v>8.0999999999999961E-2</v>
      </c>
      <c r="R251" s="142">
        <f>+IF(P251&lt;0,0,P251*(1+'[14]Ind. Crecimiento'!$E$8))</f>
        <v>237.17151118032032</v>
      </c>
      <c r="S251" s="143">
        <f t="shared" si="128"/>
        <v>7.0000000000000062E-2</v>
      </c>
      <c r="T251" s="142">
        <f>+IF(R251&lt;0,0,R251*(1+'[14]Ind. Crecimiento'!$F$8))</f>
        <v>253.77351696294275</v>
      </c>
      <c r="U251" s="143">
        <f t="shared" si="129"/>
        <v>7.0000000000000062E-2</v>
      </c>
      <c r="V251" s="142">
        <f>+IF(T251&lt;0,0,T251*(1+'[14]Ind. Crecimiento'!$G$8))</f>
        <v>271.53766315034875</v>
      </c>
      <c r="W251" s="143">
        <f t="shared" si="130"/>
        <v>7.0000000000000062E-2</v>
      </c>
    </row>
    <row r="252" spans="2:23" ht="14.25" outlineLevel="1">
      <c r="B252" s="117">
        <v>5195950400</v>
      </c>
      <c r="C252" s="21">
        <v>5195950400</v>
      </c>
      <c r="D252" s="27" t="s">
        <v>268</v>
      </c>
      <c r="E252" s="142">
        <v>5.5799240000000001</v>
      </c>
      <c r="F252" s="142">
        <v>12.30796</v>
      </c>
      <c r="G252" s="143">
        <f t="shared" si="122"/>
        <v>1.2057576411434994</v>
      </c>
      <c r="H252" s="142">
        <v>21.353000000000002</v>
      </c>
      <c r="I252" s="143">
        <f t="shared" si="123"/>
        <v>0.73489351606602571</v>
      </c>
      <c r="J252" s="142">
        <v>6.5620000000000003</v>
      </c>
      <c r="K252" s="143">
        <f t="shared" si="124"/>
        <v>-0.69268955181941649</v>
      </c>
      <c r="L252" s="142">
        <v>6.9706332</v>
      </c>
      <c r="M252" s="143">
        <f t="shared" si="125"/>
        <v>6.2272660774154165E-2</v>
      </c>
      <c r="N252" s="142">
        <f>+IF(L252&lt;0,0,L252*(1+'[14]Ind. Crecimiento'!$C$8))</f>
        <v>7.6676965200000007</v>
      </c>
      <c r="O252" s="143">
        <f t="shared" si="126"/>
        <v>0.10000000000000009</v>
      </c>
      <c r="P252" s="142">
        <f>+IF(N252&lt;0,0,N252*(1+'[14]Ind. Crecimiento'!$D$8))</f>
        <v>8.2887799381200011</v>
      </c>
      <c r="Q252" s="143">
        <f t="shared" si="127"/>
        <v>8.0999999999999961E-2</v>
      </c>
      <c r="R252" s="142">
        <f>+IF(P252&lt;0,0,P252*(1+'[14]Ind. Crecimiento'!$E$8))</f>
        <v>8.8689945337884009</v>
      </c>
      <c r="S252" s="143">
        <f t="shared" si="128"/>
        <v>7.0000000000000062E-2</v>
      </c>
      <c r="T252" s="142">
        <f>+IF(R252&lt;0,0,R252*(1+'[14]Ind. Crecimiento'!$F$8))</f>
        <v>9.4898241511535897</v>
      </c>
      <c r="U252" s="143">
        <f t="shared" si="129"/>
        <v>7.0000000000000062E-2</v>
      </c>
      <c r="V252" s="142">
        <f>+IF(T252&lt;0,0,T252*(1+'[14]Ind. Crecimiento'!$G$8))</f>
        <v>10.154111841734341</v>
      </c>
      <c r="W252" s="143">
        <f t="shared" si="130"/>
        <v>7.0000000000000062E-2</v>
      </c>
    </row>
    <row r="253" spans="2:23" ht="14.25" outlineLevel="1">
      <c r="B253" s="117">
        <v>5195950500</v>
      </c>
      <c r="C253" s="21">
        <v>5195950500</v>
      </c>
      <c r="D253" s="27" t="s">
        <v>269</v>
      </c>
      <c r="E253" s="142">
        <v>4.0000000000873118E-5</v>
      </c>
      <c r="F253" s="142">
        <v>5.119999999988067E-4</v>
      </c>
      <c r="G253" s="143">
        <f t="shared" si="122"/>
        <v>11.799999999690769</v>
      </c>
      <c r="H253" s="142">
        <v>0</v>
      </c>
      <c r="I253" s="143" t="str">
        <f t="shared" si="123"/>
        <v/>
      </c>
      <c r="J253" s="142">
        <v>0</v>
      </c>
      <c r="K253" s="143" t="str">
        <f t="shared" si="124"/>
        <v/>
      </c>
      <c r="L253" s="142">
        <v>0</v>
      </c>
      <c r="M253" s="143" t="str">
        <f t="shared" si="125"/>
        <v/>
      </c>
      <c r="N253" s="142">
        <f>+IF(L253&lt;0,0,L253*(1+'[14]Ind. Crecimiento'!$C$8))</f>
        <v>0</v>
      </c>
      <c r="O253" s="143" t="str">
        <f t="shared" si="126"/>
        <v/>
      </c>
      <c r="P253" s="142">
        <f>+IF(N253&lt;0,0,N253*(1+'[14]Ind. Crecimiento'!$D$8))</f>
        <v>0</v>
      </c>
      <c r="Q253" s="143" t="str">
        <f t="shared" si="127"/>
        <v/>
      </c>
      <c r="R253" s="142">
        <f>+IF(P253&lt;0,0,P253*(1+'[14]Ind. Crecimiento'!$E$8))</f>
        <v>0</v>
      </c>
      <c r="S253" s="143" t="str">
        <f t="shared" si="128"/>
        <v/>
      </c>
      <c r="T253" s="142">
        <f>+IF(R253&lt;0,0,R253*(1+'[14]Ind. Crecimiento'!$F$8))</f>
        <v>0</v>
      </c>
      <c r="U253" s="143" t="str">
        <f t="shared" si="129"/>
        <v/>
      </c>
      <c r="V253" s="142">
        <f>+IF(T253&lt;0,0,T253*(1+'[14]Ind. Crecimiento'!$G$8))</f>
        <v>0</v>
      </c>
      <c r="W253" s="143" t="str">
        <f t="shared" si="130"/>
        <v/>
      </c>
    </row>
    <row r="254" spans="2:23" ht="14.25" outlineLevel="1">
      <c r="B254" s="117">
        <v>5195950600</v>
      </c>
      <c r="C254" s="21">
        <v>5195950600</v>
      </c>
      <c r="D254" s="27" t="s">
        <v>270</v>
      </c>
      <c r="E254" s="142">
        <v>-1.4500000000407454E-4</v>
      </c>
      <c r="F254" s="142">
        <v>-1.849999999976717E-4</v>
      </c>
      <c r="G254" s="143">
        <f t="shared" si="122"/>
        <v>0.27586206891360798</v>
      </c>
      <c r="H254" s="142">
        <v>0</v>
      </c>
      <c r="I254" s="143" t="str">
        <f t="shared" si="123"/>
        <v/>
      </c>
      <c r="J254" s="142">
        <v>0</v>
      </c>
      <c r="K254" s="143" t="str">
        <f t="shared" si="124"/>
        <v/>
      </c>
      <c r="L254" s="142">
        <v>0</v>
      </c>
      <c r="M254" s="143" t="str">
        <f t="shared" si="125"/>
        <v/>
      </c>
      <c r="N254" s="142">
        <f>+IF(L254&lt;0,0,L254*(1+'[14]Ind. Crecimiento'!$C$8))</f>
        <v>0</v>
      </c>
      <c r="O254" s="143" t="str">
        <f t="shared" si="126"/>
        <v/>
      </c>
      <c r="P254" s="142">
        <f>+IF(N254&lt;0,0,N254*(1+'[14]Ind. Crecimiento'!$D$8))</f>
        <v>0</v>
      </c>
      <c r="Q254" s="143" t="str">
        <f t="shared" si="127"/>
        <v/>
      </c>
      <c r="R254" s="142">
        <f>+IF(P254&lt;0,0,P254*(1+'[14]Ind. Crecimiento'!$E$8))</f>
        <v>0</v>
      </c>
      <c r="S254" s="143" t="str">
        <f t="shared" si="128"/>
        <v/>
      </c>
      <c r="T254" s="142">
        <f>+IF(R254&lt;0,0,R254*(1+'[14]Ind. Crecimiento'!$F$8))</f>
        <v>0</v>
      </c>
      <c r="U254" s="143" t="str">
        <f t="shared" si="129"/>
        <v/>
      </c>
      <c r="V254" s="142">
        <f>+IF(T254&lt;0,0,T254*(1+'[14]Ind. Crecimiento'!$G$8))</f>
        <v>0</v>
      </c>
      <c r="W254" s="143" t="str">
        <f t="shared" si="130"/>
        <v/>
      </c>
    </row>
    <row r="255" spans="2:23" ht="14.25" outlineLevel="1">
      <c r="B255" s="117">
        <v>5195950800</v>
      </c>
      <c r="C255" s="21">
        <v>5195950800</v>
      </c>
      <c r="D255" s="27" t="s">
        <v>271</v>
      </c>
      <c r="E255" s="142">
        <v>185.85953400000002</v>
      </c>
      <c r="F255" s="142">
        <v>171.910302</v>
      </c>
      <c r="G255" s="143">
        <f t="shared" si="122"/>
        <v>-7.5052550169420029E-2</v>
      </c>
      <c r="H255" s="142">
        <v>244.51317300000002</v>
      </c>
      <c r="I255" s="143">
        <f t="shared" si="123"/>
        <v>0.42232996019051861</v>
      </c>
      <c r="J255" s="142">
        <v>300.997479</v>
      </c>
      <c r="K255" s="143">
        <f t="shared" si="124"/>
        <v>0.23100721039679928</v>
      </c>
      <c r="L255" s="142">
        <v>331.63284874999999</v>
      </c>
      <c r="M255" s="143">
        <f t="shared" si="125"/>
        <v>0.10177948948868099</v>
      </c>
      <c r="N255" s="142">
        <f>+IF(L255&lt;0,0,L255*(1+'[14]Ind. Crecimiento'!$C$8))</f>
        <v>364.79613362500004</v>
      </c>
      <c r="O255" s="143">
        <f t="shared" si="126"/>
        <v>0.10000000000000009</v>
      </c>
      <c r="P255" s="142">
        <f>+IF(N255&lt;0,0,N255*(1+'[14]Ind. Crecimiento'!$D$8))</f>
        <v>394.34462044862505</v>
      </c>
      <c r="Q255" s="143">
        <f t="shared" si="127"/>
        <v>8.0999999999999961E-2</v>
      </c>
      <c r="R255" s="142">
        <f>+IF(P255&lt;0,0,P255*(1+'[14]Ind. Crecimiento'!$E$8))</f>
        <v>421.94874388002881</v>
      </c>
      <c r="S255" s="143">
        <f t="shared" si="128"/>
        <v>7.0000000000000062E-2</v>
      </c>
      <c r="T255" s="142">
        <f>+IF(R255&lt;0,0,R255*(1+'[14]Ind. Crecimiento'!$F$8))</f>
        <v>451.48515595163087</v>
      </c>
      <c r="U255" s="143">
        <f t="shared" si="129"/>
        <v>7.0000000000000062E-2</v>
      </c>
      <c r="V255" s="142">
        <f>+IF(T255&lt;0,0,T255*(1+'[14]Ind. Crecimiento'!$G$8))</f>
        <v>483.08911686824507</v>
      </c>
      <c r="W255" s="143">
        <f t="shared" si="130"/>
        <v>7.0000000000000062E-2</v>
      </c>
    </row>
    <row r="256" spans="2:23" ht="14.25" outlineLevel="1">
      <c r="B256" s="117">
        <v>5195950900</v>
      </c>
      <c r="C256" s="21">
        <v>5195950900</v>
      </c>
      <c r="D256" s="27" t="s">
        <v>272</v>
      </c>
      <c r="E256" s="142">
        <v>8.43</v>
      </c>
      <c r="F256" s="142">
        <v>14.05</v>
      </c>
      <c r="G256" s="143">
        <f t="shared" si="122"/>
        <v>0.66666666666666674</v>
      </c>
      <c r="H256" s="142">
        <v>10.939</v>
      </c>
      <c r="I256" s="143">
        <f t="shared" si="123"/>
        <v>-0.22142348754448404</v>
      </c>
      <c r="J256" s="142">
        <v>21.391999999999999</v>
      </c>
      <c r="K256" s="143">
        <f t="shared" si="124"/>
        <v>0.95557180729499946</v>
      </c>
      <c r="L256" s="142">
        <v>22.933060000000001</v>
      </c>
      <c r="M256" s="143">
        <f t="shared" si="125"/>
        <v>7.2039080029917768E-2</v>
      </c>
      <c r="N256" s="142">
        <f>+IF(L256&lt;0,0,L256*(1+'[14]Ind. Crecimiento'!$C$8))</f>
        <v>25.226366000000002</v>
      </c>
      <c r="O256" s="143">
        <f t="shared" si="126"/>
        <v>0.10000000000000009</v>
      </c>
      <c r="P256" s="142">
        <f>+IF(N256&lt;0,0,N256*(1+'[14]Ind. Crecimiento'!$D$8))</f>
        <v>27.269701646000001</v>
      </c>
      <c r="Q256" s="143">
        <f t="shared" si="127"/>
        <v>8.0999999999999961E-2</v>
      </c>
      <c r="R256" s="142">
        <f>+IF(P256&lt;0,0,P256*(1+'[14]Ind. Crecimiento'!$E$8))</f>
        <v>29.178580761220005</v>
      </c>
      <c r="S256" s="143">
        <f t="shared" si="128"/>
        <v>7.0000000000000062E-2</v>
      </c>
      <c r="T256" s="142">
        <f>+IF(R256&lt;0,0,R256*(1+'[14]Ind. Crecimiento'!$F$8))</f>
        <v>31.221081414505406</v>
      </c>
      <c r="U256" s="143">
        <f t="shared" si="129"/>
        <v>7.0000000000000062E-2</v>
      </c>
      <c r="V256" s="142">
        <f>+IF(T256&lt;0,0,T256*(1+'[14]Ind. Crecimiento'!$G$8))</f>
        <v>33.406557113520783</v>
      </c>
      <c r="W256" s="143">
        <f t="shared" si="130"/>
        <v>7.0000000000000062E-2</v>
      </c>
    </row>
    <row r="257" spans="2:23" ht="14.25" outlineLevel="1">
      <c r="B257" s="117">
        <v>5195951000</v>
      </c>
      <c r="C257" s="21"/>
      <c r="D257" s="27" t="s">
        <v>273</v>
      </c>
      <c r="E257" s="142">
        <v>0</v>
      </c>
      <c r="F257" s="142">
        <v>0</v>
      </c>
      <c r="G257" s="143" t="str">
        <f t="shared" si="122"/>
        <v/>
      </c>
      <c r="H257" s="142">
        <v>0</v>
      </c>
      <c r="I257" s="143" t="str">
        <f t="shared" si="123"/>
        <v/>
      </c>
      <c r="J257" s="142">
        <v>2.601</v>
      </c>
      <c r="K257" s="143" t="str">
        <f t="shared" si="124"/>
        <v/>
      </c>
      <c r="L257" s="142">
        <v>2.7832904200000002</v>
      </c>
      <c r="M257" s="143">
        <f t="shared" si="125"/>
        <v>7.0084744329104165E-2</v>
      </c>
      <c r="N257" s="142">
        <f>+IF(L257&lt;0,0,L257*(1+'[14]Ind. Crecimiento'!$C$8))</f>
        <v>3.0616194620000003</v>
      </c>
      <c r="O257" s="143">
        <f t="shared" si="126"/>
        <v>0.10000000000000009</v>
      </c>
      <c r="P257" s="142">
        <f>+IF(N257&lt;0,0,N257*(1+'[14]Ind. Crecimiento'!$D$8))</f>
        <v>3.3096106384220003</v>
      </c>
      <c r="Q257" s="143">
        <f t="shared" si="127"/>
        <v>8.0999999999999961E-2</v>
      </c>
      <c r="R257" s="142">
        <f>+IF(P257&lt;0,0,P257*(1+'[14]Ind. Crecimiento'!$E$8))</f>
        <v>3.5412833831115407</v>
      </c>
      <c r="S257" s="143">
        <f t="shared" si="128"/>
        <v>7.0000000000000062E-2</v>
      </c>
      <c r="T257" s="142">
        <f>+IF(R257&lt;0,0,R257*(1+'[14]Ind. Crecimiento'!$F$8))</f>
        <v>3.7891732199293489</v>
      </c>
      <c r="U257" s="143">
        <f t="shared" si="129"/>
        <v>7.0000000000000062E-2</v>
      </c>
      <c r="V257" s="142">
        <f>+IF(T257&lt;0,0,T257*(1+'[14]Ind. Crecimiento'!$G$8))</f>
        <v>4.0544153453244034</v>
      </c>
      <c r="W257" s="143">
        <f t="shared" si="130"/>
        <v>7.0000000000000062E-2</v>
      </c>
    </row>
    <row r="258" spans="2:23" ht="14.25" outlineLevel="1">
      <c r="B258" s="117">
        <v>5195951100</v>
      </c>
      <c r="C258" s="21">
        <v>5195951100</v>
      </c>
      <c r="D258" s="27" t="s">
        <v>274</v>
      </c>
      <c r="E258" s="142">
        <v>26.341000000000001</v>
      </c>
      <c r="F258" s="142">
        <v>75.813000000000002</v>
      </c>
      <c r="G258" s="143">
        <f t="shared" si="122"/>
        <v>1.8781367449982915</v>
      </c>
      <c r="H258" s="142">
        <v>102.351</v>
      </c>
      <c r="I258" s="143">
        <f t="shared" si="123"/>
        <v>0.35004550670729295</v>
      </c>
      <c r="J258" s="142">
        <v>472.69299999999998</v>
      </c>
      <c r="K258" s="143">
        <f t="shared" si="124"/>
        <v>3.6183525319733079</v>
      </c>
      <c r="L258" s="142">
        <v>398.98055568000001</v>
      </c>
      <c r="M258" s="143">
        <f t="shared" si="125"/>
        <v>-0.1559414764339645</v>
      </c>
      <c r="N258" s="142">
        <f>+IF(L258&lt;0,0,L258*(1+'[14]Ind. Crecimiento'!$C$8))</f>
        <v>438.87861124800003</v>
      </c>
      <c r="O258" s="143">
        <f t="shared" si="126"/>
        <v>0.10000000000000009</v>
      </c>
      <c r="P258" s="142">
        <f>+IF(N258&lt;0,0,N258*(1+'[14]Ind. Crecimiento'!$D$8))</f>
        <v>474.42777875908803</v>
      </c>
      <c r="Q258" s="143">
        <f t="shared" si="127"/>
        <v>8.0999999999999961E-2</v>
      </c>
      <c r="R258" s="142">
        <f>+IF(P258&lt;0,0,P258*(1+'[14]Ind. Crecimiento'!$E$8))</f>
        <v>507.63772327222421</v>
      </c>
      <c r="S258" s="143">
        <f t="shared" si="128"/>
        <v>7.0000000000000062E-2</v>
      </c>
      <c r="T258" s="142">
        <f>+IF(R258&lt;0,0,R258*(1+'[14]Ind. Crecimiento'!$F$8))</f>
        <v>543.17236390127994</v>
      </c>
      <c r="U258" s="143">
        <f t="shared" si="129"/>
        <v>7.0000000000000062E-2</v>
      </c>
      <c r="V258" s="142">
        <f>+IF(T258&lt;0,0,T258*(1+'[14]Ind. Crecimiento'!$G$8))</f>
        <v>581.19442937436952</v>
      </c>
      <c r="W258" s="143">
        <f t="shared" si="130"/>
        <v>7.0000000000000062E-2</v>
      </c>
    </row>
    <row r="259" spans="2:23" ht="14.25" outlineLevel="1">
      <c r="B259" s="117">
        <v>5195951200</v>
      </c>
      <c r="C259" s="21">
        <v>5195951200</v>
      </c>
      <c r="D259" s="27" t="s">
        <v>275</v>
      </c>
      <c r="E259" s="142">
        <v>45.281991000000005</v>
      </c>
      <c r="F259" s="142">
        <v>52.341107000000001</v>
      </c>
      <c r="G259" s="143">
        <f t="shared" si="122"/>
        <v>0.15589235022815129</v>
      </c>
      <c r="H259" s="142">
        <v>42.697212</v>
      </c>
      <c r="I259" s="143">
        <f t="shared" si="123"/>
        <v>-0.18425087952381292</v>
      </c>
      <c r="J259" s="142">
        <v>126.98555999999999</v>
      </c>
      <c r="K259" s="143">
        <f t="shared" si="124"/>
        <v>1.974094889380599</v>
      </c>
      <c r="L259" s="142">
        <v>143.35131832000002</v>
      </c>
      <c r="M259" s="143">
        <f t="shared" si="125"/>
        <v>0.12887889237169969</v>
      </c>
      <c r="N259" s="142">
        <f>+IF(L259&lt;0,0,L259*(1+'[14]Ind. Crecimiento'!$C$8))</f>
        <v>157.68645015200002</v>
      </c>
      <c r="O259" s="143">
        <f t="shared" si="126"/>
        <v>0.10000000000000009</v>
      </c>
      <c r="P259" s="142">
        <f>+IF(N259&lt;0,0,N259*(1+'[14]Ind. Crecimiento'!$D$8))</f>
        <v>170.45905261431201</v>
      </c>
      <c r="Q259" s="143">
        <f t="shared" si="127"/>
        <v>8.0999999999999961E-2</v>
      </c>
      <c r="R259" s="142">
        <f>+IF(P259&lt;0,0,P259*(1+'[14]Ind. Crecimiento'!$E$8))</f>
        <v>182.39118629731388</v>
      </c>
      <c r="S259" s="143">
        <f t="shared" si="128"/>
        <v>7.0000000000000062E-2</v>
      </c>
      <c r="T259" s="142">
        <f>+IF(R259&lt;0,0,R259*(1+'[14]Ind. Crecimiento'!$F$8))</f>
        <v>195.15856933812586</v>
      </c>
      <c r="U259" s="143">
        <f t="shared" si="129"/>
        <v>7.0000000000000062E-2</v>
      </c>
      <c r="V259" s="142">
        <f>+IF(T259&lt;0,0,T259*(1+'[14]Ind. Crecimiento'!$G$8))</f>
        <v>208.81966919179467</v>
      </c>
      <c r="W259" s="143">
        <f t="shared" si="130"/>
        <v>7.0000000000000062E-2</v>
      </c>
    </row>
    <row r="260" spans="2:23" ht="14.25" outlineLevel="1">
      <c r="B260" s="117">
        <v>5195951300</v>
      </c>
      <c r="C260" s="21">
        <v>5195951300</v>
      </c>
      <c r="D260" s="27" t="s">
        <v>276</v>
      </c>
      <c r="E260" s="142">
        <v>221.70670000000001</v>
      </c>
      <c r="F260" s="142">
        <v>91.082505999999995</v>
      </c>
      <c r="G260" s="143">
        <f t="shared" si="122"/>
        <v>-0.58917567218311406</v>
      </c>
      <c r="H260" s="142">
        <v>81.843733999999998</v>
      </c>
      <c r="I260" s="143">
        <f t="shared" si="123"/>
        <v>-0.10143300185438464</v>
      </c>
      <c r="J260" s="142">
        <v>57.567259</v>
      </c>
      <c r="K260" s="143">
        <f t="shared" si="124"/>
        <v>-0.29661983652896384</v>
      </c>
      <c r="L260" s="142">
        <v>55.215579529999999</v>
      </c>
      <c r="M260" s="143">
        <f t="shared" si="125"/>
        <v>-4.0850989101287594E-2</v>
      </c>
      <c r="N260" s="142">
        <f>+IF(L260&lt;0,0,L260*(1+'[14]Ind. Crecimiento'!$C$8))</f>
        <v>60.737137483000005</v>
      </c>
      <c r="O260" s="143">
        <f t="shared" si="126"/>
        <v>0.10000000000000009</v>
      </c>
      <c r="P260" s="142">
        <f>+IF(N260&lt;0,0,N260*(1+'[14]Ind. Crecimiento'!$D$8))</f>
        <v>65.656845619123004</v>
      </c>
      <c r="Q260" s="143">
        <f t="shared" si="127"/>
        <v>8.0999999999999961E-2</v>
      </c>
      <c r="R260" s="142">
        <f>+IF(P260&lt;0,0,P260*(1+'[14]Ind. Crecimiento'!$E$8))</f>
        <v>70.252824812461625</v>
      </c>
      <c r="S260" s="143">
        <f t="shared" si="128"/>
        <v>7.0000000000000062E-2</v>
      </c>
      <c r="T260" s="142">
        <f>+IF(R260&lt;0,0,R260*(1+'[14]Ind. Crecimiento'!$F$8))</f>
        <v>75.170522549333938</v>
      </c>
      <c r="U260" s="143">
        <f t="shared" si="129"/>
        <v>7.0000000000000062E-2</v>
      </c>
      <c r="V260" s="142">
        <f>+IF(T260&lt;0,0,T260*(1+'[14]Ind. Crecimiento'!$G$8))</f>
        <v>80.432459127787325</v>
      </c>
      <c r="W260" s="143">
        <f t="shared" si="130"/>
        <v>7.0000000000000062E-2</v>
      </c>
    </row>
    <row r="261" spans="2:23" ht="14.25" outlineLevel="1">
      <c r="B261" s="117">
        <v>5195951400</v>
      </c>
      <c r="C261" s="21">
        <v>5195951400</v>
      </c>
      <c r="D261" s="27" t="s">
        <v>277</v>
      </c>
      <c r="E261" s="142">
        <v>23.850852</v>
      </c>
      <c r="F261" s="142">
        <v>60.582915999999997</v>
      </c>
      <c r="G261" s="143">
        <f t="shared" si="122"/>
        <v>1.5400734531412126</v>
      </c>
      <c r="H261" s="142">
        <v>64.033608000000001</v>
      </c>
      <c r="I261" s="143">
        <f t="shared" si="123"/>
        <v>5.6958169527528302E-2</v>
      </c>
      <c r="J261" s="142">
        <v>83.75439999999999</v>
      </c>
      <c r="K261" s="143">
        <f t="shared" si="124"/>
        <v>0.30797564928716792</v>
      </c>
      <c r="L261" s="142">
        <v>65.649623520000006</v>
      </c>
      <c r="M261" s="143">
        <f t="shared" si="125"/>
        <v>-0.21616507884958869</v>
      </c>
      <c r="N261" s="142">
        <f>+IF(L261&lt;0,0,L261*(1+'[14]Ind. Crecimiento'!$C$8))</f>
        <v>72.214585872000015</v>
      </c>
      <c r="O261" s="143">
        <f t="shared" si="126"/>
        <v>0.10000000000000009</v>
      </c>
      <c r="P261" s="142">
        <f>+IF(N261&lt;0,0,N261*(1+'[14]Ind. Crecimiento'!$D$8))</f>
        <v>78.063967327632014</v>
      </c>
      <c r="Q261" s="143">
        <f t="shared" si="127"/>
        <v>8.0999999999999961E-2</v>
      </c>
      <c r="R261" s="142">
        <f>+IF(P261&lt;0,0,P261*(1+'[14]Ind. Crecimiento'!$E$8))</f>
        <v>83.528445040566254</v>
      </c>
      <c r="S261" s="143">
        <f t="shared" si="128"/>
        <v>7.0000000000000062E-2</v>
      </c>
      <c r="T261" s="142">
        <f>+IF(R261&lt;0,0,R261*(1+'[14]Ind. Crecimiento'!$F$8))</f>
        <v>89.375436193405903</v>
      </c>
      <c r="U261" s="143">
        <f t="shared" si="129"/>
        <v>7.0000000000000062E-2</v>
      </c>
      <c r="V261" s="142">
        <f>+IF(T261&lt;0,0,T261*(1+'[14]Ind. Crecimiento'!$G$8))</f>
        <v>95.631716726944319</v>
      </c>
      <c r="W261" s="143">
        <f t="shared" si="130"/>
        <v>7.0000000000000062E-2</v>
      </c>
    </row>
    <row r="262" spans="2:23" ht="14.25" outlineLevel="1">
      <c r="B262" s="117">
        <v>5195951500</v>
      </c>
      <c r="C262" s="21">
        <v>5195951500</v>
      </c>
      <c r="D262" s="27" t="s">
        <v>278</v>
      </c>
      <c r="E262" s="142">
        <v>99.864999999999995</v>
      </c>
      <c r="F262" s="142">
        <v>64.659000000000006</v>
      </c>
      <c r="G262" s="143">
        <f t="shared" si="122"/>
        <v>-0.35253592349672047</v>
      </c>
      <c r="H262" s="142">
        <v>109.697</v>
      </c>
      <c r="I262" s="143">
        <f t="shared" si="123"/>
        <v>0.69654649778066458</v>
      </c>
      <c r="J262" s="142">
        <v>71.876999999999995</v>
      </c>
      <c r="K262" s="143">
        <f t="shared" si="124"/>
        <v>-0.34476786056136455</v>
      </c>
      <c r="L262" s="142">
        <v>92.89993025000004</v>
      </c>
      <c r="M262" s="143">
        <f t="shared" si="125"/>
        <v>0.29248480390110942</v>
      </c>
      <c r="N262" s="142">
        <f>+IF(L262&lt;0,0,L262*(1+'[14]Ind. Crecimiento'!$C$8))</f>
        <v>102.18992327500006</v>
      </c>
      <c r="O262" s="143">
        <f t="shared" si="126"/>
        <v>0.10000000000000009</v>
      </c>
      <c r="P262" s="142">
        <f>+IF(N262&lt;0,0,N262*(1+'[14]Ind. Crecimiento'!$D$8))</f>
        <v>110.46730706027506</v>
      </c>
      <c r="Q262" s="143">
        <f t="shared" si="127"/>
        <v>8.0999999999999961E-2</v>
      </c>
      <c r="R262" s="142">
        <f>+IF(P262&lt;0,0,P262*(1+'[14]Ind. Crecimiento'!$E$8))</f>
        <v>118.20001855449432</v>
      </c>
      <c r="S262" s="143">
        <f t="shared" si="128"/>
        <v>7.0000000000000062E-2</v>
      </c>
      <c r="T262" s="142">
        <f>+IF(R262&lt;0,0,R262*(1+'[14]Ind. Crecimiento'!$F$8))</f>
        <v>126.47401985330893</v>
      </c>
      <c r="U262" s="143">
        <f t="shared" si="129"/>
        <v>7.0000000000000062E-2</v>
      </c>
      <c r="V262" s="142">
        <f>+IF(T262&lt;0,0,T262*(1+'[14]Ind. Crecimiento'!$G$8))</f>
        <v>135.32720124304058</v>
      </c>
      <c r="W262" s="143">
        <f t="shared" si="130"/>
        <v>7.0000000000000062E-2</v>
      </c>
    </row>
    <row r="263" spans="2:23" ht="14.25" outlineLevel="1">
      <c r="B263" s="117">
        <v>5195951600</v>
      </c>
      <c r="C263" s="21">
        <v>5195951600</v>
      </c>
      <c r="D263" s="27" t="s">
        <v>279</v>
      </c>
      <c r="E263" s="142">
        <v>133.023</v>
      </c>
      <c r="F263" s="142">
        <v>243.12299999999999</v>
      </c>
      <c r="G263" s="143">
        <f t="shared" si="122"/>
        <v>0.82767641686024218</v>
      </c>
      <c r="H263" s="142">
        <v>314.7894</v>
      </c>
      <c r="I263" s="143">
        <f t="shared" si="123"/>
        <v>0.29477425007095182</v>
      </c>
      <c r="J263" s="142">
        <v>242.03100000000001</v>
      </c>
      <c r="K263" s="143">
        <f t="shared" si="124"/>
        <v>-0.231133576924763</v>
      </c>
      <c r="L263" s="142">
        <v>414.31638501000003</v>
      </c>
      <c r="M263" s="143">
        <f t="shared" si="125"/>
        <v>0.71183189347645559</v>
      </c>
      <c r="N263" s="142">
        <f>+IF(L263&lt;0,0,L263*(1+'[14]Ind. Crecimiento'!$C$8))</f>
        <v>455.7480235110001</v>
      </c>
      <c r="O263" s="143">
        <f t="shared" si="126"/>
        <v>0.10000000000000009</v>
      </c>
      <c r="P263" s="142">
        <f>+IF(N263&lt;0,0,N263*(1+'[14]Ind. Crecimiento'!$D$8))</f>
        <v>492.66361341539107</v>
      </c>
      <c r="Q263" s="143">
        <f t="shared" si="127"/>
        <v>8.0999999999999961E-2</v>
      </c>
      <c r="R263" s="142">
        <f>+IF(P263&lt;0,0,P263*(1+'[14]Ind. Crecimiento'!$E$8))</f>
        <v>527.15006635446844</v>
      </c>
      <c r="S263" s="143">
        <f t="shared" si="128"/>
        <v>7.0000000000000062E-2</v>
      </c>
      <c r="T263" s="142">
        <f>+IF(R263&lt;0,0,R263*(1+'[14]Ind. Crecimiento'!$F$8))</f>
        <v>564.05057099928126</v>
      </c>
      <c r="U263" s="143">
        <f t="shared" si="129"/>
        <v>7.0000000000000062E-2</v>
      </c>
      <c r="V263" s="142">
        <f>+IF(T263&lt;0,0,T263*(1+'[14]Ind. Crecimiento'!$G$8))</f>
        <v>603.53411096923094</v>
      </c>
      <c r="W263" s="143">
        <f t="shared" si="130"/>
        <v>7.0000000000000062E-2</v>
      </c>
    </row>
    <row r="264" spans="2:23" ht="14.25" outlineLevel="1">
      <c r="B264" s="117">
        <v>5195951700</v>
      </c>
      <c r="C264" s="21">
        <v>5195951700</v>
      </c>
      <c r="D264" s="27" t="s">
        <v>280</v>
      </c>
      <c r="E264" s="142">
        <v>0</v>
      </c>
      <c r="F264" s="142">
        <v>0</v>
      </c>
      <c r="G264" s="143" t="str">
        <f t="shared" si="122"/>
        <v/>
      </c>
      <c r="H264" s="142">
        <v>0</v>
      </c>
      <c r="I264" s="143" t="str">
        <f t="shared" si="123"/>
        <v/>
      </c>
      <c r="J264" s="142">
        <v>0.28199999999999997</v>
      </c>
      <c r="K264" s="143" t="str">
        <f t="shared" si="124"/>
        <v/>
      </c>
      <c r="L264" s="142">
        <v>0</v>
      </c>
      <c r="M264" s="143" t="str">
        <f t="shared" si="125"/>
        <v/>
      </c>
      <c r="N264" s="142">
        <f>+IF(L264&lt;0,0,L264*(1+'[14]Ind. Crecimiento'!$C$8))</f>
        <v>0</v>
      </c>
      <c r="O264" s="143" t="str">
        <f t="shared" si="126"/>
        <v/>
      </c>
      <c r="P264" s="142">
        <f>+IF(N264&lt;0,0,N264*(1+'[14]Ind. Crecimiento'!$D$8))</f>
        <v>0</v>
      </c>
      <c r="Q264" s="143" t="str">
        <f t="shared" si="127"/>
        <v/>
      </c>
      <c r="R264" s="142">
        <f>+IF(P264&lt;0,0,P264*(1+'[14]Ind. Crecimiento'!$E$8))</f>
        <v>0</v>
      </c>
      <c r="S264" s="143" t="str">
        <f t="shared" si="128"/>
        <v/>
      </c>
      <c r="T264" s="142">
        <f>+IF(R264&lt;0,0,R264*(1+'[14]Ind. Crecimiento'!$F$8))</f>
        <v>0</v>
      </c>
      <c r="U264" s="143" t="str">
        <f t="shared" si="129"/>
        <v/>
      </c>
      <c r="V264" s="142">
        <f>+IF(T264&lt;0,0,T264*(1+'[14]Ind. Crecimiento'!$G$8))</f>
        <v>0</v>
      </c>
      <c r="W264" s="143" t="str">
        <f t="shared" si="130"/>
        <v/>
      </c>
    </row>
    <row r="265" spans="2:23" ht="14.25" outlineLevel="1">
      <c r="B265" s="117">
        <v>5195951900</v>
      </c>
      <c r="C265" s="21">
        <v>5195951900</v>
      </c>
      <c r="D265" s="27" t="s">
        <v>281</v>
      </c>
      <c r="E265" s="142">
        <v>36.194491999999997</v>
      </c>
      <c r="F265" s="142">
        <v>31.106276000000001</v>
      </c>
      <c r="G265" s="143">
        <f t="shared" si="122"/>
        <v>-0.14057984292195613</v>
      </c>
      <c r="H265" s="142">
        <v>40.175711999999997</v>
      </c>
      <c r="I265" s="143">
        <f t="shared" si="123"/>
        <v>0.29156289875393626</v>
      </c>
      <c r="J265" s="142">
        <v>48.286321000000001</v>
      </c>
      <c r="K265" s="143">
        <f t="shared" si="124"/>
        <v>0.20187841350515456</v>
      </c>
      <c r="L265" s="142">
        <v>53.103828689999986</v>
      </c>
      <c r="M265" s="143">
        <f t="shared" si="125"/>
        <v>9.9769615705449732E-2</v>
      </c>
      <c r="N265" s="142">
        <f>+IF(L265&lt;0,0,L265*(1+'[14]Ind. Crecimiento'!$C$8))</f>
        <v>58.414211558999988</v>
      </c>
      <c r="O265" s="143">
        <f t="shared" si="126"/>
        <v>0.10000000000000009</v>
      </c>
      <c r="P265" s="142">
        <f>+IF(N265&lt;0,0,N265*(1+'[14]Ind. Crecimiento'!$D$8))</f>
        <v>63.145762695278982</v>
      </c>
      <c r="Q265" s="143">
        <f t="shared" si="127"/>
        <v>8.0999999999999961E-2</v>
      </c>
      <c r="R265" s="142">
        <f>+IF(P265&lt;0,0,P265*(1+'[14]Ind. Crecimiento'!$E$8))</f>
        <v>67.56596608394851</v>
      </c>
      <c r="S265" s="143">
        <f t="shared" si="128"/>
        <v>7.0000000000000062E-2</v>
      </c>
      <c r="T265" s="142">
        <f>+IF(R265&lt;0,0,R265*(1+'[14]Ind. Crecimiento'!$F$8))</f>
        <v>72.295583709824911</v>
      </c>
      <c r="U265" s="143">
        <f t="shared" si="129"/>
        <v>7.0000000000000062E-2</v>
      </c>
      <c r="V265" s="142">
        <f>+IF(T265&lt;0,0,T265*(1+'[14]Ind. Crecimiento'!$G$8))</f>
        <v>77.356274569512664</v>
      </c>
      <c r="W265" s="143">
        <f t="shared" si="130"/>
        <v>7.0000000000000062E-2</v>
      </c>
    </row>
    <row r="266" spans="2:23" ht="14.25" outlineLevel="1">
      <c r="B266" s="117">
        <v>5195952000</v>
      </c>
      <c r="C266" s="21">
        <v>5195952000</v>
      </c>
      <c r="D266" s="27" t="s">
        <v>282</v>
      </c>
      <c r="E266" s="142">
        <v>91.561000000000007</v>
      </c>
      <c r="F266" s="142">
        <v>104.988</v>
      </c>
      <c r="G266" s="143">
        <f t="shared" si="122"/>
        <v>0.1466454057950437</v>
      </c>
      <c r="H266" s="142">
        <v>81.462000000000003</v>
      </c>
      <c r="I266" s="143">
        <f t="shared" si="123"/>
        <v>-0.22408275231455022</v>
      </c>
      <c r="J266" s="142">
        <v>68.866</v>
      </c>
      <c r="K266" s="143">
        <f t="shared" si="124"/>
        <v>-0.15462424197785474</v>
      </c>
      <c r="L266" s="142">
        <v>70.963981499999989</v>
      </c>
      <c r="M266" s="143">
        <f t="shared" si="125"/>
        <v>3.0464692300990137E-2</v>
      </c>
      <c r="N266" s="142">
        <f>+IF(L266&lt;0,0,L266*(1+'[14]Ind. Crecimiento'!$C$8))</f>
        <v>78.060379649999987</v>
      </c>
      <c r="O266" s="143">
        <f t="shared" si="126"/>
        <v>0.10000000000000009</v>
      </c>
      <c r="P266" s="142">
        <f>+IF(N266&lt;0,0,N266*(1+'[14]Ind. Crecimiento'!$D$8))</f>
        <v>84.38327040164998</v>
      </c>
      <c r="Q266" s="143">
        <f t="shared" si="127"/>
        <v>8.0999999999999961E-2</v>
      </c>
      <c r="R266" s="142">
        <f>+IF(P266&lt;0,0,P266*(1+'[14]Ind. Crecimiento'!$E$8))</f>
        <v>90.290099329765482</v>
      </c>
      <c r="S266" s="143">
        <f t="shared" si="128"/>
        <v>7.0000000000000062E-2</v>
      </c>
      <c r="T266" s="142">
        <f>+IF(R266&lt;0,0,R266*(1+'[14]Ind. Crecimiento'!$F$8))</f>
        <v>96.61040628284907</v>
      </c>
      <c r="U266" s="143">
        <f t="shared" si="129"/>
        <v>7.0000000000000062E-2</v>
      </c>
      <c r="V266" s="142">
        <f>+IF(T266&lt;0,0,T266*(1+'[14]Ind. Crecimiento'!$G$8))</f>
        <v>103.37313472264852</v>
      </c>
      <c r="W266" s="143">
        <f t="shared" si="130"/>
        <v>7.0000000000000062E-2</v>
      </c>
    </row>
    <row r="267" spans="2:23" ht="14.25" outlineLevel="1">
      <c r="B267" s="117">
        <v>5195952100</v>
      </c>
      <c r="C267" s="21">
        <v>5195952000</v>
      </c>
      <c r="D267" s="27" t="s">
        <v>283</v>
      </c>
      <c r="E267" s="142">
        <v>0</v>
      </c>
      <c r="F267" s="142">
        <v>0</v>
      </c>
      <c r="G267" s="143" t="str">
        <f t="shared" si="122"/>
        <v/>
      </c>
      <c r="H267" s="142">
        <v>2.5139999999999998</v>
      </c>
      <c r="I267" s="143" t="str">
        <f t="shared" si="123"/>
        <v/>
      </c>
      <c r="J267" s="142">
        <v>0</v>
      </c>
      <c r="K267" s="143" t="str">
        <f t="shared" si="124"/>
        <v/>
      </c>
      <c r="L267" s="142">
        <v>0</v>
      </c>
      <c r="M267" s="143" t="str">
        <f t="shared" si="125"/>
        <v/>
      </c>
      <c r="N267" s="142">
        <f>+IF(L267&lt;0,0,L267*(1+'[14]Ind. Crecimiento'!$C$8))</f>
        <v>0</v>
      </c>
      <c r="O267" s="143" t="str">
        <f t="shared" si="126"/>
        <v/>
      </c>
      <c r="P267" s="142">
        <f>+IF(N267&lt;0,0,N267*(1+'[14]Ind. Crecimiento'!$D$8))</f>
        <v>0</v>
      </c>
      <c r="Q267" s="143" t="str">
        <f t="shared" si="127"/>
        <v/>
      </c>
      <c r="R267" s="142">
        <f>+IF(P267&lt;0,0,P267*(1+'[14]Ind. Crecimiento'!$E$8))</f>
        <v>0</v>
      </c>
      <c r="S267" s="143" t="str">
        <f t="shared" si="128"/>
        <v/>
      </c>
      <c r="T267" s="142">
        <f>+IF(R267&lt;0,0,R267*(1+'[14]Ind. Crecimiento'!$F$8))</f>
        <v>0</v>
      </c>
      <c r="U267" s="143" t="str">
        <f t="shared" si="129"/>
        <v/>
      </c>
      <c r="V267" s="142">
        <f>+IF(T267&lt;0,0,T267*(1+'[14]Ind. Crecimiento'!$G$8))</f>
        <v>0</v>
      </c>
      <c r="W267" s="143" t="str">
        <f t="shared" si="130"/>
        <v/>
      </c>
    </row>
    <row r="268" spans="2:23" ht="14.25" outlineLevel="1">
      <c r="B268" s="117">
        <v>5195952800</v>
      </c>
      <c r="C268" s="21">
        <v>5195952800</v>
      </c>
      <c r="D268" s="27" t="s">
        <v>284</v>
      </c>
      <c r="E268" s="142">
        <v>10.087999999999999</v>
      </c>
      <c r="F268" s="142">
        <v>8.138897</v>
      </c>
      <c r="G268" s="143">
        <f t="shared" si="122"/>
        <v>-0.1932100515463917</v>
      </c>
      <c r="H268" s="142">
        <v>17.352</v>
      </c>
      <c r="I268" s="143">
        <f t="shared" si="123"/>
        <v>1.1319842234150403</v>
      </c>
      <c r="J268" s="142">
        <v>0.9279949999999999</v>
      </c>
      <c r="K268" s="143">
        <f t="shared" si="124"/>
        <v>-0.94651942139234668</v>
      </c>
      <c r="L268" s="142">
        <v>4.7996799999999995</v>
      </c>
      <c r="M268" s="143">
        <f t="shared" si="125"/>
        <v>4.1720968324182781</v>
      </c>
      <c r="N268" s="142">
        <f>+IF(L268&lt;0,0,L268*(1+'[14]Ind. Crecimiento'!$C$8))</f>
        <v>5.2796479999999999</v>
      </c>
      <c r="O268" s="143">
        <f t="shared" si="126"/>
        <v>0.10000000000000009</v>
      </c>
      <c r="P268" s="142">
        <f>+IF(N268&lt;0,0,N268*(1+'[14]Ind. Crecimiento'!$D$8))</f>
        <v>5.7072994879999994</v>
      </c>
      <c r="Q268" s="143">
        <f t="shared" si="127"/>
        <v>8.0999999999999961E-2</v>
      </c>
      <c r="R268" s="142">
        <f>+IF(P268&lt;0,0,P268*(1+'[14]Ind. Crecimiento'!$E$8))</f>
        <v>6.1068104521599995</v>
      </c>
      <c r="S268" s="143">
        <f t="shared" si="128"/>
        <v>7.0000000000000062E-2</v>
      </c>
      <c r="T268" s="142">
        <f>+IF(R268&lt;0,0,R268*(1+'[14]Ind. Crecimiento'!$F$8))</f>
        <v>6.5342871838112</v>
      </c>
      <c r="U268" s="143">
        <f t="shared" si="129"/>
        <v>7.0000000000000062E-2</v>
      </c>
      <c r="V268" s="142">
        <f>+IF(T268&lt;0,0,T268*(1+'[14]Ind. Crecimiento'!$G$8))</f>
        <v>6.9916872866779842</v>
      </c>
      <c r="W268" s="143">
        <f t="shared" si="130"/>
        <v>7.0000000000000062E-2</v>
      </c>
    </row>
    <row r="269" spans="2:23" ht="14.25" outlineLevel="1">
      <c r="B269" s="117">
        <v>5195953000</v>
      </c>
      <c r="C269" s="144">
        <v>5195953000</v>
      </c>
      <c r="D269" s="27" t="s">
        <v>285</v>
      </c>
      <c r="E269" s="142">
        <v>0.18822800000000001</v>
      </c>
      <c r="F269" s="142">
        <v>0.28068799999999999</v>
      </c>
      <c r="G269" s="143">
        <f t="shared" si="122"/>
        <v>0.49121278449539907</v>
      </c>
      <c r="H269" s="142">
        <v>0.48799999999999999</v>
      </c>
      <c r="I269" s="143">
        <f t="shared" si="123"/>
        <v>0.73858519067434303</v>
      </c>
      <c r="J269" s="142">
        <v>4.3999999999999997E-2</v>
      </c>
      <c r="K269" s="143">
        <f t="shared" si="124"/>
        <v>-0.9098360655737705</v>
      </c>
      <c r="L269" s="142">
        <v>4.1244219999999998E-2</v>
      </c>
      <c r="M269" s="143">
        <f t="shared" si="125"/>
        <v>-6.2631363636363679E-2</v>
      </c>
      <c r="N269" s="142">
        <f>+IF(L269&lt;0,0,L269*(1+'[14]Ind. Crecimiento'!$C$8))</f>
        <v>4.5368642000000001E-2</v>
      </c>
      <c r="O269" s="143">
        <f t="shared" si="126"/>
        <v>0.10000000000000009</v>
      </c>
      <c r="P269" s="142">
        <f>+IF(N269&lt;0,0,N269*(1+'[14]Ind. Crecimiento'!$D$8))</f>
        <v>4.9043502002E-2</v>
      </c>
      <c r="Q269" s="143">
        <f t="shared" si="127"/>
        <v>8.0999999999999961E-2</v>
      </c>
      <c r="R269" s="142">
        <f>+IF(P269&lt;0,0,P269*(1+'[14]Ind. Crecimiento'!$E$8))</f>
        <v>5.2476547142140006E-2</v>
      </c>
      <c r="S269" s="143">
        <f t="shared" si="128"/>
        <v>7.0000000000000062E-2</v>
      </c>
      <c r="T269" s="142">
        <f>+IF(R269&lt;0,0,R269*(1+'[14]Ind. Crecimiento'!$F$8))</f>
        <v>5.6149905442089809E-2</v>
      </c>
      <c r="U269" s="143">
        <f t="shared" si="129"/>
        <v>7.0000000000000062E-2</v>
      </c>
      <c r="V269" s="142">
        <f>+IF(T269&lt;0,0,T269*(1+'[14]Ind. Crecimiento'!$G$8))</f>
        <v>6.0080398823036098E-2</v>
      </c>
      <c r="W269" s="143">
        <f t="shared" si="130"/>
        <v>7.0000000000000062E-2</v>
      </c>
    </row>
    <row r="270" spans="2:23" ht="14.25" outlineLevel="1">
      <c r="B270" s="117"/>
      <c r="C270" s="144"/>
      <c r="D270" s="33" t="s">
        <v>607</v>
      </c>
      <c r="E270" s="142"/>
      <c r="F270" s="142"/>
      <c r="G270" s="143"/>
      <c r="H270" s="142"/>
      <c r="I270" s="143"/>
      <c r="J270" s="142"/>
      <c r="K270" s="143"/>
      <c r="L270" s="142"/>
      <c r="M270" s="143"/>
      <c r="N270" s="142">
        <v>179</v>
      </c>
      <c r="O270" s="143" t="str">
        <f t="shared" si="126"/>
        <v/>
      </c>
      <c r="P270" s="142">
        <v>845</v>
      </c>
      <c r="Q270" s="143">
        <f t="shared" si="127"/>
        <v>3.7206703910614527</v>
      </c>
      <c r="R270" s="142">
        <v>1752</v>
      </c>
      <c r="S270" s="143">
        <f t="shared" si="128"/>
        <v>1.0733727810650886</v>
      </c>
      <c r="T270" s="142">
        <v>2742</v>
      </c>
      <c r="U270" s="143">
        <f t="shared" si="129"/>
        <v>0.56506849315068486</v>
      </c>
      <c r="V270" s="142">
        <v>3784</v>
      </c>
      <c r="W270" s="143">
        <f t="shared" si="130"/>
        <v>0.38001458789204956</v>
      </c>
    </row>
    <row r="271" spans="2:23" ht="14.25" outlineLevel="1">
      <c r="B271" s="117"/>
      <c r="C271" s="144"/>
      <c r="D271" s="27" t="s">
        <v>641</v>
      </c>
      <c r="E271" s="142"/>
      <c r="F271" s="142"/>
      <c r="G271" s="143"/>
      <c r="H271" s="142"/>
      <c r="I271" s="143"/>
      <c r="J271" s="142"/>
      <c r="K271" s="143"/>
      <c r="L271" s="142"/>
      <c r="M271" s="143"/>
      <c r="N271" s="142">
        <v>0</v>
      </c>
      <c r="O271" s="143"/>
      <c r="P271" s="142">
        <v>1686</v>
      </c>
      <c r="Q271" s="143"/>
      <c r="R271" s="142">
        <v>4865</v>
      </c>
      <c r="S271" s="143"/>
      <c r="T271" s="142">
        <v>7640</v>
      </c>
      <c r="U271" s="143"/>
      <c r="V271" s="142">
        <v>10662</v>
      </c>
      <c r="W271" s="143"/>
    </row>
    <row r="272" spans="2:23" ht="14.25" outlineLevel="1">
      <c r="B272" s="117">
        <v>5195955000</v>
      </c>
      <c r="C272" s="144">
        <v>5195955000</v>
      </c>
      <c r="D272" s="27" t="s">
        <v>286</v>
      </c>
      <c r="E272" s="142">
        <v>285.06200000000001</v>
      </c>
      <c r="F272" s="142">
        <v>0</v>
      </c>
      <c r="G272" s="143" t="str">
        <f t="shared" si="122"/>
        <v/>
      </c>
      <c r="H272" s="142">
        <v>0.14799999999999999</v>
      </c>
      <c r="I272" s="143" t="str">
        <f t="shared" si="123"/>
        <v/>
      </c>
      <c r="J272" s="142">
        <v>0</v>
      </c>
      <c r="K272" s="143" t="str">
        <f t="shared" si="124"/>
        <v/>
      </c>
      <c r="L272" s="142">
        <v>0</v>
      </c>
      <c r="M272" s="143" t="str">
        <f t="shared" si="125"/>
        <v/>
      </c>
      <c r="N272" s="142">
        <f>+IF(L272&lt;0,0,L272*(1+'[14]Ind. Crecimiento'!$C$8))</f>
        <v>0</v>
      </c>
      <c r="O272" s="143" t="str">
        <f t="shared" si="126"/>
        <v/>
      </c>
      <c r="P272" s="142">
        <f>+IF(N272&lt;0,0,N272*(1+'[14]Ind. Crecimiento'!$D$8))</f>
        <v>0</v>
      </c>
      <c r="Q272" s="143" t="str">
        <f t="shared" si="127"/>
        <v/>
      </c>
      <c r="R272" s="142">
        <f>+IF(P272&lt;0,0,P272*(1+'[14]Ind. Crecimiento'!$E$8))</f>
        <v>0</v>
      </c>
      <c r="S272" s="143" t="str">
        <f t="shared" si="128"/>
        <v/>
      </c>
      <c r="T272" s="142">
        <f>+IF(R272&lt;0,0,R272*(1+'[14]Ind. Crecimiento'!$F$8))</f>
        <v>0</v>
      </c>
      <c r="U272" s="143" t="str">
        <f t="shared" si="129"/>
        <v/>
      </c>
      <c r="V272" s="142">
        <f>+IF(T272&lt;0,0,T272*(1+'[14]Ind. Crecimiento'!$G$8))</f>
        <v>0</v>
      </c>
      <c r="W272" s="143" t="str">
        <f t="shared" si="130"/>
        <v/>
      </c>
    </row>
    <row r="273" spans="2:24" ht="14.25">
      <c r="B273" s="117"/>
      <c r="C273" s="34"/>
      <c r="D273" s="35" t="s">
        <v>287</v>
      </c>
      <c r="E273" s="36">
        <f t="shared" ref="E273:V273" si="131">SUM(E160:E272)</f>
        <v>13405.946250000001</v>
      </c>
      <c r="F273" s="36">
        <f t="shared" si="131"/>
        <v>13630.081375999996</v>
      </c>
      <c r="G273" s="152">
        <f t="shared" si="122"/>
        <v>1.6719082847284739E-2</v>
      </c>
      <c r="H273" s="36">
        <f t="shared" si="131"/>
        <v>16572.00675</v>
      </c>
      <c r="I273" s="152">
        <f t="shared" si="123"/>
        <v>0.21584063167665168</v>
      </c>
      <c r="J273" s="36">
        <f t="shared" si="131"/>
        <v>19456.499927000004</v>
      </c>
      <c r="K273" s="152">
        <f t="shared" si="124"/>
        <v>0.17405817053508033</v>
      </c>
      <c r="L273" s="36">
        <f t="shared" si="131"/>
        <v>21984.444130308308</v>
      </c>
      <c r="M273" s="152">
        <f t="shared" si="125"/>
        <v>0.12992800415249639</v>
      </c>
      <c r="N273" s="36">
        <f t="shared" si="131"/>
        <v>24361.888543339141</v>
      </c>
      <c r="O273" s="152">
        <f t="shared" si="126"/>
        <v>0.10814212080774088</v>
      </c>
      <c r="P273" s="36">
        <f t="shared" si="131"/>
        <v>28672.702515349625</v>
      </c>
      <c r="Q273" s="152">
        <f t="shared" si="127"/>
        <v>0.17694908850525537</v>
      </c>
      <c r="R273" s="36">
        <f t="shared" si="131"/>
        <v>34588.621691424079</v>
      </c>
      <c r="S273" s="152">
        <f t="shared" si="128"/>
        <v>0.20632583108995139</v>
      </c>
      <c r="T273" s="36">
        <f t="shared" si="131"/>
        <v>40311.635209823769</v>
      </c>
      <c r="U273" s="152">
        <f t="shared" si="129"/>
        <v>0.16545942678654524</v>
      </c>
      <c r="V273" s="36">
        <f t="shared" si="131"/>
        <v>46470.709674511454</v>
      </c>
      <c r="W273" s="152">
        <f t="shared" si="130"/>
        <v>0.15278652013567395</v>
      </c>
      <c r="X273" s="295"/>
    </row>
    <row r="274" spans="2:24" ht="14.25" outlineLevel="1">
      <c r="B274" s="117"/>
      <c r="C274" s="34"/>
      <c r="D274" s="156" t="s">
        <v>288</v>
      </c>
      <c r="E274" s="157">
        <v>3045.0349929999998</v>
      </c>
      <c r="F274" s="157">
        <v>4179.5506729999997</v>
      </c>
      <c r="G274" s="143">
        <f t="shared" si="122"/>
        <v>0.37257886448203448</v>
      </c>
      <c r="H274" s="157">
        <v>5937.4312599999994</v>
      </c>
      <c r="I274" s="143">
        <f t="shared" si="123"/>
        <v>0.42059080617348443</v>
      </c>
      <c r="J274" s="157">
        <v>7820.1120000000001</v>
      </c>
      <c r="K274" s="143">
        <f t="shared" si="124"/>
        <v>0.31708674299666773</v>
      </c>
      <c r="L274" s="157">
        <v>8391.2960000000003</v>
      </c>
      <c r="M274" s="143">
        <f t="shared" si="125"/>
        <v>7.3040386122347201E-2</v>
      </c>
      <c r="N274" s="142">
        <f>+IF(L274&lt;0,0,L274*(1+'[14]Ind. Crecimiento'!$C$9))</f>
        <v>9062.5996800000012</v>
      </c>
      <c r="O274" s="143">
        <f t="shared" si="126"/>
        <v>8.0000000000000071E-2</v>
      </c>
      <c r="P274" s="142">
        <f>+IF(N274&lt;0,0,N274*(1+'[14]Ind. Crecimiento'!$D$9))</f>
        <v>9787.6076544000025</v>
      </c>
      <c r="Q274" s="143">
        <f t="shared" si="127"/>
        <v>8.0000000000000071E-2</v>
      </c>
      <c r="R274" s="142">
        <f>+IF(P274&lt;0,0,P274*(1+'[14]Ind. Crecimiento'!$E$9))</f>
        <v>10472.740190208004</v>
      </c>
      <c r="S274" s="143">
        <f t="shared" si="128"/>
        <v>7.0000000000000062E-2</v>
      </c>
      <c r="T274" s="142">
        <f>+IF(R274&lt;0,0,R274*(1+'[14]Ind. Crecimiento'!$F$9))</f>
        <v>11205.832003522564</v>
      </c>
      <c r="U274" s="143">
        <f t="shared" si="129"/>
        <v>7.0000000000000062E-2</v>
      </c>
      <c r="V274" s="142">
        <f>+IF(T274&lt;0,0,T274*(1+'[14]Ind. Crecimiento'!$G$9))</f>
        <v>11990.240243769145</v>
      </c>
      <c r="W274" s="143">
        <f t="shared" si="130"/>
        <v>7.0000000000000062E-2</v>
      </c>
    </row>
    <row r="275" spans="2:24" ht="14.25">
      <c r="B275" s="117"/>
      <c r="C275" s="34"/>
      <c r="D275" s="38" t="s">
        <v>288</v>
      </c>
      <c r="E275" s="39">
        <f t="shared" ref="E275:V275" si="132">+E274</f>
        <v>3045.0349929999998</v>
      </c>
      <c r="F275" s="39">
        <f t="shared" si="132"/>
        <v>4179.5506729999997</v>
      </c>
      <c r="G275" s="141">
        <f t="shared" si="122"/>
        <v>0.37257886448203448</v>
      </c>
      <c r="H275" s="39">
        <f t="shared" si="132"/>
        <v>5937.4312599999994</v>
      </c>
      <c r="I275" s="141">
        <f t="shared" si="123"/>
        <v>0.42059080617348443</v>
      </c>
      <c r="J275" s="39">
        <f t="shared" si="132"/>
        <v>7820.1120000000001</v>
      </c>
      <c r="K275" s="141">
        <f t="shared" si="124"/>
        <v>0.31708674299666773</v>
      </c>
      <c r="L275" s="39">
        <f t="shared" si="132"/>
        <v>8391.2960000000003</v>
      </c>
      <c r="M275" s="141">
        <f t="shared" si="125"/>
        <v>7.3040386122347201E-2</v>
      </c>
      <c r="N275" s="39">
        <f t="shared" si="132"/>
        <v>9062.5996800000012</v>
      </c>
      <c r="O275" s="141">
        <f t="shared" si="126"/>
        <v>8.0000000000000071E-2</v>
      </c>
      <c r="P275" s="39">
        <f t="shared" si="132"/>
        <v>9787.6076544000025</v>
      </c>
      <c r="Q275" s="141">
        <f t="shared" si="127"/>
        <v>8.0000000000000071E-2</v>
      </c>
      <c r="R275" s="39">
        <f t="shared" si="132"/>
        <v>10472.740190208004</v>
      </c>
      <c r="S275" s="141">
        <f t="shared" si="128"/>
        <v>7.0000000000000062E-2</v>
      </c>
      <c r="T275" s="39">
        <f t="shared" si="132"/>
        <v>11205.832003522564</v>
      </c>
      <c r="U275" s="141">
        <f t="shared" si="129"/>
        <v>7.0000000000000062E-2</v>
      </c>
      <c r="V275" s="39">
        <f t="shared" si="132"/>
        <v>11990.240243769145</v>
      </c>
      <c r="W275" s="141">
        <f t="shared" si="130"/>
        <v>7.0000000000000062E-2</v>
      </c>
      <c r="X275" s="295"/>
    </row>
    <row r="276" spans="2:24" s="32" customFormat="1" ht="14.25">
      <c r="B276" s="117"/>
      <c r="C276" s="29"/>
      <c r="D276" s="30" t="s">
        <v>289</v>
      </c>
      <c r="E276" s="31">
        <f t="shared" ref="E276:V276" si="133">+E140+E153+E157+E273+E275</f>
        <v>78547.652259999988</v>
      </c>
      <c r="F276" s="31">
        <f t="shared" si="133"/>
        <v>91489.729992000008</v>
      </c>
      <c r="G276" s="158">
        <f t="shared" si="122"/>
        <v>0.16476721276354067</v>
      </c>
      <c r="H276" s="31">
        <f t="shared" si="133"/>
        <v>111329.47052199997</v>
      </c>
      <c r="I276" s="158">
        <f t="shared" si="123"/>
        <v>0.21685210494920892</v>
      </c>
      <c r="J276" s="31">
        <f t="shared" si="133"/>
        <v>126970.53921400002</v>
      </c>
      <c r="K276" s="158">
        <f t="shared" si="124"/>
        <v>0.1404935154965028</v>
      </c>
      <c r="L276" s="31">
        <f t="shared" si="133"/>
        <v>142788.72648918745</v>
      </c>
      <c r="M276" s="158">
        <f t="shared" si="125"/>
        <v>0.12458155547821192</v>
      </c>
      <c r="N276" s="31">
        <f t="shared" si="133"/>
        <v>161005.903081695</v>
      </c>
      <c r="O276" s="158">
        <f t="shared" si="126"/>
        <v>0.12758133670928862</v>
      </c>
      <c r="P276" s="31">
        <f t="shared" si="133"/>
        <v>180846.66870592412</v>
      </c>
      <c r="Q276" s="158">
        <f t="shared" si="127"/>
        <v>0.1232300508519979</v>
      </c>
      <c r="R276" s="31">
        <f t="shared" si="133"/>
        <v>202762.46910070052</v>
      </c>
      <c r="S276" s="158">
        <f t="shared" si="128"/>
        <v>0.12118442961431497</v>
      </c>
      <c r="T276" s="31">
        <f t="shared" si="133"/>
        <v>225138.8324738449</v>
      </c>
      <c r="U276" s="158">
        <f t="shared" si="129"/>
        <v>0.11035752066143623</v>
      </c>
      <c r="V276" s="31">
        <f t="shared" si="133"/>
        <v>249098.79257331649</v>
      </c>
      <c r="W276" s="158">
        <f t="shared" si="130"/>
        <v>0.10642304499937882</v>
      </c>
    </row>
    <row r="277" spans="2:24" s="32" customFormat="1" ht="14.25" hidden="1">
      <c r="B277" s="117"/>
      <c r="C277" s="40"/>
      <c r="D277" s="41"/>
      <c r="E277" s="39"/>
      <c r="F277" s="39"/>
      <c r="G277" s="141" t="str">
        <f t="shared" si="122"/>
        <v/>
      </c>
      <c r="H277" s="39"/>
      <c r="I277" s="141" t="str">
        <f t="shared" si="123"/>
        <v/>
      </c>
      <c r="J277" s="39"/>
      <c r="K277" s="141" t="str">
        <f t="shared" si="124"/>
        <v/>
      </c>
      <c r="L277" s="39"/>
      <c r="M277" s="141" t="str">
        <f t="shared" si="125"/>
        <v/>
      </c>
      <c r="N277" s="39"/>
      <c r="O277" s="141" t="str">
        <f t="shared" si="126"/>
        <v/>
      </c>
      <c r="P277" s="39"/>
      <c r="Q277" s="141" t="str">
        <f t="shared" si="127"/>
        <v/>
      </c>
      <c r="R277" s="39"/>
      <c r="S277" s="141" t="str">
        <f t="shared" si="128"/>
        <v/>
      </c>
      <c r="T277" s="39"/>
      <c r="U277" s="141" t="str">
        <f t="shared" si="129"/>
        <v/>
      </c>
      <c r="V277" s="39"/>
      <c r="W277" s="141" t="str">
        <f t="shared" si="130"/>
        <v/>
      </c>
    </row>
    <row r="278" spans="2:24" ht="14.25" hidden="1">
      <c r="B278" s="117"/>
      <c r="C278" s="21">
        <v>42</v>
      </c>
      <c r="D278" s="33" t="s">
        <v>291</v>
      </c>
      <c r="E278" s="39"/>
      <c r="F278" s="39"/>
      <c r="G278" s="141" t="str">
        <f t="shared" si="122"/>
        <v/>
      </c>
      <c r="H278" s="39"/>
      <c r="I278" s="141" t="str">
        <f t="shared" si="123"/>
        <v/>
      </c>
      <c r="J278" s="39"/>
      <c r="K278" s="141" t="str">
        <f t="shared" si="124"/>
        <v/>
      </c>
      <c r="L278" s="39"/>
      <c r="M278" s="141" t="str">
        <f t="shared" si="125"/>
        <v/>
      </c>
      <c r="N278" s="39"/>
      <c r="O278" s="141" t="str">
        <f t="shared" si="126"/>
        <v/>
      </c>
      <c r="P278" s="39"/>
      <c r="Q278" s="141" t="str">
        <f t="shared" si="127"/>
        <v/>
      </c>
      <c r="R278" s="39"/>
      <c r="S278" s="141" t="str">
        <f t="shared" si="128"/>
        <v/>
      </c>
      <c r="T278" s="39"/>
      <c r="U278" s="141" t="str">
        <f t="shared" si="129"/>
        <v/>
      </c>
      <c r="V278" s="39"/>
      <c r="W278" s="141" t="str">
        <f t="shared" si="130"/>
        <v/>
      </c>
    </row>
    <row r="279" spans="2:24" ht="14.25" hidden="1">
      <c r="B279" s="117"/>
      <c r="C279" s="21">
        <v>5</v>
      </c>
      <c r="D279" s="33" t="s">
        <v>350</v>
      </c>
      <c r="E279" s="39">
        <v>0</v>
      </c>
      <c r="F279" s="39">
        <v>0</v>
      </c>
      <c r="G279" s="141" t="str">
        <f t="shared" si="122"/>
        <v/>
      </c>
      <c r="H279" s="39">
        <v>0</v>
      </c>
      <c r="I279" s="141" t="str">
        <f t="shared" si="123"/>
        <v/>
      </c>
      <c r="J279" s="39"/>
      <c r="K279" s="141" t="str">
        <f t="shared" si="124"/>
        <v/>
      </c>
      <c r="L279" s="39">
        <v>0</v>
      </c>
      <c r="M279" s="141" t="str">
        <f t="shared" si="125"/>
        <v/>
      </c>
      <c r="N279" s="39">
        <v>0</v>
      </c>
      <c r="O279" s="141" t="str">
        <f t="shared" si="126"/>
        <v/>
      </c>
      <c r="P279" s="39">
        <v>0</v>
      </c>
      <c r="Q279" s="141" t="str">
        <f t="shared" si="127"/>
        <v/>
      </c>
      <c r="R279" s="39">
        <v>0</v>
      </c>
      <c r="S279" s="141" t="str">
        <f t="shared" si="128"/>
        <v/>
      </c>
      <c r="T279" s="39">
        <v>0</v>
      </c>
      <c r="U279" s="141" t="str">
        <f t="shared" si="129"/>
        <v/>
      </c>
      <c r="V279" s="39">
        <v>0</v>
      </c>
      <c r="W279" s="141" t="str">
        <f t="shared" si="130"/>
        <v/>
      </c>
    </row>
    <row r="280" spans="2:24" ht="14.25" hidden="1">
      <c r="B280" s="117"/>
      <c r="C280" s="21">
        <v>53</v>
      </c>
      <c r="D280" s="33" t="s">
        <v>351</v>
      </c>
      <c r="E280" s="39">
        <v>0</v>
      </c>
      <c r="F280" s="39">
        <v>0</v>
      </c>
      <c r="G280" s="141" t="str">
        <f t="shared" si="122"/>
        <v/>
      </c>
      <c r="H280" s="39">
        <v>0</v>
      </c>
      <c r="I280" s="141" t="str">
        <f t="shared" si="123"/>
        <v/>
      </c>
      <c r="J280" s="39"/>
      <c r="K280" s="141" t="str">
        <f t="shared" si="124"/>
        <v/>
      </c>
      <c r="L280" s="39">
        <v>0</v>
      </c>
      <c r="M280" s="141" t="str">
        <f t="shared" si="125"/>
        <v/>
      </c>
      <c r="N280" s="39">
        <v>0</v>
      </c>
      <c r="O280" s="141" t="str">
        <f t="shared" si="126"/>
        <v/>
      </c>
      <c r="P280" s="39">
        <v>0</v>
      </c>
      <c r="Q280" s="141" t="str">
        <f t="shared" si="127"/>
        <v/>
      </c>
      <c r="R280" s="39">
        <v>0</v>
      </c>
      <c r="S280" s="141" t="str">
        <f t="shared" si="128"/>
        <v/>
      </c>
      <c r="T280" s="39">
        <v>0</v>
      </c>
      <c r="U280" s="141" t="str">
        <f t="shared" si="129"/>
        <v/>
      </c>
      <c r="V280" s="39">
        <v>0</v>
      </c>
      <c r="W280" s="141" t="str">
        <f t="shared" si="130"/>
        <v/>
      </c>
    </row>
    <row r="281" spans="2:24" ht="14.25" hidden="1">
      <c r="B281" s="117"/>
      <c r="C281" s="21"/>
      <c r="D281" s="33" t="s">
        <v>608</v>
      </c>
      <c r="E281" s="154"/>
      <c r="F281" s="154"/>
      <c r="G281" s="155"/>
      <c r="H281" s="154"/>
      <c r="I281" s="155"/>
      <c r="J281" s="154"/>
      <c r="K281" s="155"/>
      <c r="L281" s="154"/>
      <c r="M281" s="155"/>
      <c r="N281" s="154"/>
      <c r="O281" s="155"/>
      <c r="P281" s="154"/>
      <c r="Q281" s="155"/>
      <c r="R281" s="154"/>
      <c r="S281" s="155"/>
      <c r="T281" s="154"/>
      <c r="U281" s="155"/>
      <c r="V281" s="154"/>
      <c r="W281" s="155"/>
    </row>
    <row r="282" spans="2:24" ht="14.25" outlineLevel="1">
      <c r="B282" s="117"/>
      <c r="C282" s="21"/>
      <c r="D282" s="42" t="s">
        <v>351</v>
      </c>
      <c r="E282" s="154"/>
      <c r="F282" s="154"/>
      <c r="G282" s="155"/>
      <c r="H282" s="154"/>
      <c r="I282" s="155"/>
      <c r="J282" s="154"/>
      <c r="K282" s="155"/>
      <c r="L282" s="154"/>
      <c r="M282" s="155"/>
      <c r="N282" s="154"/>
      <c r="O282" s="155"/>
      <c r="P282" s="154"/>
      <c r="Q282" s="155"/>
      <c r="R282" s="154"/>
      <c r="S282" s="155"/>
      <c r="T282" s="154"/>
      <c r="U282" s="155"/>
      <c r="V282" s="154"/>
      <c r="W282" s="155"/>
    </row>
    <row r="283" spans="2:24" ht="14.25" outlineLevel="1">
      <c r="B283" s="117">
        <v>5305050100</v>
      </c>
      <c r="C283" s="21">
        <v>5305050100</v>
      </c>
      <c r="D283" s="43" t="s">
        <v>352</v>
      </c>
      <c r="E283" s="142">
        <v>5.8179999999999996</v>
      </c>
      <c r="F283" s="142">
        <v>6.93</v>
      </c>
      <c r="G283" s="143">
        <f t="shared" ref="G283:G292" si="134">IF(F283=0,"",IF(E283=0,"",(F283/E283)-1))</f>
        <v>0.19113097284290137</v>
      </c>
      <c r="H283" s="142">
        <v>0</v>
      </c>
      <c r="I283" s="143" t="str">
        <f t="shared" ref="I283:I292" si="135">IF(H283=0,"",IF(F283=0,"",(H283/F283)-1))</f>
        <v/>
      </c>
      <c r="J283" s="142">
        <v>3.5999999999999997E-2</v>
      </c>
      <c r="K283" s="143" t="str">
        <f t="shared" ref="K283:K292" si="136">IF(J283=0,"",IF(H283=0,"",(J283/H283)-1))</f>
        <v/>
      </c>
      <c r="L283" s="142">
        <v>3.8520000000000006E-2</v>
      </c>
      <c r="M283" s="143">
        <f t="shared" ref="M283:M292" si="137">IF(L283=0,"",IF(J283=0,"",(L283/J283)-1))</f>
        <v>7.0000000000000284E-2</v>
      </c>
      <c r="N283" s="142">
        <f>+IF(L283&lt;0,0,L283*(1+'[14]Ind. Crecimiento'!$C$10))</f>
        <v>4.1216400000000007E-2</v>
      </c>
      <c r="O283" s="143">
        <f t="shared" ref="O283:O292" si="138">IF(N283=0,"",IF(L283=0,"",(N283/L283)-1))</f>
        <v>7.0000000000000062E-2</v>
      </c>
      <c r="P283" s="142">
        <f>+IF(N283&lt;0,0,N283*(1+'[14]Ind. Crecimiento'!$D$10))</f>
        <v>4.4101548000000011E-2</v>
      </c>
      <c r="Q283" s="143">
        <f t="shared" ref="Q283:Q292" si="139">IF(P283=0,"",IF(N283=0,"",(P283/N283)-1))</f>
        <v>7.0000000000000062E-2</v>
      </c>
      <c r="R283" s="142">
        <f>+IF(P283&lt;0,0,P283*(1+'[14]Ind. Crecimiento'!$E$10))</f>
        <v>4.7188656360000011E-2</v>
      </c>
      <c r="S283" s="143">
        <f t="shared" ref="S283:S292" si="140">IF(R283=0,"",IF(P283=0,"",(R283/P283)-1))</f>
        <v>7.0000000000000062E-2</v>
      </c>
      <c r="T283" s="142">
        <f>+IF(R283&lt;0,0,R283*(1+'[14]Ind. Crecimiento'!$F$10))</f>
        <v>5.0491862305200017E-2</v>
      </c>
      <c r="U283" s="143">
        <f t="shared" ref="U283:U292" si="141">IF(T283=0,"",IF(R283=0,"",(T283/R283)-1))</f>
        <v>7.0000000000000062E-2</v>
      </c>
      <c r="V283" s="142">
        <f>+IF(T283&lt;0,0,T283*(1+'[14]Ind. Crecimiento'!$G$10))</f>
        <v>5.4026292666564023E-2</v>
      </c>
      <c r="W283" s="143">
        <f t="shared" ref="W283:W292" si="142">IF(V283=0,"",IF(T283=0,"",(V283/T283)-1))</f>
        <v>7.0000000000000062E-2</v>
      </c>
    </row>
    <row r="284" spans="2:24" ht="14.25" outlineLevel="1">
      <c r="B284" s="117">
        <v>5305050200</v>
      </c>
      <c r="C284" s="21">
        <v>5305050200</v>
      </c>
      <c r="D284" s="43" t="s">
        <v>353</v>
      </c>
      <c r="E284" s="142">
        <v>0.16600000000000001</v>
      </c>
      <c r="F284" s="142">
        <v>0.34100000000000003</v>
      </c>
      <c r="G284" s="143">
        <f t="shared" si="134"/>
        <v>1.0542168674698797</v>
      </c>
      <c r="H284" s="142">
        <v>1.6E-2</v>
      </c>
      <c r="I284" s="143">
        <f t="shared" si="135"/>
        <v>-0.95307917888563054</v>
      </c>
      <c r="J284" s="142">
        <v>4.0000000000000001E-3</v>
      </c>
      <c r="K284" s="143">
        <f t="shared" si="136"/>
        <v>-0.75</v>
      </c>
      <c r="L284" s="142">
        <v>4.28E-3</v>
      </c>
      <c r="M284" s="143">
        <f t="shared" si="137"/>
        <v>7.0000000000000062E-2</v>
      </c>
      <c r="N284" s="142">
        <f>+IF(L284&lt;0,0,L284*(1+'[14]Ind. Crecimiento'!$C$10))</f>
        <v>4.5796000000000005E-3</v>
      </c>
      <c r="O284" s="143">
        <f t="shared" si="138"/>
        <v>7.0000000000000062E-2</v>
      </c>
      <c r="P284" s="142">
        <f>+IF(N284&lt;0,0,N284*(1+'[14]Ind. Crecimiento'!$D$10))</f>
        <v>4.9001720000000012E-3</v>
      </c>
      <c r="Q284" s="143">
        <f t="shared" si="139"/>
        <v>7.0000000000000062E-2</v>
      </c>
      <c r="R284" s="142">
        <f>+IF(P284&lt;0,0,P284*(1+'[14]Ind. Crecimiento'!$E$10))</f>
        <v>5.2431840400000013E-3</v>
      </c>
      <c r="S284" s="143">
        <f t="shared" si="140"/>
        <v>7.0000000000000062E-2</v>
      </c>
      <c r="T284" s="142">
        <f>+IF(R284&lt;0,0,R284*(1+'[14]Ind. Crecimiento'!$F$10))</f>
        <v>5.6102069228000017E-3</v>
      </c>
      <c r="U284" s="143">
        <f t="shared" si="141"/>
        <v>7.0000000000000062E-2</v>
      </c>
      <c r="V284" s="142">
        <f>+IF(T284&lt;0,0,T284*(1+'[14]Ind. Crecimiento'!$G$10))</f>
        <v>6.002921407396002E-3</v>
      </c>
      <c r="W284" s="143">
        <f t="shared" si="142"/>
        <v>7.0000000000000062E-2</v>
      </c>
    </row>
    <row r="285" spans="2:24" ht="14.25" outlineLevel="1">
      <c r="B285" s="117">
        <v>5305050300</v>
      </c>
      <c r="C285" s="21">
        <v>5305050300</v>
      </c>
      <c r="D285" s="43" t="s">
        <v>609</v>
      </c>
      <c r="E285" s="142">
        <v>0.39800000000000002</v>
      </c>
      <c r="F285" s="142">
        <v>0.45500000000000002</v>
      </c>
      <c r="G285" s="143">
        <f t="shared" si="134"/>
        <v>0.14321608040200995</v>
      </c>
      <c r="H285" s="142">
        <v>0.114</v>
      </c>
      <c r="I285" s="143">
        <f t="shared" si="135"/>
        <v>-0.74945054945054945</v>
      </c>
      <c r="J285" s="142">
        <v>2.379</v>
      </c>
      <c r="K285" s="143">
        <f t="shared" si="136"/>
        <v>19.868421052631579</v>
      </c>
      <c r="L285" s="142">
        <v>2.5455300000000003</v>
      </c>
      <c r="M285" s="143">
        <f t="shared" si="137"/>
        <v>7.0000000000000062E-2</v>
      </c>
      <c r="N285" s="142">
        <f>+IF(L285&lt;0,0,L285*(1+'[14]Ind. Crecimiento'!$C$10))</f>
        <v>2.7237171000000004</v>
      </c>
      <c r="O285" s="143">
        <f t="shared" si="138"/>
        <v>7.0000000000000062E-2</v>
      </c>
      <c r="P285" s="142">
        <f>+IF(N285&lt;0,0,N285*(1+'[14]Ind. Crecimiento'!$D$10))</f>
        <v>2.9143772970000006</v>
      </c>
      <c r="Q285" s="143">
        <f t="shared" si="139"/>
        <v>7.0000000000000062E-2</v>
      </c>
      <c r="R285" s="142">
        <f>+IF(P285&lt;0,0,P285*(1+'[14]Ind. Crecimiento'!$E$10))</f>
        <v>3.118383707790001</v>
      </c>
      <c r="S285" s="143">
        <f t="shared" si="140"/>
        <v>7.0000000000000062E-2</v>
      </c>
      <c r="T285" s="142">
        <f>+IF(R285&lt;0,0,R285*(1+'[14]Ind. Crecimiento'!$F$10))</f>
        <v>3.3366705673353012</v>
      </c>
      <c r="U285" s="143">
        <f t="shared" si="141"/>
        <v>7.0000000000000062E-2</v>
      </c>
      <c r="V285" s="142">
        <f>+IF(T285&lt;0,0,T285*(1+'[14]Ind. Crecimiento'!$G$10))</f>
        <v>3.5702375070487724</v>
      </c>
      <c r="W285" s="143">
        <f t="shared" si="142"/>
        <v>7.0000000000000062E-2</v>
      </c>
    </row>
    <row r="286" spans="2:24" ht="14.25" outlineLevel="1">
      <c r="B286" s="117">
        <v>5305050000</v>
      </c>
      <c r="C286" s="144">
        <v>5305050000</v>
      </c>
      <c r="D286" s="43" t="s">
        <v>354</v>
      </c>
      <c r="E286" s="142">
        <v>9.9000000000000005E-2</v>
      </c>
      <c r="F286" s="142">
        <v>0.59199999999999997</v>
      </c>
      <c r="G286" s="143">
        <f t="shared" si="134"/>
        <v>4.9797979797979792</v>
      </c>
      <c r="H286" s="142">
        <v>3.9780000000000002</v>
      </c>
      <c r="I286" s="143">
        <f t="shared" si="135"/>
        <v>5.7195945945945956</v>
      </c>
      <c r="J286" s="142">
        <v>74.176000000000002</v>
      </c>
      <c r="K286" s="143">
        <f t="shared" si="136"/>
        <v>17.646556058320765</v>
      </c>
      <c r="L286" s="142">
        <v>79.396518780000008</v>
      </c>
      <c r="M286" s="143">
        <f t="shared" si="137"/>
        <v>7.0380160429249328E-2</v>
      </c>
      <c r="N286" s="142">
        <f>+IF(L286&lt;0,0,L286*(1+'[14]Ind. Crecimiento'!$C$10))</f>
        <v>84.954275094600007</v>
      </c>
      <c r="O286" s="143">
        <f t="shared" si="138"/>
        <v>7.0000000000000062E-2</v>
      </c>
      <c r="P286" s="142">
        <f>+IF(N286&lt;0,0,N286*(1+'[14]Ind. Crecimiento'!$D$10))</f>
        <v>90.901074351222007</v>
      </c>
      <c r="Q286" s="143">
        <f t="shared" si="139"/>
        <v>7.0000000000000062E-2</v>
      </c>
      <c r="R286" s="142">
        <f>+IF(P286&lt;0,0,P286*(1+'[14]Ind. Crecimiento'!$E$10))</f>
        <v>97.264149555807549</v>
      </c>
      <c r="S286" s="143">
        <f t="shared" si="140"/>
        <v>7.0000000000000062E-2</v>
      </c>
      <c r="T286" s="142">
        <f>+IF(R286&lt;0,0,R286*(1+'[14]Ind. Crecimiento'!$F$10))</f>
        <v>104.07264002471409</v>
      </c>
      <c r="U286" s="143">
        <f t="shared" si="141"/>
        <v>7.0000000000000062E-2</v>
      </c>
      <c r="V286" s="142">
        <f>+IF(T286&lt;0,0,T286*(1+'[14]Ind. Crecimiento'!$G$10))</f>
        <v>111.35772482644408</v>
      </c>
      <c r="W286" s="143">
        <f t="shared" si="142"/>
        <v>7.0000000000000062E-2</v>
      </c>
    </row>
    <row r="287" spans="2:24" ht="14.25" outlineLevel="1">
      <c r="B287" s="117"/>
      <c r="C287" s="21"/>
      <c r="D287" s="43" t="s">
        <v>610</v>
      </c>
      <c r="E287" s="142">
        <v>0</v>
      </c>
      <c r="F287" s="142">
        <v>0.77800000000000002</v>
      </c>
      <c r="G287" s="143" t="str">
        <f t="shared" si="134"/>
        <v/>
      </c>
      <c r="H287" s="142">
        <v>0</v>
      </c>
      <c r="I287" s="143" t="str">
        <f t="shared" si="135"/>
        <v/>
      </c>
      <c r="J287" s="142">
        <v>0</v>
      </c>
      <c r="K287" s="143" t="str">
        <f t="shared" si="136"/>
        <v/>
      </c>
      <c r="L287" s="142">
        <v>0</v>
      </c>
      <c r="M287" s="143" t="str">
        <f t="shared" si="137"/>
        <v/>
      </c>
      <c r="N287" s="142">
        <f>+IF(L287&lt;0,0,L287*(1+'[14]Ind. Crecimiento'!$C$10))</f>
        <v>0</v>
      </c>
      <c r="O287" s="143" t="str">
        <f t="shared" si="138"/>
        <v/>
      </c>
      <c r="P287" s="142">
        <f>+IF(N287&lt;0,0,N287*(1+'[14]Ind. Crecimiento'!$D$10))</f>
        <v>0</v>
      </c>
      <c r="Q287" s="143" t="str">
        <f t="shared" si="139"/>
        <v/>
      </c>
      <c r="R287" s="142">
        <f>+IF(P287&lt;0,0,P287*(1+'[14]Ind. Crecimiento'!$E$10))</f>
        <v>0</v>
      </c>
      <c r="S287" s="143" t="str">
        <f t="shared" si="140"/>
        <v/>
      </c>
      <c r="T287" s="142">
        <f>+IF(R287&lt;0,0,R287*(1+'[14]Ind. Crecimiento'!$F$10))</f>
        <v>0</v>
      </c>
      <c r="U287" s="143" t="str">
        <f t="shared" si="141"/>
        <v/>
      </c>
      <c r="V287" s="142">
        <f>+IF(T287&lt;0,0,T287*(1+'[14]Ind. Crecimiento'!$G$10))</f>
        <v>0</v>
      </c>
      <c r="W287" s="143" t="str">
        <f t="shared" si="142"/>
        <v/>
      </c>
    </row>
    <row r="288" spans="2:24" ht="14.25" outlineLevel="1">
      <c r="B288" s="117">
        <v>5305150000</v>
      </c>
      <c r="C288" s="21">
        <v>5305150000</v>
      </c>
      <c r="D288" s="43" t="s">
        <v>257</v>
      </c>
      <c r="E288" s="142">
        <v>234.75200000000001</v>
      </c>
      <c r="F288" s="142">
        <v>258.61054899999999</v>
      </c>
      <c r="G288" s="143">
        <f t="shared" si="134"/>
        <v>0.10163299567202833</v>
      </c>
      <c r="H288" s="142">
        <v>251.23274699999999</v>
      </c>
      <c r="I288" s="143">
        <f t="shared" si="135"/>
        <v>-2.8528619689059953E-2</v>
      </c>
      <c r="J288" s="142">
        <v>202.11099999999999</v>
      </c>
      <c r="K288" s="143">
        <f t="shared" si="136"/>
        <v>-0.19552286708866018</v>
      </c>
      <c r="L288" s="142">
        <v>216.25900861000002</v>
      </c>
      <c r="M288" s="143">
        <f t="shared" si="137"/>
        <v>7.0001180588884493E-2</v>
      </c>
      <c r="N288" s="142">
        <f>+IF(L288&lt;0,0,L288*(1+'[14]Ind. Crecimiento'!$C$10))</f>
        <v>231.39713921270004</v>
      </c>
      <c r="O288" s="143">
        <f t="shared" si="138"/>
        <v>7.0000000000000062E-2</v>
      </c>
      <c r="P288" s="142">
        <f>+IF(N288&lt;0,0,N288*(1+'[14]Ind. Crecimiento'!$D$10))</f>
        <v>247.59493895758905</v>
      </c>
      <c r="Q288" s="143">
        <f t="shared" si="139"/>
        <v>7.0000000000000062E-2</v>
      </c>
      <c r="R288" s="142">
        <f>+IF(P288&lt;0,0,P288*(1+'[14]Ind. Crecimiento'!$E$10))</f>
        <v>264.92658468462031</v>
      </c>
      <c r="S288" s="143">
        <f t="shared" si="140"/>
        <v>7.0000000000000062E-2</v>
      </c>
      <c r="T288" s="142">
        <f>+IF(R288&lt;0,0,R288*(1+'[14]Ind. Crecimiento'!$F$10))</f>
        <v>283.47144561254373</v>
      </c>
      <c r="U288" s="143">
        <f t="shared" si="141"/>
        <v>7.0000000000000062E-2</v>
      </c>
      <c r="V288" s="142">
        <f>+IF(T288&lt;0,0,T288*(1+'[14]Ind. Crecimiento'!$G$10))</f>
        <v>303.31444680542182</v>
      </c>
      <c r="W288" s="143">
        <f t="shared" si="142"/>
        <v>7.0000000000000062E-2</v>
      </c>
    </row>
    <row r="289" spans="2:23" ht="14.25" outlineLevel="1">
      <c r="B289" s="117">
        <v>5305200200</v>
      </c>
      <c r="C289" s="21">
        <v>5305200200</v>
      </c>
      <c r="D289" s="43" t="s">
        <v>355</v>
      </c>
      <c r="E289" s="142">
        <v>132.13300000000001</v>
      </c>
      <c r="F289" s="142">
        <v>57.518999999999998</v>
      </c>
      <c r="G289" s="143">
        <f t="shared" si="134"/>
        <v>-0.56468860920436237</v>
      </c>
      <c r="H289" s="142">
        <v>54.911999999999999</v>
      </c>
      <c r="I289" s="143">
        <f t="shared" si="135"/>
        <v>-4.5324153757888674E-2</v>
      </c>
      <c r="J289" s="142">
        <v>341.85899999999998</v>
      </c>
      <c r="K289" s="143">
        <f t="shared" si="136"/>
        <v>5.2255791083916083</v>
      </c>
      <c r="L289" s="142">
        <v>2500</v>
      </c>
      <c r="M289" s="143">
        <f t="shared" si="137"/>
        <v>6.3129565113102188</v>
      </c>
      <c r="N289" s="142">
        <f>+'[14]AMORTIZACION FINDETER'!F18+'[14]AMORTIZACION FINDETER'!F19+'[14]AMORTIZACION FINDETER (2)'!F16+'[14]AMORTIZACION FINDETER (2)'!F17+'[14]AMORTIZACION FINDETER (3)'!F16+'[14]AMORTIZACION FINDETER (3)'!F17</f>
        <v>2327.8120390988197</v>
      </c>
      <c r="O289" s="143">
        <f t="shared" si="138"/>
        <v>-6.887518436047213E-2</v>
      </c>
      <c r="P289" s="142">
        <f>+'[14]AMORTIZACION FINDETER'!F20+'[14]AMORTIZACION FINDETER'!F21+'[14]AMORTIZACION FINDETER (2)'!F18+'[14]AMORTIZACION FINDETER (2)'!F19+'[14]AMORTIZACION FINDETER (3)'!F18+'[14]AMORTIZACION FINDETER (3)'!F19</f>
        <v>2287.5557725725348</v>
      </c>
      <c r="Q289" s="143">
        <f t="shared" si="139"/>
        <v>-1.7293606979483456E-2</v>
      </c>
      <c r="R289" s="142">
        <f>+'[14]AMORTIZACION FINDETER'!F22+'[14]AMORTIZACION FINDETER'!F23+'[14]AMORTIZACION FINDETER (2)'!F20+'[14]AMORTIZACION FINDETER (2)'!F21+'[14]AMORTIZACION FINDETER (3)'!F20+'[14]AMORTIZACION FINDETER (3)'!F21</f>
        <v>2091.8630741904062</v>
      </c>
      <c r="S289" s="143">
        <f t="shared" si="140"/>
        <v>-8.5546634852997183E-2</v>
      </c>
      <c r="T289" s="142">
        <f>+'[14]AMORTIZACION FINDETER'!F24+'[14]AMORTIZACION FINDETER'!F25+'[14]AMORTIZACION FINDETER (2)'!F22+'[14]AMORTIZACION FINDETER (2)'!F23+'[14]AMORTIZACION FINDETER (3)'!F22+'[14]AMORTIZACION FINDETER (3)'!F23</f>
        <v>1833.3680245140617</v>
      </c>
      <c r="U289" s="143">
        <f t="shared" si="141"/>
        <v>-0.12357168729907786</v>
      </c>
      <c r="V289" s="142">
        <f>+'[14]AMORTIZACION FINDETER'!F26+'[14]AMORTIZACION FINDETER'!F27+'[14]AMORTIZACION FINDETER (2)'!F24+'[14]AMORTIZACION FINDETER (2)'!F25+'[14]AMORTIZACION FINDETER (3)'!F24+'[14]AMORTIZACION FINDETER (3)'!F25</f>
        <v>1554.4465765655236</v>
      </c>
      <c r="W289" s="143">
        <f t="shared" si="142"/>
        <v>-0.15213609281882556</v>
      </c>
    </row>
    <row r="290" spans="2:23" ht="14.25" outlineLevel="1">
      <c r="B290" s="117">
        <v>5305200300</v>
      </c>
      <c r="C290" s="21">
        <v>5305200300</v>
      </c>
      <c r="D290" s="43" t="s">
        <v>356</v>
      </c>
      <c r="E290" s="142">
        <v>2.1680000000000001</v>
      </c>
      <c r="F290" s="142">
        <v>2.6669999999999998</v>
      </c>
      <c r="G290" s="143">
        <f t="shared" si="134"/>
        <v>0.2301660516605164</v>
      </c>
      <c r="H290" s="142">
        <v>40.644529999999996</v>
      </c>
      <c r="I290" s="143">
        <f t="shared" si="135"/>
        <v>14.239793775778027</v>
      </c>
      <c r="J290" s="142">
        <v>56.807000000000002</v>
      </c>
      <c r="K290" s="143">
        <f t="shared" si="136"/>
        <v>0.39765424769335533</v>
      </c>
      <c r="L290" s="142">
        <v>60.573132280000003</v>
      </c>
      <c r="M290" s="143">
        <f t="shared" si="137"/>
        <v>6.6296975372753364E-2</v>
      </c>
      <c r="N290" s="142">
        <f>+IF(L290&lt;0,0,L290*(1+'[14]Ind. Crecimiento'!$C$10))</f>
        <v>64.813251539600003</v>
      </c>
      <c r="O290" s="143">
        <f t="shared" si="138"/>
        <v>7.0000000000000062E-2</v>
      </c>
      <c r="P290" s="142">
        <f>+IF(N290&lt;0,0,N290*(1+'[14]Ind. Crecimiento'!$D$10))</f>
        <v>69.350179147372003</v>
      </c>
      <c r="Q290" s="143">
        <f t="shared" si="139"/>
        <v>7.0000000000000062E-2</v>
      </c>
      <c r="R290" s="142">
        <f>+IF(P290&lt;0,0,P290*(1+'[14]Ind. Crecimiento'!$E$10))</f>
        <v>74.204691687688054</v>
      </c>
      <c r="S290" s="143">
        <f t="shared" si="140"/>
        <v>7.0000000000000062E-2</v>
      </c>
      <c r="T290" s="142">
        <f>+IF(R290&lt;0,0,R290*(1+'[14]Ind. Crecimiento'!$F$10))</f>
        <v>79.399020105826224</v>
      </c>
      <c r="U290" s="143">
        <f t="shared" si="141"/>
        <v>7.0000000000000062E-2</v>
      </c>
      <c r="V290" s="142">
        <f>+IF(T290&lt;0,0,T290*(1+'[14]Ind. Crecimiento'!$G$10))</f>
        <v>84.95695151323406</v>
      </c>
      <c r="W290" s="143">
        <f t="shared" si="142"/>
        <v>7.0000000000000062E-2</v>
      </c>
    </row>
    <row r="291" spans="2:23" ht="14.25" outlineLevel="1">
      <c r="B291" s="117">
        <v>5305250000</v>
      </c>
      <c r="C291" s="21">
        <v>5305250000</v>
      </c>
      <c r="D291" s="43" t="s">
        <v>302</v>
      </c>
      <c r="E291" s="142">
        <v>87.959000000000003</v>
      </c>
      <c r="F291" s="142">
        <v>46.789000000000001</v>
      </c>
      <c r="G291" s="143">
        <f t="shared" si="134"/>
        <v>-0.4680589820257165</v>
      </c>
      <c r="H291" s="142">
        <v>119.711</v>
      </c>
      <c r="I291" s="143">
        <f t="shared" si="135"/>
        <v>1.5585287140139776</v>
      </c>
      <c r="J291" s="142">
        <v>255.77199999999999</v>
      </c>
      <c r="K291" s="143">
        <f t="shared" si="136"/>
        <v>1.1365789275839311</v>
      </c>
      <c r="L291" s="142">
        <v>273.55842453000002</v>
      </c>
      <c r="M291" s="143">
        <f t="shared" si="137"/>
        <v>6.9540155020878069E-2</v>
      </c>
      <c r="N291" s="142">
        <f>+IF(L291&lt;0,0,L291*(1+'[14]Ind. Crecimiento'!$C$10))</f>
        <v>292.70751424710005</v>
      </c>
      <c r="O291" s="143">
        <f t="shared" si="138"/>
        <v>7.0000000000000062E-2</v>
      </c>
      <c r="P291" s="142">
        <f>+IF(N291&lt;0,0,N291*(1+'[14]Ind. Crecimiento'!$D$10))</f>
        <v>313.19704024439704</v>
      </c>
      <c r="Q291" s="143">
        <f t="shared" si="139"/>
        <v>7.0000000000000062E-2</v>
      </c>
      <c r="R291" s="142">
        <f>+IF(P291&lt;0,0,P291*(1+'[14]Ind. Crecimiento'!$E$10))</f>
        <v>335.12083306150487</v>
      </c>
      <c r="S291" s="143">
        <f t="shared" si="140"/>
        <v>7.0000000000000062E-2</v>
      </c>
      <c r="T291" s="142">
        <f>+IF(R291&lt;0,0,R291*(1+'[14]Ind. Crecimiento'!$F$10))</f>
        <v>358.57929137581021</v>
      </c>
      <c r="U291" s="143">
        <f t="shared" si="141"/>
        <v>7.0000000000000062E-2</v>
      </c>
      <c r="V291" s="142">
        <f>+IF(T291&lt;0,0,T291*(1+'[14]Ind. Crecimiento'!$G$10))</f>
        <v>383.67984177211696</v>
      </c>
      <c r="W291" s="143">
        <f t="shared" si="142"/>
        <v>7.0000000000000062E-2</v>
      </c>
    </row>
    <row r="292" spans="2:23" ht="14.25" outlineLevel="1">
      <c r="B292" s="117">
        <v>5305450100</v>
      </c>
      <c r="C292" s="21">
        <v>5305450100</v>
      </c>
      <c r="D292" s="43" t="s">
        <v>357</v>
      </c>
      <c r="E292" s="142">
        <v>0</v>
      </c>
      <c r="F292" s="142">
        <v>0</v>
      </c>
      <c r="G292" s="143" t="str">
        <f t="shared" si="134"/>
        <v/>
      </c>
      <c r="H292" s="142">
        <v>0</v>
      </c>
      <c r="I292" s="143" t="str">
        <f t="shared" si="135"/>
        <v/>
      </c>
      <c r="J292" s="142">
        <v>100.586</v>
      </c>
      <c r="K292" s="143" t="str">
        <f t="shared" si="136"/>
        <v/>
      </c>
      <c r="L292" s="142">
        <v>119.54147</v>
      </c>
      <c r="M292" s="143">
        <f t="shared" si="137"/>
        <v>0.18845038076869547</v>
      </c>
      <c r="N292" s="142">
        <f>+IF(L292&lt;0,0,L292*(1+'[14]Ind. Crecimiento'!$C$10))</f>
        <v>127.90937290000001</v>
      </c>
      <c r="O292" s="143">
        <f t="shared" si="138"/>
        <v>7.0000000000000062E-2</v>
      </c>
      <c r="P292" s="142">
        <f>+IF(N292&lt;0,0,N292*(1+'[14]Ind. Crecimiento'!$D$10))</f>
        <v>136.86302900300001</v>
      </c>
      <c r="Q292" s="143">
        <f t="shared" si="139"/>
        <v>7.0000000000000062E-2</v>
      </c>
      <c r="R292" s="142">
        <f>+IF(P292&lt;0,0,P292*(1+'[14]Ind. Crecimiento'!$E$10))</f>
        <v>146.44344103321001</v>
      </c>
      <c r="S292" s="143">
        <f t="shared" si="140"/>
        <v>7.0000000000000062E-2</v>
      </c>
      <c r="T292" s="142">
        <f>+IF(R292&lt;0,0,R292*(1+'[14]Ind. Crecimiento'!$F$10))</f>
        <v>156.69448190553473</v>
      </c>
      <c r="U292" s="143">
        <f t="shared" si="141"/>
        <v>7.0000000000000062E-2</v>
      </c>
      <c r="V292" s="142">
        <f>+IF(T292&lt;0,0,T292*(1+'[14]Ind. Crecimiento'!$G$10))</f>
        <v>167.66309563892216</v>
      </c>
      <c r="W292" s="143">
        <f t="shared" si="142"/>
        <v>7.0000000000000062E-2</v>
      </c>
    </row>
    <row r="293" spans="2:23" ht="14.25" outlineLevel="1">
      <c r="B293" s="117">
        <v>5310950200</v>
      </c>
      <c r="C293" s="21"/>
      <c r="D293" s="43" t="s">
        <v>358</v>
      </c>
      <c r="E293" s="142">
        <v>0</v>
      </c>
      <c r="F293" s="142">
        <v>0</v>
      </c>
      <c r="G293" s="143"/>
      <c r="H293" s="142">
        <v>0.02</v>
      </c>
      <c r="I293" s="143"/>
      <c r="J293" s="142">
        <v>0.23100000000000001</v>
      </c>
      <c r="K293" s="143"/>
      <c r="L293" s="142">
        <v>0</v>
      </c>
      <c r="M293" s="143"/>
      <c r="N293" s="142">
        <f>+IF(L293&lt;0,0,L293*(1+'[14]Ind. Crecimiento'!$C$10))</f>
        <v>0</v>
      </c>
      <c r="O293" s="143"/>
      <c r="P293" s="142">
        <f>+IF(N293&lt;0,0,N293*(1+'[14]Ind. Crecimiento'!$D$10))</f>
        <v>0</v>
      </c>
      <c r="Q293" s="143"/>
      <c r="R293" s="142">
        <f>+IF(P293&lt;0,0,P293*(1+'[14]Ind. Crecimiento'!$E$10))</f>
        <v>0</v>
      </c>
      <c r="S293" s="143"/>
      <c r="T293" s="142">
        <f>+IF(R293&lt;0,0,R293*(1+'[14]Ind. Crecimiento'!$F$10))</f>
        <v>0</v>
      </c>
      <c r="U293" s="143"/>
      <c r="V293" s="142">
        <f>+IF(T293&lt;0,0,T293*(1+'[14]Ind. Crecimiento'!$G$10))</f>
        <v>0</v>
      </c>
      <c r="W293" s="143"/>
    </row>
    <row r="294" spans="2:23" ht="14.25" outlineLevel="1">
      <c r="B294" s="117">
        <v>5305953501</v>
      </c>
      <c r="C294" s="21">
        <v>5305953501</v>
      </c>
      <c r="D294" s="43" t="s">
        <v>611</v>
      </c>
      <c r="E294" s="142">
        <v>0</v>
      </c>
      <c r="F294" s="142">
        <v>0</v>
      </c>
      <c r="G294" s="143" t="str">
        <f t="shared" ref="G294:G327" si="143">IF(F294=0,"",IF(E294=0,"",(F294/E294)-1))</f>
        <v/>
      </c>
      <c r="H294" s="142">
        <v>0</v>
      </c>
      <c r="I294" s="143" t="str">
        <f t="shared" ref="I294:I327" si="144">IF(H294=0,"",IF(F294=0,"",(H294/F294)-1))</f>
        <v/>
      </c>
      <c r="J294" s="142">
        <v>883.89</v>
      </c>
      <c r="K294" s="143" t="str">
        <f t="shared" ref="K294:K327" si="145">IF(J294=0,"",IF(H294=0,"",(J294/H294)-1))</f>
        <v/>
      </c>
      <c r="L294" s="142">
        <v>945.7623000000001</v>
      </c>
      <c r="M294" s="143">
        <f t="shared" ref="M294:M327" si="146">IF(L294=0,"",IF(J294=0,"",(L294/J294)-1))</f>
        <v>7.0000000000000062E-2</v>
      </c>
      <c r="N294" s="142">
        <f>+IF(L294&lt;0,0,L294*(1+'[14]Ind. Crecimiento'!$C$10))</f>
        <v>1011.9656610000002</v>
      </c>
      <c r="O294" s="143">
        <f t="shared" ref="O294:O327" si="147">IF(N294=0,"",IF(L294=0,"",(N294/L294)-1))</f>
        <v>7.0000000000000062E-2</v>
      </c>
      <c r="P294" s="142">
        <f>+IF(N294&lt;0,0,N294*(1+'[14]Ind. Crecimiento'!$D$10))</f>
        <v>1082.8032572700004</v>
      </c>
      <c r="Q294" s="143">
        <f t="shared" ref="Q294:Q327" si="148">IF(P294=0,"",IF(N294=0,"",(P294/N294)-1))</f>
        <v>7.0000000000000062E-2</v>
      </c>
      <c r="R294" s="142">
        <f>+IF(P294&lt;0,0,P294*(1+'[14]Ind. Crecimiento'!$E$10))</f>
        <v>1158.5994852789004</v>
      </c>
      <c r="S294" s="143">
        <f t="shared" ref="S294:S327" si="149">IF(R294=0,"",IF(P294=0,"",(R294/P294)-1))</f>
        <v>7.0000000000000062E-2</v>
      </c>
      <c r="T294" s="142">
        <f>+IF(R294&lt;0,0,R294*(1+'[14]Ind. Crecimiento'!$F$10))</f>
        <v>1239.7014492484234</v>
      </c>
      <c r="U294" s="143">
        <f t="shared" ref="U294:U327" si="150">IF(T294=0,"",IF(R294=0,"",(T294/R294)-1))</f>
        <v>7.0000000000000062E-2</v>
      </c>
      <c r="V294" s="142">
        <f>+IF(T294&lt;0,0,T294*(1+'[14]Ind. Crecimiento'!$G$10))</f>
        <v>1326.480550695813</v>
      </c>
      <c r="W294" s="143">
        <f t="shared" ref="W294:W327" si="151">IF(V294=0,"",IF(T294=0,"",(V294/T294)-1))</f>
        <v>7.0000000000000062E-2</v>
      </c>
    </row>
    <row r="295" spans="2:23" ht="14.25" outlineLevel="1">
      <c r="B295" s="117">
        <v>5305953502</v>
      </c>
      <c r="C295" s="21">
        <v>5305953502</v>
      </c>
      <c r="D295" s="43" t="s">
        <v>612</v>
      </c>
      <c r="E295" s="142">
        <v>0</v>
      </c>
      <c r="F295" s="142">
        <v>0</v>
      </c>
      <c r="G295" s="143" t="str">
        <f t="shared" si="143"/>
        <v/>
      </c>
      <c r="H295" s="142">
        <v>0</v>
      </c>
      <c r="I295" s="143" t="str">
        <f t="shared" si="144"/>
        <v/>
      </c>
      <c r="J295" s="142">
        <v>42.284999999999997</v>
      </c>
      <c r="K295" s="143" t="str">
        <f t="shared" si="145"/>
        <v/>
      </c>
      <c r="L295" s="142">
        <v>45.244950000000003</v>
      </c>
      <c r="M295" s="143">
        <f t="shared" si="146"/>
        <v>7.0000000000000062E-2</v>
      </c>
      <c r="N295" s="142">
        <f>+IF(L295&lt;0,0,L295*(1+'[14]Ind. Crecimiento'!$C$10))</f>
        <v>48.412096500000004</v>
      </c>
      <c r="O295" s="143">
        <f t="shared" si="147"/>
        <v>7.0000000000000062E-2</v>
      </c>
      <c r="P295" s="142">
        <f>+IF(N295&lt;0,0,N295*(1+'[14]Ind. Crecimiento'!$D$10))</f>
        <v>51.800943255000007</v>
      </c>
      <c r="Q295" s="143">
        <f t="shared" si="148"/>
        <v>7.0000000000000062E-2</v>
      </c>
      <c r="R295" s="142">
        <f>+IF(P295&lt;0,0,P295*(1+'[14]Ind. Crecimiento'!$E$10))</f>
        <v>55.427009282850008</v>
      </c>
      <c r="S295" s="143">
        <f t="shared" si="149"/>
        <v>7.0000000000000062E-2</v>
      </c>
      <c r="T295" s="142">
        <f>+IF(R295&lt;0,0,R295*(1+'[14]Ind. Crecimiento'!$F$10))</f>
        <v>59.306899932649515</v>
      </c>
      <c r="U295" s="143">
        <f t="shared" si="150"/>
        <v>7.0000000000000062E-2</v>
      </c>
      <c r="V295" s="142">
        <f>+IF(T295&lt;0,0,T295*(1+'[14]Ind. Crecimiento'!$G$10))</f>
        <v>63.458382927934984</v>
      </c>
      <c r="W295" s="143">
        <f t="shared" si="151"/>
        <v>7.0000000000000062E-2</v>
      </c>
    </row>
    <row r="296" spans="2:23" ht="14.25" outlineLevel="1">
      <c r="B296" s="117"/>
      <c r="C296" s="21"/>
      <c r="D296" s="43" t="s">
        <v>613</v>
      </c>
      <c r="E296" s="142">
        <v>0</v>
      </c>
      <c r="F296" s="142">
        <v>4.4710000000000001</v>
      </c>
      <c r="G296" s="143" t="str">
        <f t="shared" si="143"/>
        <v/>
      </c>
      <c r="H296" s="142">
        <v>0</v>
      </c>
      <c r="I296" s="143" t="str">
        <f t="shared" si="144"/>
        <v/>
      </c>
      <c r="J296" s="142">
        <v>0</v>
      </c>
      <c r="K296" s="143" t="str">
        <f t="shared" si="145"/>
        <v/>
      </c>
      <c r="L296" s="142">
        <v>0</v>
      </c>
      <c r="M296" s="143" t="str">
        <f t="shared" si="146"/>
        <v/>
      </c>
      <c r="N296" s="142">
        <f>+IF(L296&lt;0,0,L296*(1+'[14]Ind. Crecimiento'!$C$10))</f>
        <v>0</v>
      </c>
      <c r="O296" s="143" t="str">
        <f t="shared" si="147"/>
        <v/>
      </c>
      <c r="P296" s="142">
        <f>+IF(N296&lt;0,0,N296*(1+'[14]Ind. Crecimiento'!$D$10))</f>
        <v>0</v>
      </c>
      <c r="Q296" s="143" t="str">
        <f t="shared" si="148"/>
        <v/>
      </c>
      <c r="R296" s="142">
        <f>+IF(P296&lt;0,0,P296*(1+'[14]Ind. Crecimiento'!$E$10))</f>
        <v>0</v>
      </c>
      <c r="S296" s="143" t="str">
        <f t="shared" si="149"/>
        <v/>
      </c>
      <c r="T296" s="142">
        <f>+IF(R296&lt;0,0,R296*(1+'[14]Ind. Crecimiento'!$F$10))</f>
        <v>0</v>
      </c>
      <c r="U296" s="143" t="str">
        <f t="shared" si="150"/>
        <v/>
      </c>
      <c r="V296" s="142">
        <f>+IF(T296&lt;0,0,T296*(1+'[14]Ind. Crecimiento'!$G$10))</f>
        <v>0</v>
      </c>
      <c r="W296" s="143" t="str">
        <f t="shared" si="151"/>
        <v/>
      </c>
    </row>
    <row r="297" spans="2:23" ht="14.25" outlineLevel="1">
      <c r="B297" s="117">
        <v>5310302800</v>
      </c>
      <c r="C297" s="144">
        <v>5310302800</v>
      </c>
      <c r="D297" s="43" t="s">
        <v>614</v>
      </c>
      <c r="E297" s="142">
        <v>8.1189999999999998</v>
      </c>
      <c r="F297" s="142">
        <v>3.8530000000000002</v>
      </c>
      <c r="G297" s="143">
        <f t="shared" si="143"/>
        <v>-0.52543416676930654</v>
      </c>
      <c r="H297" s="142">
        <v>0</v>
      </c>
      <c r="I297" s="143" t="str">
        <f t="shared" si="144"/>
        <v/>
      </c>
      <c r="J297" s="142">
        <v>0</v>
      </c>
      <c r="K297" s="143" t="str">
        <f t="shared" si="145"/>
        <v/>
      </c>
      <c r="L297" s="142">
        <v>0</v>
      </c>
      <c r="M297" s="143" t="str">
        <f t="shared" si="146"/>
        <v/>
      </c>
      <c r="N297" s="142">
        <f>+IF(L297&lt;0,0,L297*(1+'[14]Ind. Crecimiento'!$C$10))</f>
        <v>0</v>
      </c>
      <c r="O297" s="143" t="str">
        <f t="shared" si="147"/>
        <v/>
      </c>
      <c r="P297" s="142">
        <f>+IF(N297&lt;0,0,N297*(1+'[14]Ind. Crecimiento'!$D$10))</f>
        <v>0</v>
      </c>
      <c r="Q297" s="143" t="str">
        <f t="shared" si="148"/>
        <v/>
      </c>
      <c r="R297" s="142">
        <f>+IF(P297&lt;0,0,P297*(1+'[14]Ind. Crecimiento'!$E$10))</f>
        <v>0</v>
      </c>
      <c r="S297" s="143" t="str">
        <f t="shared" si="149"/>
        <v/>
      </c>
      <c r="T297" s="142">
        <f>+IF(R297&lt;0,0,R297*(1+'[14]Ind. Crecimiento'!$F$10))</f>
        <v>0</v>
      </c>
      <c r="U297" s="143" t="str">
        <f t="shared" si="150"/>
        <v/>
      </c>
      <c r="V297" s="142">
        <f>+IF(T297&lt;0,0,T297*(1+'[14]Ind. Crecimiento'!$G$10))</f>
        <v>0</v>
      </c>
      <c r="W297" s="143" t="str">
        <f t="shared" si="151"/>
        <v/>
      </c>
    </row>
    <row r="298" spans="2:23" ht="14.25" outlineLevel="1">
      <c r="B298" s="117">
        <v>5310351400</v>
      </c>
      <c r="C298" s="144">
        <v>5310351400</v>
      </c>
      <c r="D298" s="43" t="s">
        <v>615</v>
      </c>
      <c r="E298" s="142">
        <v>13.984999999999999</v>
      </c>
      <c r="F298" s="142">
        <v>2.3180000000000001</v>
      </c>
      <c r="G298" s="143">
        <f t="shared" si="143"/>
        <v>-0.83425098319628166</v>
      </c>
      <c r="H298" s="142">
        <v>0</v>
      </c>
      <c r="I298" s="143" t="str">
        <f t="shared" si="144"/>
        <v/>
      </c>
      <c r="J298" s="142">
        <v>0</v>
      </c>
      <c r="K298" s="143" t="str">
        <f t="shared" si="145"/>
        <v/>
      </c>
      <c r="L298" s="142">
        <v>0</v>
      </c>
      <c r="M298" s="143" t="str">
        <f t="shared" si="146"/>
        <v/>
      </c>
      <c r="N298" s="142">
        <f>+IF(L298&lt;0,0,L298*(1+'[14]Ind. Crecimiento'!$C$10))</f>
        <v>0</v>
      </c>
      <c r="O298" s="143" t="str">
        <f t="shared" si="147"/>
        <v/>
      </c>
      <c r="P298" s="142">
        <f>+IF(N298&lt;0,0,N298*(1+'[14]Ind. Crecimiento'!$D$10))</f>
        <v>0</v>
      </c>
      <c r="Q298" s="143" t="str">
        <f t="shared" si="148"/>
        <v/>
      </c>
      <c r="R298" s="142">
        <f>+IF(P298&lt;0,0,P298*(1+'[14]Ind. Crecimiento'!$E$10))</f>
        <v>0</v>
      </c>
      <c r="S298" s="143" t="str">
        <f t="shared" si="149"/>
        <v/>
      </c>
      <c r="T298" s="142">
        <f>+IF(R298&lt;0,0,R298*(1+'[14]Ind. Crecimiento'!$F$10))</f>
        <v>0</v>
      </c>
      <c r="U298" s="143" t="str">
        <f t="shared" si="150"/>
        <v/>
      </c>
      <c r="V298" s="142">
        <f>+IF(T298&lt;0,0,T298*(1+'[14]Ind. Crecimiento'!$G$10))</f>
        <v>0</v>
      </c>
      <c r="W298" s="143" t="str">
        <f t="shared" si="151"/>
        <v/>
      </c>
    </row>
    <row r="299" spans="2:23" ht="14.25" outlineLevel="1">
      <c r="B299" s="117"/>
      <c r="C299" s="21"/>
      <c r="D299" s="43" t="s">
        <v>358</v>
      </c>
      <c r="E299" s="142">
        <v>0</v>
      </c>
      <c r="F299" s="142">
        <v>1.3819999999999999</v>
      </c>
      <c r="G299" s="143" t="str">
        <f t="shared" si="143"/>
        <v/>
      </c>
      <c r="H299" s="142">
        <v>0</v>
      </c>
      <c r="I299" s="143" t="str">
        <f t="shared" si="144"/>
        <v/>
      </c>
      <c r="J299" s="142">
        <v>0</v>
      </c>
      <c r="K299" s="143" t="str">
        <f t="shared" si="145"/>
        <v/>
      </c>
      <c r="L299" s="142">
        <v>0</v>
      </c>
      <c r="M299" s="143" t="str">
        <f t="shared" si="146"/>
        <v/>
      </c>
      <c r="N299" s="142">
        <f>+IF(L299&lt;0,0,L299*(1+'[14]Ind. Crecimiento'!$C$10))</f>
        <v>0</v>
      </c>
      <c r="O299" s="143" t="str">
        <f t="shared" si="147"/>
        <v/>
      </c>
      <c r="P299" s="142">
        <f>+IF(N299&lt;0,0,N299*(1+'[14]Ind. Crecimiento'!$D$10))</f>
        <v>0</v>
      </c>
      <c r="Q299" s="143" t="str">
        <f t="shared" si="148"/>
        <v/>
      </c>
      <c r="R299" s="142">
        <f>+IF(P299&lt;0,0,P299*(1+'[14]Ind. Crecimiento'!$E$10))</f>
        <v>0</v>
      </c>
      <c r="S299" s="143" t="str">
        <f t="shared" si="149"/>
        <v/>
      </c>
      <c r="T299" s="142">
        <f>+IF(R299&lt;0,0,R299*(1+'[14]Ind. Crecimiento'!$F$10))</f>
        <v>0</v>
      </c>
      <c r="U299" s="143" t="str">
        <f t="shared" si="150"/>
        <v/>
      </c>
      <c r="V299" s="142">
        <f>+IF(T299&lt;0,0,T299*(1+'[14]Ind. Crecimiento'!$G$10))</f>
        <v>0</v>
      </c>
      <c r="W299" s="143" t="str">
        <f t="shared" si="151"/>
        <v/>
      </c>
    </row>
    <row r="300" spans="2:23" ht="14.25" outlineLevel="1">
      <c r="B300" s="117">
        <v>5315100000</v>
      </c>
      <c r="C300" s="21">
        <v>5315100000</v>
      </c>
      <c r="D300" s="43" t="s">
        <v>359</v>
      </c>
      <c r="E300" s="142">
        <v>13.858000000000001</v>
      </c>
      <c r="F300" s="142">
        <v>3.589</v>
      </c>
      <c r="G300" s="143">
        <f t="shared" si="143"/>
        <v>-0.74101601962765185</v>
      </c>
      <c r="H300" s="142">
        <v>8.7430000000000003</v>
      </c>
      <c r="I300" s="143">
        <f t="shared" si="144"/>
        <v>1.4360546113123434</v>
      </c>
      <c r="J300" s="142">
        <v>0</v>
      </c>
      <c r="K300" s="143" t="str">
        <f t="shared" si="145"/>
        <v/>
      </c>
      <c r="L300" s="142">
        <v>0</v>
      </c>
      <c r="M300" s="143" t="str">
        <f t="shared" si="146"/>
        <v/>
      </c>
      <c r="N300" s="142">
        <f>+IF(L300&lt;0,0,L300*(1+'[14]Ind. Crecimiento'!$C$10))</f>
        <v>0</v>
      </c>
      <c r="O300" s="143" t="str">
        <f t="shared" si="147"/>
        <v/>
      </c>
      <c r="P300" s="142">
        <f>+IF(N300&lt;0,0,N300*(1+'[14]Ind. Crecimiento'!$D$10))</f>
        <v>0</v>
      </c>
      <c r="Q300" s="143" t="str">
        <f t="shared" si="148"/>
        <v/>
      </c>
      <c r="R300" s="142">
        <f>+IF(P300&lt;0,0,P300*(1+'[14]Ind. Crecimiento'!$E$10))</f>
        <v>0</v>
      </c>
      <c r="S300" s="143" t="str">
        <f t="shared" si="149"/>
        <v/>
      </c>
      <c r="T300" s="142">
        <f>+IF(R300&lt;0,0,R300*(1+'[14]Ind. Crecimiento'!$F$10))</f>
        <v>0</v>
      </c>
      <c r="U300" s="143" t="str">
        <f t="shared" si="150"/>
        <v/>
      </c>
      <c r="V300" s="142">
        <f>+IF(T300&lt;0,0,T300*(1+'[14]Ind. Crecimiento'!$G$10))</f>
        <v>0</v>
      </c>
      <c r="W300" s="143" t="str">
        <f t="shared" si="151"/>
        <v/>
      </c>
    </row>
    <row r="301" spans="2:23" ht="14.25" outlineLevel="1">
      <c r="B301" s="117"/>
      <c r="C301" s="21">
        <v>5315150000</v>
      </c>
      <c r="D301" s="43" t="s">
        <v>616</v>
      </c>
      <c r="E301" s="142">
        <v>0</v>
      </c>
      <c r="F301" s="142">
        <v>0</v>
      </c>
      <c r="G301" s="143" t="str">
        <f t="shared" si="143"/>
        <v/>
      </c>
      <c r="H301" s="142">
        <v>0</v>
      </c>
      <c r="I301" s="143" t="str">
        <f t="shared" si="144"/>
        <v/>
      </c>
      <c r="J301" s="142">
        <v>0</v>
      </c>
      <c r="K301" s="143" t="str">
        <f t="shared" si="145"/>
        <v/>
      </c>
      <c r="L301" s="142">
        <v>0</v>
      </c>
      <c r="M301" s="143" t="str">
        <f t="shared" si="146"/>
        <v/>
      </c>
      <c r="N301" s="142">
        <f>+IF(L301&lt;0,0,L301*(1+'[14]Ind. Crecimiento'!$C$10))</f>
        <v>0</v>
      </c>
      <c r="O301" s="143" t="str">
        <f t="shared" si="147"/>
        <v/>
      </c>
      <c r="P301" s="142">
        <f>+IF(N301&lt;0,0,N301*(1+'[14]Ind. Crecimiento'!$D$10))</f>
        <v>0</v>
      </c>
      <c r="Q301" s="143" t="str">
        <f t="shared" si="148"/>
        <v/>
      </c>
      <c r="R301" s="142">
        <f>+IF(P301&lt;0,0,P301*(1+'[14]Ind. Crecimiento'!$E$10))</f>
        <v>0</v>
      </c>
      <c r="S301" s="143" t="str">
        <f t="shared" si="149"/>
        <v/>
      </c>
      <c r="T301" s="142">
        <f>+IF(R301&lt;0,0,R301*(1+'[14]Ind. Crecimiento'!$F$10))</f>
        <v>0</v>
      </c>
      <c r="U301" s="143" t="str">
        <f t="shared" si="150"/>
        <v/>
      </c>
      <c r="V301" s="142">
        <f>+IF(T301&lt;0,0,T301*(1+'[14]Ind. Crecimiento'!$G$10))</f>
        <v>0</v>
      </c>
      <c r="W301" s="143" t="str">
        <f t="shared" si="151"/>
        <v/>
      </c>
    </row>
    <row r="302" spans="2:23" ht="14.25" outlineLevel="1">
      <c r="B302" s="120">
        <v>5315150100</v>
      </c>
      <c r="C302" s="21">
        <v>5315150100</v>
      </c>
      <c r="D302" s="27" t="s">
        <v>360</v>
      </c>
      <c r="E302" s="142">
        <v>83.531000000000006</v>
      </c>
      <c r="F302" s="142">
        <v>88.174999999999997</v>
      </c>
      <c r="G302" s="143">
        <f t="shared" si="143"/>
        <v>5.5596125989153533E-2</v>
      </c>
      <c r="H302" s="142">
        <v>413.10599999999999</v>
      </c>
      <c r="I302" s="143">
        <f t="shared" si="144"/>
        <v>3.6850694641338251</v>
      </c>
      <c r="J302" s="142">
        <v>0</v>
      </c>
      <c r="K302" s="143" t="str">
        <f t="shared" si="145"/>
        <v/>
      </c>
      <c r="L302" s="142">
        <v>0</v>
      </c>
      <c r="M302" s="143" t="str">
        <f t="shared" si="146"/>
        <v/>
      </c>
      <c r="N302" s="142">
        <f>+IF(L302&lt;0,0,L302*(1+'[14]Ind. Crecimiento'!$C$10))</f>
        <v>0</v>
      </c>
      <c r="O302" s="143" t="str">
        <f t="shared" si="147"/>
        <v/>
      </c>
      <c r="P302" s="142">
        <f>+IF(N302&lt;0,0,N302*(1+'[14]Ind. Crecimiento'!$D$10))</f>
        <v>0</v>
      </c>
      <c r="Q302" s="143" t="str">
        <f t="shared" si="148"/>
        <v/>
      </c>
      <c r="R302" s="142">
        <f>+IF(P302&lt;0,0,P302*(1+'[14]Ind. Crecimiento'!$E$10))</f>
        <v>0</v>
      </c>
      <c r="S302" s="143" t="str">
        <f t="shared" si="149"/>
        <v/>
      </c>
      <c r="T302" s="142">
        <f>+IF(R302&lt;0,0,R302*(1+'[14]Ind. Crecimiento'!$F$10))</f>
        <v>0</v>
      </c>
      <c r="U302" s="143" t="str">
        <f t="shared" si="150"/>
        <v/>
      </c>
      <c r="V302" s="142">
        <f>+IF(T302&lt;0,0,T302*(1+'[14]Ind. Crecimiento'!$G$10))</f>
        <v>0</v>
      </c>
      <c r="W302" s="143" t="str">
        <f t="shared" si="151"/>
        <v/>
      </c>
    </row>
    <row r="303" spans="2:23" ht="14.25" outlineLevel="1">
      <c r="B303" s="120">
        <v>5315150500</v>
      </c>
      <c r="C303" s="21">
        <v>5315150500</v>
      </c>
      <c r="D303" s="27" t="s">
        <v>361</v>
      </c>
      <c r="E303" s="142">
        <v>30.698521</v>
      </c>
      <c r="F303" s="142">
        <v>79.207999999999998</v>
      </c>
      <c r="G303" s="143">
        <f t="shared" si="143"/>
        <v>1.5801894495177797</v>
      </c>
      <c r="H303" s="142">
        <v>198.75741399999998</v>
      </c>
      <c r="I303" s="143">
        <f t="shared" si="144"/>
        <v>1.5093098424401572</v>
      </c>
      <c r="J303" s="142">
        <v>0</v>
      </c>
      <c r="K303" s="143" t="str">
        <f t="shared" si="145"/>
        <v/>
      </c>
      <c r="L303" s="142">
        <v>0</v>
      </c>
      <c r="M303" s="143" t="str">
        <f t="shared" si="146"/>
        <v/>
      </c>
      <c r="N303" s="142">
        <f>+IF(L303&lt;0,0,L303*(1+'[14]Ind. Crecimiento'!$C$10))</f>
        <v>0</v>
      </c>
      <c r="O303" s="143" t="str">
        <f t="shared" si="147"/>
        <v/>
      </c>
      <c r="P303" s="142">
        <f>+IF(N303&lt;0,0,N303*(1+'[14]Ind. Crecimiento'!$D$10))</f>
        <v>0</v>
      </c>
      <c r="Q303" s="143" t="str">
        <f t="shared" si="148"/>
        <v/>
      </c>
      <c r="R303" s="142">
        <f>+IF(P303&lt;0,0,P303*(1+'[14]Ind. Crecimiento'!$E$10))</f>
        <v>0</v>
      </c>
      <c r="S303" s="143" t="str">
        <f t="shared" si="149"/>
        <v/>
      </c>
      <c r="T303" s="142">
        <f>+IF(R303&lt;0,0,R303*(1+'[14]Ind. Crecimiento'!$F$10))</f>
        <v>0</v>
      </c>
      <c r="U303" s="143" t="str">
        <f t="shared" si="150"/>
        <v/>
      </c>
      <c r="V303" s="142">
        <f>+IF(T303&lt;0,0,T303*(1+'[14]Ind. Crecimiento'!$G$10))</f>
        <v>0</v>
      </c>
      <c r="W303" s="143" t="str">
        <f t="shared" si="151"/>
        <v/>
      </c>
    </row>
    <row r="304" spans="2:23" ht="14.25" outlineLevel="1">
      <c r="B304" s="120">
        <v>5315151000</v>
      </c>
      <c r="C304" s="21">
        <v>5315151000</v>
      </c>
      <c r="D304" s="27" t="s">
        <v>362</v>
      </c>
      <c r="E304" s="142">
        <v>578.64400000000001</v>
      </c>
      <c r="F304" s="142">
        <v>818.54300000000001</v>
      </c>
      <c r="G304" s="143">
        <f t="shared" si="143"/>
        <v>0.41458824423998175</v>
      </c>
      <c r="H304" s="142">
        <v>525.08199999999999</v>
      </c>
      <c r="I304" s="143">
        <f t="shared" si="144"/>
        <v>-0.35851629053085787</v>
      </c>
      <c r="J304" s="142">
        <v>0</v>
      </c>
      <c r="K304" s="143" t="str">
        <f t="shared" si="145"/>
        <v/>
      </c>
      <c r="L304" s="142">
        <v>0</v>
      </c>
      <c r="M304" s="143" t="str">
        <f t="shared" si="146"/>
        <v/>
      </c>
      <c r="N304" s="142">
        <f>+IF(L304&lt;0,0,L304*(1+'[14]Ind. Crecimiento'!$C$10))</f>
        <v>0</v>
      </c>
      <c r="O304" s="143" t="str">
        <f t="shared" si="147"/>
        <v/>
      </c>
      <c r="P304" s="142">
        <f>+IF(N304&lt;0,0,N304*(1+'[14]Ind. Crecimiento'!$D$10))</f>
        <v>0</v>
      </c>
      <c r="Q304" s="143" t="str">
        <f t="shared" si="148"/>
        <v/>
      </c>
      <c r="R304" s="142">
        <f>+IF(P304&lt;0,0,P304*(1+'[14]Ind. Crecimiento'!$E$10))</f>
        <v>0</v>
      </c>
      <c r="S304" s="143" t="str">
        <f t="shared" si="149"/>
        <v/>
      </c>
      <c r="T304" s="142">
        <f>+IF(R304&lt;0,0,R304*(1+'[14]Ind. Crecimiento'!$F$10))</f>
        <v>0</v>
      </c>
      <c r="U304" s="143" t="str">
        <f t="shared" si="150"/>
        <v/>
      </c>
      <c r="V304" s="142">
        <f>+IF(T304&lt;0,0,T304*(1+'[14]Ind. Crecimiento'!$G$10))</f>
        <v>0</v>
      </c>
      <c r="W304" s="143" t="str">
        <f t="shared" si="151"/>
        <v/>
      </c>
    </row>
    <row r="305" spans="2:23" ht="14.25" outlineLevel="1">
      <c r="B305" s="120"/>
      <c r="C305" s="21"/>
      <c r="D305" s="27" t="s">
        <v>336</v>
      </c>
      <c r="E305" s="142">
        <v>0</v>
      </c>
      <c r="F305" s="142">
        <v>0.314</v>
      </c>
      <c r="G305" s="143" t="str">
        <f t="shared" si="143"/>
        <v/>
      </c>
      <c r="H305" s="142">
        <v>0</v>
      </c>
      <c r="I305" s="143" t="str">
        <f t="shared" si="144"/>
        <v/>
      </c>
      <c r="J305" s="142">
        <v>0</v>
      </c>
      <c r="K305" s="143" t="str">
        <f t="shared" si="145"/>
        <v/>
      </c>
      <c r="L305" s="142">
        <v>0</v>
      </c>
      <c r="M305" s="143" t="str">
        <f t="shared" si="146"/>
        <v/>
      </c>
      <c r="N305" s="142">
        <f>+IF(L305&lt;0,0,L305*(1+'[14]Ind. Crecimiento'!$C$10))</f>
        <v>0</v>
      </c>
      <c r="O305" s="143" t="str">
        <f t="shared" si="147"/>
        <v/>
      </c>
      <c r="P305" s="142">
        <f>+IF(N305&lt;0,0,N305*(1+'[14]Ind. Crecimiento'!$D$10))</f>
        <v>0</v>
      </c>
      <c r="Q305" s="143" t="str">
        <f t="shared" si="148"/>
        <v/>
      </c>
      <c r="R305" s="142">
        <f>+IF(P305&lt;0,0,P305*(1+'[14]Ind. Crecimiento'!$E$10))</f>
        <v>0</v>
      </c>
      <c r="S305" s="143" t="str">
        <f t="shared" si="149"/>
        <v/>
      </c>
      <c r="T305" s="142">
        <f>+IF(R305&lt;0,0,R305*(1+'[14]Ind. Crecimiento'!$F$10))</f>
        <v>0</v>
      </c>
      <c r="U305" s="143" t="str">
        <f t="shared" si="150"/>
        <v/>
      </c>
      <c r="V305" s="142">
        <f>+IF(T305&lt;0,0,T305*(1+'[14]Ind. Crecimiento'!$G$10))</f>
        <v>0</v>
      </c>
      <c r="W305" s="143" t="str">
        <f t="shared" si="151"/>
        <v/>
      </c>
    </row>
    <row r="306" spans="2:23" ht="14.25" outlineLevel="1">
      <c r="B306" s="120"/>
      <c r="C306" s="21"/>
      <c r="D306" s="27" t="s">
        <v>617</v>
      </c>
      <c r="E306" s="142">
        <v>0</v>
      </c>
      <c r="F306" s="142">
        <v>1.2190000000000001</v>
      </c>
      <c r="G306" s="143" t="str">
        <f t="shared" si="143"/>
        <v/>
      </c>
      <c r="H306" s="142">
        <v>0</v>
      </c>
      <c r="I306" s="143" t="str">
        <f t="shared" si="144"/>
        <v/>
      </c>
      <c r="J306" s="142">
        <v>0</v>
      </c>
      <c r="K306" s="143" t="str">
        <f t="shared" si="145"/>
        <v/>
      </c>
      <c r="L306" s="142">
        <v>0</v>
      </c>
      <c r="M306" s="143" t="str">
        <f t="shared" si="146"/>
        <v/>
      </c>
      <c r="N306" s="142">
        <f>+IF(L306&lt;0,0,L306*(1+'[14]Ind. Crecimiento'!$C$10))</f>
        <v>0</v>
      </c>
      <c r="O306" s="143" t="str">
        <f t="shared" si="147"/>
        <v/>
      </c>
      <c r="P306" s="142">
        <f>+IF(N306&lt;0,0,N306*(1+'[14]Ind. Crecimiento'!$D$10))</f>
        <v>0</v>
      </c>
      <c r="Q306" s="143" t="str">
        <f t="shared" si="148"/>
        <v/>
      </c>
      <c r="R306" s="142">
        <f>+IF(P306&lt;0,0,P306*(1+'[14]Ind. Crecimiento'!$E$10))</f>
        <v>0</v>
      </c>
      <c r="S306" s="143" t="str">
        <f t="shared" si="149"/>
        <v/>
      </c>
      <c r="T306" s="142">
        <f>+IF(R306&lt;0,0,R306*(1+'[14]Ind. Crecimiento'!$F$10))</f>
        <v>0</v>
      </c>
      <c r="U306" s="143" t="str">
        <f t="shared" si="150"/>
        <v/>
      </c>
      <c r="V306" s="142">
        <f>+IF(T306&lt;0,0,T306*(1+'[14]Ind. Crecimiento'!$G$10))</f>
        <v>0</v>
      </c>
      <c r="W306" s="143" t="str">
        <f t="shared" si="151"/>
        <v/>
      </c>
    </row>
    <row r="307" spans="2:23" ht="14.25" outlineLevel="1">
      <c r="B307" s="120">
        <v>5315152000</v>
      </c>
      <c r="C307" s="144">
        <v>5315152000</v>
      </c>
      <c r="D307" s="27" t="s">
        <v>363</v>
      </c>
      <c r="E307" s="142">
        <v>17.941500000000001</v>
      </c>
      <c r="F307" s="142">
        <v>4.6100000000000003</v>
      </c>
      <c r="G307" s="143">
        <f t="shared" si="143"/>
        <v>-0.74305381378368585</v>
      </c>
      <c r="H307" s="142">
        <v>9.7029999999999994</v>
      </c>
      <c r="I307" s="143">
        <f t="shared" si="144"/>
        <v>1.1047722342733186</v>
      </c>
      <c r="J307" s="142">
        <v>0</v>
      </c>
      <c r="K307" s="143" t="str">
        <f t="shared" si="145"/>
        <v/>
      </c>
      <c r="L307" s="142">
        <v>0</v>
      </c>
      <c r="M307" s="143" t="str">
        <f t="shared" si="146"/>
        <v/>
      </c>
      <c r="N307" s="142">
        <f>+IF(L307&lt;0,0,L307*(1+'[14]Ind. Crecimiento'!$C$10))</f>
        <v>0</v>
      </c>
      <c r="O307" s="143" t="str">
        <f t="shared" si="147"/>
        <v/>
      </c>
      <c r="P307" s="142">
        <f>+IF(N307&lt;0,0,N307*(1+'[14]Ind. Crecimiento'!$D$10))</f>
        <v>0</v>
      </c>
      <c r="Q307" s="143" t="str">
        <f t="shared" si="148"/>
        <v/>
      </c>
      <c r="R307" s="142">
        <f>+IF(P307&lt;0,0,P307*(1+'[14]Ind. Crecimiento'!$E$10))</f>
        <v>0</v>
      </c>
      <c r="S307" s="143" t="str">
        <f t="shared" si="149"/>
        <v/>
      </c>
      <c r="T307" s="142">
        <f>+IF(R307&lt;0,0,R307*(1+'[14]Ind. Crecimiento'!$F$10))</f>
        <v>0</v>
      </c>
      <c r="U307" s="143" t="str">
        <f t="shared" si="150"/>
        <v/>
      </c>
      <c r="V307" s="142">
        <f>+IF(T307&lt;0,0,T307*(1+'[14]Ind. Crecimiento'!$G$10))</f>
        <v>0</v>
      </c>
      <c r="W307" s="143" t="str">
        <f t="shared" si="151"/>
        <v/>
      </c>
    </row>
    <row r="308" spans="2:23" ht="14.25" outlineLevel="1">
      <c r="B308" s="120">
        <v>5315152500</v>
      </c>
      <c r="C308" s="144">
        <v>5315152500</v>
      </c>
      <c r="D308" s="27" t="s">
        <v>364</v>
      </c>
      <c r="E308" s="142">
        <v>0</v>
      </c>
      <c r="F308" s="142">
        <v>16.553999999999998</v>
      </c>
      <c r="G308" s="143" t="str">
        <f t="shared" si="143"/>
        <v/>
      </c>
      <c r="H308" s="142">
        <v>1.7000000000000001E-2</v>
      </c>
      <c r="I308" s="143">
        <f t="shared" si="144"/>
        <v>-0.99897305787120938</v>
      </c>
      <c r="J308" s="142">
        <v>0</v>
      </c>
      <c r="K308" s="143" t="str">
        <f t="shared" si="145"/>
        <v/>
      </c>
      <c r="L308" s="142">
        <v>0</v>
      </c>
      <c r="M308" s="143" t="str">
        <f t="shared" si="146"/>
        <v/>
      </c>
      <c r="N308" s="142">
        <f>+IF(L308&lt;0,0,L308*(1+'[14]Ind. Crecimiento'!$C$10))</f>
        <v>0</v>
      </c>
      <c r="O308" s="143" t="str">
        <f t="shared" si="147"/>
        <v/>
      </c>
      <c r="P308" s="142">
        <f>+IF(N308&lt;0,0,N308*(1+'[14]Ind. Crecimiento'!$D$10))</f>
        <v>0</v>
      </c>
      <c r="Q308" s="143" t="str">
        <f t="shared" si="148"/>
        <v/>
      </c>
      <c r="R308" s="142">
        <f>+IF(P308&lt;0,0,P308*(1+'[14]Ind. Crecimiento'!$E$10))</f>
        <v>0</v>
      </c>
      <c r="S308" s="143" t="str">
        <f t="shared" si="149"/>
        <v/>
      </c>
      <c r="T308" s="142">
        <f>+IF(R308&lt;0,0,R308*(1+'[14]Ind. Crecimiento'!$F$10))</f>
        <v>0</v>
      </c>
      <c r="U308" s="143" t="str">
        <f t="shared" si="150"/>
        <v/>
      </c>
      <c r="V308" s="142">
        <f>+IF(T308&lt;0,0,T308*(1+'[14]Ind. Crecimiento'!$G$10))</f>
        <v>0</v>
      </c>
      <c r="W308" s="143" t="str">
        <f t="shared" si="151"/>
        <v/>
      </c>
    </row>
    <row r="309" spans="2:23" ht="14.25" outlineLevel="1">
      <c r="B309" s="120">
        <v>5315153501</v>
      </c>
      <c r="C309" s="144">
        <v>5315153501</v>
      </c>
      <c r="D309" s="27" t="s">
        <v>365</v>
      </c>
      <c r="E309" s="142">
        <v>4.6656840000000006</v>
      </c>
      <c r="F309" s="142">
        <v>2.1240000000000001</v>
      </c>
      <c r="G309" s="143">
        <f t="shared" si="143"/>
        <v>-0.54476128259007683</v>
      </c>
      <c r="H309" s="142">
        <v>0</v>
      </c>
      <c r="I309" s="143" t="str">
        <f t="shared" si="144"/>
        <v/>
      </c>
      <c r="J309" s="142">
        <v>0</v>
      </c>
      <c r="K309" s="143" t="str">
        <f t="shared" si="145"/>
        <v/>
      </c>
      <c r="L309" s="142">
        <v>0</v>
      </c>
      <c r="M309" s="143" t="str">
        <f t="shared" si="146"/>
        <v/>
      </c>
      <c r="N309" s="142">
        <f>+IF(L309&lt;0,0,L309*(1+'[14]Ind. Crecimiento'!$C$10))</f>
        <v>0</v>
      </c>
      <c r="O309" s="143" t="str">
        <f t="shared" si="147"/>
        <v/>
      </c>
      <c r="P309" s="142">
        <f>+IF(N309&lt;0,0,N309*(1+'[14]Ind. Crecimiento'!$D$10))</f>
        <v>0</v>
      </c>
      <c r="Q309" s="143" t="str">
        <f t="shared" si="148"/>
        <v/>
      </c>
      <c r="R309" s="142">
        <f>+IF(P309&lt;0,0,P309*(1+'[14]Ind. Crecimiento'!$E$10))</f>
        <v>0</v>
      </c>
      <c r="S309" s="143" t="str">
        <f t="shared" si="149"/>
        <v/>
      </c>
      <c r="T309" s="142">
        <f>+IF(R309&lt;0,0,R309*(1+'[14]Ind. Crecimiento'!$F$10))</f>
        <v>0</v>
      </c>
      <c r="U309" s="143" t="str">
        <f t="shared" si="150"/>
        <v/>
      </c>
      <c r="V309" s="142">
        <f>+IF(T309&lt;0,0,T309*(1+'[14]Ind. Crecimiento'!$G$10))</f>
        <v>0</v>
      </c>
      <c r="W309" s="143" t="str">
        <f t="shared" si="151"/>
        <v/>
      </c>
    </row>
    <row r="310" spans="2:23" ht="14.25" outlineLevel="1">
      <c r="B310" s="120">
        <v>5315153502</v>
      </c>
      <c r="C310" s="21">
        <v>5315153502</v>
      </c>
      <c r="D310" s="27" t="s">
        <v>366</v>
      </c>
      <c r="E310" s="142">
        <v>64.714749999999995</v>
      </c>
      <c r="F310" s="142">
        <v>73.935000000000002</v>
      </c>
      <c r="G310" s="143">
        <f t="shared" si="143"/>
        <v>0.14247524714226678</v>
      </c>
      <c r="H310" s="142">
        <v>12.84</v>
      </c>
      <c r="I310" s="143">
        <f t="shared" si="144"/>
        <v>-0.82633394197606003</v>
      </c>
      <c r="J310" s="142">
        <v>0</v>
      </c>
      <c r="K310" s="143" t="str">
        <f t="shared" si="145"/>
        <v/>
      </c>
      <c r="L310" s="142">
        <v>0</v>
      </c>
      <c r="M310" s="143" t="str">
        <f t="shared" si="146"/>
        <v/>
      </c>
      <c r="N310" s="142">
        <f>+IF(L310&lt;0,0,L310*(1+'[14]Ind. Crecimiento'!$C$10))</f>
        <v>0</v>
      </c>
      <c r="O310" s="143" t="str">
        <f t="shared" si="147"/>
        <v/>
      </c>
      <c r="P310" s="142">
        <f>+IF(N310&lt;0,0,N310*(1+'[14]Ind. Crecimiento'!$D$10))</f>
        <v>0</v>
      </c>
      <c r="Q310" s="143" t="str">
        <f t="shared" si="148"/>
        <v/>
      </c>
      <c r="R310" s="142">
        <f>+IF(P310&lt;0,0,P310*(1+'[14]Ind. Crecimiento'!$E$10))</f>
        <v>0</v>
      </c>
      <c r="S310" s="143" t="str">
        <f t="shared" si="149"/>
        <v/>
      </c>
      <c r="T310" s="142">
        <f>+IF(R310&lt;0,0,R310*(1+'[14]Ind. Crecimiento'!$F$10))</f>
        <v>0</v>
      </c>
      <c r="U310" s="143" t="str">
        <f t="shared" si="150"/>
        <v/>
      </c>
      <c r="V310" s="142">
        <f>+IF(T310&lt;0,0,T310*(1+'[14]Ind. Crecimiento'!$G$10))</f>
        <v>0</v>
      </c>
      <c r="W310" s="143" t="str">
        <f t="shared" si="151"/>
        <v/>
      </c>
    </row>
    <row r="311" spans="2:23" ht="14.25" outlineLevel="1">
      <c r="B311" s="120">
        <v>5315153505</v>
      </c>
      <c r="C311" s="144">
        <v>5315153505</v>
      </c>
      <c r="D311" s="27" t="s">
        <v>618</v>
      </c>
      <c r="E311" s="142">
        <v>27.126000000000001</v>
      </c>
      <c r="F311" s="142">
        <v>0</v>
      </c>
      <c r="G311" s="143" t="str">
        <f t="shared" si="143"/>
        <v/>
      </c>
      <c r="H311" s="142">
        <v>0</v>
      </c>
      <c r="I311" s="143" t="str">
        <f t="shared" si="144"/>
        <v/>
      </c>
      <c r="J311" s="142">
        <v>0</v>
      </c>
      <c r="K311" s="143" t="str">
        <f t="shared" si="145"/>
        <v/>
      </c>
      <c r="L311" s="142">
        <v>0</v>
      </c>
      <c r="M311" s="143" t="str">
        <f t="shared" si="146"/>
        <v/>
      </c>
      <c r="N311" s="142">
        <f>+IF(L311&lt;0,0,L311*(1+'[14]Ind. Crecimiento'!$C$10))</f>
        <v>0</v>
      </c>
      <c r="O311" s="143" t="str">
        <f t="shared" si="147"/>
        <v/>
      </c>
      <c r="P311" s="142">
        <f>+IF(N311&lt;0,0,N311*(1+'[14]Ind. Crecimiento'!$D$10))</f>
        <v>0</v>
      </c>
      <c r="Q311" s="143" t="str">
        <f t="shared" si="148"/>
        <v/>
      </c>
      <c r="R311" s="142">
        <f>+IF(P311&lt;0,0,P311*(1+'[14]Ind. Crecimiento'!$E$10))</f>
        <v>0</v>
      </c>
      <c r="S311" s="143" t="str">
        <f t="shared" si="149"/>
        <v/>
      </c>
      <c r="T311" s="142">
        <f>+IF(R311&lt;0,0,R311*(1+'[14]Ind. Crecimiento'!$F$10))</f>
        <v>0</v>
      </c>
      <c r="U311" s="143" t="str">
        <f t="shared" si="150"/>
        <v/>
      </c>
      <c r="V311" s="142">
        <f>+IF(T311&lt;0,0,T311*(1+'[14]Ind. Crecimiento'!$G$10))</f>
        <v>0</v>
      </c>
      <c r="W311" s="143" t="str">
        <f t="shared" si="151"/>
        <v/>
      </c>
    </row>
    <row r="312" spans="2:23" ht="14.25" outlineLevel="1">
      <c r="B312" s="120">
        <v>5315154000</v>
      </c>
      <c r="C312" s="144">
        <v>5315154000</v>
      </c>
      <c r="D312" s="27" t="s">
        <v>619</v>
      </c>
      <c r="E312" s="142">
        <v>0</v>
      </c>
      <c r="F312" s="142">
        <v>0</v>
      </c>
      <c r="G312" s="143" t="str">
        <f t="shared" si="143"/>
        <v/>
      </c>
      <c r="H312" s="142">
        <v>0</v>
      </c>
      <c r="I312" s="143" t="str">
        <f t="shared" si="144"/>
        <v/>
      </c>
      <c r="J312" s="142">
        <v>0</v>
      </c>
      <c r="K312" s="143" t="str">
        <f t="shared" si="145"/>
        <v/>
      </c>
      <c r="L312" s="142">
        <v>0</v>
      </c>
      <c r="M312" s="143" t="str">
        <f t="shared" si="146"/>
        <v/>
      </c>
      <c r="N312" s="142">
        <f>+IF(L312&lt;0,0,L312*(1+'[14]Ind. Crecimiento'!$C$10))</f>
        <v>0</v>
      </c>
      <c r="O312" s="143" t="str">
        <f t="shared" si="147"/>
        <v/>
      </c>
      <c r="P312" s="142">
        <f>+IF(N312&lt;0,0,N312*(1+'[14]Ind. Crecimiento'!$D$10))</f>
        <v>0</v>
      </c>
      <c r="Q312" s="143" t="str">
        <f t="shared" si="148"/>
        <v/>
      </c>
      <c r="R312" s="142">
        <f>+IF(P312&lt;0,0,P312*(1+'[14]Ind. Crecimiento'!$E$10))</f>
        <v>0</v>
      </c>
      <c r="S312" s="143" t="str">
        <f t="shared" si="149"/>
        <v/>
      </c>
      <c r="T312" s="142">
        <f>+IF(R312&lt;0,0,R312*(1+'[14]Ind. Crecimiento'!$F$10))</f>
        <v>0</v>
      </c>
      <c r="U312" s="143" t="str">
        <f t="shared" si="150"/>
        <v/>
      </c>
      <c r="V312" s="142">
        <f>+IF(T312&lt;0,0,T312*(1+'[14]Ind. Crecimiento'!$G$10))</f>
        <v>0</v>
      </c>
      <c r="W312" s="143" t="str">
        <f t="shared" si="151"/>
        <v/>
      </c>
    </row>
    <row r="313" spans="2:23" ht="14.25" outlineLevel="1">
      <c r="B313" s="120">
        <v>5315154500</v>
      </c>
      <c r="C313" s="144">
        <v>5315154500</v>
      </c>
      <c r="D313" s="27" t="s">
        <v>367</v>
      </c>
      <c r="E313" s="142">
        <v>2.4703870000000001</v>
      </c>
      <c r="F313" s="142">
        <v>1.9510000000000001</v>
      </c>
      <c r="G313" s="143">
        <f t="shared" si="143"/>
        <v>-0.21024519640040207</v>
      </c>
      <c r="H313" s="142">
        <v>0.88400000000000001</v>
      </c>
      <c r="I313" s="143">
        <f t="shared" si="144"/>
        <v>-0.54689902614044084</v>
      </c>
      <c r="J313" s="142">
        <v>0</v>
      </c>
      <c r="K313" s="143" t="str">
        <f t="shared" si="145"/>
        <v/>
      </c>
      <c r="L313" s="142">
        <v>0</v>
      </c>
      <c r="M313" s="143" t="str">
        <f t="shared" si="146"/>
        <v/>
      </c>
      <c r="N313" s="142">
        <f>+IF(L313&lt;0,0,L313*(1+'[14]Ind. Crecimiento'!$C$10))</f>
        <v>0</v>
      </c>
      <c r="O313" s="143" t="str">
        <f t="shared" si="147"/>
        <v/>
      </c>
      <c r="P313" s="142">
        <f>+IF(N313&lt;0,0,N313*(1+'[14]Ind. Crecimiento'!$D$10))</f>
        <v>0</v>
      </c>
      <c r="Q313" s="143" t="str">
        <f t="shared" si="148"/>
        <v/>
      </c>
      <c r="R313" s="142">
        <f>+IF(P313&lt;0,0,P313*(1+'[14]Ind. Crecimiento'!$E$10))</f>
        <v>0</v>
      </c>
      <c r="S313" s="143" t="str">
        <f t="shared" si="149"/>
        <v/>
      </c>
      <c r="T313" s="142">
        <f>+IF(R313&lt;0,0,R313*(1+'[14]Ind. Crecimiento'!$F$10))</f>
        <v>0</v>
      </c>
      <c r="U313" s="143" t="str">
        <f t="shared" si="150"/>
        <v/>
      </c>
      <c r="V313" s="142">
        <f>+IF(T313&lt;0,0,T313*(1+'[14]Ind. Crecimiento'!$G$10))</f>
        <v>0</v>
      </c>
      <c r="W313" s="143" t="str">
        <f t="shared" si="151"/>
        <v/>
      </c>
    </row>
    <row r="314" spans="2:23" ht="14.25" outlineLevel="1">
      <c r="B314" s="120"/>
      <c r="C314" s="144"/>
      <c r="D314" s="27" t="s">
        <v>620</v>
      </c>
      <c r="E314" s="142">
        <v>0</v>
      </c>
      <c r="F314" s="142">
        <v>48.784999999999997</v>
      </c>
      <c r="G314" s="143" t="str">
        <f t="shared" si="143"/>
        <v/>
      </c>
      <c r="H314" s="142">
        <v>0</v>
      </c>
      <c r="I314" s="143" t="str">
        <f t="shared" si="144"/>
        <v/>
      </c>
      <c r="J314" s="142">
        <v>0</v>
      </c>
      <c r="K314" s="143" t="str">
        <f t="shared" si="145"/>
        <v/>
      </c>
      <c r="L314" s="142">
        <v>0</v>
      </c>
      <c r="M314" s="143" t="str">
        <f t="shared" si="146"/>
        <v/>
      </c>
      <c r="N314" s="142">
        <f>+IF(L314&lt;0,0,L314*(1+'[14]Ind. Crecimiento'!$C$10))</f>
        <v>0</v>
      </c>
      <c r="O314" s="143" t="str">
        <f t="shared" si="147"/>
        <v/>
      </c>
      <c r="P314" s="142">
        <f>+IF(N314&lt;0,0,N314*(1+'[14]Ind. Crecimiento'!$D$10))</f>
        <v>0</v>
      </c>
      <c r="Q314" s="143" t="str">
        <f t="shared" si="148"/>
        <v/>
      </c>
      <c r="R314" s="142">
        <f>+IF(P314&lt;0,0,P314*(1+'[14]Ind. Crecimiento'!$E$10))</f>
        <v>0</v>
      </c>
      <c r="S314" s="143" t="str">
        <f t="shared" si="149"/>
        <v/>
      </c>
      <c r="T314" s="142">
        <f>+IF(R314&lt;0,0,R314*(1+'[14]Ind. Crecimiento'!$F$10))</f>
        <v>0</v>
      </c>
      <c r="U314" s="143" t="str">
        <f t="shared" si="150"/>
        <v/>
      </c>
      <c r="V314" s="142">
        <f>+IF(T314&lt;0,0,T314*(1+'[14]Ind. Crecimiento'!$G$10))</f>
        <v>0</v>
      </c>
      <c r="W314" s="143" t="str">
        <f t="shared" si="151"/>
        <v/>
      </c>
    </row>
    <row r="315" spans="2:23" ht="14.25" outlineLevel="1">
      <c r="B315" s="120">
        <v>5315155395</v>
      </c>
      <c r="C315" s="144">
        <v>5315155395</v>
      </c>
      <c r="D315" s="27" t="s">
        <v>369</v>
      </c>
      <c r="E315" s="142">
        <v>7.6999999999999999E-2</v>
      </c>
      <c r="F315" s="142">
        <v>0.70799999999999996</v>
      </c>
      <c r="G315" s="143">
        <f t="shared" si="143"/>
        <v>8.1948051948051948</v>
      </c>
      <c r="H315" s="142">
        <v>0</v>
      </c>
      <c r="I315" s="143" t="str">
        <f t="shared" si="144"/>
        <v/>
      </c>
      <c r="J315" s="142">
        <v>0</v>
      </c>
      <c r="K315" s="143" t="str">
        <f t="shared" si="145"/>
        <v/>
      </c>
      <c r="L315" s="142">
        <v>0</v>
      </c>
      <c r="M315" s="143" t="str">
        <f t="shared" si="146"/>
        <v/>
      </c>
      <c r="N315" s="142">
        <f>+IF(L315&lt;0,0,L315*(1+'[14]Ind. Crecimiento'!$C$10))</f>
        <v>0</v>
      </c>
      <c r="O315" s="143" t="str">
        <f t="shared" si="147"/>
        <v/>
      </c>
      <c r="P315" s="142">
        <f>+IF(N315&lt;0,0,N315*(1+'[14]Ind. Crecimiento'!$D$10))</f>
        <v>0</v>
      </c>
      <c r="Q315" s="143" t="str">
        <f t="shared" si="148"/>
        <v/>
      </c>
      <c r="R315" s="142">
        <f>+IF(P315&lt;0,0,P315*(1+'[14]Ind. Crecimiento'!$E$10))</f>
        <v>0</v>
      </c>
      <c r="S315" s="143" t="str">
        <f t="shared" si="149"/>
        <v/>
      </c>
      <c r="T315" s="142">
        <f>+IF(R315&lt;0,0,R315*(1+'[14]Ind. Crecimiento'!$F$10))</f>
        <v>0</v>
      </c>
      <c r="U315" s="143" t="str">
        <f t="shared" si="150"/>
        <v/>
      </c>
      <c r="V315" s="142">
        <f>+IF(T315&lt;0,0,T315*(1+'[14]Ind. Crecimiento'!$G$10))</f>
        <v>0</v>
      </c>
      <c r="W315" s="143" t="str">
        <f t="shared" si="151"/>
        <v/>
      </c>
    </row>
    <row r="316" spans="2:23" ht="14.25" outlineLevel="1">
      <c r="B316" s="120">
        <v>5315155500</v>
      </c>
      <c r="C316" s="144">
        <v>5315155500</v>
      </c>
      <c r="D316" s="27" t="s">
        <v>368</v>
      </c>
      <c r="E316" s="142">
        <v>3.508</v>
      </c>
      <c r="F316" s="142">
        <v>6.4939999999999998</v>
      </c>
      <c r="G316" s="143">
        <f t="shared" si="143"/>
        <v>0.85119726339794743</v>
      </c>
      <c r="H316" s="142">
        <v>23.748000000000001</v>
      </c>
      <c r="I316" s="143">
        <f t="shared" si="144"/>
        <v>2.6569140745303361</v>
      </c>
      <c r="J316" s="142">
        <v>0</v>
      </c>
      <c r="K316" s="143" t="str">
        <f t="shared" si="145"/>
        <v/>
      </c>
      <c r="L316" s="142">
        <v>0</v>
      </c>
      <c r="M316" s="143" t="str">
        <f t="shared" si="146"/>
        <v/>
      </c>
      <c r="N316" s="142">
        <f>+IF(L316&lt;0,0,L316*(1+'[14]Ind. Crecimiento'!$C$10))</f>
        <v>0</v>
      </c>
      <c r="O316" s="143" t="str">
        <f t="shared" si="147"/>
        <v/>
      </c>
      <c r="P316" s="142">
        <f>+IF(N316&lt;0,0,N316*(1+'[14]Ind. Crecimiento'!$D$10))</f>
        <v>0</v>
      </c>
      <c r="Q316" s="143" t="str">
        <f t="shared" si="148"/>
        <v/>
      </c>
      <c r="R316" s="142">
        <f>+IF(P316&lt;0,0,P316*(1+'[14]Ind. Crecimiento'!$E$10))</f>
        <v>0</v>
      </c>
      <c r="S316" s="143" t="str">
        <f t="shared" si="149"/>
        <v/>
      </c>
      <c r="T316" s="142">
        <f>+IF(R316&lt;0,0,R316*(1+'[14]Ind. Crecimiento'!$F$10))</f>
        <v>0</v>
      </c>
      <c r="U316" s="143" t="str">
        <f t="shared" si="150"/>
        <v/>
      </c>
      <c r="V316" s="142">
        <f>+IF(T316&lt;0,0,T316*(1+'[14]Ind. Crecimiento'!$G$10))</f>
        <v>0</v>
      </c>
      <c r="W316" s="143" t="str">
        <f t="shared" si="151"/>
        <v/>
      </c>
    </row>
    <row r="317" spans="2:23" ht="14.25" outlineLevel="1">
      <c r="B317" s="120">
        <v>5315159500</v>
      </c>
      <c r="C317" s="144">
        <v>5315159500</v>
      </c>
      <c r="D317" s="27" t="s">
        <v>370</v>
      </c>
      <c r="E317" s="142">
        <v>4.944401</v>
      </c>
      <c r="F317" s="142">
        <v>2.3366500000000001</v>
      </c>
      <c r="G317" s="143">
        <f t="shared" si="143"/>
        <v>-0.52741494874707773</v>
      </c>
      <c r="H317" s="142">
        <v>34.523000000000003</v>
      </c>
      <c r="I317" s="143">
        <f t="shared" si="144"/>
        <v>13.77457043202876</v>
      </c>
      <c r="J317" s="142">
        <v>0</v>
      </c>
      <c r="K317" s="143" t="str">
        <f t="shared" si="145"/>
        <v/>
      </c>
      <c r="L317" s="142">
        <v>0</v>
      </c>
      <c r="M317" s="143" t="str">
        <f t="shared" si="146"/>
        <v/>
      </c>
      <c r="N317" s="142">
        <f>+IF(L317&lt;0,0,L317*(1+'[14]Ind. Crecimiento'!$C$10))</f>
        <v>0</v>
      </c>
      <c r="O317" s="143" t="str">
        <f t="shared" si="147"/>
        <v/>
      </c>
      <c r="P317" s="142">
        <f>+IF(N317&lt;0,0,N317*(1+'[14]Ind. Crecimiento'!$D$10))</f>
        <v>0</v>
      </c>
      <c r="Q317" s="143" t="str">
        <f t="shared" si="148"/>
        <v/>
      </c>
      <c r="R317" s="142">
        <f>+IF(P317&lt;0,0,P317*(1+'[14]Ind. Crecimiento'!$E$10))</f>
        <v>0</v>
      </c>
      <c r="S317" s="143" t="str">
        <f t="shared" si="149"/>
        <v/>
      </c>
      <c r="T317" s="142">
        <f>+IF(R317&lt;0,0,R317*(1+'[14]Ind. Crecimiento'!$F$10))</f>
        <v>0</v>
      </c>
      <c r="U317" s="143" t="str">
        <f t="shared" si="150"/>
        <v/>
      </c>
      <c r="V317" s="142">
        <f>+IF(T317&lt;0,0,T317*(1+'[14]Ind. Crecimiento'!$G$10))</f>
        <v>0</v>
      </c>
      <c r="W317" s="143" t="str">
        <f t="shared" si="151"/>
        <v/>
      </c>
    </row>
    <row r="318" spans="2:23" ht="14.25" outlineLevel="1">
      <c r="B318" s="120">
        <v>5315159550</v>
      </c>
      <c r="C318" s="144">
        <v>5315159550</v>
      </c>
      <c r="D318" s="27" t="s">
        <v>371</v>
      </c>
      <c r="E318" s="142">
        <v>0</v>
      </c>
      <c r="F318" s="142">
        <v>5.88</v>
      </c>
      <c r="G318" s="143" t="str">
        <f t="shared" si="143"/>
        <v/>
      </c>
      <c r="H318" s="142">
        <v>4.7590000000000003</v>
      </c>
      <c r="I318" s="143">
        <f t="shared" si="144"/>
        <v>-0.19064625850340133</v>
      </c>
      <c r="J318" s="142">
        <v>0</v>
      </c>
      <c r="K318" s="143" t="str">
        <f t="shared" si="145"/>
        <v/>
      </c>
      <c r="L318" s="142">
        <v>0</v>
      </c>
      <c r="M318" s="143" t="str">
        <f t="shared" si="146"/>
        <v/>
      </c>
      <c r="N318" s="142">
        <f>+IF(L318&lt;0,0,L318*(1+'[14]Ind. Crecimiento'!$C$10))</f>
        <v>0</v>
      </c>
      <c r="O318" s="143" t="str">
        <f t="shared" si="147"/>
        <v/>
      </c>
      <c r="P318" s="142">
        <f>+IF(N318&lt;0,0,N318*(1+'[14]Ind. Crecimiento'!$D$10))</f>
        <v>0</v>
      </c>
      <c r="Q318" s="143" t="str">
        <f t="shared" si="148"/>
        <v/>
      </c>
      <c r="R318" s="142">
        <f>+IF(P318&lt;0,0,P318*(1+'[14]Ind. Crecimiento'!$E$10))</f>
        <v>0</v>
      </c>
      <c r="S318" s="143" t="str">
        <f t="shared" si="149"/>
        <v/>
      </c>
      <c r="T318" s="142">
        <f>+IF(R318&lt;0,0,R318*(1+'[14]Ind. Crecimiento'!$F$10))</f>
        <v>0</v>
      </c>
      <c r="U318" s="143" t="str">
        <f t="shared" si="150"/>
        <v/>
      </c>
      <c r="V318" s="142">
        <f>+IF(T318&lt;0,0,T318*(1+'[14]Ind. Crecimiento'!$G$10))</f>
        <v>0</v>
      </c>
      <c r="W318" s="143" t="str">
        <f t="shared" si="151"/>
        <v/>
      </c>
    </row>
    <row r="319" spans="2:23" ht="14.25" outlineLevel="1">
      <c r="B319" s="120">
        <v>5315200000</v>
      </c>
      <c r="C319" s="21">
        <v>5315200000</v>
      </c>
      <c r="D319" s="27" t="s">
        <v>372</v>
      </c>
      <c r="E319" s="142">
        <v>6.7373950000000002</v>
      </c>
      <c r="F319" s="142">
        <v>12.161031999999999</v>
      </c>
      <c r="G319" s="143">
        <f t="shared" si="143"/>
        <v>0.80500505017146806</v>
      </c>
      <c r="H319" s="142">
        <v>5.6751040000000001</v>
      </c>
      <c r="I319" s="143">
        <f t="shared" si="144"/>
        <v>-0.53333697337528585</v>
      </c>
      <c r="J319" s="142">
        <v>3.4790000000000001</v>
      </c>
      <c r="K319" s="143">
        <f t="shared" si="145"/>
        <v>-0.38697158677620713</v>
      </c>
      <c r="L319" s="142">
        <v>3.7118600000000002</v>
      </c>
      <c r="M319" s="143">
        <f t="shared" si="146"/>
        <v>6.6933026731819556E-2</v>
      </c>
      <c r="N319" s="142">
        <f>+IF(L319&lt;0,0,L319*(1+'[14]Ind. Crecimiento'!$C$10))</f>
        <v>3.9716902000000003</v>
      </c>
      <c r="O319" s="143">
        <f t="shared" si="147"/>
        <v>7.0000000000000062E-2</v>
      </c>
      <c r="P319" s="142">
        <f>+IF(N319&lt;0,0,N319*(1+'[14]Ind. Crecimiento'!$D$10))</f>
        <v>4.2497085140000008</v>
      </c>
      <c r="Q319" s="143">
        <f t="shared" si="148"/>
        <v>7.0000000000000062E-2</v>
      </c>
      <c r="R319" s="142">
        <f>+IF(P319&lt;0,0,P319*(1+'[14]Ind. Crecimiento'!$E$10))</f>
        <v>4.5471881099800013</v>
      </c>
      <c r="S319" s="143">
        <f t="shared" si="149"/>
        <v>7.0000000000000062E-2</v>
      </c>
      <c r="T319" s="142">
        <f>+IF(R319&lt;0,0,R319*(1+'[14]Ind. Crecimiento'!$F$10))</f>
        <v>4.8654912776786015</v>
      </c>
      <c r="U319" s="143">
        <f t="shared" si="150"/>
        <v>7.0000000000000062E-2</v>
      </c>
      <c r="V319" s="142">
        <f>+IF(T319&lt;0,0,T319*(1+'[14]Ind. Crecimiento'!$G$10))</f>
        <v>5.2060756671161039</v>
      </c>
      <c r="W319" s="143">
        <f t="shared" si="151"/>
        <v>7.0000000000000062E-2</v>
      </c>
    </row>
    <row r="320" spans="2:23" ht="14.25" outlineLevel="1">
      <c r="B320" s="120">
        <v>5315950100</v>
      </c>
      <c r="C320" s="21">
        <v>5315950100</v>
      </c>
      <c r="D320" s="27" t="s">
        <v>373</v>
      </c>
      <c r="E320" s="142">
        <v>20.74</v>
      </c>
      <c r="F320" s="142">
        <v>17.867000000000001</v>
      </c>
      <c r="G320" s="143">
        <f t="shared" si="143"/>
        <v>-0.13852459016393437</v>
      </c>
      <c r="H320" s="142">
        <v>6.7460000000000004</v>
      </c>
      <c r="I320" s="143">
        <f t="shared" si="144"/>
        <v>-0.62243241730564725</v>
      </c>
      <c r="J320" s="142">
        <v>1.6</v>
      </c>
      <c r="K320" s="143">
        <f t="shared" si="145"/>
        <v>-0.76282241328194489</v>
      </c>
      <c r="L320" s="142">
        <v>1.7</v>
      </c>
      <c r="M320" s="143">
        <f t="shared" si="146"/>
        <v>6.25E-2</v>
      </c>
      <c r="N320" s="142">
        <f>+IF(L320&lt;0,0,L320*(1+'[14]Ind. Crecimiento'!$C$10))</f>
        <v>1.819</v>
      </c>
      <c r="O320" s="143">
        <f t="shared" si="147"/>
        <v>7.0000000000000062E-2</v>
      </c>
      <c r="P320" s="142">
        <f>+IF(N320&lt;0,0,N320*(1+'[14]Ind. Crecimiento'!$D$10))</f>
        <v>1.9463300000000001</v>
      </c>
      <c r="Q320" s="143">
        <f t="shared" si="148"/>
        <v>7.0000000000000062E-2</v>
      </c>
      <c r="R320" s="142">
        <f>+IF(P320&lt;0,0,P320*(1+'[14]Ind. Crecimiento'!$E$10))</f>
        <v>2.0825731000000003</v>
      </c>
      <c r="S320" s="143">
        <f t="shared" si="149"/>
        <v>7.0000000000000062E-2</v>
      </c>
      <c r="T320" s="142">
        <f>+IF(R320&lt;0,0,R320*(1+'[14]Ind. Crecimiento'!$F$10))</f>
        <v>2.2283532170000004</v>
      </c>
      <c r="U320" s="143">
        <f t="shared" si="150"/>
        <v>7.0000000000000062E-2</v>
      </c>
      <c r="V320" s="142">
        <f>+IF(T320&lt;0,0,T320*(1+'[14]Ind. Crecimiento'!$G$10))</f>
        <v>2.3843379421900006</v>
      </c>
      <c r="W320" s="143">
        <f t="shared" si="151"/>
        <v>7.0000000000000062E-2</v>
      </c>
    </row>
    <row r="321" spans="2:23" ht="14.25" outlineLevel="1">
      <c r="B321" s="120">
        <v>5315950200</v>
      </c>
      <c r="C321" s="21">
        <v>5315950200</v>
      </c>
      <c r="D321" s="27" t="s">
        <v>374</v>
      </c>
      <c r="E321" s="142">
        <v>0</v>
      </c>
      <c r="F321" s="142">
        <v>-4.9599999999918514E-4</v>
      </c>
      <c r="G321" s="143" t="str">
        <f t="shared" si="143"/>
        <v/>
      </c>
      <c r="H321" s="142">
        <v>0</v>
      </c>
      <c r="I321" s="143" t="str">
        <f t="shared" si="144"/>
        <v/>
      </c>
      <c r="J321" s="142">
        <v>0</v>
      </c>
      <c r="K321" s="143" t="str">
        <f t="shared" si="145"/>
        <v/>
      </c>
      <c r="L321" s="142">
        <v>0</v>
      </c>
      <c r="M321" s="143" t="str">
        <f t="shared" si="146"/>
        <v/>
      </c>
      <c r="N321" s="142">
        <f>+IF(L321&lt;0,0,L321*(1+'[14]Ind. Crecimiento'!$C$10))</f>
        <v>0</v>
      </c>
      <c r="O321" s="143" t="str">
        <f t="shared" si="147"/>
        <v/>
      </c>
      <c r="P321" s="142">
        <f>+IF(N321&lt;0,0,N321*(1+'[14]Ind. Crecimiento'!$D$10))</f>
        <v>0</v>
      </c>
      <c r="Q321" s="143" t="str">
        <f t="shared" si="148"/>
        <v/>
      </c>
      <c r="R321" s="142">
        <f>+IF(P321&lt;0,0,P321*(1+'[14]Ind. Crecimiento'!$E$10))</f>
        <v>0</v>
      </c>
      <c r="S321" s="143" t="str">
        <f t="shared" si="149"/>
        <v/>
      </c>
      <c r="T321" s="142">
        <f>+IF(R321&lt;0,0,R321*(1+'[14]Ind. Crecimiento'!$F$10))</f>
        <v>0</v>
      </c>
      <c r="U321" s="143" t="str">
        <f t="shared" si="150"/>
        <v/>
      </c>
      <c r="V321" s="142">
        <f>+IF(T321&lt;0,0,T321*(1+'[14]Ind. Crecimiento'!$G$10))</f>
        <v>0</v>
      </c>
      <c r="W321" s="143" t="str">
        <f t="shared" si="151"/>
        <v/>
      </c>
    </row>
    <row r="322" spans="2:23" ht="14.25" outlineLevel="1">
      <c r="B322" s="120">
        <v>5395060000</v>
      </c>
      <c r="C322" s="21">
        <v>5395060000</v>
      </c>
      <c r="D322" s="27" t="s">
        <v>375</v>
      </c>
      <c r="E322" s="142">
        <v>0</v>
      </c>
      <c r="F322" s="142">
        <v>0</v>
      </c>
      <c r="G322" s="143" t="str">
        <f t="shared" si="143"/>
        <v/>
      </c>
      <c r="H322" s="142">
        <v>0</v>
      </c>
      <c r="I322" s="143" t="str">
        <f t="shared" si="144"/>
        <v/>
      </c>
      <c r="J322" s="142">
        <v>0</v>
      </c>
      <c r="K322" s="143" t="str">
        <f t="shared" si="145"/>
        <v/>
      </c>
      <c r="L322" s="142">
        <v>0</v>
      </c>
      <c r="M322" s="143" t="str">
        <f t="shared" si="146"/>
        <v/>
      </c>
      <c r="N322" s="142">
        <f>+IF(L322&lt;0,0,L322*(1+'[14]Ind. Crecimiento'!$C$10))</f>
        <v>0</v>
      </c>
      <c r="O322" s="143" t="str">
        <f t="shared" si="147"/>
        <v/>
      </c>
      <c r="P322" s="142">
        <f>+IF(N322&lt;0,0,N322*(1+'[14]Ind. Crecimiento'!$D$10))</f>
        <v>0</v>
      </c>
      <c r="Q322" s="143" t="str">
        <f t="shared" si="148"/>
        <v/>
      </c>
      <c r="R322" s="142">
        <f>+IF(P322&lt;0,0,P322*(1+'[14]Ind. Crecimiento'!$E$10))</f>
        <v>0</v>
      </c>
      <c r="S322" s="143" t="str">
        <f t="shared" si="149"/>
        <v/>
      </c>
      <c r="T322" s="142">
        <f>+IF(R322&lt;0,0,R322*(1+'[14]Ind. Crecimiento'!$F$10))</f>
        <v>0</v>
      </c>
      <c r="U322" s="143" t="str">
        <f t="shared" si="150"/>
        <v/>
      </c>
      <c r="V322" s="142">
        <f>+IF(T322&lt;0,0,T322*(1+'[14]Ind. Crecimiento'!$G$10))</f>
        <v>0</v>
      </c>
      <c r="W322" s="143" t="str">
        <f t="shared" si="151"/>
        <v/>
      </c>
    </row>
    <row r="323" spans="2:23" ht="14.25" outlineLevel="1">
      <c r="B323" s="120"/>
      <c r="C323" s="44">
        <v>5395080000</v>
      </c>
      <c r="D323" s="27" t="s">
        <v>376</v>
      </c>
      <c r="E323" s="142">
        <v>0</v>
      </c>
      <c r="F323" s="142">
        <v>35.287999999999997</v>
      </c>
      <c r="G323" s="143" t="str">
        <f t="shared" si="143"/>
        <v/>
      </c>
      <c r="H323" s="142">
        <v>0</v>
      </c>
      <c r="I323" s="143" t="str">
        <f t="shared" si="144"/>
        <v/>
      </c>
      <c r="J323" s="142">
        <v>0</v>
      </c>
      <c r="K323" s="143" t="str">
        <f t="shared" si="145"/>
        <v/>
      </c>
      <c r="L323" s="142">
        <v>0</v>
      </c>
      <c r="M323" s="143" t="str">
        <f t="shared" si="146"/>
        <v/>
      </c>
      <c r="N323" s="142">
        <f>+IF(L323&lt;0,0,L323*(1+'[14]Ind. Crecimiento'!$C$10))</f>
        <v>0</v>
      </c>
      <c r="O323" s="143" t="str">
        <f t="shared" si="147"/>
        <v/>
      </c>
      <c r="P323" s="142">
        <f>+IF(N323&lt;0,0,N323*(1+'[14]Ind. Crecimiento'!$D$10))</f>
        <v>0</v>
      </c>
      <c r="Q323" s="143" t="str">
        <f t="shared" si="148"/>
        <v/>
      </c>
      <c r="R323" s="142">
        <f>+IF(P323&lt;0,0,P323*(1+'[14]Ind. Crecimiento'!$E$10))</f>
        <v>0</v>
      </c>
      <c r="S323" s="143" t="str">
        <f t="shared" si="149"/>
        <v/>
      </c>
      <c r="T323" s="142">
        <f>+IF(R323&lt;0,0,R323*(1+'[14]Ind. Crecimiento'!$F$10))</f>
        <v>0</v>
      </c>
      <c r="U323" s="143" t="str">
        <f t="shared" si="150"/>
        <v/>
      </c>
      <c r="V323" s="142">
        <f>+IF(T323&lt;0,0,T323*(1+'[14]Ind. Crecimiento'!$G$10))</f>
        <v>0</v>
      </c>
      <c r="W323" s="143" t="str">
        <f t="shared" si="151"/>
        <v/>
      </c>
    </row>
    <row r="324" spans="2:23" ht="15" outlineLevel="1">
      <c r="B324" s="122">
        <v>5395070000</v>
      </c>
      <c r="C324" s="21">
        <v>5395070000</v>
      </c>
      <c r="D324" s="43" t="s">
        <v>377</v>
      </c>
      <c r="E324" s="142">
        <v>0</v>
      </c>
      <c r="F324" s="142">
        <v>1.5299999999115243E-4</v>
      </c>
      <c r="G324" s="143" t="str">
        <f t="shared" si="143"/>
        <v/>
      </c>
      <c r="H324" s="142">
        <v>0</v>
      </c>
      <c r="I324" s="143" t="str">
        <f t="shared" si="144"/>
        <v/>
      </c>
      <c r="J324" s="142">
        <v>0</v>
      </c>
      <c r="K324" s="143" t="str">
        <f t="shared" si="145"/>
        <v/>
      </c>
      <c r="L324" s="142">
        <v>0</v>
      </c>
      <c r="M324" s="143" t="str">
        <f t="shared" si="146"/>
        <v/>
      </c>
      <c r="N324" s="142">
        <f>+IF(L324&lt;0,0,L324*(1+'[14]Ind. Crecimiento'!$C$10))</f>
        <v>0</v>
      </c>
      <c r="O324" s="143" t="str">
        <f t="shared" si="147"/>
        <v/>
      </c>
      <c r="P324" s="142">
        <f>+IF(N324&lt;0,0,N324*(1+'[14]Ind. Crecimiento'!$D$10))</f>
        <v>0</v>
      </c>
      <c r="Q324" s="143" t="str">
        <f t="shared" si="148"/>
        <v/>
      </c>
      <c r="R324" s="142">
        <f>+IF(P324&lt;0,0,P324*(1+'[14]Ind. Crecimiento'!$E$10))</f>
        <v>0</v>
      </c>
      <c r="S324" s="143" t="str">
        <f t="shared" si="149"/>
        <v/>
      </c>
      <c r="T324" s="142">
        <f>+IF(R324&lt;0,0,R324*(1+'[14]Ind. Crecimiento'!$F$10))</f>
        <v>0</v>
      </c>
      <c r="U324" s="143" t="str">
        <f t="shared" si="150"/>
        <v/>
      </c>
      <c r="V324" s="142">
        <f>+IF(T324&lt;0,0,T324*(1+'[14]Ind. Crecimiento'!$G$10))</f>
        <v>0</v>
      </c>
      <c r="W324" s="143" t="str">
        <f t="shared" si="151"/>
        <v/>
      </c>
    </row>
    <row r="325" spans="2:23" ht="14.25" outlineLevel="1">
      <c r="B325" s="115">
        <v>6160050200</v>
      </c>
      <c r="C325" s="21">
        <v>6160050100</v>
      </c>
      <c r="D325" s="27" t="s">
        <v>378</v>
      </c>
      <c r="E325" s="142">
        <v>3.2759999999999998</v>
      </c>
      <c r="F325" s="142">
        <v>3.9039999999999999</v>
      </c>
      <c r="G325" s="143">
        <f t="shared" si="143"/>
        <v>0.19169719169719168</v>
      </c>
      <c r="H325" s="142">
        <v>1.9610000000000001</v>
      </c>
      <c r="I325" s="143">
        <f t="shared" si="144"/>
        <v>-0.49769467213114749</v>
      </c>
      <c r="J325" s="142">
        <v>8.0410000000000004</v>
      </c>
      <c r="K325" s="143">
        <f t="shared" si="145"/>
        <v>3.100458949515553</v>
      </c>
      <c r="L325" s="142">
        <v>8.5407603300000012</v>
      </c>
      <c r="M325" s="143">
        <f t="shared" si="146"/>
        <v>6.2151514736973112E-2</v>
      </c>
      <c r="N325" s="142">
        <f>+IF(L325&lt;0,0,L325*(1+'[14]Ind. Crecimiento'!$C$10))</f>
        <v>9.1386135531000026</v>
      </c>
      <c r="O325" s="143">
        <f t="shared" si="147"/>
        <v>7.0000000000000062E-2</v>
      </c>
      <c r="P325" s="142">
        <f>+IF(N325&lt;0,0,N325*(1+'[14]Ind. Crecimiento'!$D$10))</f>
        <v>9.7783165018170042</v>
      </c>
      <c r="Q325" s="143">
        <f t="shared" si="148"/>
        <v>7.0000000000000062E-2</v>
      </c>
      <c r="R325" s="142">
        <f>+IF(P325&lt;0,0,P325*(1+'[14]Ind. Crecimiento'!$E$10))</f>
        <v>10.462798656944194</v>
      </c>
      <c r="S325" s="143">
        <f t="shared" si="149"/>
        <v>7.0000000000000062E-2</v>
      </c>
      <c r="T325" s="142">
        <f>+IF(R325&lt;0,0,R325*(1+'[14]Ind. Crecimiento'!$F$10))</f>
        <v>11.195194562930288</v>
      </c>
      <c r="U325" s="143">
        <f t="shared" si="150"/>
        <v>7.0000000000000062E-2</v>
      </c>
      <c r="V325" s="142">
        <f>+IF(T325&lt;0,0,T325*(1+'[14]Ind. Crecimiento'!$G$10))</f>
        <v>11.97885818233541</v>
      </c>
      <c r="W325" s="143">
        <f t="shared" si="151"/>
        <v>7.0000000000000062E-2</v>
      </c>
    </row>
    <row r="326" spans="2:23" ht="14.25" outlineLevel="1">
      <c r="B326" s="115">
        <v>5395150000</v>
      </c>
      <c r="C326" s="144">
        <v>5395150000</v>
      </c>
      <c r="D326" s="27" t="s">
        <v>621</v>
      </c>
      <c r="E326" s="142">
        <v>40.013813999999996</v>
      </c>
      <c r="F326" s="142">
        <v>0</v>
      </c>
      <c r="G326" s="143" t="str">
        <f t="shared" si="143"/>
        <v/>
      </c>
      <c r="H326" s="142">
        <v>0</v>
      </c>
      <c r="I326" s="143" t="str">
        <f t="shared" si="144"/>
        <v/>
      </c>
      <c r="J326" s="142">
        <v>0</v>
      </c>
      <c r="K326" s="143" t="str">
        <f t="shared" si="145"/>
        <v/>
      </c>
      <c r="L326" s="142">
        <v>0</v>
      </c>
      <c r="M326" s="143" t="str">
        <f t="shared" si="146"/>
        <v/>
      </c>
      <c r="N326" s="142">
        <f>+IF(L326&lt;0,0,L326*(1+'[14]Ind. Crecimiento'!$C$10))</f>
        <v>0</v>
      </c>
      <c r="O326" s="143" t="str">
        <f t="shared" si="147"/>
        <v/>
      </c>
      <c r="P326" s="142">
        <f>+IF(N326&lt;0,0,N326*(1+'[14]Ind. Crecimiento'!$D$10))</f>
        <v>0</v>
      </c>
      <c r="Q326" s="143" t="str">
        <f t="shared" si="148"/>
        <v/>
      </c>
      <c r="R326" s="142">
        <f>+IF(P326&lt;0,0,P326*(1+'[14]Ind. Crecimiento'!$E$10))</f>
        <v>0</v>
      </c>
      <c r="S326" s="143" t="str">
        <f t="shared" si="149"/>
        <v/>
      </c>
      <c r="T326" s="142">
        <f>+IF(R326&lt;0,0,R326*(1+'[14]Ind. Crecimiento'!$F$10))</f>
        <v>0</v>
      </c>
      <c r="U326" s="143" t="str">
        <f t="shared" si="150"/>
        <v/>
      </c>
      <c r="V326" s="142">
        <f>+IF(T326&lt;0,0,T326*(1+'[14]Ind. Crecimiento'!$G$10))</f>
        <v>0</v>
      </c>
      <c r="W326" s="143" t="str">
        <f t="shared" si="151"/>
        <v/>
      </c>
    </row>
    <row r="327" spans="2:23" ht="14.25" outlineLevel="1">
      <c r="B327" s="115">
        <v>5395200000</v>
      </c>
      <c r="C327" s="144">
        <v>5395200000</v>
      </c>
      <c r="D327" s="27" t="s">
        <v>379</v>
      </c>
      <c r="E327" s="142">
        <v>1.425</v>
      </c>
      <c r="F327" s="142">
        <v>0.46200000000000002</v>
      </c>
      <c r="G327" s="143">
        <f t="shared" si="143"/>
        <v>-0.6757894736842105</v>
      </c>
      <c r="H327" s="142">
        <v>84.561999999999998</v>
      </c>
      <c r="I327" s="143">
        <f t="shared" si="144"/>
        <v>182.03463203463201</v>
      </c>
      <c r="J327" s="142">
        <v>37.426000000000002</v>
      </c>
      <c r="K327" s="143">
        <f t="shared" si="145"/>
        <v>-0.55741349542347618</v>
      </c>
      <c r="L327" s="142">
        <v>40.045480810000001</v>
      </c>
      <c r="M327" s="143">
        <f t="shared" si="146"/>
        <v>6.9990937049110302E-2</v>
      </c>
      <c r="N327" s="142">
        <f>+IF(L327&lt;0,0,L327*(1+'[14]Ind. Crecimiento'!$C$10))</f>
        <v>42.848664466700001</v>
      </c>
      <c r="O327" s="143">
        <f t="shared" si="147"/>
        <v>7.0000000000000062E-2</v>
      </c>
      <c r="P327" s="142">
        <f>+IF(N327&lt;0,0,N327*(1+'[14]Ind. Crecimiento'!$D$10))</f>
        <v>45.848070979369005</v>
      </c>
      <c r="Q327" s="143">
        <f t="shared" si="148"/>
        <v>7.0000000000000062E-2</v>
      </c>
      <c r="R327" s="142">
        <f>+IF(P327&lt;0,0,P327*(1+'[14]Ind. Crecimiento'!$E$10))</f>
        <v>49.057435947924837</v>
      </c>
      <c r="S327" s="143">
        <f t="shared" si="149"/>
        <v>7.0000000000000062E-2</v>
      </c>
      <c r="T327" s="142">
        <f>+IF(R327&lt;0,0,R327*(1+'[14]Ind. Crecimiento'!$F$10))</f>
        <v>52.49145646427958</v>
      </c>
      <c r="U327" s="143">
        <f t="shared" si="150"/>
        <v>7.0000000000000062E-2</v>
      </c>
      <c r="V327" s="142">
        <f>+IF(T327&lt;0,0,T327*(1+'[14]Ind. Crecimiento'!$G$10))</f>
        <v>56.165858416779152</v>
      </c>
      <c r="W327" s="143">
        <f t="shared" si="151"/>
        <v>7.0000000000000062E-2</v>
      </c>
    </row>
    <row r="328" spans="2:23" ht="14.25" outlineLevel="1">
      <c r="B328" s="115">
        <v>5395250000</v>
      </c>
      <c r="C328" s="144">
        <v>5395250000</v>
      </c>
      <c r="D328" s="27" t="s">
        <v>380</v>
      </c>
      <c r="E328" s="142">
        <v>0</v>
      </c>
      <c r="F328" s="142">
        <v>0</v>
      </c>
      <c r="G328" s="143"/>
      <c r="H328" s="142">
        <v>10.23</v>
      </c>
      <c r="I328" s="143"/>
      <c r="J328" s="142">
        <v>2.6040000000000001</v>
      </c>
      <c r="K328" s="143"/>
      <c r="L328" s="142">
        <v>2.7862800000000001</v>
      </c>
      <c r="M328" s="143"/>
      <c r="N328" s="142">
        <f>+IF(L328&lt;0,0,L328*(1+'[14]Ind. Crecimiento'!$C$10))</f>
        <v>2.9813196000000004</v>
      </c>
      <c r="O328" s="143"/>
      <c r="P328" s="142">
        <f>+IF(N328&lt;0,0,N328*(1+'[14]Ind. Crecimiento'!$D$10))</f>
        <v>3.1900119720000006</v>
      </c>
      <c r="Q328" s="143"/>
      <c r="R328" s="142">
        <f>+IF(P328&lt;0,0,P328*(1+'[14]Ind. Crecimiento'!$E$10))</f>
        <v>3.4133128100400008</v>
      </c>
      <c r="S328" s="143"/>
      <c r="T328" s="142">
        <f>+IF(R328&lt;0,0,R328*(1+'[14]Ind. Crecimiento'!$F$10))</f>
        <v>3.6522447067428012</v>
      </c>
      <c r="U328" s="143"/>
      <c r="V328" s="142">
        <f>+IF(T328&lt;0,0,T328*(1+'[14]Ind. Crecimiento'!$G$10))</f>
        <v>3.9079018362147977</v>
      </c>
      <c r="W328" s="143"/>
    </row>
    <row r="329" spans="2:23" ht="14.25" outlineLevel="1">
      <c r="B329" s="115">
        <v>5395950200</v>
      </c>
      <c r="C329" s="144">
        <v>5395950200</v>
      </c>
      <c r="D329" s="27" t="s">
        <v>381</v>
      </c>
      <c r="E329" s="142">
        <v>0</v>
      </c>
      <c r="F329" s="142">
        <v>0</v>
      </c>
      <c r="G329" s="143" t="str">
        <f>IF(F329=0,"",IF(E329=0,"",(F329/E329)-1))</f>
        <v/>
      </c>
      <c r="H329" s="142">
        <v>0</v>
      </c>
      <c r="I329" s="143" t="str">
        <f>IF(H329=0,"",IF(F329=0,"",(H329/F329)-1))</f>
        <v/>
      </c>
      <c r="J329" s="142">
        <v>3.012</v>
      </c>
      <c r="K329" s="143" t="str">
        <f>IF(J329=0,"",IF(H329=0,"",(J329/H329)-1))</f>
        <v/>
      </c>
      <c r="L329" s="142">
        <v>3.33</v>
      </c>
      <c r="M329" s="143">
        <f>IF(L329=0,"",IF(J329=0,"",(L329/J329)-1))</f>
        <v>0.10557768924302802</v>
      </c>
      <c r="N329" s="142">
        <f>+IF(L329&lt;0,0,L329*(1+'[14]Ind. Crecimiento'!$C$10))</f>
        <v>3.5631000000000004</v>
      </c>
      <c r="O329" s="143">
        <f>IF(N329=0,"",IF(L329=0,"",(N329/L329)-1))</f>
        <v>7.0000000000000062E-2</v>
      </c>
      <c r="P329" s="142">
        <f>+IF(N329&lt;0,0,N329*(1+'[14]Ind. Crecimiento'!$D$10))</f>
        <v>3.8125170000000006</v>
      </c>
      <c r="Q329" s="143">
        <f>IF(P329=0,"",IF(N329=0,"",(P329/N329)-1))</f>
        <v>7.0000000000000062E-2</v>
      </c>
      <c r="R329" s="142">
        <f>+IF(P329&lt;0,0,P329*(1+'[14]Ind. Crecimiento'!$E$10))</f>
        <v>4.0793931900000011</v>
      </c>
      <c r="S329" s="143">
        <f>IF(R329=0,"",IF(P329=0,"",(R329/P329)-1))</f>
        <v>7.0000000000000062E-2</v>
      </c>
      <c r="T329" s="142">
        <f>+IF(R329&lt;0,0,R329*(1+'[14]Ind. Crecimiento'!$F$10))</f>
        <v>4.3649507133000016</v>
      </c>
      <c r="U329" s="143">
        <f>IF(T329=0,"",IF(R329=0,"",(T329/R329)-1))</f>
        <v>7.0000000000000062E-2</v>
      </c>
      <c r="V329" s="142">
        <f>+IF(T329&lt;0,0,T329*(1+'[14]Ind. Crecimiento'!$G$10))</f>
        <v>4.6704972632310016</v>
      </c>
      <c r="W329" s="143">
        <f>IF(V329=0,"",IF(T329=0,"",(V329/T329)-1))</f>
        <v>7.0000000000000062E-2</v>
      </c>
    </row>
    <row r="330" spans="2:23" ht="14.25" outlineLevel="1">
      <c r="B330" s="115">
        <v>5395950100</v>
      </c>
      <c r="C330" s="21">
        <v>5395950100</v>
      </c>
      <c r="D330" s="27" t="s">
        <v>622</v>
      </c>
      <c r="E330" s="142">
        <v>0</v>
      </c>
      <c r="F330" s="142">
        <v>8.8689999999999998</v>
      </c>
      <c r="G330" s="143" t="str">
        <f>IF(F330=0,"",IF(E330=0,"",(F330/E330)-1))</f>
        <v/>
      </c>
      <c r="H330" s="142">
        <v>0</v>
      </c>
      <c r="I330" s="143" t="str">
        <f>IF(H330=0,"",IF(F330=0,"",(H330/F330)-1))</f>
        <v/>
      </c>
      <c r="J330" s="142">
        <v>0</v>
      </c>
      <c r="K330" s="143" t="str">
        <f>IF(J330=0,"",IF(H330=0,"",(J330/H330)-1))</f>
        <v/>
      </c>
      <c r="L330" s="142">
        <v>0</v>
      </c>
      <c r="M330" s="143" t="str">
        <f>IF(L330=0,"",IF(J330=0,"",(L330/J330)-1))</f>
        <v/>
      </c>
      <c r="N330" s="142">
        <f>+IF(L330&lt;0,0,L330*(1+'[14]Ind. Crecimiento'!$C$10))</f>
        <v>0</v>
      </c>
      <c r="O330" s="143" t="str">
        <f>IF(N330=0,"",IF(L330=0,"",(N330/L330)-1))</f>
        <v/>
      </c>
      <c r="P330" s="142">
        <f>+IF(N330&lt;0,0,N330*(1+'[14]Ind. Crecimiento'!$D$10))</f>
        <v>0</v>
      </c>
      <c r="Q330" s="143" t="str">
        <f>IF(P330=0,"",IF(N330=0,"",(P330/N330)-1))</f>
        <v/>
      </c>
      <c r="R330" s="142">
        <f>+IF(P330&lt;0,0,P330*(1+'[14]Ind. Crecimiento'!$E$10))</f>
        <v>0</v>
      </c>
      <c r="S330" s="143" t="str">
        <f>IF(R330=0,"",IF(P330=0,"",(R330/P330)-1))</f>
        <v/>
      </c>
      <c r="T330" s="142">
        <f>+IF(R330&lt;0,0,R330*(1+'[14]Ind. Crecimiento'!$F$10))</f>
        <v>0</v>
      </c>
      <c r="U330" s="143" t="str">
        <f>IF(T330=0,"",IF(R330=0,"",(T330/R330)-1))</f>
        <v/>
      </c>
      <c r="V330" s="142">
        <f>+IF(T330&lt;0,0,T330*(1+'[14]Ind. Crecimiento'!$G$10))</f>
        <v>0</v>
      </c>
      <c r="W330" s="143" t="str">
        <f>IF(V330=0,"",IF(T330=0,"",(V330/T330)-1))</f>
        <v/>
      </c>
    </row>
    <row r="331" spans="2:23" ht="14.25" outlineLevel="1">
      <c r="B331" s="115">
        <v>5395950000</v>
      </c>
      <c r="C331" s="21">
        <v>5395950000</v>
      </c>
      <c r="D331" s="27" t="s">
        <v>370</v>
      </c>
      <c r="E331" s="142">
        <v>0</v>
      </c>
      <c r="F331" s="142">
        <v>4</v>
      </c>
      <c r="G331" s="143" t="str">
        <f>IF(F331=0,"",IF(E331=0,"",(F331/E331)-1))</f>
        <v/>
      </c>
      <c r="H331" s="142">
        <v>0</v>
      </c>
      <c r="I331" s="143" t="str">
        <f>IF(H331=0,"",IF(F331=0,"",(H331/F331)-1))</f>
        <v/>
      </c>
      <c r="J331" s="142">
        <v>0</v>
      </c>
      <c r="K331" s="143" t="str">
        <f>IF(J331=0,"",IF(H331=0,"",(J331/H331)-1))</f>
        <v/>
      </c>
      <c r="L331" s="142">
        <v>216.47375400000001</v>
      </c>
      <c r="M331" s="143" t="str">
        <f>IF(L331=0,"",IF(J331=0,"",(L331/J331)-1))</f>
        <v/>
      </c>
      <c r="N331" s="142">
        <f>+IF(L331&lt;0,0,L331*(1+'[14]Ind. Crecimiento'!$C$10))</f>
        <v>231.62691678000002</v>
      </c>
      <c r="O331" s="143">
        <f>IF(N331=0,"",IF(L331=0,"",(N331/L331)-1))</f>
        <v>7.0000000000000062E-2</v>
      </c>
      <c r="P331" s="142">
        <f>+IF(N331&lt;0,0,N331*(1+'[14]Ind. Crecimiento'!$D$10))</f>
        <v>247.84080095460004</v>
      </c>
      <c r="Q331" s="143">
        <f>IF(P331=0,"",IF(N331=0,"",(P331/N331)-1))</f>
        <v>7.0000000000000062E-2</v>
      </c>
      <c r="R331" s="142">
        <f>+IF(P331&lt;0,0,P331*(1+'[14]Ind. Crecimiento'!$E$10))</f>
        <v>265.18965702142208</v>
      </c>
      <c r="S331" s="143">
        <f>IF(R331=0,"",IF(P331=0,"",(R331/P331)-1))</f>
        <v>7.0000000000000062E-2</v>
      </c>
      <c r="T331" s="142">
        <f>+IF(R331&lt;0,0,R331*(1+'[14]Ind. Crecimiento'!$F$10))</f>
        <v>283.75293301292163</v>
      </c>
      <c r="U331" s="143">
        <f>IF(T331=0,"",IF(R331=0,"",(T331/R331)-1))</f>
        <v>7.0000000000000062E-2</v>
      </c>
      <c r="V331" s="142">
        <f>+IF(T331&lt;0,0,T331*(1+'[14]Ind. Crecimiento'!$G$10))</f>
        <v>303.61563832382615</v>
      </c>
      <c r="W331" s="143">
        <f>IF(V331=0,"",IF(T331=0,"",(V331/T331)-1))</f>
        <v>7.0000000000000062E-2</v>
      </c>
    </row>
    <row r="332" spans="2:23" ht="14.25">
      <c r="C332" s="34"/>
      <c r="D332" s="30" t="s">
        <v>382</v>
      </c>
      <c r="E332" s="36">
        <f t="shared" ref="E332:V332" si="152">SUM(E279:E331)</f>
        <v>1389.9684520000001</v>
      </c>
      <c r="F332" s="36">
        <f t="shared" si="152"/>
        <v>1623.6818880000001</v>
      </c>
      <c r="G332" s="152">
        <f>IF(F332=0,"",IF(E332=0,"",(F332/E332)-1))</f>
        <v>0.16814297883071672</v>
      </c>
      <c r="H332" s="36">
        <f t="shared" si="152"/>
        <v>1811.9647949999999</v>
      </c>
      <c r="I332" s="152">
        <f>IF(H332=0,"",IF(F332=0,"",(H332/F332)-1))</f>
        <v>0.1159604651573225</v>
      </c>
      <c r="J332" s="36">
        <f t="shared" si="152"/>
        <v>2016.298</v>
      </c>
      <c r="K332" s="152">
        <f>IF(J332=0,"",IF(H332=0,"",(J332/H332)-1))</f>
        <v>0.11276886039057965</v>
      </c>
      <c r="L332" s="36">
        <f t="shared" si="152"/>
        <v>4519.5122693400008</v>
      </c>
      <c r="M332" s="152">
        <f>IF(L332=0,"",IF(J332=0,"",(L332/J332)-1))</f>
        <v>1.2414902307793794</v>
      </c>
      <c r="N332" s="36">
        <f t="shared" si="152"/>
        <v>4488.6901672926206</v>
      </c>
      <c r="O332" s="152">
        <f>IF(N332=0,"",IF(L332=0,"",(N332/L332)-1))</f>
        <v>-6.8197850145190753E-3</v>
      </c>
      <c r="P332" s="36">
        <f t="shared" si="152"/>
        <v>4599.6953697399031</v>
      </c>
      <c r="Q332" s="152">
        <f>IF(P332=0,"",IF(N332=0,"",(P332/N332)-1))</f>
        <v>2.4729976521020491E-2</v>
      </c>
      <c r="R332" s="36">
        <f t="shared" si="152"/>
        <v>4565.8524431594897</v>
      </c>
      <c r="S332" s="152">
        <f>IF(R332=0,"",IF(P332=0,"",(R332/P332)-1))</f>
        <v>-7.3576452047360297E-3</v>
      </c>
      <c r="T332" s="36">
        <f t="shared" si="152"/>
        <v>4480.5366493109805</v>
      </c>
      <c r="U332" s="152">
        <f>IF(T332=0,"",IF(R332=0,"",(T332/R332)-1))</f>
        <v>-1.8685622216357056E-2</v>
      </c>
      <c r="V332" s="36">
        <f t="shared" si="152"/>
        <v>4386.9170050982266</v>
      </c>
      <c r="W332" s="152">
        <f>IF(V332=0,"",IF(T332=0,"",(V332/T332)-1))</f>
        <v>-2.0894739077103819E-2</v>
      </c>
    </row>
    <row r="333" spans="2:23" s="46" customFormat="1" ht="15">
      <c r="B333" s="115"/>
      <c r="C333" s="45" t="s">
        <v>290</v>
      </c>
      <c r="D333" s="159" t="s">
        <v>623</v>
      </c>
      <c r="E333" s="31">
        <f t="shared" ref="E333:V333" si="153">+E276+E332</f>
        <v>79937.620711999989</v>
      </c>
      <c r="F333" s="31">
        <f t="shared" si="153"/>
        <v>93113.411880000014</v>
      </c>
      <c r="G333" s="158">
        <f>IF(F333=0,"",IF(E333=0,"",(F333/E333)-1))</f>
        <v>0.16482591113725897</v>
      </c>
      <c r="H333" s="31">
        <f t="shared" si="153"/>
        <v>113141.43531699997</v>
      </c>
      <c r="I333" s="158">
        <f>IF(H333=0,"",IF(F333=0,"",(H333/F333)-1))</f>
        <v>0.21509278881125193</v>
      </c>
      <c r="J333" s="31">
        <f t="shared" si="153"/>
        <v>128986.83721400001</v>
      </c>
      <c r="K333" s="158">
        <f>IF(J333=0,"",IF(H333=0,"",(J333/H333)-1))</f>
        <v>0.14004950399121552</v>
      </c>
      <c r="L333" s="31">
        <f t="shared" si="153"/>
        <v>147308.23875852744</v>
      </c>
      <c r="M333" s="158">
        <f>IF(L333=0,"",IF(J333=0,"",(L333/J333)-1))</f>
        <v>0.14204086199997823</v>
      </c>
      <c r="N333" s="31">
        <f t="shared" si="153"/>
        <v>165494.59324898763</v>
      </c>
      <c r="O333" s="158">
        <f>IF(N333=0,"",IF(L333=0,"",(N333/L333)-1))</f>
        <v>0.12345782315863452</v>
      </c>
      <c r="P333" s="31">
        <f t="shared" si="153"/>
        <v>185446.36407566402</v>
      </c>
      <c r="Q333" s="158">
        <f>IF(P333=0,"",IF(N333=0,"",(P333/N333)-1))</f>
        <v>0.12055844505239421</v>
      </c>
      <c r="R333" s="31">
        <f t="shared" si="153"/>
        <v>207328.32154386002</v>
      </c>
      <c r="S333" s="158">
        <f>IF(R333=0,"",IF(P333=0,"",(R333/P333)-1))</f>
        <v>0.11799615256553597</v>
      </c>
      <c r="T333" s="31">
        <f t="shared" si="153"/>
        <v>229619.36912315589</v>
      </c>
      <c r="U333" s="158">
        <f>IF(T333=0,"",IF(R333=0,"",(T333/R333)-1))</f>
        <v>0.10751569015418005</v>
      </c>
      <c r="V333" s="31">
        <f t="shared" si="153"/>
        <v>253485.70957841471</v>
      </c>
      <c r="W333" s="158">
        <f>IF(V333=0,"",IF(T333=0,"",(V333/T333)-1))</f>
        <v>0.10393870755066037</v>
      </c>
    </row>
    <row r="334" spans="2:23" ht="14.25" outlineLevel="1">
      <c r="C334" s="21"/>
      <c r="D334" s="26" t="s">
        <v>383</v>
      </c>
      <c r="E334" s="154"/>
      <c r="F334" s="154"/>
      <c r="G334" s="155"/>
      <c r="H334" s="154"/>
      <c r="I334" s="155"/>
      <c r="J334" s="154"/>
      <c r="K334" s="155"/>
      <c r="L334" s="154"/>
      <c r="M334" s="155"/>
      <c r="N334" s="154"/>
      <c r="O334" s="155"/>
      <c r="P334" s="154"/>
      <c r="Q334" s="155"/>
      <c r="R334" s="154"/>
      <c r="S334" s="155"/>
      <c r="T334" s="154"/>
      <c r="U334" s="155"/>
      <c r="V334" s="154"/>
      <c r="W334" s="155"/>
    </row>
    <row r="335" spans="2:23" ht="14.25" outlineLevel="1">
      <c r="B335" s="115">
        <v>1524050000</v>
      </c>
      <c r="C335" s="21">
        <v>1524050000</v>
      </c>
      <c r="D335" s="47" t="s">
        <v>384</v>
      </c>
      <c r="E335" s="142">
        <v>1426.752</v>
      </c>
      <c r="F335" s="142">
        <v>2264.3910000000001</v>
      </c>
      <c r="G335" s="143">
        <f t="shared" ref="G335:G346" si="154">IF(F335=0,"",IF(E335=0,"",(F335/E335)-1))</f>
        <v>0.58709502422285031</v>
      </c>
      <c r="H335" s="142">
        <v>1570.223</v>
      </c>
      <c r="I335" s="143">
        <f t="shared" ref="I335:I346" si="155">IF(H335=0,"",IF(F335=0,"",(H335/F335)-1))</f>
        <v>-0.3065583638161431</v>
      </c>
      <c r="J335" s="142">
        <v>723.5</v>
      </c>
      <c r="K335" s="143">
        <f t="shared" ref="K335:K346" si="156">IF(J335=0,"",IF(H335=0,"",(J335/H335)-1))</f>
        <v>-0.53923742041735467</v>
      </c>
      <c r="L335" s="142">
        <v>800</v>
      </c>
      <c r="M335" s="143">
        <f t="shared" ref="M335:M346" si="157">IF(L335=0,"",IF(J335=0,"",(L335/J335)-1))</f>
        <v>0.10573600552868001</v>
      </c>
      <c r="N335" s="142">
        <f>+IF(L335&lt;0,0,L335*(1+'[14]Ind. Crecimiento'!$C$11))</f>
        <v>832</v>
      </c>
      <c r="O335" s="143">
        <f t="shared" ref="O335:W351" si="158">IF(N335=0,"",IF(L335=0,"",(N335/L335)-1))</f>
        <v>4.0000000000000036E-2</v>
      </c>
      <c r="P335" s="142">
        <f>+IF(N335&lt;0,0,N335*(1+'[14]Ind. Crecimiento'!$D$11))</f>
        <v>865.28</v>
      </c>
      <c r="Q335" s="143">
        <f t="shared" ref="Q335:Q346" si="159">IF(P335=0,"",IF(N335=0,"",(P335/N335)-1))</f>
        <v>4.0000000000000036E-2</v>
      </c>
      <c r="R335" s="142">
        <f>+IF(P335&lt;0,0,P335*(1+'[14]Ind. Crecimiento'!$E$11))</f>
        <v>899.89120000000003</v>
      </c>
      <c r="S335" s="143">
        <f t="shared" ref="S335:S346" si="160">IF(R335=0,"",IF(P335=0,"",(R335/P335)-1))</f>
        <v>4.0000000000000036E-2</v>
      </c>
      <c r="T335" s="142">
        <f>+IF(R335&lt;0,0,R335*(1+'[14]Ind. Crecimiento'!$F$11))</f>
        <v>935.8868480000001</v>
      </c>
      <c r="U335" s="143">
        <f t="shared" ref="U335:U346" si="161">IF(T335=0,"",IF(R335=0,"",(T335/R335)-1))</f>
        <v>4.0000000000000036E-2</v>
      </c>
      <c r="V335" s="142">
        <f>+IF(T335&lt;0,0,T335*(1+'[14]Ind. Crecimiento'!$G$11))</f>
        <v>973.32232192000015</v>
      </c>
      <c r="W335" s="143">
        <f t="shared" ref="W335:W346" si="162">IF(V335=0,"",IF(T335=0,"",(V335/T335)-1))</f>
        <v>4.0000000000000036E-2</v>
      </c>
    </row>
    <row r="336" spans="2:23" ht="14.25" outlineLevel="1">
      <c r="C336" s="21"/>
      <c r="D336" s="26" t="s">
        <v>624</v>
      </c>
      <c r="E336" s="142"/>
      <c r="F336" s="142"/>
      <c r="G336" s="143"/>
      <c r="H336" s="142"/>
      <c r="I336" s="143"/>
      <c r="J336" s="142"/>
      <c r="K336" s="143"/>
      <c r="L336" s="142"/>
      <c r="M336" s="143"/>
      <c r="N336" s="142">
        <v>444</v>
      </c>
      <c r="O336" s="143"/>
      <c r="P336" s="142">
        <v>927</v>
      </c>
      <c r="Q336" s="143"/>
      <c r="R336" s="142">
        <v>1217</v>
      </c>
      <c r="S336" s="143"/>
      <c r="T336" s="142">
        <v>1618</v>
      </c>
      <c r="U336" s="143"/>
      <c r="V336" s="142">
        <v>1647</v>
      </c>
      <c r="W336" s="143"/>
    </row>
    <row r="337" spans="2:26" ht="14.25" outlineLevel="1">
      <c r="B337" s="115">
        <v>1528050000</v>
      </c>
      <c r="C337" s="48">
        <v>1528050000</v>
      </c>
      <c r="D337" s="47" t="s">
        <v>385</v>
      </c>
      <c r="E337" s="142">
        <v>1344.617</v>
      </c>
      <c r="F337" s="142">
        <v>1763.2840000000001</v>
      </c>
      <c r="G337" s="143">
        <f t="shared" si="154"/>
        <v>0.31136524378317398</v>
      </c>
      <c r="H337" s="142">
        <v>2620.84</v>
      </c>
      <c r="I337" s="143">
        <f t="shared" si="155"/>
        <v>0.4863402605592746</v>
      </c>
      <c r="J337" s="142">
        <v>1590.26</v>
      </c>
      <c r="K337" s="143">
        <f t="shared" si="156"/>
        <v>-0.39322507287739816</v>
      </c>
      <c r="L337" s="142">
        <v>2099.9998500000002</v>
      </c>
      <c r="M337" s="143">
        <f t="shared" si="157"/>
        <v>0.32053868549796904</v>
      </c>
      <c r="N337" s="142">
        <f>+IF(L337&lt;0,0,L337*(1+'[14]Ind. Crecimiento'!$C$11))</f>
        <v>2183.9998440000004</v>
      </c>
      <c r="O337" s="143">
        <f t="shared" si="158"/>
        <v>4.0000000000000036E-2</v>
      </c>
      <c r="P337" s="142">
        <f>+IF(N337&lt;0,0,N337*(1+'[14]Ind. Crecimiento'!$D$11))</f>
        <v>2271.3598377600006</v>
      </c>
      <c r="Q337" s="143">
        <f t="shared" si="159"/>
        <v>4.0000000000000036E-2</v>
      </c>
      <c r="R337" s="142">
        <f>+IF(P337&lt;0,0,P337*(1+'[14]Ind. Crecimiento'!$E$11))</f>
        <v>2362.2142312704009</v>
      </c>
      <c r="S337" s="143">
        <f t="shared" si="160"/>
        <v>4.0000000000000036E-2</v>
      </c>
      <c r="T337" s="142">
        <f>+IF(R337&lt;0,0,R337*(1+'[14]Ind. Crecimiento'!$F$11))</f>
        <v>2456.7028005212169</v>
      </c>
      <c r="U337" s="143">
        <f t="shared" si="161"/>
        <v>4.0000000000000036E-2</v>
      </c>
      <c r="V337" s="142">
        <f>+IF(T337&lt;0,0,T337*(1+'[14]Ind. Crecimiento'!$G$11))</f>
        <v>2554.9709125420654</v>
      </c>
      <c r="W337" s="143">
        <f t="shared" si="162"/>
        <v>4.0000000000000036E-2</v>
      </c>
    </row>
    <row r="338" spans="2:26" ht="14.25" outlineLevel="1">
      <c r="B338" s="115">
        <v>1532050000</v>
      </c>
      <c r="C338" s="21">
        <v>1532050000</v>
      </c>
      <c r="D338" s="47" t="s">
        <v>386</v>
      </c>
      <c r="E338" s="142">
        <v>3352.6979999999999</v>
      </c>
      <c r="F338" s="142">
        <v>3390.7429999999999</v>
      </c>
      <c r="G338" s="143">
        <f t="shared" si="154"/>
        <v>1.1347577383945762E-2</v>
      </c>
      <c r="H338" s="142">
        <v>2081.7449999999999</v>
      </c>
      <c r="I338" s="143">
        <f t="shared" si="155"/>
        <v>-0.38605049099858058</v>
      </c>
      <c r="J338" s="142">
        <v>2840.5189999999998</v>
      </c>
      <c r="K338" s="143">
        <f t="shared" si="156"/>
        <v>0.36448940672368613</v>
      </c>
      <c r="L338" s="142">
        <v>3600.0003059999999</v>
      </c>
      <c r="M338" s="143">
        <f t="shared" si="157"/>
        <v>0.26737413338900407</v>
      </c>
      <c r="N338" s="142">
        <f>+IF(L338&lt;0,0,L338*(1+'[14]Ind. Crecimiento'!$C$11))</f>
        <v>3744.0003182400001</v>
      </c>
      <c r="O338" s="143">
        <f t="shared" si="158"/>
        <v>4.0000000000000036E-2</v>
      </c>
      <c r="P338" s="142">
        <f>+IF(N338&lt;0,0,N338*(1+'[14]Ind. Crecimiento'!$D$11))</f>
        <v>3893.7603309696001</v>
      </c>
      <c r="Q338" s="143">
        <f t="shared" si="159"/>
        <v>4.0000000000000036E-2</v>
      </c>
      <c r="R338" s="142">
        <f>+IF(P338&lt;0,0,P338*(1+'[14]Ind. Crecimiento'!$E$11))</f>
        <v>4049.510744208384</v>
      </c>
      <c r="S338" s="143">
        <f t="shared" si="160"/>
        <v>4.0000000000000036E-2</v>
      </c>
      <c r="T338" s="142">
        <f>+IF(R338&lt;0,0,R338*(1+'[14]Ind. Crecimiento'!$F$11))</f>
        <v>4211.4911739767194</v>
      </c>
      <c r="U338" s="143">
        <f t="shared" si="161"/>
        <v>4.0000000000000036E-2</v>
      </c>
      <c r="V338" s="142">
        <f>+IF(T338&lt;0,0,T338*(1+'[14]Ind. Crecimiento'!$G$11))</f>
        <v>4379.9508209357882</v>
      </c>
      <c r="W338" s="143">
        <f t="shared" si="162"/>
        <v>4.0000000000000036E-2</v>
      </c>
    </row>
    <row r="339" spans="2:26" ht="14.25" outlineLevel="1">
      <c r="B339" s="115">
        <v>1550150000</v>
      </c>
      <c r="C339" s="21">
        <v>1550150000</v>
      </c>
      <c r="D339" s="47" t="s">
        <v>387</v>
      </c>
      <c r="E339" s="142">
        <v>2718.3980000000001</v>
      </c>
      <c r="F339" s="142">
        <v>5752.5069999999996</v>
      </c>
      <c r="G339" s="143">
        <f t="shared" si="154"/>
        <v>1.1161386228212349</v>
      </c>
      <c r="H339" s="142">
        <v>4415.9340000000002</v>
      </c>
      <c r="I339" s="143">
        <f t="shared" si="155"/>
        <v>-0.23234617532842627</v>
      </c>
      <c r="J339" s="142">
        <v>1999.961</v>
      </c>
      <c r="K339" s="143">
        <f t="shared" si="156"/>
        <v>-0.54710351196372042</v>
      </c>
      <c r="L339" s="142">
        <v>2000</v>
      </c>
      <c r="M339" s="143">
        <f t="shared" si="157"/>
        <v>1.9500380257442274E-5</v>
      </c>
      <c r="N339" s="142">
        <f>+IF(L339&lt;0,0,L339*(1+'[14]Ind. Crecimiento'!$C$11))</f>
        <v>2080</v>
      </c>
      <c r="O339" s="143">
        <f t="shared" si="158"/>
        <v>4.0000000000000036E-2</v>
      </c>
      <c r="P339" s="142">
        <f>+IF(N339&lt;0,0,N339*(1+'[14]Ind. Crecimiento'!$D$11))</f>
        <v>2163.2000000000003</v>
      </c>
      <c r="Q339" s="143">
        <f t="shared" si="159"/>
        <v>4.0000000000000036E-2</v>
      </c>
      <c r="R339" s="142">
        <f>+IF(P339&lt;0,0,P339*(1+'[14]Ind. Crecimiento'!$E$11))</f>
        <v>2249.7280000000005</v>
      </c>
      <c r="S339" s="143">
        <f t="shared" si="160"/>
        <v>4.0000000000000036E-2</v>
      </c>
      <c r="T339" s="142">
        <f>+IF(R339&lt;0,0,R339*(1+'[14]Ind. Crecimiento'!$F$11))</f>
        <v>2339.7171200000007</v>
      </c>
      <c r="U339" s="143">
        <f t="shared" si="161"/>
        <v>4.0000000000000036E-2</v>
      </c>
      <c r="V339" s="142">
        <f>+IF(T339&lt;0,0,T339*(1+'[14]Ind. Crecimiento'!$G$11))</f>
        <v>2433.3058048000007</v>
      </c>
      <c r="W339" s="143">
        <f t="shared" si="162"/>
        <v>4.0000000000000036E-2</v>
      </c>
    </row>
    <row r="340" spans="2:26" ht="14.25">
      <c r="C340" s="34"/>
      <c r="D340" s="49" t="s">
        <v>388</v>
      </c>
      <c r="E340" s="36">
        <f t="shared" ref="E340:V340" si="163">SUM(E335:E339)</f>
        <v>8842.4650000000001</v>
      </c>
      <c r="F340" s="36">
        <f t="shared" si="163"/>
        <v>13170.924999999999</v>
      </c>
      <c r="G340" s="152">
        <f t="shared" si="154"/>
        <v>0.48950829887367364</v>
      </c>
      <c r="H340" s="36">
        <f t="shared" si="163"/>
        <v>10688.742</v>
      </c>
      <c r="I340" s="152">
        <f t="shared" si="155"/>
        <v>-0.18845927677820651</v>
      </c>
      <c r="J340" s="36">
        <f t="shared" si="163"/>
        <v>7154.2400000000007</v>
      </c>
      <c r="K340" s="152">
        <f t="shared" si="156"/>
        <v>-0.33067520948676654</v>
      </c>
      <c r="L340" s="36">
        <f t="shared" si="163"/>
        <v>8500.0001560000001</v>
      </c>
      <c r="M340" s="152">
        <f t="shared" si="157"/>
        <v>0.18810665507447322</v>
      </c>
      <c r="N340" s="36">
        <f t="shared" si="163"/>
        <v>9284.0001622400014</v>
      </c>
      <c r="O340" s="152">
        <f t="shared" si="158"/>
        <v>9.2235293158976051E-2</v>
      </c>
      <c r="P340" s="36">
        <f t="shared" si="163"/>
        <v>10120.600168729601</v>
      </c>
      <c r="Q340" s="152">
        <f t="shared" si="159"/>
        <v>9.0112019805022037E-2</v>
      </c>
      <c r="R340" s="36">
        <f t="shared" si="163"/>
        <v>10778.344175478785</v>
      </c>
      <c r="S340" s="152">
        <f t="shared" si="160"/>
        <v>6.4990612788109914E-2</v>
      </c>
      <c r="T340" s="36">
        <f t="shared" si="163"/>
        <v>11561.797942497938</v>
      </c>
      <c r="U340" s="152">
        <f t="shared" si="161"/>
        <v>7.2687766716667435E-2</v>
      </c>
      <c r="V340" s="36">
        <f t="shared" si="163"/>
        <v>11988.549860197854</v>
      </c>
      <c r="W340" s="152">
        <f t="shared" si="162"/>
        <v>3.6910515113855791E-2</v>
      </c>
    </row>
    <row r="341" spans="2:26" ht="14.25" outlineLevel="1">
      <c r="C341" s="21"/>
      <c r="D341" s="47" t="s">
        <v>625</v>
      </c>
      <c r="E341" s="142">
        <v>2654.636</v>
      </c>
      <c r="F341" s="142">
        <v>0</v>
      </c>
      <c r="G341" s="143" t="str">
        <f t="shared" si="154"/>
        <v/>
      </c>
      <c r="H341" s="142">
        <v>0</v>
      </c>
      <c r="I341" s="143" t="str">
        <f t="shared" si="155"/>
        <v/>
      </c>
      <c r="J341" s="142">
        <v>0</v>
      </c>
      <c r="K341" s="143" t="str">
        <f t="shared" si="156"/>
        <v/>
      </c>
      <c r="L341" s="142">
        <v>0</v>
      </c>
      <c r="M341" s="143" t="str">
        <f t="shared" si="157"/>
        <v/>
      </c>
      <c r="N341" s="142">
        <v>0</v>
      </c>
      <c r="O341" s="143" t="str">
        <f t="shared" si="158"/>
        <v/>
      </c>
      <c r="P341" s="142">
        <f>+IF(N341&lt;0,0,N341*(1+'[14]Ind. Crecimiento'!$D$12))</f>
        <v>0</v>
      </c>
      <c r="Q341" s="143" t="str">
        <f t="shared" si="159"/>
        <v/>
      </c>
      <c r="R341" s="142">
        <f>+IF(P341&lt;0,0,P341*(1+'[14]Ind. Crecimiento'!$E$12))</f>
        <v>0</v>
      </c>
      <c r="S341" s="143" t="str">
        <f t="shared" si="160"/>
        <v/>
      </c>
      <c r="T341" s="142">
        <f>+IF(R341&lt;0,0,R341*(1+'[14]Ind. Crecimiento'!$F$12))</f>
        <v>0</v>
      </c>
      <c r="U341" s="143" t="str">
        <f t="shared" si="161"/>
        <v/>
      </c>
      <c r="V341" s="142">
        <f>+IF(T341&lt;0,0,T341*(1+'[14]Ind. Crecimiento'!$G$12))</f>
        <v>0</v>
      </c>
      <c r="W341" s="143" t="str">
        <f t="shared" si="162"/>
        <v/>
      </c>
      <c r="X341" s="331">
        <f t="shared" ref="X341:X350" si="164">+L341+N341+P341+R341+T341+V341</f>
        <v>0</v>
      </c>
    </row>
    <row r="342" spans="2:26" ht="14.25" outlineLevel="1">
      <c r="C342" s="21"/>
      <c r="D342" s="47" t="s">
        <v>626</v>
      </c>
      <c r="E342" s="142">
        <v>13900</v>
      </c>
      <c r="F342" s="142">
        <v>0</v>
      </c>
      <c r="G342" s="143" t="str">
        <f t="shared" si="154"/>
        <v/>
      </c>
      <c r="H342" s="142">
        <v>0</v>
      </c>
      <c r="I342" s="143" t="str">
        <f t="shared" si="155"/>
        <v/>
      </c>
      <c r="J342" s="142">
        <v>0</v>
      </c>
      <c r="K342" s="143" t="str">
        <f t="shared" si="156"/>
        <v/>
      </c>
      <c r="L342" s="142">
        <v>0</v>
      </c>
      <c r="M342" s="143" t="str">
        <f t="shared" si="157"/>
        <v/>
      </c>
      <c r="N342" s="142">
        <v>0</v>
      </c>
      <c r="O342" s="143" t="str">
        <f t="shared" si="158"/>
        <v/>
      </c>
      <c r="P342" s="142">
        <f>+IF(N342&lt;0,0,N342*(1+'[14]Ind. Crecimiento'!$D$12))</f>
        <v>0</v>
      </c>
      <c r="Q342" s="143" t="str">
        <f t="shared" si="159"/>
        <v/>
      </c>
      <c r="R342" s="142">
        <f>+IF(P342&lt;0,0,P342*(1+'[14]Ind. Crecimiento'!$E$12))</f>
        <v>0</v>
      </c>
      <c r="S342" s="143" t="str">
        <f t="shared" si="160"/>
        <v/>
      </c>
      <c r="T342" s="142">
        <f>+IF(R342&lt;0,0,R342*(1+'[14]Ind. Crecimiento'!$F$12))</f>
        <v>0</v>
      </c>
      <c r="U342" s="143" t="str">
        <f t="shared" si="161"/>
        <v/>
      </c>
      <c r="V342" s="142">
        <f>+IF(T342&lt;0,0,T342*(1+'[14]Ind. Crecimiento'!$G$12))</f>
        <v>0</v>
      </c>
      <c r="W342" s="143" t="str">
        <f t="shared" si="162"/>
        <v/>
      </c>
      <c r="X342" s="331">
        <f t="shared" si="164"/>
        <v>0</v>
      </c>
    </row>
    <row r="343" spans="2:26" ht="15" outlineLevel="1">
      <c r="B343" s="123" t="s">
        <v>389</v>
      </c>
      <c r="C343" s="21" t="s">
        <v>389</v>
      </c>
      <c r="D343" s="50" t="s">
        <v>390</v>
      </c>
      <c r="E343" s="142">
        <v>0</v>
      </c>
      <c r="F343" s="142">
        <v>1280.5429999999999</v>
      </c>
      <c r="G343" s="143" t="str">
        <f t="shared" si="154"/>
        <v/>
      </c>
      <c r="H343" s="142">
        <v>31854.358</v>
      </c>
      <c r="I343" s="143">
        <f t="shared" si="155"/>
        <v>23.875664464215575</v>
      </c>
      <c r="J343" s="142">
        <v>2288.9079999999999</v>
      </c>
      <c r="K343" s="143">
        <f t="shared" si="156"/>
        <v>-0.92814458856775583</v>
      </c>
      <c r="L343" s="142">
        <v>15000</v>
      </c>
      <c r="M343" s="143">
        <f t="shared" si="157"/>
        <v>5.553343341016765</v>
      </c>
      <c r="N343" s="142">
        <v>9000</v>
      </c>
      <c r="O343" s="143">
        <f t="shared" si="158"/>
        <v>-0.4</v>
      </c>
      <c r="P343" s="142">
        <v>11000</v>
      </c>
      <c r="Q343" s="143">
        <f t="shared" si="159"/>
        <v>0.22222222222222232</v>
      </c>
      <c r="R343" s="142">
        <v>0</v>
      </c>
      <c r="S343" s="143" t="str">
        <f t="shared" si="160"/>
        <v/>
      </c>
      <c r="T343" s="142">
        <f>+IF(R343&lt;0,0,R343*(1+'[14]Ind. Crecimiento'!$F$12))</f>
        <v>0</v>
      </c>
      <c r="U343" s="143" t="str">
        <f t="shared" si="161"/>
        <v/>
      </c>
      <c r="V343" s="142">
        <f>+IF(T343&lt;0,0,T343*(1+'[14]Ind. Crecimiento'!$G$12))</f>
        <v>0</v>
      </c>
      <c r="W343" s="143" t="str">
        <f t="shared" si="162"/>
        <v/>
      </c>
      <c r="X343" s="331">
        <f t="shared" si="164"/>
        <v>35000</v>
      </c>
    </row>
    <row r="344" spans="2:26" ht="15" outlineLevel="1">
      <c r="B344" s="123"/>
      <c r="C344" s="21"/>
      <c r="D344" s="50" t="s">
        <v>627</v>
      </c>
      <c r="E344" s="142">
        <v>0</v>
      </c>
      <c r="F344" s="142">
        <v>0</v>
      </c>
      <c r="G344" s="143" t="str">
        <f t="shared" si="154"/>
        <v/>
      </c>
      <c r="H344" s="142">
        <v>0</v>
      </c>
      <c r="I344" s="143" t="str">
        <f t="shared" si="155"/>
        <v/>
      </c>
      <c r="J344" s="142">
        <v>0</v>
      </c>
      <c r="K344" s="143" t="str">
        <f t="shared" si="156"/>
        <v/>
      </c>
      <c r="L344" s="142">
        <v>0</v>
      </c>
      <c r="M344" s="143" t="str">
        <f t="shared" si="157"/>
        <v/>
      </c>
      <c r="N344" s="142">
        <v>0</v>
      </c>
      <c r="O344" s="143" t="str">
        <f t="shared" si="158"/>
        <v/>
      </c>
      <c r="P344" s="142">
        <f>+IF(N344&lt;0,0,N344*(1+'[14]Ind. Crecimiento'!$D$12))</f>
        <v>0</v>
      </c>
      <c r="Q344" s="143" t="str">
        <f t="shared" si="159"/>
        <v/>
      </c>
      <c r="R344" s="142">
        <f>+IF(P344&lt;0,0,P344*(1+'[14]Ind. Crecimiento'!$E$12))</f>
        <v>0</v>
      </c>
      <c r="S344" s="143" t="str">
        <f t="shared" si="160"/>
        <v/>
      </c>
      <c r="T344" s="142">
        <f>+IF(R344&lt;0,0,R344*(1+'[14]Ind. Crecimiento'!$F$12))</f>
        <v>0</v>
      </c>
      <c r="U344" s="143" t="str">
        <f t="shared" si="161"/>
        <v/>
      </c>
      <c r="V344" s="142">
        <f>+IF(T344&lt;0,0,T344*(1+'[14]Ind. Crecimiento'!$G$12))</f>
        <v>0</v>
      </c>
      <c r="W344" s="143" t="str">
        <f t="shared" si="162"/>
        <v/>
      </c>
      <c r="X344" s="331">
        <f t="shared" si="164"/>
        <v>0</v>
      </c>
    </row>
    <row r="345" spans="2:26" ht="14.25" outlineLevel="1">
      <c r="C345" s="21"/>
      <c r="D345" s="50" t="s">
        <v>628</v>
      </c>
      <c r="E345" s="142">
        <v>0</v>
      </c>
      <c r="F345" s="142">
        <v>0</v>
      </c>
      <c r="G345" s="143" t="str">
        <f t="shared" si="154"/>
        <v/>
      </c>
      <c r="H345" s="142">
        <v>0</v>
      </c>
      <c r="I345" s="143" t="str">
        <f t="shared" si="155"/>
        <v/>
      </c>
      <c r="J345" s="142">
        <v>0</v>
      </c>
      <c r="K345" s="143" t="str">
        <f t="shared" si="156"/>
        <v/>
      </c>
      <c r="L345" s="142">
        <v>0</v>
      </c>
      <c r="M345" s="143" t="str">
        <f t="shared" si="157"/>
        <v/>
      </c>
      <c r="N345" s="142">
        <v>10000</v>
      </c>
      <c r="O345" s="143" t="str">
        <f t="shared" si="158"/>
        <v/>
      </c>
      <c r="P345" s="142">
        <v>25429</v>
      </c>
      <c r="Q345" s="143">
        <f t="shared" si="159"/>
        <v>1.5428999999999999</v>
      </c>
      <c r="R345" s="142">
        <v>27751</v>
      </c>
      <c r="S345" s="143">
        <f t="shared" si="160"/>
        <v>9.1313067757285094E-2</v>
      </c>
      <c r="T345" s="142">
        <v>0</v>
      </c>
      <c r="U345" s="143" t="str">
        <f t="shared" si="161"/>
        <v/>
      </c>
      <c r="V345" s="142">
        <f>+IF(T345&lt;0,0,T345*(1+'[14]Ind. Crecimiento'!$G$12))</f>
        <v>0</v>
      </c>
      <c r="W345" s="143" t="str">
        <f t="shared" si="162"/>
        <v/>
      </c>
      <c r="X345" s="331">
        <f t="shared" si="164"/>
        <v>63180</v>
      </c>
    </row>
    <row r="346" spans="2:26" ht="14.25" outlineLevel="1">
      <c r="B346" s="115" t="s">
        <v>393</v>
      </c>
      <c r="C346" s="21" t="s">
        <v>393</v>
      </c>
      <c r="D346" s="50" t="s">
        <v>394</v>
      </c>
      <c r="E346" s="142">
        <v>0</v>
      </c>
      <c r="F346" s="142">
        <v>0</v>
      </c>
      <c r="G346" s="143" t="str">
        <f t="shared" si="154"/>
        <v/>
      </c>
      <c r="H346" s="142">
        <v>0</v>
      </c>
      <c r="I346" s="143" t="str">
        <f t="shared" si="155"/>
        <v/>
      </c>
      <c r="J346" s="142">
        <v>0</v>
      </c>
      <c r="K346" s="143" t="str">
        <f t="shared" si="156"/>
        <v/>
      </c>
      <c r="L346" s="142">
        <v>6000</v>
      </c>
      <c r="M346" s="143" t="str">
        <f t="shared" si="157"/>
        <v/>
      </c>
      <c r="N346" s="142">
        <v>4200</v>
      </c>
      <c r="O346" s="143">
        <f t="shared" si="158"/>
        <v>-0.30000000000000004</v>
      </c>
      <c r="P346" s="142">
        <v>0</v>
      </c>
      <c r="Q346" s="143" t="str">
        <f t="shared" si="159"/>
        <v/>
      </c>
      <c r="R346" s="142">
        <f>+IF(P346&lt;0,0,P346*(1+'[14]Ind. Crecimiento'!$E$12))</f>
        <v>0</v>
      </c>
      <c r="S346" s="143" t="str">
        <f t="shared" si="160"/>
        <v/>
      </c>
      <c r="T346" s="142">
        <f>+IF(R346&lt;0,0,R346*(1+'[14]Ind. Crecimiento'!$F$12))</f>
        <v>0</v>
      </c>
      <c r="U346" s="143" t="str">
        <f t="shared" si="161"/>
        <v/>
      </c>
      <c r="V346" s="142">
        <f>+IF(T346&lt;0,0,T346*(1+'[14]Ind. Crecimiento'!$G$12))</f>
        <v>0</v>
      </c>
      <c r="W346" s="143" t="str">
        <f t="shared" si="162"/>
        <v/>
      </c>
      <c r="X346" s="331">
        <f t="shared" si="164"/>
        <v>10200</v>
      </c>
    </row>
    <row r="347" spans="2:26" ht="14.25" outlineLevel="1">
      <c r="C347" s="21"/>
      <c r="D347" s="50" t="s">
        <v>685</v>
      </c>
      <c r="E347" s="142"/>
      <c r="F347" s="142"/>
      <c r="G347" s="143"/>
      <c r="H347" s="142"/>
      <c r="I347" s="143"/>
      <c r="J347" s="142"/>
      <c r="K347" s="143"/>
      <c r="L347" s="142"/>
      <c r="M347" s="143"/>
      <c r="N347" s="142"/>
      <c r="O347" s="143"/>
      <c r="P347" s="142">
        <v>20000</v>
      </c>
      <c r="Q347" s="143"/>
      <c r="R347" s="142">
        <v>10000</v>
      </c>
      <c r="S347" s="143"/>
      <c r="T347" s="142">
        <v>20000</v>
      </c>
      <c r="U347" s="143"/>
      <c r="V347" s="142">
        <v>10000</v>
      </c>
      <c r="W347" s="143"/>
      <c r="X347" s="331">
        <f t="shared" si="164"/>
        <v>60000</v>
      </c>
    </row>
    <row r="348" spans="2:26" ht="14.25" outlineLevel="1">
      <c r="C348" s="21"/>
      <c r="D348" s="50" t="s">
        <v>395</v>
      </c>
      <c r="E348" s="142">
        <v>0</v>
      </c>
      <c r="F348" s="142">
        <v>0</v>
      </c>
      <c r="G348" s="143"/>
      <c r="H348" s="142">
        <v>0</v>
      </c>
      <c r="I348" s="143"/>
      <c r="J348" s="142">
        <v>0</v>
      </c>
      <c r="K348" s="143"/>
      <c r="L348" s="142">
        <v>3000</v>
      </c>
      <c r="M348" s="143"/>
      <c r="N348" s="142">
        <f>+L348*1.04</f>
        <v>3120</v>
      </c>
      <c r="O348" s="143">
        <f t="shared" si="158"/>
        <v>4.0000000000000036E-2</v>
      </c>
      <c r="P348" s="142">
        <f>+IF(N348&lt;0,0,N348*(1+'[14]Ind. Crecimiento'!$D$12))</f>
        <v>3244.8</v>
      </c>
      <c r="Q348" s="143">
        <f t="shared" si="158"/>
        <v>4.0000000000000036E-2</v>
      </c>
      <c r="R348" s="142">
        <f>3375-816</f>
        <v>2559</v>
      </c>
      <c r="S348" s="143">
        <f t="shared" si="158"/>
        <v>-0.21135355029585801</v>
      </c>
      <c r="T348" s="142"/>
      <c r="U348" s="143" t="str">
        <f t="shared" si="158"/>
        <v/>
      </c>
      <c r="V348" s="142"/>
      <c r="W348" s="143" t="str">
        <f t="shared" si="158"/>
        <v/>
      </c>
      <c r="X348" s="331">
        <f t="shared" si="164"/>
        <v>11923.8</v>
      </c>
    </row>
    <row r="349" spans="2:26" ht="14.25" outlineLevel="1">
      <c r="B349" s="115" t="s">
        <v>391</v>
      </c>
      <c r="C349" s="21" t="s">
        <v>391</v>
      </c>
      <c r="D349" s="50" t="s">
        <v>392</v>
      </c>
      <c r="E349" s="142">
        <v>0</v>
      </c>
      <c r="F349" s="142">
        <v>5270.2830000000004</v>
      </c>
      <c r="G349" s="143" t="str">
        <f t="shared" ref="G349:G357" si="165">IF(F349=0,"",IF(E349=0,"",(F349/E349)-1))</f>
        <v/>
      </c>
      <c r="H349" s="142">
        <v>267.67399999999998</v>
      </c>
      <c r="I349" s="143">
        <f t="shared" ref="I349:I357" si="166">IF(H349=0,"",IF(F349=0,"",(H349/F349)-1))</f>
        <v>-0.94921069703467542</v>
      </c>
      <c r="J349" s="142">
        <v>176.458</v>
      </c>
      <c r="K349" s="143">
        <f t="shared" ref="K349:K357" si="167">IF(J349=0,"",IF(H349=0,"",(J349/H349)-1))</f>
        <v>-0.34077273100861494</v>
      </c>
      <c r="L349" s="142">
        <v>4000</v>
      </c>
      <c r="M349" s="143">
        <f t="shared" ref="M349:M357" si="168">IF(L349=0,"",IF(J349=0,"",(L349/J349)-1))</f>
        <v>21.668283670901857</v>
      </c>
      <c r="N349" s="142">
        <v>0</v>
      </c>
      <c r="O349" s="143" t="str">
        <f t="shared" si="158"/>
        <v/>
      </c>
      <c r="P349" s="142">
        <f>+IF(N349&lt;0,0,N349*(1+'[14]Ind. Crecimiento'!$D$12))</f>
        <v>0</v>
      </c>
      <c r="Q349" s="143" t="str">
        <f t="shared" si="158"/>
        <v/>
      </c>
      <c r="R349" s="142">
        <f>+IF(P349&lt;0,0,P349*(1+'[14]Ind. Crecimiento'!$E$12))</f>
        <v>0</v>
      </c>
      <c r="S349" s="143" t="str">
        <f t="shared" si="158"/>
        <v/>
      </c>
      <c r="T349" s="142">
        <f>+IF(R349&lt;0,0,R349*(1+'[14]Ind. Crecimiento'!$F$12))</f>
        <v>0</v>
      </c>
      <c r="U349" s="143" t="str">
        <f t="shared" si="158"/>
        <v/>
      </c>
      <c r="V349" s="142">
        <f>+IF(T349&lt;0,0,T349*(1+'[14]Ind. Crecimiento'!$G$12))</f>
        <v>0</v>
      </c>
      <c r="W349" s="143" t="str">
        <f t="shared" si="158"/>
        <v/>
      </c>
      <c r="X349" s="331">
        <f t="shared" si="164"/>
        <v>4000</v>
      </c>
    </row>
    <row r="350" spans="2:26" ht="14.25" outlineLevel="1">
      <c r="B350" s="115" t="s">
        <v>396</v>
      </c>
      <c r="C350" s="21" t="s">
        <v>396</v>
      </c>
      <c r="D350" s="50" t="s">
        <v>397</v>
      </c>
      <c r="E350" s="142">
        <v>0</v>
      </c>
      <c r="F350" s="142">
        <v>0</v>
      </c>
      <c r="G350" s="143" t="str">
        <f t="shared" si="165"/>
        <v/>
      </c>
      <c r="H350" s="142">
        <v>109.482</v>
      </c>
      <c r="I350" s="143" t="str">
        <f t="shared" si="166"/>
        <v/>
      </c>
      <c r="J350" s="142">
        <v>5858.5010000000002</v>
      </c>
      <c r="K350" s="143">
        <f t="shared" si="167"/>
        <v>52.511088580771272</v>
      </c>
      <c r="L350" s="142">
        <v>33668</v>
      </c>
      <c r="M350" s="143">
        <f t="shared" si="168"/>
        <v>4.7468625506763589</v>
      </c>
      <c r="N350" s="142">
        <f>+IF(L350&lt;0,0,L350*(1+'[14]Ind. Crecimiento'!$C$12))</f>
        <v>35014.720000000001</v>
      </c>
      <c r="O350" s="143">
        <f t="shared" si="158"/>
        <v>4.0000000000000036E-2</v>
      </c>
      <c r="P350" s="142">
        <v>37217</v>
      </c>
      <c r="Q350" s="143">
        <f t="shared" si="158"/>
        <v>6.2895833523729516E-2</v>
      </c>
      <c r="R350" s="142">
        <v>0</v>
      </c>
      <c r="S350" s="143" t="str">
        <f t="shared" si="158"/>
        <v/>
      </c>
      <c r="T350" s="142">
        <f>+IF(R350&lt;0,0,R350*(1+'[14]Ind. Crecimiento'!$F$12))</f>
        <v>0</v>
      </c>
      <c r="U350" s="143" t="str">
        <f t="shared" si="158"/>
        <v/>
      </c>
      <c r="V350" s="142">
        <f>+IF(T350&lt;0,0,T350*(1+'[14]Ind. Crecimiento'!$G$12))</f>
        <v>0</v>
      </c>
      <c r="W350" s="143" t="str">
        <f t="shared" si="158"/>
        <v/>
      </c>
      <c r="X350" s="331">
        <f t="shared" si="164"/>
        <v>105899.72</v>
      </c>
    </row>
    <row r="351" spans="2:26" ht="14.25">
      <c r="B351" s="115" t="s">
        <v>106</v>
      </c>
      <c r="C351" s="21"/>
      <c r="D351" s="37" t="s">
        <v>398</v>
      </c>
      <c r="E351" s="36">
        <f>SUM(E341:E350)</f>
        <v>16554.635999999999</v>
      </c>
      <c r="F351" s="36">
        <f>SUM(F341:F350)</f>
        <v>6550.826</v>
      </c>
      <c r="G351" s="152">
        <f t="shared" si="165"/>
        <v>-0.60429054435265139</v>
      </c>
      <c r="H351" s="36">
        <f>SUM(H341:H350)</f>
        <v>32231.513999999999</v>
      </c>
      <c r="I351" s="152">
        <f t="shared" si="166"/>
        <v>3.9202213583447341</v>
      </c>
      <c r="J351" s="36">
        <f>SUM(J341:J350)</f>
        <v>8323.8670000000002</v>
      </c>
      <c r="K351" s="152">
        <f t="shared" si="167"/>
        <v>-0.74174756420067633</v>
      </c>
      <c r="L351" s="36">
        <f>SUM(L341:L350)</f>
        <v>61668</v>
      </c>
      <c r="M351" s="152">
        <f t="shared" si="168"/>
        <v>6.4085758458178148</v>
      </c>
      <c r="N351" s="36">
        <f>SUM(N341:N350)</f>
        <v>61334.720000000001</v>
      </c>
      <c r="O351" s="152">
        <f t="shared" si="158"/>
        <v>-5.4044236881364283E-3</v>
      </c>
      <c r="P351" s="36">
        <f>SUM(P341:P350)</f>
        <v>96890.8</v>
      </c>
      <c r="Q351" s="152">
        <f t="shared" si="158"/>
        <v>0.57970558926493831</v>
      </c>
      <c r="R351" s="36">
        <f>SUM(R341:R350)</f>
        <v>40310</v>
      </c>
      <c r="S351" s="152">
        <f t="shared" si="158"/>
        <v>-0.58396462822063611</v>
      </c>
      <c r="T351" s="36">
        <f>SUM(T341:T350)</f>
        <v>20000</v>
      </c>
      <c r="U351" s="152">
        <f t="shared" si="158"/>
        <v>-0.50384519970230712</v>
      </c>
      <c r="V351" s="36">
        <f>SUM(V341:V350)</f>
        <v>10000</v>
      </c>
      <c r="W351" s="152">
        <f t="shared" si="158"/>
        <v>-0.5</v>
      </c>
      <c r="X351" s="330">
        <f>+L351+N351+P351+R351+T351+V351</f>
        <v>290203.52000000002</v>
      </c>
      <c r="Y351" s="331">
        <v>260023.48897279997</v>
      </c>
      <c r="Z351" s="332">
        <f>+X351-Y351</f>
        <v>30180.03102720005</v>
      </c>
    </row>
    <row r="352" spans="2:26" ht="15">
      <c r="C352" s="21"/>
      <c r="D352" s="160" t="s">
        <v>399</v>
      </c>
      <c r="E352" s="31">
        <f>+E340+E351</f>
        <v>25397.100999999999</v>
      </c>
      <c r="F352" s="31">
        <f>+F340+F351</f>
        <v>19721.751</v>
      </c>
      <c r="G352" s="158">
        <f t="shared" si="165"/>
        <v>-0.22346448124138263</v>
      </c>
      <c r="H352" s="31">
        <f>+H340+H351</f>
        <v>42920.256000000001</v>
      </c>
      <c r="I352" s="158">
        <f t="shared" si="166"/>
        <v>1.1762903304072747</v>
      </c>
      <c r="J352" s="31">
        <f>+J340+J351</f>
        <v>15478.107</v>
      </c>
      <c r="K352" s="158">
        <f t="shared" si="167"/>
        <v>-0.63937524044590976</v>
      </c>
      <c r="L352" s="31">
        <f>+L340+L351</f>
        <v>70168.000155999995</v>
      </c>
      <c r="M352" s="158">
        <f t="shared" si="168"/>
        <v>3.5333709190665239</v>
      </c>
      <c r="N352" s="31">
        <f>+N340+N351</f>
        <v>70618.720162240003</v>
      </c>
      <c r="O352" s="158">
        <f t="shared" ref="O352:O356" si="169">IF(N352=0,"",IF(L352=0,"",(N352/L352)-1))</f>
        <v>6.4234409593824093E-3</v>
      </c>
      <c r="P352" s="31">
        <f>+P340+P351</f>
        <v>107011.4001687296</v>
      </c>
      <c r="Q352" s="158">
        <f t="shared" ref="Q352:Q356" si="170">IF(P352=0,"",IF(N352=0,"",(P352/N352)-1))</f>
        <v>0.51534040723027497</v>
      </c>
      <c r="R352" s="31">
        <f>+R340+R351</f>
        <v>51088.344175478785</v>
      </c>
      <c r="S352" s="158">
        <f t="shared" ref="S352:S357" si="171">IF(R352=0,"",IF(P352=0,"",(R352/P352)-1))</f>
        <v>-0.5225897045088137</v>
      </c>
      <c r="T352" s="31">
        <f>+T340+T351</f>
        <v>31561.797942497938</v>
      </c>
      <c r="U352" s="158">
        <f t="shared" ref="U352:U357" si="172">IF(T352=0,"",IF(R352=0,"",(T352/R352)-1))</f>
        <v>-0.38221137420134144</v>
      </c>
      <c r="V352" s="31">
        <f>+V340+V351</f>
        <v>21988.549860197854</v>
      </c>
      <c r="W352" s="158">
        <f t="shared" ref="W352:W357" si="173">IF(V352=0,"",IF(T352=0,"",(V352/T352)-1))</f>
        <v>-0.30331757714631691</v>
      </c>
    </row>
    <row r="353" spans="1:24" s="46" customFormat="1" ht="15">
      <c r="B353" s="115"/>
      <c r="C353" s="45" t="s">
        <v>290</v>
      </c>
      <c r="D353" s="159" t="s">
        <v>629</v>
      </c>
      <c r="E353" s="31">
        <f>+E333+E352</f>
        <v>105334.72171199998</v>
      </c>
      <c r="F353" s="31">
        <f>+F333+F352</f>
        <v>112835.16288000002</v>
      </c>
      <c r="G353" s="158">
        <f t="shared" si="165"/>
        <v>7.1205781399482859E-2</v>
      </c>
      <c r="H353" s="31">
        <f>+H333+H352</f>
        <v>156061.69131699996</v>
      </c>
      <c r="I353" s="158">
        <f t="shared" si="166"/>
        <v>0.38309448343661523</v>
      </c>
      <c r="J353" s="31">
        <f>+J333+J352</f>
        <v>144464.94421400002</v>
      </c>
      <c r="K353" s="158">
        <f t="shared" si="167"/>
        <v>-7.4308736533196251E-2</v>
      </c>
      <c r="L353" s="31">
        <f>+L333+L352</f>
        <v>217476.23891452744</v>
      </c>
      <c r="M353" s="158">
        <f t="shared" si="168"/>
        <v>0.50539108361384688</v>
      </c>
      <c r="N353" s="31">
        <f>+N333+N352</f>
        <v>236113.31341122763</v>
      </c>
      <c r="O353" s="158">
        <f t="shared" si="169"/>
        <v>8.5697060928228375E-2</v>
      </c>
      <c r="P353" s="31">
        <f>+P333+P352</f>
        <v>292457.76424439362</v>
      </c>
      <c r="Q353" s="158">
        <f t="shared" si="170"/>
        <v>0.23863309535211785</v>
      </c>
      <c r="R353" s="31">
        <f>+R333+R352</f>
        <v>258416.66571933881</v>
      </c>
      <c r="S353" s="158">
        <f t="shared" si="171"/>
        <v>-0.11639663119563559</v>
      </c>
      <c r="T353" s="31">
        <f>+T333+T352</f>
        <v>261181.16706565383</v>
      </c>
      <c r="U353" s="158">
        <f t="shared" si="172"/>
        <v>1.0697844655721545E-2</v>
      </c>
      <c r="V353" s="31">
        <f>+V333+V352</f>
        <v>275474.25943861256</v>
      </c>
      <c r="W353" s="158">
        <f t="shared" si="173"/>
        <v>5.4724820068538182E-2</v>
      </c>
    </row>
    <row r="354" spans="1:24" ht="14.25">
      <c r="B354" s="115" t="s">
        <v>106</v>
      </c>
      <c r="C354" s="21"/>
      <c r="D354" s="51" t="s">
        <v>400</v>
      </c>
      <c r="E354" s="142">
        <v>0</v>
      </c>
      <c r="F354" s="142">
        <v>0</v>
      </c>
      <c r="G354" s="143" t="str">
        <f t="shared" si="165"/>
        <v/>
      </c>
      <c r="H354" s="142">
        <v>0</v>
      </c>
      <c r="I354" s="143" t="str">
        <f t="shared" si="166"/>
        <v/>
      </c>
      <c r="J354" s="142">
        <v>10000</v>
      </c>
      <c r="K354" s="143" t="str">
        <f t="shared" si="167"/>
        <v/>
      </c>
      <c r="L354" s="142">
        <v>20000</v>
      </c>
      <c r="M354" s="143">
        <f t="shared" si="168"/>
        <v>1</v>
      </c>
      <c r="N354" s="142">
        <f>+IF(L354&lt;0,0,L354*(1+'[14]Ind. Crecimiento'!$C$14))</f>
        <v>0</v>
      </c>
      <c r="O354" s="143" t="str">
        <f t="shared" si="169"/>
        <v/>
      </c>
      <c r="P354" s="142">
        <f>+IF(N354&lt;0,0,N354*(1+'[14]Ind. Crecimiento'!$D$14))</f>
        <v>0</v>
      </c>
      <c r="Q354" s="143" t="str">
        <f t="shared" si="170"/>
        <v/>
      </c>
      <c r="R354" s="142">
        <f>+IF(P354&lt;0,0,P354*(1+'[14]Ind. Crecimiento'!$E$14))</f>
        <v>0</v>
      </c>
      <c r="S354" s="143" t="str">
        <f t="shared" si="171"/>
        <v/>
      </c>
      <c r="T354" s="142">
        <f>+IF(R354&lt;0,0,R354*(1+'[14]Ind. Crecimiento'!$F$14))</f>
        <v>0</v>
      </c>
      <c r="U354" s="143" t="str">
        <f t="shared" si="172"/>
        <v/>
      </c>
      <c r="V354" s="142">
        <f>+IF(T354&lt;0,0,T354*(1+'[14]Ind. Crecimiento'!$G$14))</f>
        <v>0</v>
      </c>
      <c r="W354" s="143" t="str">
        <f t="shared" si="173"/>
        <v/>
      </c>
    </row>
    <row r="355" spans="1:24" ht="14.25">
      <c r="A355" s="17" t="s">
        <v>427</v>
      </c>
      <c r="B355" s="115" t="s">
        <v>401</v>
      </c>
      <c r="C355" s="21" t="s">
        <v>401</v>
      </c>
      <c r="D355" s="51" t="s">
        <v>402</v>
      </c>
      <c r="E355" s="142">
        <v>809.577</v>
      </c>
      <c r="F355" s="142">
        <v>0</v>
      </c>
      <c r="G355" s="143" t="str">
        <f t="shared" si="165"/>
        <v/>
      </c>
      <c r="H355" s="142">
        <v>18454.568560000003</v>
      </c>
      <c r="I355" s="143" t="str">
        <f t="shared" si="166"/>
        <v/>
      </c>
      <c r="J355" s="142">
        <v>0</v>
      </c>
      <c r="K355" s="143" t="str">
        <f t="shared" si="167"/>
        <v/>
      </c>
      <c r="L355" s="142">
        <v>19184.680184032099</v>
      </c>
      <c r="M355" s="143" t="str">
        <f t="shared" si="168"/>
        <v/>
      </c>
      <c r="N355" s="142">
        <f>+IF(L355&lt;0,0,L355*(1+'[14]Ind. Crecimiento'!$C$14))</f>
        <v>0</v>
      </c>
      <c r="O355" s="143" t="str">
        <f t="shared" si="169"/>
        <v/>
      </c>
      <c r="P355" s="142">
        <f>+IF(N355&lt;0,0,N355*(1+'[14]Ind. Crecimiento'!$D$14))</f>
        <v>0</v>
      </c>
      <c r="Q355" s="143" t="str">
        <f t="shared" si="170"/>
        <v/>
      </c>
      <c r="R355" s="142">
        <f>+IF(P355&lt;0,0,P355*(1+'[14]Ind. Crecimiento'!$E$14))</f>
        <v>0</v>
      </c>
      <c r="S355" s="143" t="str">
        <f t="shared" si="171"/>
        <v/>
      </c>
      <c r="T355" s="142">
        <f>+IF(R355&lt;0,0,R355*(1+'[14]Ind. Crecimiento'!$F$14))</f>
        <v>0</v>
      </c>
      <c r="U355" s="143" t="str">
        <f t="shared" si="172"/>
        <v/>
      </c>
      <c r="V355" s="142">
        <f>+IF(T355&lt;0,0,T355*(1+'[14]Ind. Crecimiento'!$G$14))</f>
        <v>0</v>
      </c>
      <c r="W355" s="143" t="str">
        <f t="shared" si="173"/>
        <v/>
      </c>
    </row>
    <row r="356" spans="1:24" ht="15" thickBot="1">
      <c r="B356" s="115" t="s">
        <v>106</v>
      </c>
      <c r="C356" s="21"/>
      <c r="D356" s="51" t="s">
        <v>403</v>
      </c>
      <c r="E356" s="142">
        <v>0</v>
      </c>
      <c r="F356" s="142">
        <v>0</v>
      </c>
      <c r="G356" s="143" t="str">
        <f t="shared" si="165"/>
        <v/>
      </c>
      <c r="H356" s="142">
        <v>0</v>
      </c>
      <c r="I356" s="143" t="str">
        <f t="shared" si="166"/>
        <v/>
      </c>
      <c r="J356" s="142">
        <v>0</v>
      </c>
      <c r="K356" s="143" t="str">
        <f t="shared" si="167"/>
        <v/>
      </c>
      <c r="L356" s="142">
        <v>0</v>
      </c>
      <c r="M356" s="143" t="str">
        <f t="shared" si="168"/>
        <v/>
      </c>
      <c r="N356" s="142">
        <f>+'[14]AMORTIZACION FINDETER'!E19</f>
        <v>339.09202828452419</v>
      </c>
      <c r="O356" s="143" t="str">
        <f t="shared" si="169"/>
        <v/>
      </c>
      <c r="P356" s="142">
        <f>+'[14]AMORTIZACION FINDETER'!E20+'[14]AMORTIZACION FINDETER'!E21+'[14]AMORTIZACION FINDETER (2)'!E19+'[14]AMORTIZACION FINDETER (3)'!E19</f>
        <v>1897.0276117085803</v>
      </c>
      <c r="Q356" s="143">
        <f t="shared" si="170"/>
        <v>4.5944329369985333</v>
      </c>
      <c r="R356" s="142">
        <f>+'[14]AMORTIZACION FINDETER'!E22+'[14]AMORTIZACION FINDETER'!E23+'[14]AMORTIZACION FINDETER (2)'!E20+'[14]AMORTIZACION FINDETER (2)'!E21+'[14]AMORTIZACION FINDETER (3)'!E20+'[14]AMORTIZACION FINDETER (3)'!E21</f>
        <v>3271.3075987039556</v>
      </c>
      <c r="S356" s="143">
        <f t="shared" si="171"/>
        <v>0.72443857881310114</v>
      </c>
      <c r="T356" s="142">
        <f>+'[14]AMORTIZACION FINDETER'!E24+'[14]AMORTIZACION FINDETER'!E25+'[14]AMORTIZACION FINDETER (2)'!E22+'[14]AMORTIZACION FINDETER (2)'!E23+'[14]AMORTIZACION FINDETER (3)'!E22+'[14]AMORTIZACION FINDETER (3)'!E23</f>
        <v>3529.8026483803001</v>
      </c>
      <c r="U356" s="143">
        <f t="shared" si="172"/>
        <v>7.9018876053953635E-2</v>
      </c>
      <c r="V356" s="142">
        <f>+'[14]AMORTIZACION FINDETER'!E26+'[14]AMORTIZACION FINDETER'!E27+'[14]AMORTIZACION FINDETER (2)'!E24+'[14]AMORTIZACION FINDETER (2)'!E25+'[14]AMORTIZACION FINDETER (3)'!E24+'[14]AMORTIZACION FINDETER (3)'!E25</f>
        <v>3808.7240963288377</v>
      </c>
      <c r="W356" s="143">
        <f t="shared" si="173"/>
        <v>7.9018992202446459E-2</v>
      </c>
    </row>
    <row r="357" spans="1:24" s="55" customFormat="1" ht="15" thickBot="1">
      <c r="B357" s="124"/>
      <c r="C357" s="52"/>
      <c r="D357" s="53" t="s">
        <v>404</v>
      </c>
      <c r="E357" s="54">
        <f>+E105-E353+E354+E355-E356</f>
        <v>4.5499999646381184E-4</v>
      </c>
      <c r="F357" s="54">
        <f>+F105-F353+F354+F355-F356</f>
        <v>9541.3556189999799</v>
      </c>
      <c r="G357" s="152">
        <f t="shared" si="165"/>
        <v>20970011.51242613</v>
      </c>
      <c r="H357" s="54">
        <f>+H105-H353+H354+H355-H356</f>
        <v>1.8189894035458565E-11</v>
      </c>
      <c r="I357" s="152">
        <f t="shared" si="166"/>
        <v>-0.99999999999999811</v>
      </c>
      <c r="J357" s="54">
        <f>+J105-J353+J354+J355-J356</f>
        <v>22523.069779000041</v>
      </c>
      <c r="K357" s="161">
        <f t="shared" si="167"/>
        <v>1238218855761037.5</v>
      </c>
      <c r="L357" s="54">
        <f>+L105-L353+L354+L355-L356</f>
        <v>6.1432967777363956E-4</v>
      </c>
      <c r="M357" s="152">
        <f t="shared" si="168"/>
        <v>-0.99999997272442509</v>
      </c>
      <c r="N357" s="54">
        <f>+N105-N353+N354+N355-N356</f>
        <v>-30743.762507795582</v>
      </c>
      <c r="O357" s="152" t="s">
        <v>106</v>
      </c>
      <c r="P357" s="54">
        <f>+P105-P353+P354+P355-P356</f>
        <v>-57917.886865714732</v>
      </c>
      <c r="Q357" s="152">
        <f>IF(P357=0,"",IF(N357=0,"",(P357/N357)-1))</f>
        <v>0.88389065427592706</v>
      </c>
      <c r="R357" s="54">
        <f>+R105-R353+R354+R355-R356</f>
        <v>7608.0221308566906</v>
      </c>
      <c r="S357" s="152">
        <f t="shared" si="171"/>
        <v>-1.1313587657038704</v>
      </c>
      <c r="T357" s="54">
        <f>+T105-T353+T354+T355-T356</f>
        <v>36886.402009840633</v>
      </c>
      <c r="U357" s="152">
        <f t="shared" si="172"/>
        <v>3.848356297523952</v>
      </c>
      <c r="V357" s="54">
        <f>+V105-V353+V354+V355-V356</f>
        <v>56643.556611706619</v>
      </c>
      <c r="W357" s="152">
        <f t="shared" si="173"/>
        <v>0.53562162545956982</v>
      </c>
      <c r="X357" s="336">
        <f>+L357+N357+P357+R357+T357+V357</f>
        <v>12476.331993223299</v>
      </c>
    </row>
    <row r="358" spans="1:24">
      <c r="B358" s="124"/>
      <c r="N358" s="23"/>
      <c r="O358" s="125"/>
      <c r="P358" s="23"/>
      <c r="Q358" s="125"/>
      <c r="R358" s="23"/>
      <c r="S358" s="125"/>
      <c r="T358" s="23"/>
      <c r="U358" s="125"/>
      <c r="V358" s="23"/>
      <c r="W358" s="125"/>
    </row>
    <row r="359" spans="1:24">
      <c r="B359" s="124"/>
      <c r="E359" s="56"/>
      <c r="F359" s="56"/>
      <c r="G359" s="162"/>
      <c r="H359" s="56"/>
      <c r="I359" s="162"/>
      <c r="J359" s="56"/>
      <c r="K359" s="162"/>
      <c r="L359" s="56"/>
      <c r="M359" s="162"/>
      <c r="N359" s="56"/>
      <c r="O359" s="162"/>
      <c r="P359" s="56"/>
      <c r="Q359" s="162"/>
      <c r="R359" s="56"/>
      <c r="S359" s="162"/>
      <c r="T359" s="56"/>
      <c r="U359" s="162"/>
      <c r="V359" s="56"/>
      <c r="W359" s="162"/>
    </row>
    <row r="360" spans="1:24" s="55" customFormat="1" ht="14.25">
      <c r="B360" s="124"/>
      <c r="C360" s="163"/>
      <c r="D360" s="164" t="s">
        <v>630</v>
      </c>
      <c r="E360" s="165">
        <f>+(E140+E153+E157)/(E105)</f>
        <v>0.59408356637810023</v>
      </c>
      <c r="F360" s="165">
        <f>+(F140+F153+F157)/(F105)</f>
        <v>0.60207708837216245</v>
      </c>
      <c r="G360" s="166"/>
      <c r="H360" s="165">
        <f>+(H140+H153+H157)/(H105)</f>
        <v>0.64546101053829186</v>
      </c>
      <c r="I360" s="166"/>
      <c r="J360" s="165">
        <f>+(J140+J153+J157)/(J105)</f>
        <v>0.63504164904873095</v>
      </c>
      <c r="K360" s="166"/>
      <c r="L360" s="165">
        <f>+(L140+L153+L157)/(L105)</f>
        <v>0.63050088726559772</v>
      </c>
      <c r="M360" s="166"/>
      <c r="N360" s="165">
        <f>+(N140+N153+N157)/(N105)</f>
        <v>0.62020444566690147</v>
      </c>
      <c r="O360" s="166"/>
      <c r="P360" s="165">
        <f>+(P140+P153+P157)/(P105)</f>
        <v>0.60221714770781376</v>
      </c>
      <c r="Q360" s="166"/>
      <c r="R360" s="165">
        <f>+(R140+R153+R157)/(R105)</f>
        <v>0.58560509582101516</v>
      </c>
      <c r="S360" s="166"/>
      <c r="T360" s="165">
        <f>+(T140+T153+T157)/(T105)</f>
        <v>0.57567267336618677</v>
      </c>
      <c r="U360" s="166"/>
      <c r="V360" s="165">
        <f>+(V140+V153+V157)/(V105)</f>
        <v>0.56749860422404663</v>
      </c>
      <c r="W360" s="166"/>
    </row>
    <row r="361" spans="1:24" s="55" customFormat="1" ht="14.25">
      <c r="B361" s="115"/>
      <c r="C361" s="163"/>
      <c r="D361" s="164" t="s">
        <v>406</v>
      </c>
      <c r="E361" s="57">
        <f>+E140/E31</f>
        <v>0.52083130662867549</v>
      </c>
      <c r="F361" s="57">
        <f>+F140/F31</f>
        <v>0.54402855525295724</v>
      </c>
      <c r="G361" s="167"/>
      <c r="H361" s="57">
        <f>+H140/H31</f>
        <v>0.5842116994139237</v>
      </c>
      <c r="I361" s="167"/>
      <c r="J361" s="57">
        <f>+J140/J31</f>
        <v>0.5807735017214829</v>
      </c>
      <c r="K361" s="167"/>
      <c r="L361" s="57">
        <f>+L140/L31</f>
        <v>0.57974803507490291</v>
      </c>
      <c r="M361" s="167"/>
      <c r="N361" s="57">
        <f>+N140/N31</f>
        <v>0.56691912712558901</v>
      </c>
      <c r="O361" s="167"/>
      <c r="P361" s="57">
        <f>+P140/P31</f>
        <v>0.54054530446953331</v>
      </c>
      <c r="Q361" s="167"/>
      <c r="R361" s="57">
        <f>+R140/R31</f>
        <v>0.5162274978849789</v>
      </c>
      <c r="S361" s="167"/>
      <c r="T361" s="57">
        <f>+T140/T31</f>
        <v>0.49951103711754785</v>
      </c>
      <c r="U361" s="167"/>
      <c r="V361" s="57">
        <f>+V140/V31</f>
        <v>0.48583191686247251</v>
      </c>
      <c r="W361" s="167"/>
    </row>
    <row r="362" spans="1:24" s="55" customFormat="1" ht="14.25">
      <c r="B362" s="115"/>
      <c r="C362" s="163"/>
      <c r="D362" s="164" t="s">
        <v>407</v>
      </c>
      <c r="E362" s="57">
        <f>E140/E105</f>
        <v>0.4800697166297006</v>
      </c>
      <c r="F362" s="57">
        <f>F140/F105</f>
        <v>0.50204221934538895</v>
      </c>
      <c r="G362" s="167"/>
      <c r="H362" s="57">
        <f>H140/H105</f>
        <v>0.54301572487605032</v>
      </c>
      <c r="I362" s="167"/>
      <c r="J362" s="57">
        <f>J140/J105</f>
        <v>0.53757589602199196</v>
      </c>
      <c r="K362" s="167"/>
      <c r="L362" s="57">
        <f>L140/L105</f>
        <v>0.5323535149839258</v>
      </c>
      <c r="M362" s="167"/>
      <c r="N362" s="57">
        <f>N140/N105</f>
        <v>0.52393857636292529</v>
      </c>
      <c r="O362" s="167"/>
      <c r="P362" s="57">
        <f>P140/P105</f>
        <v>0.50310757185314903</v>
      </c>
      <c r="Q362" s="167"/>
      <c r="R362" s="57">
        <f>R140/R105</f>
        <v>0.48358094862273499</v>
      </c>
      <c r="S362" s="167"/>
      <c r="T362" s="57">
        <f>T140/T105</f>
        <v>0.47017665671095898</v>
      </c>
      <c r="U362" s="167"/>
      <c r="V362" s="57">
        <f>V140/V105</f>
        <v>0.45919190289594225</v>
      </c>
      <c r="W362" s="167"/>
      <c r="X362" s="55">
        <f>96891-3345</f>
        <v>93546</v>
      </c>
    </row>
    <row r="363" spans="1:24" s="55" customFormat="1" ht="14.25">
      <c r="B363" s="115"/>
      <c r="C363" s="163"/>
      <c r="D363" s="164" t="s">
        <v>408</v>
      </c>
      <c r="E363" s="57">
        <f>+E153/E31</f>
        <v>7.4976093100671631E-2</v>
      </c>
      <c r="F363" s="57">
        <f>+F153/F31</f>
        <v>6.1795435463359458E-2</v>
      </c>
      <c r="G363" s="167"/>
      <c r="H363" s="57">
        <f>+H153/H31</f>
        <v>6.5864941549887604E-2</v>
      </c>
      <c r="I363" s="167"/>
      <c r="J363" s="57">
        <f>+J153/J31</f>
        <v>6.0338466096526218E-2</v>
      </c>
      <c r="K363" s="167"/>
      <c r="L363" s="57">
        <f>+L153/L31</f>
        <v>6.3511592962944508E-2</v>
      </c>
      <c r="M363" s="167"/>
      <c r="N363" s="57">
        <f>+N153/N31</f>
        <v>6.2702932037219189E-2</v>
      </c>
      <c r="O363" s="167"/>
      <c r="P363" s="57">
        <f>+P153/P31</f>
        <v>6.7586675294258575E-2</v>
      </c>
      <c r="Q363" s="167"/>
      <c r="R363" s="57">
        <f>+R153/R31</f>
        <v>7.2264966251746665E-2</v>
      </c>
      <c r="S363" s="167"/>
      <c r="T363" s="57">
        <f>+T153/T31</f>
        <v>7.7070570720081388E-2</v>
      </c>
      <c r="U363" s="167"/>
      <c r="V363" s="57">
        <f>+V153/V31</f>
        <v>8.0942148731841926E-2</v>
      </c>
      <c r="W363" s="167"/>
      <c r="X363" s="55">
        <f>40310-2559</f>
        <v>37751</v>
      </c>
    </row>
    <row r="364" spans="1:24" s="55" customFormat="1" ht="14.25">
      <c r="B364" s="115"/>
      <c r="C364" s="163"/>
      <c r="D364" s="164" t="s">
        <v>409</v>
      </c>
      <c r="E364" s="57">
        <f>+E340/E31</f>
        <v>9.17794266713471E-2</v>
      </c>
      <c r="F364" s="57">
        <f>+F340/F31</f>
        <v>0.1166271432905393</v>
      </c>
      <c r="G364" s="167"/>
      <c r="H364" s="57">
        <f>+H340/H31</f>
        <v>8.3568676428089586E-2</v>
      </c>
      <c r="I364" s="167"/>
      <c r="J364" s="57">
        <f>+J340/J31</f>
        <v>4.9233874626737631E-2</v>
      </c>
      <c r="K364" s="167"/>
      <c r="L364" s="57">
        <f>+L340/L31</f>
        <v>5.1919118440762427E-2</v>
      </c>
      <c r="M364" s="167"/>
      <c r="N364" s="57">
        <f>+N340/N31</f>
        <v>4.8834116430241596E-2</v>
      </c>
      <c r="O364" s="167"/>
      <c r="P364" s="57">
        <f>+P340/P31</f>
        <v>4.5989876942755963E-2</v>
      </c>
      <c r="Q364" s="167"/>
      <c r="R364" s="57">
        <f>+R340/R31</f>
        <v>4.2726183724619907E-2</v>
      </c>
      <c r="S364" s="167"/>
      <c r="T364" s="57">
        <f>+T340/T31</f>
        <v>4.0726946298290281E-2</v>
      </c>
      <c r="U364" s="167"/>
      <c r="V364" s="57">
        <f>+V340/V31</f>
        <v>3.7758449996414901E-2</v>
      </c>
      <c r="W364" s="167"/>
    </row>
    <row r="365" spans="1:24" s="55" customFormat="1" ht="14.25">
      <c r="B365" s="115"/>
      <c r="C365" s="163"/>
      <c r="D365" s="164" t="s">
        <v>410</v>
      </c>
      <c r="E365" s="57">
        <f>+E340/E105</f>
        <v>8.4596534028939935E-2</v>
      </c>
      <c r="F365" s="57">
        <f>+F340/F105</f>
        <v>0.10762624367441558</v>
      </c>
      <c r="G365" s="167"/>
      <c r="H365" s="57">
        <f>+H340/H105</f>
        <v>7.7675790219632876E-2</v>
      </c>
      <c r="I365" s="167"/>
      <c r="J365" s="57">
        <f>+J340/J105</f>
        <v>4.5571886783146394E-2</v>
      </c>
      <c r="K365" s="167"/>
      <c r="L365" s="57">
        <f>+L340/L105</f>
        <v>4.767471992075948E-2</v>
      </c>
      <c r="M365" s="167"/>
      <c r="N365" s="57">
        <f>+N340/N105</f>
        <v>4.5131794318052816E-2</v>
      </c>
      <c r="O365" s="167"/>
      <c r="P365" s="57">
        <f>+P340/P105</f>
        <v>4.2804655090291688E-2</v>
      </c>
      <c r="Q365" s="167"/>
      <c r="R365" s="57">
        <f>+R340/R105</f>
        <v>4.0024153190662805E-2</v>
      </c>
      <c r="S365" s="167"/>
      <c r="T365" s="57">
        <f>+T340/T105</f>
        <v>3.8335207884647143E-2</v>
      </c>
      <c r="U365" s="167"/>
      <c r="V365" s="57">
        <f>+V340/V105</f>
        <v>3.5688010405382914E-2</v>
      </c>
      <c r="W365" s="167"/>
    </row>
    <row r="366" spans="1:24" s="55" customFormat="1" ht="14.25">
      <c r="B366" s="115"/>
      <c r="C366" s="163"/>
      <c r="D366" s="164" t="s">
        <v>411</v>
      </c>
      <c r="E366" s="57">
        <f>+E351/E31</f>
        <v>0.17182708677194003</v>
      </c>
      <c r="F366" s="57">
        <f>+F351/F31</f>
        <v>5.800686911309498E-2</v>
      </c>
      <c r="G366" s="167"/>
      <c r="H366" s="57">
        <f>+H351/H31</f>
        <v>0.25199831413775725</v>
      </c>
      <c r="I366" s="167"/>
      <c r="J366" s="57">
        <f>+J351/J31</f>
        <v>5.7282985234998918E-2</v>
      </c>
      <c r="K366" s="167"/>
      <c r="L366" s="57">
        <f>+L351/L31</f>
        <v>0.37667625144040495</v>
      </c>
      <c r="M366" s="167"/>
      <c r="N366" s="57">
        <f>+N351/N31</f>
        <v>0.32262244779771665</v>
      </c>
      <c r="O366" s="167"/>
      <c r="P366" s="57">
        <f>+P351/P31</f>
        <v>0.44028969572903531</v>
      </c>
      <c r="Q366" s="167"/>
      <c r="R366" s="57">
        <f>+R351/R31</f>
        <v>0.15979193444738207</v>
      </c>
      <c r="S366" s="167"/>
      <c r="T366" s="57">
        <f>+T351/T31</f>
        <v>7.0450887484531127E-2</v>
      </c>
      <c r="U366" s="167"/>
      <c r="V366" s="57">
        <f>+V351/V31</f>
        <v>3.1495427250774893E-2</v>
      </c>
      <c r="W366" s="167"/>
    </row>
    <row r="367" spans="1:24" s="55" customFormat="1" ht="14.25">
      <c r="B367" s="115"/>
      <c r="C367" s="163"/>
      <c r="D367" s="164" t="s">
        <v>412</v>
      </c>
      <c r="E367" s="57">
        <f>+E351/E105</f>
        <v>0.15837945954105714</v>
      </c>
      <c r="F367" s="57">
        <f>+F351/F105</f>
        <v>5.3530089598467619E-2</v>
      </c>
      <c r="G367" s="167"/>
      <c r="H367" s="57">
        <f>+H351/H105</f>
        <v>0.23422852941208239</v>
      </c>
      <c r="I367" s="167"/>
      <c r="J367" s="57">
        <f>+J351/J105</f>
        <v>5.3022309081323576E-2</v>
      </c>
      <c r="K367" s="167"/>
      <c r="L367" s="57">
        <f>+L351/L105</f>
        <v>0.34588289107243114</v>
      </c>
      <c r="M367" s="167"/>
      <c r="N367" s="57">
        <f>+N351/N105</f>
        <v>0.29816306755939076</v>
      </c>
      <c r="O367" s="167"/>
      <c r="P367" s="57">
        <f>+P351/P105</f>
        <v>0.40979558586227971</v>
      </c>
      <c r="Q367" s="167"/>
      <c r="R367" s="57">
        <f>+R351/R105</f>
        <v>0.14968659275012897</v>
      </c>
      <c r="S367" s="167"/>
      <c r="T367" s="57">
        <f>+T351/T105</f>
        <v>6.6313575233377206E-2</v>
      </c>
      <c r="U367" s="167"/>
      <c r="V367" s="57">
        <f>+V351/V105</f>
        <v>2.9768413045407255E-2</v>
      </c>
      <c r="W367" s="167"/>
    </row>
    <row r="368" spans="1:24" s="55" customFormat="1" ht="14.25">
      <c r="B368" s="115"/>
      <c r="D368" s="164" t="s">
        <v>413</v>
      </c>
      <c r="E368" s="57">
        <f>+E352/E31</f>
        <v>0.26360651344328717</v>
      </c>
      <c r="F368" s="57">
        <f>+F352/F31</f>
        <v>0.1746340124036343</v>
      </c>
      <c r="G368" s="167"/>
      <c r="H368" s="57">
        <f>+H352/H31</f>
        <v>0.33556699056584682</v>
      </c>
      <c r="I368" s="167"/>
      <c r="J368" s="57">
        <f>+J352/J31</f>
        <v>0.10651685986173655</v>
      </c>
      <c r="K368" s="167"/>
      <c r="L368" s="57">
        <f>+L352/L31</f>
        <v>0.42859536988116737</v>
      </c>
      <c r="M368" s="167"/>
      <c r="N368" s="57">
        <f>+N352/N31</f>
        <v>0.37145656422795825</v>
      </c>
      <c r="O368" s="167"/>
      <c r="P368" s="57">
        <f>+P352/P31</f>
        <v>0.48627957267179123</v>
      </c>
      <c r="Q368" s="167"/>
      <c r="R368" s="57">
        <f>+R352/R31</f>
        <v>0.20251811817200199</v>
      </c>
      <c r="S368" s="167"/>
      <c r="T368" s="57">
        <f>+T352/T31</f>
        <v>0.11117783378282141</v>
      </c>
      <c r="U368" s="167"/>
      <c r="V368" s="57">
        <f>+V352/V31</f>
        <v>6.9253877247189802E-2</v>
      </c>
      <c r="W368" s="167"/>
    </row>
    <row r="369" spans="2:23" s="55" customFormat="1" ht="14.25">
      <c r="B369" s="115"/>
      <c r="D369" s="164" t="s">
        <v>631</v>
      </c>
      <c r="E369" s="57">
        <f>+E352/E105</f>
        <v>0.24297599356999708</v>
      </c>
      <c r="F369" s="57">
        <f>+F352/F105</f>
        <v>0.1611563332728832</v>
      </c>
      <c r="G369" s="167"/>
      <c r="H369" s="57">
        <f>+H352/H105</f>
        <v>0.31190431963171528</v>
      </c>
      <c r="I369" s="167"/>
      <c r="J369" s="57">
        <f>+J352/J105</f>
        <v>9.8594195864469963E-2</v>
      </c>
      <c r="K369" s="167"/>
      <c r="L369" s="57">
        <f>+L352/L105</f>
        <v>0.39355761099319059</v>
      </c>
      <c r="M369" s="167"/>
      <c r="N369" s="57">
        <f>+N352/N105</f>
        <v>0.34329486187744357</v>
      </c>
      <c r="O369" s="167"/>
      <c r="P369" s="57">
        <f>+P352/P105</f>
        <v>0.4526002409525714</v>
      </c>
      <c r="Q369" s="167"/>
      <c r="R369" s="57">
        <f>+R352/R105</f>
        <v>0.18971074594079179</v>
      </c>
      <c r="S369" s="167"/>
      <c r="T369" s="57">
        <f>+T352/T105</f>
        <v>0.10464878311802435</v>
      </c>
      <c r="U369" s="167"/>
      <c r="V369" s="57">
        <f>+V352/V105</f>
        <v>6.5456423450790169E-2</v>
      </c>
      <c r="W369" s="167"/>
    </row>
    <row r="370" spans="2:23" s="55" customFormat="1" ht="14.25">
      <c r="B370" s="115"/>
      <c r="D370" s="164" t="s">
        <v>414</v>
      </c>
      <c r="E370" s="57">
        <f>(E276+E332)/E105</f>
        <v>0.76476928670401301</v>
      </c>
      <c r="F370" s="57">
        <f>(F276+F332)/F105</f>
        <v>0.76087645752694699</v>
      </c>
      <c r="G370" s="167"/>
      <c r="H370" s="57">
        <f>(H276+H332)/H105</f>
        <v>0.82220624230909978</v>
      </c>
      <c r="I370" s="167"/>
      <c r="J370" s="57">
        <f>(J276+J332)/J105</f>
        <v>0.82163493844664737</v>
      </c>
      <c r="K370" s="167"/>
      <c r="L370" s="57">
        <f>(L276+L332)/L105</f>
        <v>0.82622104658149165</v>
      </c>
      <c r="M370" s="167"/>
      <c r="N370" s="57">
        <f>(N276+N332)/N105</f>
        <v>0.80450967392712958</v>
      </c>
      <c r="O370" s="167"/>
      <c r="P370" s="57">
        <f>(P276+P332)/P105</f>
        <v>0.7843376400279114</v>
      </c>
      <c r="Q370" s="167"/>
      <c r="R370" s="57">
        <f>(R276+R332)/R105</f>
        <v>0.7698901025180741</v>
      </c>
      <c r="S370" s="167"/>
      <c r="T370" s="57">
        <f>(T276+T332)/T105</f>
        <v>0.76134406546945044</v>
      </c>
      <c r="U370" s="167"/>
      <c r="V370" s="57">
        <f>(V276+V332)/V105</f>
        <v>0.7545867303838395</v>
      </c>
      <c r="W370" s="167"/>
    </row>
    <row r="371" spans="2:23" s="168" customFormat="1" ht="14.25">
      <c r="B371" s="115"/>
      <c r="C371" s="163"/>
      <c r="D371" s="163"/>
      <c r="G371" s="167"/>
      <c r="I371" s="167"/>
      <c r="K371" s="167"/>
      <c r="M371" s="167"/>
      <c r="O371" s="167"/>
      <c r="Q371" s="167"/>
      <c r="S371" s="167"/>
      <c r="U371" s="167"/>
      <c r="W371" s="167"/>
    </row>
    <row r="372" spans="2:23" s="168" customFormat="1" ht="14.25">
      <c r="B372" s="115"/>
      <c r="C372" s="163"/>
      <c r="D372" s="169" t="s">
        <v>632</v>
      </c>
      <c r="E372" s="170">
        <f>+E357/(+E31+E104)</f>
        <v>4.3530195125475091E-9</v>
      </c>
      <c r="F372" s="170">
        <f>+F357/(+F31+F104)</f>
        <v>7.7967209200169779E-2</v>
      </c>
      <c r="G372" s="167"/>
      <c r="H372" s="170">
        <f>+H357/(+H31+H104)</f>
        <v>1.3218715478543975E-16</v>
      </c>
      <c r="I372" s="167"/>
      <c r="J372" s="170">
        <f>+J357/(+J31+J104)</f>
        <v>0.1434699962508241</v>
      </c>
      <c r="K372" s="167"/>
      <c r="L372" s="170">
        <f>+L357/(+L31+L104)</f>
        <v>3.4456464458056282E-9</v>
      </c>
      <c r="M372" s="167"/>
      <c r="N372" s="170">
        <f>+N357/(+N31+N104)</f>
        <v>-0.14945294504713999</v>
      </c>
      <c r="O372" s="167"/>
      <c r="P372" s="170">
        <f>+P357/(+P31+P104)</f>
        <v>-0.24496127991554209</v>
      </c>
      <c r="Q372" s="167"/>
      <c r="R372" s="170">
        <f>+R357/(+R31+R104)</f>
        <v>2.8251523451637658E-2</v>
      </c>
      <c r="S372" s="167"/>
      <c r="T372" s="170">
        <f>+T357/(+T31+T104)</f>
        <v>0.12230345973840814</v>
      </c>
      <c r="U372" s="167"/>
      <c r="V372" s="170">
        <f>+V357/(+V31+V104)</f>
        <v>0.16861887895781916</v>
      </c>
      <c r="W372" s="167"/>
    </row>
    <row r="373" spans="2:23" s="168" customFormat="1" ht="15" thickBot="1">
      <c r="B373" s="115"/>
      <c r="C373" s="163"/>
      <c r="D373" s="169" t="s">
        <v>633</v>
      </c>
      <c r="E373" s="170">
        <f>E140/(+E31+E104)</f>
        <v>0.4800697166297006</v>
      </c>
      <c r="F373" s="170">
        <f>F140/(+F31+F104)</f>
        <v>0.50204221934538895</v>
      </c>
      <c r="G373" s="167"/>
      <c r="H373" s="170">
        <f>H140/(+H31+H104)</f>
        <v>0.54301572487605032</v>
      </c>
      <c r="I373" s="167"/>
      <c r="J373" s="170">
        <f>J140/(+J31+J104)</f>
        <v>0.53757589602199196</v>
      </c>
      <c r="K373" s="167"/>
      <c r="L373" s="170">
        <f>L140/(+L31+L104)</f>
        <v>0.5323535149839258</v>
      </c>
      <c r="M373" s="167"/>
      <c r="N373" s="170">
        <f>N140/(+N31+N104)</f>
        <v>0.52393857636292529</v>
      </c>
      <c r="O373" s="167"/>
      <c r="P373" s="170">
        <f>P140/(+P31+P104)</f>
        <v>0.50310757185314903</v>
      </c>
      <c r="Q373" s="167"/>
      <c r="R373" s="170">
        <f>R140/(+R31+R104)</f>
        <v>0.48358094862273499</v>
      </c>
      <c r="S373" s="167"/>
      <c r="T373" s="170">
        <f>T140/(+T31+T104)</f>
        <v>0.47017665671095898</v>
      </c>
      <c r="U373" s="167"/>
      <c r="V373" s="170">
        <f>V140/(+V31+V104)</f>
        <v>0.45919190289594225</v>
      </c>
      <c r="W373" s="167"/>
    </row>
    <row r="374" spans="2:23" s="168" customFormat="1" ht="15" thickBot="1">
      <c r="B374" s="115"/>
      <c r="C374" s="163"/>
      <c r="D374" s="169" t="s">
        <v>634</v>
      </c>
      <c r="F374" s="171">
        <f>(+F8/E8)-1</f>
        <v>0.17337821537385367</v>
      </c>
      <c r="G374" s="167"/>
      <c r="H374" s="171">
        <f>(+H8/F8)-1</f>
        <v>0.12958162407660812</v>
      </c>
      <c r="I374" s="167"/>
      <c r="J374" s="171">
        <f>(+J8/H8)-1</f>
        <v>0.13854489403433945</v>
      </c>
      <c r="K374" s="167"/>
      <c r="L374" s="171">
        <f>(+L8/J8)-1</f>
        <v>0.12711101523835389</v>
      </c>
      <c r="M374" s="167"/>
      <c r="N374" s="171">
        <f>(+N8/L8)-1</f>
        <v>0.16545763614093523</v>
      </c>
      <c r="O374" s="167"/>
      <c r="P374" s="171">
        <f>(+P8/N8)-1</f>
        <v>0.15965232802380536</v>
      </c>
      <c r="Q374" s="167"/>
      <c r="R374" s="171">
        <f>(+R8/P8)-1</f>
        <v>0.1477148908270165</v>
      </c>
      <c r="S374" s="167"/>
      <c r="T374" s="171">
        <f>(+T8/R8)-1</f>
        <v>0.12621702374249444</v>
      </c>
      <c r="U374" s="167"/>
      <c r="V374" s="171">
        <f>(+V8/T8)-1</f>
        <v>0.11930080648104213</v>
      </c>
      <c r="W374" s="167"/>
    </row>
    <row r="375" spans="2:23" s="168" customFormat="1" ht="14.25">
      <c r="B375" s="115"/>
      <c r="C375" s="163"/>
      <c r="D375" s="169" t="s">
        <v>635</v>
      </c>
      <c r="F375" s="170">
        <f>+(F140/E140)-1</f>
        <v>0.2243715909345454</v>
      </c>
      <c r="G375" s="167"/>
      <c r="H375" s="170">
        <f>+(H140/F140)-1</f>
        <v>0.21622796765061958</v>
      </c>
      <c r="I375" s="167"/>
      <c r="J375" s="170">
        <f>+(J140/H140)-1</f>
        <v>0.12941346813720611</v>
      </c>
      <c r="K375" s="167"/>
      <c r="L375" s="170">
        <f>+(L140/J140)-1</f>
        <v>0.12466874595200728</v>
      </c>
      <c r="M375" s="167"/>
      <c r="N375" s="170">
        <f>+(N140/L140)-1</f>
        <v>0.1355388716916317</v>
      </c>
      <c r="O375" s="167"/>
      <c r="P375" s="170">
        <f>+(P140/N140)-1</f>
        <v>0.10368008070713897</v>
      </c>
      <c r="Q375" s="167"/>
      <c r="R375" s="170">
        <f>+(R140/P140)-1</f>
        <v>9.4770178875859479E-2</v>
      </c>
      <c r="S375" s="167"/>
      <c r="T375" s="170">
        <f>+(T140/R140)-1</f>
        <v>8.8903861429719733E-2</v>
      </c>
      <c r="U375" s="167"/>
      <c r="V375" s="170">
        <f>+(V140/T140)-1</f>
        <v>8.7802173689438767E-2</v>
      </c>
      <c r="W375" s="167"/>
    </row>
    <row r="376" spans="2:23" s="168" customFormat="1" ht="14.25">
      <c r="B376" s="115"/>
      <c r="C376" s="163"/>
      <c r="D376" s="169" t="s">
        <v>636</v>
      </c>
      <c r="F376" s="170">
        <f>+(F153/E153)-1</f>
        <v>-3.3899692195150211E-2</v>
      </c>
      <c r="G376" s="167"/>
      <c r="H376" s="170">
        <f>+(H153/F153)-1</f>
        <v>0.20715863582146543</v>
      </c>
      <c r="I376" s="167"/>
      <c r="J376" s="170">
        <f>+(J153/H153)-1</f>
        <v>4.0773854991394742E-2</v>
      </c>
      <c r="K376" s="167"/>
      <c r="L376" s="170">
        <f>+(L153/J153)-1</f>
        <v>0.18590766009725868</v>
      </c>
      <c r="M376" s="167"/>
      <c r="N376" s="170">
        <f>+(N153/L153)-1</f>
        <v>0.14644975222340628</v>
      </c>
      <c r="O376" s="167"/>
      <c r="P376" s="170">
        <f>+(P153/N153)-1</f>
        <v>0.24768642265644036</v>
      </c>
      <c r="Q376" s="167"/>
      <c r="R376" s="170">
        <f>+(R153/P153)-1</f>
        <v>0.22569000482972124</v>
      </c>
      <c r="S376" s="167"/>
      <c r="T376" s="170">
        <f>+(T153/R153)-1</f>
        <v>0.20017991430286197</v>
      </c>
      <c r="U376" s="167"/>
      <c r="V376" s="170">
        <f>+(V153/T153)-1</f>
        <v>0.17461386464752171</v>
      </c>
      <c r="W376" s="167"/>
    </row>
    <row r="377" spans="2:23" s="168" customFormat="1" ht="14.25">
      <c r="B377" s="115"/>
      <c r="C377" s="163"/>
      <c r="D377" s="169" t="s">
        <v>637</v>
      </c>
      <c r="F377" s="170">
        <f>+(F273/E273)-1</f>
        <v>1.6719082847284739E-2</v>
      </c>
      <c r="G377" s="167"/>
      <c r="H377" s="170">
        <f t="shared" ref="H377" si="174">+(H273/F273)-1</f>
        <v>0.21584063167665168</v>
      </c>
      <c r="I377" s="167"/>
      <c r="J377" s="170">
        <f>+(J273/H273)-1</f>
        <v>0.17405817053508033</v>
      </c>
      <c r="K377" s="167"/>
      <c r="L377" s="170">
        <f>+(L273/J273)-1</f>
        <v>0.12992800415249639</v>
      </c>
      <c r="M377" s="167"/>
      <c r="N377" s="170">
        <f>+(N273/L273)-1</f>
        <v>0.10814212080774088</v>
      </c>
      <c r="O377" s="167"/>
      <c r="P377" s="170">
        <f>+(P273/N273)-1</f>
        <v>0.17694908850525537</v>
      </c>
      <c r="Q377" s="167"/>
      <c r="R377" s="170">
        <f>+(R273/P273)-1</f>
        <v>0.20632583108995139</v>
      </c>
      <c r="S377" s="167"/>
      <c r="T377" s="170">
        <f>+(T273/R273)-1</f>
        <v>0.16545942678654524</v>
      </c>
      <c r="U377" s="167"/>
      <c r="V377" s="170">
        <f>+(V273/T273)-1</f>
        <v>0.15278652013567395</v>
      </c>
      <c r="W377" s="167"/>
    </row>
    <row r="378" spans="2:23" s="173" customFormat="1" ht="15">
      <c r="B378" s="115"/>
      <c r="C378" s="172"/>
      <c r="D378" s="172"/>
      <c r="G378" s="174"/>
      <c r="I378" s="174"/>
      <c r="K378" s="174"/>
      <c r="M378" s="174"/>
      <c r="O378" s="174"/>
      <c r="Q378" s="174"/>
      <c r="S378" s="174"/>
      <c r="U378" s="174"/>
      <c r="W378" s="174"/>
    </row>
  </sheetData>
  <autoFilter ref="A4:W378"/>
  <mergeCells count="1">
    <mergeCell ref="D2:V2"/>
  </mergeCells>
  <conditionalFormatting sqref="E372:E373">
    <cfRule type="cellIs" dxfId="87" priority="81" operator="greaterThanOrEqual">
      <formula>D372</formula>
    </cfRule>
    <cfRule type="cellIs" dxfId="86" priority="82" operator="lessThan">
      <formula>$F$344+$E$372</formula>
    </cfRule>
  </conditionalFormatting>
  <conditionalFormatting sqref="F372 H372">
    <cfRule type="cellIs" dxfId="85" priority="83" operator="greaterThanOrEqual">
      <formula>F372</formula>
    </cfRule>
    <cfRule type="cellIs" dxfId="84" priority="84" operator="lessThan">
      <formula>F372</formula>
    </cfRule>
  </conditionalFormatting>
  <conditionalFormatting sqref="F373 H373">
    <cfRule type="cellIs" dxfId="83" priority="85" operator="lessThan">
      <formula>F373</formula>
    </cfRule>
    <cfRule type="cellIs" dxfId="82" priority="86" operator="greaterThanOrEqual">
      <formula>F373</formula>
    </cfRule>
  </conditionalFormatting>
  <conditionalFormatting sqref="F375">
    <cfRule type="cellIs" dxfId="81" priority="87" operator="greaterThanOrEqual">
      <formula>F374</formula>
    </cfRule>
    <cfRule type="cellIs" dxfId="80" priority="88" operator="lessThan">
      <formula>F374</formula>
    </cfRule>
  </conditionalFormatting>
  <conditionalFormatting sqref="J372">
    <cfRule type="cellIs" dxfId="79" priority="77" operator="greaterThanOrEqual">
      <formula>H372</formula>
    </cfRule>
    <cfRule type="cellIs" dxfId="78" priority="78" operator="lessThan">
      <formula>H372</formula>
    </cfRule>
  </conditionalFormatting>
  <conditionalFormatting sqref="J373">
    <cfRule type="cellIs" dxfId="77" priority="79" operator="lessThan">
      <formula>H373</formula>
    </cfRule>
    <cfRule type="cellIs" dxfId="76" priority="80" operator="greaterThanOrEqual">
      <formula>H373</formula>
    </cfRule>
  </conditionalFormatting>
  <conditionalFormatting sqref="L372">
    <cfRule type="cellIs" dxfId="75" priority="73" operator="greaterThanOrEqual">
      <formula>J372</formula>
    </cfRule>
    <cfRule type="cellIs" dxfId="74" priority="74" operator="lessThan">
      <formula>J372</formula>
    </cfRule>
  </conditionalFormatting>
  <conditionalFormatting sqref="L373">
    <cfRule type="cellIs" dxfId="73" priority="75" operator="lessThan">
      <formula>J373</formula>
    </cfRule>
    <cfRule type="cellIs" dxfId="72" priority="76" operator="greaterThanOrEqual">
      <formula>J373</formula>
    </cfRule>
  </conditionalFormatting>
  <conditionalFormatting sqref="N372">
    <cfRule type="cellIs" dxfId="71" priority="69" operator="greaterThanOrEqual">
      <formula>L372</formula>
    </cfRule>
    <cfRule type="cellIs" dxfId="70" priority="70" operator="lessThan">
      <formula>L372</formula>
    </cfRule>
  </conditionalFormatting>
  <conditionalFormatting sqref="N373">
    <cfRule type="cellIs" dxfId="69" priority="71" operator="lessThan">
      <formula>L373</formula>
    </cfRule>
    <cfRule type="cellIs" dxfId="68" priority="72" operator="greaterThanOrEqual">
      <formula>L373</formula>
    </cfRule>
  </conditionalFormatting>
  <conditionalFormatting sqref="P372">
    <cfRule type="cellIs" dxfId="67" priority="65" operator="greaterThanOrEqual">
      <formula>N372</formula>
    </cfRule>
    <cfRule type="cellIs" dxfId="66" priority="66" operator="lessThan">
      <formula>N372</formula>
    </cfRule>
  </conditionalFormatting>
  <conditionalFormatting sqref="P373">
    <cfRule type="cellIs" dxfId="65" priority="67" operator="lessThan">
      <formula>N373</formula>
    </cfRule>
    <cfRule type="cellIs" dxfId="64" priority="68" operator="greaterThanOrEqual">
      <formula>N373</formula>
    </cfRule>
  </conditionalFormatting>
  <conditionalFormatting sqref="R372">
    <cfRule type="cellIs" dxfId="63" priority="61" operator="greaterThanOrEqual">
      <formula>P372</formula>
    </cfRule>
    <cfRule type="cellIs" dxfId="62" priority="62" operator="lessThan">
      <formula>P372</formula>
    </cfRule>
  </conditionalFormatting>
  <conditionalFormatting sqref="R373">
    <cfRule type="cellIs" dxfId="61" priority="63" operator="lessThan">
      <formula>P373</formula>
    </cfRule>
    <cfRule type="cellIs" dxfId="60" priority="64" operator="greaterThanOrEqual">
      <formula>P373</formula>
    </cfRule>
  </conditionalFormatting>
  <conditionalFormatting sqref="T372">
    <cfRule type="cellIs" dxfId="59" priority="57" operator="greaterThanOrEqual">
      <formula>R372</formula>
    </cfRule>
    <cfRule type="cellIs" dxfId="58" priority="58" operator="lessThan">
      <formula>R372</formula>
    </cfRule>
  </conditionalFormatting>
  <conditionalFormatting sqref="T373">
    <cfRule type="cellIs" dxfId="57" priority="59" operator="lessThan">
      <formula>R373</formula>
    </cfRule>
    <cfRule type="cellIs" dxfId="56" priority="60" operator="greaterThanOrEqual">
      <formula>R373</formula>
    </cfRule>
  </conditionalFormatting>
  <conditionalFormatting sqref="V372">
    <cfRule type="cellIs" dxfId="55" priority="53" operator="greaterThanOrEqual">
      <formula>T372</formula>
    </cfRule>
    <cfRule type="cellIs" dxfId="54" priority="54" operator="lessThan">
      <formula>T372</formula>
    </cfRule>
  </conditionalFormatting>
  <conditionalFormatting sqref="V373">
    <cfRule type="cellIs" dxfId="53" priority="55" operator="lessThan">
      <formula>T373</formula>
    </cfRule>
    <cfRule type="cellIs" dxfId="52" priority="56" operator="greaterThanOrEqual">
      <formula>T373</formula>
    </cfRule>
  </conditionalFormatting>
  <conditionalFormatting sqref="F376">
    <cfRule type="cellIs" dxfId="51" priority="51" operator="greaterThanOrEqual">
      <formula>F374</formula>
    </cfRule>
    <cfRule type="cellIs" dxfId="50" priority="52" operator="lessThan">
      <formula>F374</formula>
    </cfRule>
  </conditionalFormatting>
  <conditionalFormatting sqref="F377">
    <cfRule type="cellIs" dxfId="49" priority="49" operator="greaterThanOrEqual">
      <formula>F374</formula>
    </cfRule>
    <cfRule type="cellIs" dxfId="48" priority="50" operator="lessThan">
      <formula>F374</formula>
    </cfRule>
  </conditionalFormatting>
  <conditionalFormatting sqref="H375">
    <cfRule type="cellIs" dxfId="47" priority="47" operator="greaterThanOrEqual">
      <formula>H374</formula>
    </cfRule>
    <cfRule type="cellIs" dxfId="46" priority="48" operator="lessThan">
      <formula>H374</formula>
    </cfRule>
  </conditionalFormatting>
  <conditionalFormatting sqref="H376">
    <cfRule type="cellIs" dxfId="45" priority="45" operator="greaterThanOrEqual">
      <formula>H374</formula>
    </cfRule>
    <cfRule type="cellIs" dxfId="44" priority="46" operator="lessThan">
      <formula>H374</formula>
    </cfRule>
  </conditionalFormatting>
  <conditionalFormatting sqref="H377">
    <cfRule type="cellIs" dxfId="43" priority="43" operator="greaterThanOrEqual">
      <formula>H374</formula>
    </cfRule>
    <cfRule type="cellIs" dxfId="42" priority="44" operator="lessThan">
      <formula>H374</formula>
    </cfRule>
  </conditionalFormatting>
  <conditionalFormatting sqref="J375">
    <cfRule type="cellIs" dxfId="41" priority="41" operator="greaterThanOrEqual">
      <formula>J374</formula>
    </cfRule>
    <cfRule type="cellIs" dxfId="40" priority="42" operator="lessThan">
      <formula>J374</formula>
    </cfRule>
  </conditionalFormatting>
  <conditionalFormatting sqref="J376">
    <cfRule type="cellIs" dxfId="39" priority="39" operator="greaterThanOrEqual">
      <formula>J374</formula>
    </cfRule>
    <cfRule type="cellIs" dxfId="38" priority="40" operator="lessThan">
      <formula>J374</formula>
    </cfRule>
  </conditionalFormatting>
  <conditionalFormatting sqref="J377">
    <cfRule type="cellIs" dxfId="37" priority="37" operator="greaterThanOrEqual">
      <formula>J374</formula>
    </cfRule>
    <cfRule type="cellIs" dxfId="36" priority="38" operator="lessThan">
      <formula>J374</formula>
    </cfRule>
  </conditionalFormatting>
  <conditionalFormatting sqref="L375">
    <cfRule type="cellIs" dxfId="35" priority="35" operator="greaterThanOrEqual">
      <formula>L374</formula>
    </cfRule>
    <cfRule type="cellIs" dxfId="34" priority="36" operator="lessThan">
      <formula>L374</formula>
    </cfRule>
  </conditionalFormatting>
  <conditionalFormatting sqref="L376">
    <cfRule type="cellIs" dxfId="33" priority="33" operator="greaterThanOrEqual">
      <formula>L374</formula>
    </cfRule>
    <cfRule type="cellIs" dxfId="32" priority="34" operator="lessThan">
      <formula>L374</formula>
    </cfRule>
  </conditionalFormatting>
  <conditionalFormatting sqref="L377">
    <cfRule type="cellIs" dxfId="31" priority="31" operator="greaterThanOrEqual">
      <formula>L374</formula>
    </cfRule>
    <cfRule type="cellIs" dxfId="30" priority="32" operator="lessThan">
      <formula>L374</formula>
    </cfRule>
  </conditionalFormatting>
  <conditionalFormatting sqref="N375">
    <cfRule type="cellIs" dxfId="29" priority="29" operator="greaterThanOrEqual">
      <formula>N374</formula>
    </cfRule>
    <cfRule type="cellIs" dxfId="28" priority="30" operator="lessThan">
      <formula>N374</formula>
    </cfRule>
  </conditionalFormatting>
  <conditionalFormatting sqref="N376">
    <cfRule type="cellIs" dxfId="27" priority="27" operator="greaterThanOrEqual">
      <formula>N374</formula>
    </cfRule>
    <cfRule type="cellIs" dxfId="26" priority="28" operator="lessThan">
      <formula>N374</formula>
    </cfRule>
  </conditionalFormatting>
  <conditionalFormatting sqref="N377">
    <cfRule type="cellIs" dxfId="25" priority="25" operator="greaterThanOrEqual">
      <formula>N374</formula>
    </cfRule>
    <cfRule type="cellIs" dxfId="24" priority="26" operator="lessThan">
      <formula>N374</formula>
    </cfRule>
  </conditionalFormatting>
  <conditionalFormatting sqref="P375">
    <cfRule type="cellIs" dxfId="23" priority="23" operator="greaterThanOrEqual">
      <formula>P374</formula>
    </cfRule>
    <cfRule type="cellIs" dxfId="22" priority="24" operator="lessThan">
      <formula>P374</formula>
    </cfRule>
  </conditionalFormatting>
  <conditionalFormatting sqref="P376">
    <cfRule type="cellIs" dxfId="21" priority="21" operator="greaterThanOrEqual">
      <formula>P374</formula>
    </cfRule>
    <cfRule type="cellIs" dxfId="20" priority="22" operator="lessThan">
      <formula>P374</formula>
    </cfRule>
  </conditionalFormatting>
  <conditionalFormatting sqref="P377">
    <cfRule type="cellIs" dxfId="19" priority="19" operator="greaterThanOrEqual">
      <formula>P374</formula>
    </cfRule>
    <cfRule type="cellIs" dxfId="18" priority="20" operator="lessThan">
      <formula>P374</formula>
    </cfRule>
  </conditionalFormatting>
  <conditionalFormatting sqref="R375">
    <cfRule type="cellIs" dxfId="17" priority="17" operator="greaterThanOrEqual">
      <formula>R374</formula>
    </cfRule>
    <cfRule type="cellIs" dxfId="16" priority="18" operator="lessThan">
      <formula>R374</formula>
    </cfRule>
  </conditionalFormatting>
  <conditionalFormatting sqref="R376">
    <cfRule type="cellIs" dxfId="15" priority="15" operator="greaterThanOrEqual">
      <formula>R374</formula>
    </cfRule>
    <cfRule type="cellIs" dxfId="14" priority="16" operator="lessThan">
      <formula>R374</formula>
    </cfRule>
  </conditionalFormatting>
  <conditionalFormatting sqref="R377">
    <cfRule type="cellIs" dxfId="13" priority="13" operator="greaterThanOrEqual">
      <formula>R374</formula>
    </cfRule>
    <cfRule type="cellIs" dxfId="12" priority="14" operator="lessThan">
      <formula>R374</formula>
    </cfRule>
  </conditionalFormatting>
  <conditionalFormatting sqref="T375">
    <cfRule type="cellIs" dxfId="11" priority="11" operator="greaterThanOrEqual">
      <formula>T374</formula>
    </cfRule>
    <cfRule type="cellIs" dxfId="10" priority="12" operator="lessThan">
      <formula>T374</formula>
    </cfRule>
  </conditionalFormatting>
  <conditionalFormatting sqref="T376">
    <cfRule type="cellIs" dxfId="9" priority="9" operator="greaterThanOrEqual">
      <formula>T374</formula>
    </cfRule>
    <cfRule type="cellIs" dxfId="8" priority="10" operator="lessThan">
      <formula>T374</formula>
    </cfRule>
  </conditionalFormatting>
  <conditionalFormatting sqref="T377">
    <cfRule type="cellIs" dxfId="7" priority="7" operator="greaterThanOrEqual">
      <formula>T374</formula>
    </cfRule>
    <cfRule type="cellIs" dxfId="6" priority="8" operator="lessThan">
      <formula>T374</formula>
    </cfRule>
  </conditionalFormatting>
  <conditionalFormatting sqref="V375">
    <cfRule type="cellIs" dxfId="5" priority="5" operator="greaterThanOrEqual">
      <formula>V374</formula>
    </cfRule>
    <cfRule type="cellIs" dxfId="4" priority="6" operator="lessThan">
      <formula>V374</formula>
    </cfRule>
  </conditionalFormatting>
  <conditionalFormatting sqref="V376">
    <cfRule type="cellIs" dxfId="3" priority="3" operator="greaterThanOrEqual">
      <formula>V374</formula>
    </cfRule>
    <cfRule type="cellIs" dxfId="2" priority="4" operator="lessThan">
      <formula>V374</formula>
    </cfRule>
  </conditionalFormatting>
  <conditionalFormatting sqref="V377">
    <cfRule type="cellIs" dxfId="1" priority="1" operator="greaterThanOrEqual">
      <formula>V374</formula>
    </cfRule>
    <cfRule type="cellIs" dxfId="0" priority="2" operator="lessThan">
      <formula>V374</formula>
    </cfRule>
  </conditionalFormatting>
  <pageMargins left="0.11811023622047245" right="0.11811023622047245" top="0.74803149606299213" bottom="0.74803149606299213" header="0.31496062992125984" footer="0.31496062992125984"/>
  <pageSetup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2:Z32"/>
  <sheetViews>
    <sheetView workbookViewId="0">
      <pane xSplit="3" ySplit="4" topLeftCell="D11" activePane="bottomRight" state="frozen"/>
      <selection activeCell="I15" sqref="I15"/>
      <selection pane="topRight" activeCell="I15" sqref="I15"/>
      <selection pane="bottomLeft" activeCell="I15" sqref="I15"/>
      <selection pane="bottomRight" activeCell="I29" sqref="I29"/>
    </sheetView>
  </sheetViews>
  <sheetFormatPr baseColWidth="10" defaultRowHeight="15" outlineLevelCol="1"/>
  <cols>
    <col min="1" max="1" width="34.42578125" style="99" bestFit="1" customWidth="1"/>
    <col min="2" max="3" width="17" style="98" hidden="1" customWidth="1" outlineLevel="1"/>
    <col min="4" max="4" width="17" style="98" customWidth="1" collapsed="1"/>
    <col min="5" max="8" width="17" style="98" hidden="1" customWidth="1" outlineLevel="1"/>
    <col min="9" max="9" width="17" style="98" customWidth="1" collapsed="1"/>
    <col min="10" max="10" width="17" style="98" customWidth="1"/>
    <col min="11" max="26" width="11.42578125" style="98"/>
    <col min="27" max="16384" width="11.42578125" style="99"/>
  </cols>
  <sheetData>
    <row r="2" spans="1:26" ht="23.25">
      <c r="A2" s="349" t="s">
        <v>555</v>
      </c>
      <c r="B2" s="349"/>
      <c r="C2" s="349"/>
      <c r="D2" s="349"/>
      <c r="E2" s="349"/>
      <c r="F2" s="349"/>
      <c r="G2" s="349"/>
      <c r="H2" s="349"/>
      <c r="I2" s="349"/>
      <c r="J2" s="349"/>
      <c r="K2" s="97"/>
    </row>
    <row r="3" spans="1:26" ht="15.75" thickBot="1">
      <c r="B3" s="100"/>
      <c r="C3" s="100"/>
      <c r="D3" s="100"/>
      <c r="E3" s="100"/>
      <c r="F3" s="100"/>
      <c r="G3" s="100"/>
      <c r="H3" s="100"/>
      <c r="I3" s="100"/>
      <c r="J3" s="100"/>
      <c r="K3" s="100"/>
      <c r="L3" s="99"/>
      <c r="M3" s="99"/>
      <c r="N3" s="99"/>
      <c r="O3" s="99"/>
      <c r="P3" s="99"/>
      <c r="Q3" s="99"/>
      <c r="R3" s="99"/>
      <c r="S3" s="99"/>
      <c r="T3" s="99"/>
      <c r="U3" s="99"/>
      <c r="V3" s="99"/>
      <c r="W3" s="99"/>
      <c r="X3" s="99"/>
      <c r="Y3" s="99"/>
      <c r="Z3" s="99"/>
    </row>
    <row r="4" spans="1:26" s="104" customFormat="1" ht="34.5" thickBot="1">
      <c r="A4" s="101" t="s">
        <v>405</v>
      </c>
      <c r="B4" s="102" t="s">
        <v>131</v>
      </c>
      <c r="C4" s="102" t="s">
        <v>349</v>
      </c>
      <c r="D4" s="102" t="s">
        <v>556</v>
      </c>
      <c r="E4" s="102" t="s">
        <v>557</v>
      </c>
      <c r="F4" s="102" t="s">
        <v>558</v>
      </c>
      <c r="G4" s="102" t="s">
        <v>382</v>
      </c>
      <c r="H4" s="102" t="s">
        <v>399</v>
      </c>
      <c r="I4" s="102" t="s">
        <v>559</v>
      </c>
      <c r="J4" s="102" t="s">
        <v>560</v>
      </c>
      <c r="K4" s="103"/>
    </row>
    <row r="5" spans="1:26" ht="19.5" customHeight="1">
      <c r="A5" s="105" t="s">
        <v>422</v>
      </c>
      <c r="B5" s="106">
        <f>IFERROR(VLOOKUP($B$4,[15]EDUC.CONT!$D:$AA,3,0),0)</f>
        <v>1325613.56</v>
      </c>
      <c r="C5" s="106">
        <f>IFERROR(VLOOKUP($C$4,[15]EDUC.CONT!$D:$AA,3,0),0)</f>
        <v>166877.91999999998</v>
      </c>
      <c r="D5" s="107">
        <f t="shared" ref="D5:D25" si="0">SUM(B5:C5)</f>
        <v>1492491.48</v>
      </c>
      <c r="E5" s="106">
        <f>IFERROR(VLOOKUP($E$4,[15]EDUC.CONT!$D:$AA,3,0),0)</f>
        <v>818481.16304000001</v>
      </c>
      <c r="F5" s="106">
        <f>IFERROR(VLOOKUP($F$4,[15]EDUC.CONT!$D:$AA,3,0),0)</f>
        <v>416368.98312999995</v>
      </c>
      <c r="G5" s="106">
        <f>IFERROR(VLOOKUP($G$4,[15]EDUC.CONT!$D:$AA,3,0),0)</f>
        <v>0</v>
      </c>
      <c r="H5" s="106">
        <f>IFERROR(VLOOKUP($H$4,[15]EDUC.CONT!$D:$AA,3,0),0)</f>
        <v>0</v>
      </c>
      <c r="I5" s="107">
        <f t="shared" ref="I5:I25" si="1">SUM(E5:H5)</f>
        <v>1234850.1461700001</v>
      </c>
      <c r="J5" s="108">
        <f t="shared" ref="J5:J25" si="2">+D5-I5</f>
        <v>257641.3338299999</v>
      </c>
      <c r="L5" s="99"/>
      <c r="O5" s="99"/>
      <c r="P5" s="99"/>
      <c r="Q5" s="99"/>
      <c r="R5" s="99"/>
      <c r="S5" s="99"/>
      <c r="T5" s="99"/>
      <c r="U5" s="99"/>
      <c r="V5" s="99"/>
      <c r="W5" s="99"/>
      <c r="X5" s="99"/>
      <c r="Y5" s="99"/>
      <c r="Z5" s="99"/>
    </row>
    <row r="6" spans="1:26" ht="19.5" customHeight="1">
      <c r="A6" s="109" t="s">
        <v>561</v>
      </c>
      <c r="B6" s="106">
        <f>IFERROR(VLOOKUP($B$4,[15]EDUC.CONT!$D:$AA,8,0),0)</f>
        <v>768670.48</v>
      </c>
      <c r="C6" s="106">
        <f>IFERROR(VLOOKUP($C$4,[15]EDUC.CONT!$D:$AA,8,0),0)</f>
        <v>0</v>
      </c>
      <c r="D6" s="107">
        <f t="shared" si="0"/>
        <v>768670.48</v>
      </c>
      <c r="E6" s="106">
        <f>IFERROR(VLOOKUP($E$4,[15]EDUC.CONT!$D:$AA,8,0),0)</f>
        <v>418097.19731999998</v>
      </c>
      <c r="F6" s="106">
        <f>IFERROR(VLOOKUP($F$4,[15]EDUC.CONT!$D:$AA,8,0),0)</f>
        <v>195830</v>
      </c>
      <c r="G6" s="106">
        <f>IFERROR(VLOOKUP($G$4,[15]EDUC.CONT!$D:$AA,8,0),0)</f>
        <v>0</v>
      </c>
      <c r="H6" s="106">
        <f>IFERROR(VLOOKUP($H$4,[15]EDUC.CONT!$D:$AA,8,0),0)</f>
        <v>0</v>
      </c>
      <c r="I6" s="110">
        <f t="shared" si="1"/>
        <v>613927.19732000004</v>
      </c>
      <c r="J6" s="111">
        <f t="shared" si="2"/>
        <v>154743.28267999995</v>
      </c>
      <c r="L6" s="99"/>
      <c r="O6" s="99"/>
      <c r="P6" s="99"/>
      <c r="Q6" s="99"/>
      <c r="R6" s="99"/>
      <c r="S6" s="99"/>
      <c r="T6" s="99"/>
      <c r="U6" s="99"/>
      <c r="V6" s="99"/>
      <c r="W6" s="99"/>
      <c r="X6" s="99"/>
      <c r="Y6" s="99"/>
      <c r="Z6" s="99"/>
    </row>
    <row r="7" spans="1:26" ht="19.5" customHeight="1">
      <c r="A7" s="109" t="s">
        <v>562</v>
      </c>
      <c r="B7" s="106">
        <f>IFERROR(VLOOKUP($B$4,[15]EDUC.CONT!$D:$AA,14,0),0)</f>
        <v>445223.5</v>
      </c>
      <c r="C7" s="106">
        <f>IFERROR(VLOOKUP($C$4,[15]EDUC.CONT!$D:$AA,14,0),0)</f>
        <v>13905</v>
      </c>
      <c r="D7" s="107">
        <f t="shared" si="0"/>
        <v>459128.5</v>
      </c>
      <c r="E7" s="106">
        <f>IFERROR(VLOOKUP($E$4,[15]EDUC.CONT!$D:$AA,14,0),0)</f>
        <v>281119.12719999999</v>
      </c>
      <c r="F7" s="106">
        <f>IFERROR(VLOOKUP($F$4,[15]EDUC.CONT!$D:$AA,14,0),0)</f>
        <v>117146.46412799999</v>
      </c>
      <c r="G7" s="106">
        <f>IFERROR(VLOOKUP($G$4,[15]EDUC.CONT!$D:$AA,14,0),0)</f>
        <v>0</v>
      </c>
      <c r="H7" s="106">
        <f>IFERROR(VLOOKUP($H$4,[15]EDUC.CONT!$D:$AA,14,0),0)</f>
        <v>0</v>
      </c>
      <c r="I7" s="110">
        <f t="shared" si="1"/>
        <v>398265.59132799995</v>
      </c>
      <c r="J7" s="111">
        <f t="shared" si="2"/>
        <v>60862.908672000049</v>
      </c>
      <c r="L7" s="99"/>
      <c r="O7" s="99"/>
      <c r="P7" s="99"/>
      <c r="Q7" s="99"/>
      <c r="R7" s="99"/>
      <c r="S7" s="99"/>
      <c r="T7" s="99"/>
      <c r="U7" s="99"/>
      <c r="V7" s="99"/>
      <c r="W7" s="99"/>
      <c r="X7" s="99"/>
      <c r="Y7" s="99"/>
      <c r="Z7" s="99"/>
    </row>
    <row r="8" spans="1:26" ht="19.5" customHeight="1">
      <c r="A8" s="109" t="s">
        <v>563</v>
      </c>
      <c r="B8" s="106">
        <f>IFERROR(VLOOKUP($B$4,[15]EDUC.CONT!$D:$AA,5,0),0)</f>
        <v>192858.31012000001</v>
      </c>
      <c r="C8" s="106">
        <f>IFERROR(VLOOKUP($C$4,[15]EDUC.CONT!$D:$AA,5,0),0)</f>
        <v>20140</v>
      </c>
      <c r="D8" s="107">
        <f t="shared" si="0"/>
        <v>212998.31012000001</v>
      </c>
      <c r="E8" s="106">
        <f>IFERROR(VLOOKUP($E$4,[15]EDUC.CONT!$D:$AA,5,0),0)</f>
        <v>120856.70452</v>
      </c>
      <c r="F8" s="106">
        <f>IFERROR(VLOOKUP($F$4,[15]EDUC.CONT!$D:$AA,5,0),0)</f>
        <v>56042.977791999998</v>
      </c>
      <c r="G8" s="106">
        <f>IFERROR(VLOOKUP($G$4,[15]EDUC.CONT!$D:$AA,5,0),0)</f>
        <v>0</v>
      </c>
      <c r="H8" s="106">
        <f>IFERROR(VLOOKUP($H$4,[15]EDUC.CONT!$D:$AA,5,0),0)</f>
        <v>0</v>
      </c>
      <c r="I8" s="110">
        <f t="shared" si="1"/>
        <v>176899.68231199999</v>
      </c>
      <c r="J8" s="111">
        <f t="shared" si="2"/>
        <v>36098.627808000019</v>
      </c>
      <c r="L8" s="99"/>
      <c r="O8" s="99"/>
      <c r="P8" s="99"/>
      <c r="Q8" s="99"/>
      <c r="R8" s="99"/>
      <c r="S8" s="99"/>
      <c r="T8" s="99"/>
      <c r="U8" s="99"/>
      <c r="V8" s="99"/>
      <c r="W8" s="99"/>
      <c r="X8" s="99"/>
      <c r="Y8" s="99"/>
      <c r="Z8" s="99"/>
    </row>
    <row r="9" spans="1:26" ht="19.5" customHeight="1">
      <c r="A9" s="109" t="s">
        <v>564</v>
      </c>
      <c r="B9" s="106">
        <f>IFERROR(VLOOKUP($B$4,[15]EDUC.CONT!$D:$AA,18,0),0)</f>
        <v>130147</v>
      </c>
      <c r="C9" s="106">
        <f>IFERROR(VLOOKUP($C$4,[15]EDUC.CONT!$D:$AA,18,0),0)</f>
        <v>0</v>
      </c>
      <c r="D9" s="107">
        <f t="shared" si="0"/>
        <v>130147</v>
      </c>
      <c r="E9" s="106">
        <f>IFERROR(VLOOKUP($E$4,[15]EDUC.CONT!$D:$AA,18,0),0)</f>
        <v>70051.478840000011</v>
      </c>
      <c r="F9" s="106">
        <f>IFERROR(VLOOKUP($F$4,[15]EDUC.CONT!$D:$AA,18,0),0)</f>
        <v>25272.294431999999</v>
      </c>
      <c r="G9" s="106">
        <f>IFERROR(VLOOKUP($G$4,[15]EDUC.CONT!$D:$AA,18,0),0)</f>
        <v>0</v>
      </c>
      <c r="H9" s="106">
        <f>IFERROR(VLOOKUP($H$4,[15]EDUC.CONT!$D:$AA,18,0),0)</f>
        <v>0</v>
      </c>
      <c r="I9" s="110">
        <f t="shared" si="1"/>
        <v>95323.773272000006</v>
      </c>
      <c r="J9" s="111">
        <f t="shared" si="2"/>
        <v>34823.226727999994</v>
      </c>
      <c r="L9" s="99"/>
      <c r="O9" s="99"/>
      <c r="P9" s="99"/>
      <c r="Q9" s="99"/>
      <c r="R9" s="99"/>
      <c r="S9" s="99"/>
      <c r="T9" s="99"/>
      <c r="U9" s="99"/>
      <c r="V9" s="99"/>
      <c r="W9" s="99"/>
      <c r="X9" s="99"/>
      <c r="Y9" s="99"/>
      <c r="Z9" s="99"/>
    </row>
    <row r="10" spans="1:26" ht="19.5" customHeight="1">
      <c r="A10" s="109" t="s">
        <v>565</v>
      </c>
      <c r="B10" s="106">
        <f>IFERROR(VLOOKUP($B$4,[15]EDUC.CONT!$D:$AA,22,0),0)</f>
        <v>157950.07</v>
      </c>
      <c r="C10" s="106">
        <f>IFERROR(VLOOKUP($C$4,[15]EDUC.CONT!$D:$AA,22,0),0)</f>
        <v>0</v>
      </c>
      <c r="D10" s="107">
        <f t="shared" si="0"/>
        <v>157950.07</v>
      </c>
      <c r="E10" s="106">
        <f>IFERROR(VLOOKUP($E$4,[15]EDUC.CONT!$D:$AA,22,0),0)</f>
        <v>91832.861700000009</v>
      </c>
      <c r="F10" s="106">
        <f>IFERROR(VLOOKUP($F$4,[15]EDUC.CONT!$D:$AA,22,0),0)</f>
        <v>35144.840918000002</v>
      </c>
      <c r="G10" s="106">
        <f>IFERROR(VLOOKUP($G$4,[15]EDUC.CONT!$D:$AA,22,0),0)</f>
        <v>0</v>
      </c>
      <c r="H10" s="106">
        <f>IFERROR(VLOOKUP($H$4,[15]EDUC.CONT!$D:$AA,22,0),0)</f>
        <v>0</v>
      </c>
      <c r="I10" s="110">
        <f t="shared" si="1"/>
        <v>126977.70261800001</v>
      </c>
      <c r="J10" s="111">
        <f t="shared" si="2"/>
        <v>30972.367381999997</v>
      </c>
      <c r="L10" s="99"/>
      <c r="O10" s="99"/>
      <c r="P10" s="99"/>
      <c r="Q10" s="99"/>
      <c r="R10" s="99"/>
      <c r="S10" s="99"/>
      <c r="T10" s="99"/>
      <c r="U10" s="99"/>
      <c r="V10" s="99"/>
      <c r="W10" s="99"/>
      <c r="X10" s="99"/>
      <c r="Y10" s="99"/>
      <c r="Z10" s="99"/>
    </row>
    <row r="11" spans="1:26" ht="19.5" customHeight="1">
      <c r="A11" s="109" t="s">
        <v>566</v>
      </c>
      <c r="B11" s="106">
        <f>IFERROR(VLOOKUP($B$4,[15]EDUC.CONT!$D:$AA,23,0),0)</f>
        <v>376776.96500000003</v>
      </c>
      <c r="C11" s="106">
        <f>IFERROR(VLOOKUP($C$4,[15]EDUC.CONT!$D:$AA,23,0),0)</f>
        <v>0</v>
      </c>
      <c r="D11" s="107">
        <f t="shared" si="0"/>
        <v>376776.96500000003</v>
      </c>
      <c r="E11" s="106">
        <f>IFERROR(VLOOKUP($E$4,[15]EDUC.CONT!$D:$AA,23,0),0)</f>
        <v>269708.06403000001</v>
      </c>
      <c r="F11" s="106">
        <f>IFERROR(VLOOKUP($F$4,[15]EDUC.CONT!$D:$AA,23,0),0)</f>
        <v>85706.750880000007</v>
      </c>
      <c r="G11" s="106">
        <f>IFERROR(VLOOKUP($G$4,[15]EDUC.CONT!$D:$AA,23,0),0)</f>
        <v>0</v>
      </c>
      <c r="H11" s="106">
        <f>IFERROR(VLOOKUP($H$4,[15]EDUC.CONT!$D:$AA,23,0),0)</f>
        <v>0</v>
      </c>
      <c r="I11" s="110">
        <f t="shared" si="1"/>
        <v>355414.81491000002</v>
      </c>
      <c r="J11" s="111">
        <f t="shared" si="2"/>
        <v>21362.15009000001</v>
      </c>
      <c r="O11" s="99"/>
      <c r="P11" s="99"/>
      <c r="Q11" s="99"/>
      <c r="R11" s="99"/>
      <c r="S11" s="99"/>
      <c r="T11" s="99"/>
      <c r="U11" s="99"/>
      <c r="V11" s="99"/>
      <c r="W11" s="99"/>
      <c r="X11" s="99"/>
      <c r="Y11" s="99"/>
      <c r="Z11" s="99"/>
    </row>
    <row r="12" spans="1:26" ht="19.5" customHeight="1">
      <c r="A12" s="109" t="s">
        <v>567</v>
      </c>
      <c r="B12" s="106">
        <f>IFERROR(VLOOKUP($B$4,[15]EDUC.CONT!$D:$AA,15,0),0)</f>
        <v>87876.65</v>
      </c>
      <c r="C12" s="106">
        <f>IFERROR(VLOOKUP($C$4,[15]EDUC.CONT!$D:$AA,15,0),0)</f>
        <v>0</v>
      </c>
      <c r="D12" s="107">
        <f t="shared" si="0"/>
        <v>87876.65</v>
      </c>
      <c r="E12" s="106">
        <f>IFERROR(VLOOKUP($E$4,[15]EDUC.CONT!$D:$AA,15,0),0)</f>
        <v>45737.967380000002</v>
      </c>
      <c r="F12" s="106">
        <f>IFERROR(VLOOKUP($F$4,[15]EDUC.CONT!$D:$AA,15,0),0)</f>
        <v>22082.276847200003</v>
      </c>
      <c r="G12" s="106">
        <f>IFERROR(VLOOKUP($G$4,[15]EDUC.CONT!$D:$AA,15,0),0)</f>
        <v>0</v>
      </c>
      <c r="H12" s="106">
        <f>IFERROR(VLOOKUP($H$4,[15]EDUC.CONT!$D:$AA,15,0),0)</f>
        <v>0</v>
      </c>
      <c r="I12" s="110">
        <f t="shared" si="1"/>
        <v>67820.244227200004</v>
      </c>
      <c r="J12" s="111">
        <f t="shared" si="2"/>
        <v>20056.40577279999</v>
      </c>
      <c r="O12" s="99"/>
      <c r="P12" s="99"/>
      <c r="Q12" s="99"/>
      <c r="R12" s="99"/>
      <c r="S12" s="99"/>
      <c r="T12" s="99"/>
      <c r="U12" s="99"/>
      <c r="V12" s="99"/>
      <c r="W12" s="99"/>
      <c r="X12" s="99"/>
      <c r="Y12" s="99"/>
      <c r="Z12" s="99"/>
    </row>
    <row r="13" spans="1:26" ht="19.5" customHeight="1">
      <c r="A13" s="109" t="s">
        <v>423</v>
      </c>
      <c r="B13" s="106">
        <f>IFERROR(VLOOKUP($B$4,[15]EDUC.CONT!$D:$AA,6,0),0)</f>
        <v>91793</v>
      </c>
      <c r="C13" s="106">
        <f>IFERROR(VLOOKUP($C$4,[15]EDUC.CONT!$D:$AA,6,0),0)</f>
        <v>0</v>
      </c>
      <c r="D13" s="107">
        <f t="shared" si="0"/>
        <v>91793</v>
      </c>
      <c r="E13" s="106">
        <f>IFERROR(VLOOKUP($E$4,[15]EDUC.CONT!$D:$AA,6,0),0)</f>
        <v>59757.119460000002</v>
      </c>
      <c r="F13" s="106">
        <f>IFERROR(VLOOKUP($F$4,[15]EDUC.CONT!$D:$AA,6,0),0)</f>
        <v>20854.707968000002</v>
      </c>
      <c r="G13" s="106">
        <f>IFERROR(VLOOKUP($G$4,[15]EDUC.CONT!$D:$AA,6,0),0)</f>
        <v>0</v>
      </c>
      <c r="H13" s="106">
        <f>IFERROR(VLOOKUP($H$4,[15]EDUC.CONT!$D:$AA,6,0),0)</f>
        <v>0</v>
      </c>
      <c r="I13" s="110">
        <f t="shared" si="1"/>
        <v>80611.827428000004</v>
      </c>
      <c r="J13" s="111">
        <f t="shared" si="2"/>
        <v>11181.172571999996</v>
      </c>
      <c r="L13" s="99"/>
      <c r="O13" s="99"/>
      <c r="P13" s="99"/>
      <c r="Q13" s="99"/>
      <c r="R13" s="99"/>
      <c r="S13" s="99"/>
      <c r="T13" s="99"/>
      <c r="U13" s="99"/>
      <c r="V13" s="99"/>
      <c r="W13" s="99"/>
      <c r="X13" s="99"/>
      <c r="Y13" s="99"/>
      <c r="Z13" s="99"/>
    </row>
    <row r="14" spans="1:26" ht="19.5" customHeight="1">
      <c r="A14" s="109" t="s">
        <v>568</v>
      </c>
      <c r="B14" s="106">
        <f>IFERROR(VLOOKUP($B$4,[15]EDUC.CONT!$D:$AA,9,0),0)</f>
        <v>98000</v>
      </c>
      <c r="C14" s="106">
        <f>IFERROR(VLOOKUP($C$4,[15]EDUC.CONT!$D:$AA,9,0),0)</f>
        <v>0</v>
      </c>
      <c r="D14" s="107">
        <f t="shared" si="0"/>
        <v>98000</v>
      </c>
      <c r="E14" s="106">
        <f>IFERROR(VLOOKUP($E$4,[15]EDUC.CONT!$D:$AA,9,0),0)</f>
        <v>60452.826440000004</v>
      </c>
      <c r="F14" s="106">
        <f>IFERROR(VLOOKUP($F$4,[15]EDUC.CONT!$D:$AA,9,0),0)</f>
        <v>30014.430200000003</v>
      </c>
      <c r="G14" s="106">
        <f>IFERROR(VLOOKUP($G$4,[15]EDUC.CONT!$D:$AA,9,0),0)</f>
        <v>0</v>
      </c>
      <c r="H14" s="106">
        <f>IFERROR(VLOOKUP($H$4,[15]EDUC.CONT!$D:$AA,9,0),0)</f>
        <v>0</v>
      </c>
      <c r="I14" s="110">
        <f t="shared" si="1"/>
        <v>90467.256640000007</v>
      </c>
      <c r="J14" s="111">
        <f t="shared" si="2"/>
        <v>7532.7433599999931</v>
      </c>
      <c r="L14" s="99"/>
      <c r="O14" s="99"/>
      <c r="P14" s="99"/>
      <c r="Q14" s="99"/>
      <c r="R14" s="99"/>
      <c r="S14" s="99"/>
      <c r="T14" s="99"/>
      <c r="U14" s="99"/>
      <c r="V14" s="99"/>
      <c r="W14" s="99"/>
      <c r="X14" s="99"/>
      <c r="Y14" s="99"/>
      <c r="Z14" s="99"/>
    </row>
    <row r="15" spans="1:26" ht="19.5" customHeight="1">
      <c r="A15" s="109" t="s">
        <v>421</v>
      </c>
      <c r="B15" s="106">
        <f>IFERROR(VLOOKUP($B$4,[15]EDUC.CONT!$D:$AA,10,0),0)</f>
        <v>95850.900000000009</v>
      </c>
      <c r="C15" s="106">
        <f>IFERROR(VLOOKUP($C$4,[15]EDUC.CONT!$D:$AA,10,0),0)</f>
        <v>0</v>
      </c>
      <c r="D15" s="107">
        <f t="shared" si="0"/>
        <v>95850.900000000009</v>
      </c>
      <c r="E15" s="106">
        <f>IFERROR(VLOOKUP($E$4,[15]EDUC.CONT!$D:$AA,10,0),0)</f>
        <v>67396.182239999995</v>
      </c>
      <c r="F15" s="106">
        <f>IFERROR(VLOOKUP($F$4,[15]EDUC.CONT!$D:$AA,10,0),0)</f>
        <v>21735.783360000001</v>
      </c>
      <c r="G15" s="106">
        <f>IFERROR(VLOOKUP($G$4,[15]EDUC.CONT!$D:$AA,10,0),0)</f>
        <v>0</v>
      </c>
      <c r="H15" s="106">
        <f>IFERROR(VLOOKUP($H$4,[15]EDUC.CONT!$D:$AA,10,0),0)</f>
        <v>0</v>
      </c>
      <c r="I15" s="110">
        <f t="shared" si="1"/>
        <v>89131.965599999996</v>
      </c>
      <c r="J15" s="111">
        <f t="shared" si="2"/>
        <v>6718.9344000000128</v>
      </c>
      <c r="L15" s="99"/>
      <c r="O15" s="99"/>
      <c r="P15" s="99"/>
      <c r="Q15" s="99"/>
      <c r="R15" s="99"/>
      <c r="S15" s="99"/>
      <c r="T15" s="99"/>
      <c r="U15" s="99"/>
      <c r="V15" s="99"/>
      <c r="W15" s="99"/>
      <c r="X15" s="99"/>
      <c r="Y15" s="99"/>
      <c r="Z15" s="99"/>
    </row>
    <row r="16" spans="1:26" ht="19.5" customHeight="1">
      <c r="A16" s="109" t="s">
        <v>569</v>
      </c>
      <c r="B16" s="106">
        <f>IFERROR(VLOOKUP($B$4,[15]EDUC.CONT!$D:$AA,13,0),0)</f>
        <v>40000</v>
      </c>
      <c r="C16" s="106">
        <f>IFERROR(VLOOKUP($C$4,[15]EDUC.CONT!$D:$AA,13,0),0)</f>
        <v>0</v>
      </c>
      <c r="D16" s="107">
        <f t="shared" si="0"/>
        <v>40000</v>
      </c>
      <c r="E16" s="106">
        <f>IFERROR(VLOOKUP($E$4,[15]EDUC.CONT!$D:$AA,13,0),0)</f>
        <v>28500</v>
      </c>
      <c r="F16" s="106">
        <f>IFERROR(VLOOKUP($F$4,[15]EDUC.CONT!$D:$AA,13,0),0)</f>
        <v>5881</v>
      </c>
      <c r="G16" s="106">
        <f>IFERROR(VLOOKUP($G$4,[15]EDUC.CONT!$D:$AA,13,0),0)</f>
        <v>0</v>
      </c>
      <c r="H16" s="106">
        <f>IFERROR(VLOOKUP($H$4,[15]EDUC.CONT!$D:$AA,13,0),0)</f>
        <v>0</v>
      </c>
      <c r="I16" s="110">
        <f t="shared" si="1"/>
        <v>34381</v>
      </c>
      <c r="J16" s="111">
        <f t="shared" si="2"/>
        <v>5619</v>
      </c>
      <c r="L16" s="99"/>
      <c r="O16" s="99"/>
      <c r="P16" s="99"/>
      <c r="Q16" s="99"/>
      <c r="R16" s="99"/>
      <c r="S16" s="99"/>
      <c r="T16" s="99"/>
      <c r="U16" s="99"/>
      <c r="V16" s="99"/>
      <c r="W16" s="99"/>
      <c r="X16" s="99"/>
      <c r="Y16" s="99"/>
      <c r="Z16" s="99"/>
    </row>
    <row r="17" spans="1:26" ht="19.5" customHeight="1">
      <c r="A17" s="109" t="s">
        <v>570</v>
      </c>
      <c r="B17" s="106">
        <f>IFERROR(VLOOKUP($B$4,[15]EDUC.CONT!$D:$AA,19,0),0)</f>
        <v>40000</v>
      </c>
      <c r="C17" s="106">
        <f>IFERROR(VLOOKUP($C$4,[15]EDUC.CONT!$D:$AA,19,0),0)</f>
        <v>0</v>
      </c>
      <c r="D17" s="107">
        <f t="shared" si="0"/>
        <v>40000</v>
      </c>
      <c r="E17" s="106">
        <f>IFERROR(VLOOKUP($E$4,[15]EDUC.CONT!$D:$AA,19,0),0)</f>
        <v>28500</v>
      </c>
      <c r="F17" s="106">
        <f>IFERROR(VLOOKUP($F$4,[15]EDUC.CONT!$D:$AA,19,0),0)</f>
        <v>5881</v>
      </c>
      <c r="G17" s="106">
        <f>IFERROR(VLOOKUP($G$4,[15]EDUC.CONT!$D:$AA,19,0),0)</f>
        <v>0</v>
      </c>
      <c r="H17" s="106">
        <f>IFERROR(VLOOKUP($H$4,[15]EDUC.CONT!$D:$AA,19,0),0)</f>
        <v>0</v>
      </c>
      <c r="I17" s="110">
        <f t="shared" si="1"/>
        <v>34381</v>
      </c>
      <c r="J17" s="111">
        <f t="shared" si="2"/>
        <v>5619</v>
      </c>
      <c r="L17" s="99"/>
      <c r="O17" s="99"/>
      <c r="P17" s="99"/>
      <c r="Q17" s="99"/>
      <c r="R17" s="99"/>
      <c r="S17" s="99"/>
      <c r="T17" s="99"/>
      <c r="U17" s="99"/>
      <c r="V17" s="99"/>
      <c r="W17" s="99"/>
      <c r="X17" s="99"/>
      <c r="Y17" s="99"/>
      <c r="Z17" s="99"/>
    </row>
    <row r="18" spans="1:26" ht="19.5" customHeight="1">
      <c r="A18" s="109" t="s">
        <v>571</v>
      </c>
      <c r="B18" s="106">
        <f>IFERROR(VLOOKUP($B$4,[15]EDUC.CONT!$D:$AA,16,0),0)</f>
        <v>0</v>
      </c>
      <c r="C18" s="106">
        <f>IFERROR(VLOOKUP($C$4,[15]EDUC.CONT!$D:$AA,16,0),0)</f>
        <v>0</v>
      </c>
      <c r="D18" s="107">
        <f t="shared" si="0"/>
        <v>0</v>
      </c>
      <c r="E18" s="106">
        <f>IFERROR(VLOOKUP($E$4,[15]EDUC.CONT!$D:$AA,16,0),0)</f>
        <v>0</v>
      </c>
      <c r="F18" s="106">
        <f>IFERROR(VLOOKUP($F$4,[15]EDUC.CONT!$D:$AA,16,0),0)</f>
        <v>0</v>
      </c>
      <c r="G18" s="106">
        <f>IFERROR(VLOOKUP($G$4,[15]EDUC.CONT!$D:$AA,16,0),0)</f>
        <v>0</v>
      </c>
      <c r="H18" s="106">
        <f>IFERROR(VLOOKUP($H$4,[15]EDUC.CONT!$D:$AA,16,0),0)</f>
        <v>0</v>
      </c>
      <c r="I18" s="110">
        <f t="shared" si="1"/>
        <v>0</v>
      </c>
      <c r="J18" s="111">
        <f t="shared" si="2"/>
        <v>0</v>
      </c>
      <c r="L18" s="99"/>
      <c r="O18" s="99"/>
      <c r="P18" s="99"/>
      <c r="Q18" s="99"/>
      <c r="R18" s="99"/>
      <c r="S18" s="99"/>
      <c r="T18" s="99"/>
      <c r="U18" s="99"/>
      <c r="V18" s="99"/>
      <c r="W18" s="99"/>
      <c r="X18" s="99"/>
      <c r="Y18" s="99"/>
      <c r="Z18" s="99"/>
    </row>
    <row r="19" spans="1:26" ht="19.5" customHeight="1">
      <c r="A19" s="109" t="s">
        <v>419</v>
      </c>
      <c r="B19" s="106">
        <f>IFERROR(VLOOKUP($B$4,[15]EDUC.CONT!$D:$AA,4,0),0)</f>
        <v>146079.4</v>
      </c>
      <c r="C19" s="106">
        <f>IFERROR(VLOOKUP($C$4,[15]EDUC.CONT!$D:$AA,4,0),0)</f>
        <v>6572</v>
      </c>
      <c r="D19" s="107">
        <f t="shared" si="0"/>
        <v>152651.4</v>
      </c>
      <c r="E19" s="106">
        <f>IFERROR(VLOOKUP($E$4,[15]EDUC.CONT!$D:$AA,4,0),0)</f>
        <v>105839.73118</v>
      </c>
      <c r="F19" s="106">
        <f>IFERROR(VLOOKUP($F$4,[15]EDUC.CONT!$D:$AA,4,0),0)</f>
        <v>43113.023778399998</v>
      </c>
      <c r="G19" s="106">
        <f>IFERROR(VLOOKUP($G$4,[15]EDUC.CONT!$D:$AA,4,0),0)</f>
        <v>0</v>
      </c>
      <c r="H19" s="106">
        <f>IFERROR(VLOOKUP($H$4,[15]EDUC.CONT!$D:$AA,4,0),0)</f>
        <v>0</v>
      </c>
      <c r="I19" s="110">
        <f t="shared" si="1"/>
        <v>148952.75495840001</v>
      </c>
      <c r="J19" s="111">
        <f t="shared" si="2"/>
        <v>3698.6450415999861</v>
      </c>
      <c r="L19" s="99"/>
      <c r="O19" s="99"/>
      <c r="P19" s="99"/>
      <c r="Q19" s="99"/>
      <c r="R19" s="99"/>
      <c r="S19" s="99"/>
      <c r="T19" s="99"/>
      <c r="U19" s="99"/>
      <c r="V19" s="99"/>
      <c r="W19" s="99"/>
      <c r="X19" s="99"/>
      <c r="Y19" s="99"/>
      <c r="Z19" s="99"/>
    </row>
    <row r="20" spans="1:26" ht="19.5" customHeight="1">
      <c r="A20" s="109" t="s">
        <v>572</v>
      </c>
      <c r="B20" s="106">
        <f>IFERROR(VLOOKUP($B$4,[15]EDUC.CONT!$D:$AA,7,0),0)</f>
        <v>18667.100000000002</v>
      </c>
      <c r="C20" s="106">
        <f>IFERROR(VLOOKUP($C$4,[15]EDUC.CONT!$D:$AA,7,0),0)</f>
        <v>12190</v>
      </c>
      <c r="D20" s="107">
        <f t="shared" si="0"/>
        <v>30857.100000000002</v>
      </c>
      <c r="E20" s="106">
        <f>IFERROR(VLOOKUP($E$4,[15]EDUC.CONT!$D:$AA,7,0),0)</f>
        <v>23164.6093</v>
      </c>
      <c r="F20" s="106">
        <f>IFERROR(VLOOKUP($F$4,[15]EDUC.CONT!$D:$AA,7,0),0)</f>
        <v>5193.9396800000013</v>
      </c>
      <c r="G20" s="106">
        <f>IFERROR(VLOOKUP($G$4,[15]EDUC.CONT!$D:$AA,7,0),0)</f>
        <v>0</v>
      </c>
      <c r="H20" s="106">
        <f>IFERROR(VLOOKUP($H$4,[15]EDUC.CONT!$D:$AA,7,0),0)</f>
        <v>0</v>
      </c>
      <c r="I20" s="110">
        <f t="shared" si="1"/>
        <v>28358.54898</v>
      </c>
      <c r="J20" s="111">
        <f t="shared" si="2"/>
        <v>2498.5510200000026</v>
      </c>
      <c r="O20" s="99"/>
      <c r="P20" s="99"/>
      <c r="Q20" s="99"/>
      <c r="R20" s="99"/>
      <c r="S20" s="99"/>
      <c r="T20" s="99"/>
      <c r="U20" s="99"/>
      <c r="V20" s="99"/>
      <c r="W20" s="99"/>
      <c r="X20" s="99"/>
      <c r="Y20" s="99"/>
      <c r="Z20" s="99"/>
    </row>
    <row r="21" spans="1:26" ht="19.5" customHeight="1">
      <c r="A21" s="109" t="s">
        <v>420</v>
      </c>
      <c r="B21" s="106">
        <f>IFERROR(VLOOKUP($B$4,[15]EDUC.CONT!$D:$AA,21,0),0)</f>
        <v>6360</v>
      </c>
      <c r="C21" s="106">
        <f>IFERROR(VLOOKUP($C$4,[15]EDUC.CONT!$D:$AA,21,0),0)</f>
        <v>0</v>
      </c>
      <c r="D21" s="107">
        <f t="shared" si="0"/>
        <v>6360</v>
      </c>
      <c r="E21" s="106">
        <f>IFERROR(VLOOKUP($E$4,[15]EDUC.CONT!$D:$AA,21,0),0)</f>
        <v>2590</v>
      </c>
      <c r="F21" s="106">
        <f>IFERROR(VLOOKUP($F$4,[15]EDUC.CONT!$D:$AA,21,0),0)</f>
        <v>1494.350688</v>
      </c>
      <c r="G21" s="106">
        <f>IFERROR(VLOOKUP($G$4,[15]EDUC.CONT!$D:$AA,21,0),0)</f>
        <v>0</v>
      </c>
      <c r="H21" s="106">
        <f>IFERROR(VLOOKUP($H$4,[15]EDUC.CONT!$D:$AA,21,0),0)</f>
        <v>0</v>
      </c>
      <c r="I21" s="110">
        <f t="shared" si="1"/>
        <v>4084.350688</v>
      </c>
      <c r="J21" s="111">
        <f t="shared" si="2"/>
        <v>2275.649312</v>
      </c>
      <c r="O21" s="99"/>
      <c r="P21" s="99"/>
      <c r="Q21" s="99"/>
      <c r="R21" s="99"/>
      <c r="S21" s="99"/>
      <c r="T21" s="99"/>
      <c r="U21" s="99"/>
      <c r="V21" s="99"/>
      <c r="W21" s="99"/>
      <c r="X21" s="99"/>
      <c r="Y21" s="99"/>
      <c r="Z21" s="99"/>
    </row>
    <row r="22" spans="1:26" ht="19.5" customHeight="1">
      <c r="A22" s="109" t="s">
        <v>573</v>
      </c>
      <c r="B22" s="106">
        <f>IFERROR(VLOOKUP($B$4,[15]EDUC.CONT!$D:$AA,12,0),0)</f>
        <v>87990.6</v>
      </c>
      <c r="C22" s="106">
        <f>IFERROR(VLOOKUP($C$4,[15]EDUC.CONT!$D:$AA,12,0),0)</f>
        <v>0</v>
      </c>
      <c r="D22" s="107">
        <f t="shared" si="0"/>
        <v>87990.6</v>
      </c>
      <c r="E22" s="106">
        <f>IFERROR(VLOOKUP($E$4,[15]EDUC.CONT!$D:$AA,12,0),0)</f>
        <v>60452.826440000004</v>
      </c>
      <c r="F22" s="106">
        <f>IFERROR(VLOOKUP($F$4,[15]EDUC.CONT!$D:$AA,12,0),0)</f>
        <v>27306.430200000003</v>
      </c>
      <c r="G22" s="106">
        <f>IFERROR(VLOOKUP($G$4,[15]EDUC.CONT!$D:$AA,12,0),0)</f>
        <v>0</v>
      </c>
      <c r="H22" s="106">
        <f>IFERROR(VLOOKUP($H$4,[15]EDUC.CONT!$D:$AA,12,0),0)</f>
        <v>0</v>
      </c>
      <c r="I22" s="110">
        <f t="shared" si="1"/>
        <v>87759.256640000007</v>
      </c>
      <c r="J22" s="111">
        <f t="shared" si="2"/>
        <v>231.34335999999894</v>
      </c>
      <c r="L22" s="99"/>
      <c r="O22" s="99"/>
      <c r="P22" s="99"/>
      <c r="Q22" s="99"/>
      <c r="R22" s="99"/>
      <c r="S22" s="99"/>
      <c r="T22" s="99"/>
      <c r="U22" s="99"/>
      <c r="V22" s="99"/>
      <c r="W22" s="99"/>
      <c r="X22" s="99"/>
      <c r="Y22" s="99"/>
      <c r="Z22" s="99"/>
    </row>
    <row r="23" spans="1:26" ht="19.5" customHeight="1">
      <c r="A23" s="109" t="s">
        <v>417</v>
      </c>
      <c r="B23" s="106">
        <f>IFERROR(VLOOKUP($B$4,[15]EDUC.CONT!$D:$AA,24,0),0)</f>
        <v>1087</v>
      </c>
      <c r="C23" s="106">
        <f>IFERROR(VLOOKUP($C$4,[15]EDUC.CONT!$D:$AA,24,0),0)</f>
        <v>0</v>
      </c>
      <c r="D23" s="107">
        <f t="shared" si="0"/>
        <v>1087</v>
      </c>
      <c r="E23" s="106">
        <f>IFERROR(VLOOKUP($E$4,[15]EDUC.CONT!$D:$AA,24,0),0)</f>
        <v>543032.19243727799</v>
      </c>
      <c r="F23" s="106">
        <f>IFERROR(VLOOKUP($F$4,[15]EDUC.CONT!$D:$AA,24,0),0)</f>
        <v>-541945.80738000013</v>
      </c>
      <c r="G23" s="106">
        <f>IFERROR(VLOOKUP($G$4,[15]EDUC.CONT!$D:$AA,24,0),0)</f>
        <v>0</v>
      </c>
      <c r="H23" s="106">
        <f>IFERROR(VLOOKUP($H$4,[15]EDUC.CONT!$D:$AA,24,0),0)</f>
        <v>0</v>
      </c>
      <c r="I23" s="110">
        <f t="shared" si="1"/>
        <v>1086.3850572778611</v>
      </c>
      <c r="J23" s="111">
        <f t="shared" si="2"/>
        <v>0.61494272213894874</v>
      </c>
      <c r="O23" s="99"/>
      <c r="P23" s="99"/>
      <c r="Q23" s="99"/>
      <c r="R23" s="99"/>
      <c r="S23" s="99"/>
      <c r="T23" s="99"/>
      <c r="U23" s="99"/>
      <c r="V23" s="99"/>
      <c r="W23" s="99"/>
      <c r="X23" s="99"/>
      <c r="Y23" s="99"/>
      <c r="Z23" s="99"/>
    </row>
    <row r="24" spans="1:26" ht="19.5" customHeight="1">
      <c r="A24" s="109" t="s">
        <v>574</v>
      </c>
      <c r="B24" s="106">
        <f>IFERROR(VLOOKUP($B$4,[15]EDUC.CONT!$D:$AA,17,0),0)</f>
        <v>0</v>
      </c>
      <c r="C24" s="106">
        <f>IFERROR(VLOOKUP($C$4,[15]EDUC.CONT!$D:$AA,17,0),0)</f>
        <v>0</v>
      </c>
      <c r="D24" s="107">
        <f t="shared" si="0"/>
        <v>0</v>
      </c>
      <c r="E24" s="106">
        <f>IFERROR(VLOOKUP($E$4,[15]EDUC.CONT!$D:$AA,17,0),0)</f>
        <v>0</v>
      </c>
      <c r="F24" s="106">
        <f>IFERROR(VLOOKUP($F$4,[15]EDUC.CONT!$D:$AA,17,0),0)</f>
        <v>0</v>
      </c>
      <c r="G24" s="106">
        <f>IFERROR(VLOOKUP($G$4,[15]EDUC.CONT!$D:$AA,17,0),0)</f>
        <v>0</v>
      </c>
      <c r="H24" s="106">
        <f>IFERROR(VLOOKUP($H$4,[15]EDUC.CONT!$D:$AA,17,0),0)</f>
        <v>0</v>
      </c>
      <c r="I24" s="110">
        <f t="shared" si="1"/>
        <v>0</v>
      </c>
      <c r="J24" s="111">
        <f t="shared" si="2"/>
        <v>0</v>
      </c>
      <c r="O24" s="99"/>
      <c r="P24" s="99"/>
      <c r="Q24" s="99"/>
      <c r="R24" s="99"/>
      <c r="S24" s="99"/>
      <c r="T24" s="99"/>
      <c r="U24" s="99"/>
      <c r="V24" s="99"/>
      <c r="W24" s="99"/>
      <c r="X24" s="99"/>
      <c r="Y24" s="99"/>
      <c r="Z24" s="99"/>
    </row>
    <row r="25" spans="1:26" ht="19.5" customHeight="1" thickBot="1">
      <c r="A25" s="109" t="s">
        <v>418</v>
      </c>
      <c r="B25" s="106">
        <f>IFERROR(VLOOKUP($B$4,[15]EDUC.CONT!$D:$AA,20,0),0)</f>
        <v>0</v>
      </c>
      <c r="C25" s="106">
        <f>IFERROR(VLOOKUP($C$4,[15]EDUC.CONT!$D:$AA,20,0),0)</f>
        <v>0</v>
      </c>
      <c r="D25" s="107">
        <f t="shared" si="0"/>
        <v>0</v>
      </c>
      <c r="E25" s="106">
        <f>IFERROR(VLOOKUP($E$4,[15]EDUC.CONT!$D:$AA,20,0),0)</f>
        <v>54153.143079999994</v>
      </c>
      <c r="F25" s="106">
        <f>IFERROR(VLOOKUP($F$4,[15]EDUC.CONT!$D:$AA,20,0),0)</f>
        <v>4031.9135200000001</v>
      </c>
      <c r="G25" s="106">
        <f>IFERROR(VLOOKUP($G$4,[15]EDUC.CONT!$D:$AA,20,0),0)</f>
        <v>0</v>
      </c>
      <c r="H25" s="106">
        <f>IFERROR(VLOOKUP($H$4,[15]EDUC.CONT!$D:$AA,20,0),0)</f>
        <v>0</v>
      </c>
      <c r="I25" s="110">
        <f t="shared" si="1"/>
        <v>58185.056599999996</v>
      </c>
      <c r="J25" s="111">
        <f t="shared" si="2"/>
        <v>-58185.056599999996</v>
      </c>
      <c r="L25" s="99"/>
      <c r="O25" s="99"/>
      <c r="P25" s="99"/>
      <c r="Q25" s="99"/>
      <c r="R25" s="99"/>
      <c r="S25" s="99"/>
      <c r="T25" s="99"/>
      <c r="U25" s="99"/>
      <c r="V25" s="99"/>
      <c r="W25" s="99"/>
      <c r="X25" s="99"/>
      <c r="Y25" s="99"/>
      <c r="Z25" s="99"/>
    </row>
    <row r="26" spans="1:26" s="104" customFormat="1" ht="32.25" customHeight="1" thickBot="1">
      <c r="A26" s="101" t="s">
        <v>575</v>
      </c>
      <c r="B26" s="112">
        <f t="shared" ref="B26:J26" si="3">SUM(B5:B25)</f>
        <v>4110944.5351199997</v>
      </c>
      <c r="C26" s="112">
        <f t="shared" si="3"/>
        <v>219684.91999999998</v>
      </c>
      <c r="D26" s="112">
        <f t="shared" si="3"/>
        <v>4330629.4551199991</v>
      </c>
      <c r="E26" s="112">
        <f t="shared" si="3"/>
        <v>3149723.1946072783</v>
      </c>
      <c r="F26" s="112">
        <f t="shared" si="3"/>
        <v>577155.36014159978</v>
      </c>
      <c r="G26" s="112">
        <f t="shared" si="3"/>
        <v>0</v>
      </c>
      <c r="H26" s="112">
        <f t="shared" si="3"/>
        <v>0</v>
      </c>
      <c r="I26" s="112">
        <f t="shared" si="3"/>
        <v>3726878.5547488774</v>
      </c>
      <c r="J26" s="112">
        <f t="shared" si="3"/>
        <v>603750.90037112206</v>
      </c>
      <c r="K26" s="113"/>
      <c r="L26" s="113"/>
      <c r="M26" s="98"/>
      <c r="N26" s="113"/>
      <c r="O26" s="113"/>
      <c r="P26" s="113"/>
      <c r="Q26" s="113"/>
      <c r="R26" s="113"/>
      <c r="S26" s="113"/>
      <c r="T26" s="113"/>
      <c r="U26" s="113"/>
      <c r="V26" s="113"/>
      <c r="W26" s="113"/>
      <c r="X26" s="113"/>
      <c r="Y26" s="113"/>
      <c r="Z26" s="113"/>
    </row>
    <row r="28" spans="1:26">
      <c r="A28" s="176">
        <v>2017</v>
      </c>
      <c r="B28" s="177"/>
      <c r="C28" s="177"/>
      <c r="D28" s="177">
        <f>+D26*$K$28</f>
        <v>4763692.4006319996</v>
      </c>
      <c r="I28" s="98">
        <f>+D28/1000</f>
        <v>4763.6924006319996</v>
      </c>
      <c r="J28" s="175">
        <v>0.1</v>
      </c>
      <c r="K28" s="98">
        <f>(1+J28)</f>
        <v>1.1000000000000001</v>
      </c>
    </row>
    <row r="29" spans="1:26">
      <c r="A29" s="176">
        <v>2018</v>
      </c>
      <c r="B29" s="177"/>
      <c r="C29" s="177"/>
      <c r="D29" s="177">
        <f>+D28*$K$28</f>
        <v>5240061.6406952003</v>
      </c>
      <c r="I29" s="98">
        <f t="shared" ref="I29:I32" si="4">+D29/1000</f>
        <v>5240.0616406952004</v>
      </c>
    </row>
    <row r="30" spans="1:26">
      <c r="A30" s="176">
        <v>2019</v>
      </c>
      <c r="B30" s="177"/>
      <c r="C30" s="177"/>
      <c r="D30" s="177">
        <f t="shared" ref="D30:D32" si="5">+D29*$K$28</f>
        <v>5764067.8047647206</v>
      </c>
      <c r="I30" s="98">
        <f t="shared" si="4"/>
        <v>5764.0678047647207</v>
      </c>
    </row>
    <row r="31" spans="1:26">
      <c r="A31" s="176">
        <v>2020</v>
      </c>
      <c r="B31" s="177"/>
      <c r="C31" s="177"/>
      <c r="D31" s="177">
        <f t="shared" si="5"/>
        <v>6340474.585241193</v>
      </c>
      <c r="I31" s="98">
        <f t="shared" si="4"/>
        <v>6340.4745852411934</v>
      </c>
    </row>
    <row r="32" spans="1:26">
      <c r="A32" s="176">
        <v>2021</v>
      </c>
      <c r="B32" s="177"/>
      <c r="C32" s="177"/>
      <c r="D32" s="177">
        <f t="shared" si="5"/>
        <v>6974522.043765313</v>
      </c>
      <c r="I32" s="98">
        <f t="shared" si="4"/>
        <v>6974.5220437653134</v>
      </c>
    </row>
  </sheetData>
  <mergeCells count="1">
    <mergeCell ref="A2:J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pageSetUpPr fitToPage="1"/>
  </sheetPr>
  <dimension ref="A1:R164"/>
  <sheetViews>
    <sheetView showGridLines="0" zoomScale="80" zoomScaleNormal="80" workbookViewId="0">
      <pane xSplit="1" ySplit="4" topLeftCell="E134" activePane="bottomRight" state="frozen"/>
      <selection pane="topRight" activeCell="C1" sqref="C1"/>
      <selection pane="bottomLeft" activeCell="A5" sqref="A5"/>
      <selection pane="bottomRight" activeCell="Q100" sqref="Q100"/>
    </sheetView>
  </sheetViews>
  <sheetFormatPr baseColWidth="10" defaultRowHeight="15" outlineLevelRow="2"/>
  <cols>
    <col min="1" max="1" width="11.42578125" style="1"/>
    <col min="2" max="2" width="2.42578125" style="1" customWidth="1"/>
    <col min="3" max="3" width="32.28515625" style="1" customWidth="1"/>
    <col min="4" max="4" width="41.28515625" style="1" customWidth="1"/>
    <col min="5" max="5" width="64.42578125" style="58" customWidth="1"/>
    <col min="6" max="6" width="10.7109375" style="1" customWidth="1"/>
    <col min="7" max="7" width="10.7109375" style="62" customWidth="1"/>
    <col min="8" max="8" width="10.7109375" style="1" customWidth="1"/>
    <col min="9" max="9" width="10.7109375" style="62" customWidth="1"/>
    <col min="10" max="10" width="10.7109375" style="1" customWidth="1"/>
    <col min="11" max="11" width="10.7109375" style="62" customWidth="1"/>
    <col min="12" max="12" width="10.7109375" style="1" customWidth="1"/>
    <col min="13" max="13" width="10.7109375" style="62" customWidth="1"/>
    <col min="14" max="14" width="10.7109375" style="1" customWidth="1"/>
    <col min="15" max="15" width="10.7109375" style="62" customWidth="1"/>
    <col min="16" max="16" width="10.7109375" style="1" customWidth="1"/>
    <col min="17" max="17" width="10.7109375" style="62" customWidth="1"/>
    <col min="18" max="18" width="12.28515625" style="1" bestFit="1" customWidth="1"/>
    <col min="19" max="19" width="11.42578125" style="1"/>
    <col min="20" max="20" width="15.140625" style="1" bestFit="1" customWidth="1"/>
    <col min="21" max="16384" width="11.42578125" style="1"/>
  </cols>
  <sheetData>
    <row r="1" spans="1:17" ht="18.75" customHeight="1" thickBot="1">
      <c r="B1" s="387"/>
      <c r="C1" s="387"/>
      <c r="D1" s="387"/>
      <c r="E1" s="387"/>
      <c r="F1" s="91"/>
      <c r="G1" s="91"/>
      <c r="H1" s="91"/>
      <c r="I1" s="208"/>
      <c r="J1" s="91"/>
      <c r="K1" s="208"/>
      <c r="L1" s="91"/>
      <c r="M1" s="208"/>
      <c r="N1" s="91"/>
      <c r="O1" s="208"/>
      <c r="P1" s="91"/>
      <c r="Q1" s="208"/>
    </row>
    <row r="2" spans="1:17" ht="22.5" customHeight="1" outlineLevel="1" thickBot="1">
      <c r="B2" s="388"/>
      <c r="C2" s="388"/>
      <c r="D2" s="388"/>
      <c r="E2" s="388"/>
      <c r="G2" s="1"/>
      <c r="H2" s="410" t="s">
        <v>554</v>
      </c>
      <c r="I2" s="411"/>
      <c r="J2" s="411"/>
      <c r="K2" s="411"/>
      <c r="L2" s="411"/>
      <c r="M2" s="411"/>
      <c r="N2" s="411"/>
      <c r="O2" s="411"/>
      <c r="P2" s="411"/>
      <c r="Q2" s="412"/>
    </row>
    <row r="3" spans="1:17" ht="22.5" customHeight="1" outlineLevel="1" thickBot="1">
      <c r="A3" s="216"/>
      <c r="B3" s="207"/>
      <c r="C3" s="207"/>
      <c r="D3" s="207"/>
      <c r="E3" s="207"/>
      <c r="F3" s="361">
        <v>2016</v>
      </c>
      <c r="G3" s="362"/>
      <c r="H3" s="350">
        <v>2017</v>
      </c>
      <c r="I3" s="351"/>
      <c r="J3" s="351">
        <v>2018</v>
      </c>
      <c r="K3" s="351"/>
      <c r="L3" s="351">
        <v>2019</v>
      </c>
      <c r="M3" s="351"/>
      <c r="N3" s="351">
        <v>2020</v>
      </c>
      <c r="O3" s="351"/>
      <c r="P3" s="351">
        <v>2021</v>
      </c>
      <c r="Q3" s="352"/>
    </row>
    <row r="4" spans="1:17" ht="15.75" outlineLevel="1" thickBot="1">
      <c r="A4" s="213" t="s">
        <v>644</v>
      </c>
      <c r="B4" s="209" t="s">
        <v>658</v>
      </c>
      <c r="C4" s="4" t="s">
        <v>25</v>
      </c>
      <c r="D4" s="4" t="s">
        <v>1</v>
      </c>
      <c r="E4" s="64" t="s">
        <v>3</v>
      </c>
      <c r="F4" s="214" t="s">
        <v>652</v>
      </c>
      <c r="G4" s="215" t="s">
        <v>653</v>
      </c>
      <c r="H4" s="214" t="s">
        <v>652</v>
      </c>
      <c r="I4" s="215" t="s">
        <v>653</v>
      </c>
      <c r="J4" s="214" t="s">
        <v>652</v>
      </c>
      <c r="K4" s="215" t="s">
        <v>653</v>
      </c>
      <c r="L4" s="214" t="s">
        <v>652</v>
      </c>
      <c r="M4" s="215" t="s">
        <v>653</v>
      </c>
      <c r="N4" s="214" t="s">
        <v>652</v>
      </c>
      <c r="O4" s="215" t="s">
        <v>653</v>
      </c>
      <c r="P4" s="214" t="s">
        <v>652</v>
      </c>
      <c r="Q4" s="215" t="s">
        <v>653</v>
      </c>
    </row>
    <row r="5" spans="1:17" ht="15.75" customHeight="1" outlineLevel="2" thickBot="1">
      <c r="A5" s="353" t="s">
        <v>645</v>
      </c>
      <c r="B5" s="223"/>
      <c r="C5" s="401" t="s">
        <v>0</v>
      </c>
      <c r="D5" s="404" t="s">
        <v>2</v>
      </c>
      <c r="E5" s="224" t="s">
        <v>540</v>
      </c>
      <c r="F5" s="363">
        <v>0</v>
      </c>
      <c r="G5" s="225">
        <v>50</v>
      </c>
      <c r="H5" s="363"/>
      <c r="I5" s="226">
        <f>+G5*1.07</f>
        <v>53.5</v>
      </c>
      <c r="J5" s="363"/>
      <c r="K5" s="226">
        <f>+I5*1.07</f>
        <v>57.245000000000005</v>
      </c>
      <c r="L5" s="363"/>
      <c r="M5" s="226">
        <f>+K5*1.07</f>
        <v>61.252150000000007</v>
      </c>
      <c r="N5" s="363"/>
      <c r="O5" s="226">
        <f>+M5*1.07</f>
        <v>65.539800500000013</v>
      </c>
      <c r="P5" s="363"/>
      <c r="Q5" s="227">
        <f>+O5*1.07</f>
        <v>70.12758653500002</v>
      </c>
    </row>
    <row r="6" spans="1:17" ht="15.75" customHeight="1" outlineLevel="1" thickTop="1">
      <c r="A6" s="354"/>
      <c r="B6" s="210"/>
      <c r="C6" s="402"/>
      <c r="D6" s="376"/>
      <c r="E6" s="230" t="s">
        <v>431</v>
      </c>
      <c r="F6" s="364"/>
      <c r="G6" s="76">
        <f>SUM(G5)</f>
        <v>50</v>
      </c>
      <c r="H6" s="364"/>
      <c r="I6" s="180">
        <f>SUM(I5)</f>
        <v>53.5</v>
      </c>
      <c r="J6" s="364"/>
      <c r="K6" s="180">
        <f>SUM(K5)</f>
        <v>57.245000000000005</v>
      </c>
      <c r="L6" s="364"/>
      <c r="M6" s="180">
        <f>SUM(M5)</f>
        <v>61.252150000000007</v>
      </c>
      <c r="N6" s="364"/>
      <c r="O6" s="180">
        <f>SUM(O5)</f>
        <v>65.539800500000013</v>
      </c>
      <c r="P6" s="364"/>
      <c r="Q6" s="181">
        <f>SUM(Q5)</f>
        <v>70.12758653500002</v>
      </c>
    </row>
    <row r="7" spans="1:17" ht="30.75" customHeight="1" outlineLevel="2" thickBot="1">
      <c r="A7" s="354"/>
      <c r="B7" s="211"/>
      <c r="C7" s="402"/>
      <c r="D7" s="376"/>
      <c r="E7" s="87" t="s">
        <v>541</v>
      </c>
      <c r="F7" s="364"/>
      <c r="G7" s="86">
        <v>50</v>
      </c>
      <c r="H7" s="364"/>
      <c r="I7" s="179">
        <f>+G7*1.07</f>
        <v>53.5</v>
      </c>
      <c r="J7" s="364"/>
      <c r="K7" s="179">
        <f>+I7*1.07</f>
        <v>57.245000000000005</v>
      </c>
      <c r="L7" s="364"/>
      <c r="M7" s="179">
        <f>+K7*1.07</f>
        <v>61.252150000000007</v>
      </c>
      <c r="N7" s="364"/>
      <c r="O7" s="179">
        <f>+M7*1.07</f>
        <v>65.539800500000013</v>
      </c>
      <c r="P7" s="364"/>
      <c r="Q7" s="187">
        <f>+O7*1.07</f>
        <v>70.12758653500002</v>
      </c>
    </row>
    <row r="8" spans="1:17" ht="30.75" customHeight="1" outlineLevel="1" thickTop="1">
      <c r="A8" s="354"/>
      <c r="B8" s="211"/>
      <c r="C8" s="402"/>
      <c r="D8" s="376"/>
      <c r="E8" s="230" t="s">
        <v>432</v>
      </c>
      <c r="F8" s="364"/>
      <c r="G8" s="76">
        <f>SUM(G7)</f>
        <v>50</v>
      </c>
      <c r="H8" s="364"/>
      <c r="I8" s="180">
        <f>SUM(I7)</f>
        <v>53.5</v>
      </c>
      <c r="J8" s="364"/>
      <c r="K8" s="180">
        <f>SUM(K7)</f>
        <v>57.245000000000005</v>
      </c>
      <c r="L8" s="364"/>
      <c r="M8" s="180">
        <f>SUM(M7)</f>
        <v>61.252150000000007</v>
      </c>
      <c r="N8" s="364"/>
      <c r="O8" s="180">
        <f>SUM(O7)</f>
        <v>65.539800500000013</v>
      </c>
      <c r="P8" s="364"/>
      <c r="Q8" s="181">
        <f>SUM(Q7)</f>
        <v>70.12758653500002</v>
      </c>
    </row>
    <row r="9" spans="1:17" ht="45" outlineLevel="1">
      <c r="A9" s="354"/>
      <c r="B9" s="211"/>
      <c r="C9" s="403"/>
      <c r="D9" s="206" t="s">
        <v>6</v>
      </c>
      <c r="E9" s="230" t="s">
        <v>433</v>
      </c>
      <c r="F9" s="364"/>
      <c r="G9" s="74">
        <v>0</v>
      </c>
      <c r="H9" s="364"/>
      <c r="I9" s="182"/>
      <c r="J9" s="364"/>
      <c r="K9" s="182"/>
      <c r="L9" s="364"/>
      <c r="M9" s="182"/>
      <c r="N9" s="364"/>
      <c r="O9" s="182"/>
      <c r="P9" s="364"/>
      <c r="Q9" s="183"/>
    </row>
    <row r="10" spans="1:17" outlineLevel="2" thickBot="1">
      <c r="A10" s="354"/>
      <c r="B10" s="211"/>
      <c r="C10" s="405" t="s">
        <v>8</v>
      </c>
      <c r="D10" s="375" t="s">
        <v>9</v>
      </c>
      <c r="E10" s="88" t="s">
        <v>430</v>
      </c>
      <c r="F10" s="364"/>
      <c r="G10" s="86">
        <f>60000/1000</f>
        <v>60</v>
      </c>
      <c r="H10" s="364"/>
      <c r="I10" s="179">
        <f>+G10*1.07</f>
        <v>64.2</v>
      </c>
      <c r="J10" s="364"/>
      <c r="K10" s="179">
        <f>+I10*1.07</f>
        <v>68.694000000000003</v>
      </c>
      <c r="L10" s="364"/>
      <c r="M10" s="179">
        <f>+K10*1.07</f>
        <v>73.502580000000009</v>
      </c>
      <c r="N10" s="364"/>
      <c r="O10" s="179">
        <f>+M10*1.07</f>
        <v>78.647760600000012</v>
      </c>
      <c r="P10" s="364"/>
      <c r="Q10" s="187">
        <f>+O10*1.07</f>
        <v>84.153103842000021</v>
      </c>
    </row>
    <row r="11" spans="1:17" ht="30.75" outlineLevel="1" thickTop="1">
      <c r="A11" s="354"/>
      <c r="B11" s="211"/>
      <c r="C11" s="402"/>
      <c r="D11" s="376"/>
      <c r="E11" s="230" t="s">
        <v>434</v>
      </c>
      <c r="F11" s="364"/>
      <c r="G11" s="76">
        <f>SUM(G10)</f>
        <v>60</v>
      </c>
      <c r="H11" s="364"/>
      <c r="I11" s="180">
        <f>SUM(I10)</f>
        <v>64.2</v>
      </c>
      <c r="J11" s="364"/>
      <c r="K11" s="180">
        <f>SUM(K10)</f>
        <v>68.694000000000003</v>
      </c>
      <c r="L11" s="364"/>
      <c r="M11" s="180">
        <f>SUM(M10)</f>
        <v>73.502580000000009</v>
      </c>
      <c r="N11" s="364"/>
      <c r="O11" s="180">
        <f>SUM(O10)</f>
        <v>78.647760600000012</v>
      </c>
      <c r="P11" s="364"/>
      <c r="Q11" s="181">
        <f>SUM(Q10)</f>
        <v>84.153103842000021</v>
      </c>
    </row>
    <row r="12" spans="1:17" ht="14.25" outlineLevel="2">
      <c r="A12" s="354"/>
      <c r="B12" s="211"/>
      <c r="C12" s="402"/>
      <c r="D12" s="376"/>
      <c r="E12" s="88" t="s">
        <v>430</v>
      </c>
      <c r="F12" s="364"/>
      <c r="G12" s="83">
        <f>159000/1000</f>
        <v>159</v>
      </c>
      <c r="H12" s="364"/>
      <c r="I12" s="185">
        <f>+G12*1.07</f>
        <v>170.13000000000002</v>
      </c>
      <c r="J12" s="364"/>
      <c r="K12" s="185">
        <f>+I12*1.07</f>
        <v>182.03910000000005</v>
      </c>
      <c r="L12" s="364"/>
      <c r="M12" s="185">
        <f>+K12*1.07</f>
        <v>194.78183700000005</v>
      </c>
      <c r="N12" s="364"/>
      <c r="O12" s="185">
        <f>+M12*1.07</f>
        <v>208.41656559000006</v>
      </c>
      <c r="P12" s="364"/>
      <c r="Q12" s="194">
        <f>+O12*1.07</f>
        <v>223.00572518130008</v>
      </c>
    </row>
    <row r="13" spans="1:17" outlineLevel="2" thickBot="1">
      <c r="A13" s="354"/>
      <c r="B13" s="211"/>
      <c r="C13" s="402"/>
      <c r="D13" s="376"/>
      <c r="E13" s="88" t="s">
        <v>542</v>
      </c>
      <c r="F13" s="364"/>
      <c r="G13" s="84">
        <f>41000/1000</f>
        <v>41</v>
      </c>
      <c r="H13" s="364"/>
      <c r="I13" s="184">
        <f>+G13*1.07</f>
        <v>43.870000000000005</v>
      </c>
      <c r="J13" s="364"/>
      <c r="K13" s="184">
        <f>+I13*1.07</f>
        <v>46.940900000000006</v>
      </c>
      <c r="L13" s="364"/>
      <c r="M13" s="184">
        <f>+K13*1.07</f>
        <v>50.226763000000012</v>
      </c>
      <c r="N13" s="364"/>
      <c r="O13" s="184">
        <f>+M13*1.07</f>
        <v>53.742636410000017</v>
      </c>
      <c r="P13" s="364"/>
      <c r="Q13" s="195">
        <f>+O13*1.07</f>
        <v>57.504620958700023</v>
      </c>
    </row>
    <row r="14" spans="1:17" ht="60.75" outlineLevel="1" thickTop="1">
      <c r="A14" s="354"/>
      <c r="B14" s="211"/>
      <c r="C14" s="402"/>
      <c r="D14" s="376"/>
      <c r="E14" s="230" t="s">
        <v>435</v>
      </c>
      <c r="F14" s="364"/>
      <c r="G14" s="75">
        <f>SUM(G12:G13)</f>
        <v>200</v>
      </c>
      <c r="H14" s="364"/>
      <c r="I14" s="192">
        <f>SUM(I12:I13)</f>
        <v>214.00000000000003</v>
      </c>
      <c r="J14" s="364"/>
      <c r="K14" s="192">
        <f>SUM(K12:K13)</f>
        <v>228.98000000000005</v>
      </c>
      <c r="L14" s="364"/>
      <c r="M14" s="192">
        <f>SUM(M12:M13)</f>
        <v>245.00860000000006</v>
      </c>
      <c r="N14" s="364"/>
      <c r="O14" s="192">
        <f>SUM(O12:O13)</f>
        <v>262.15920200000005</v>
      </c>
      <c r="P14" s="364"/>
      <c r="Q14" s="193">
        <f>SUM(Q12:Q13)</f>
        <v>280.51034614000008</v>
      </c>
    </row>
    <row r="15" spans="1:17" ht="45" outlineLevel="1">
      <c r="A15" s="354"/>
      <c r="B15" s="211"/>
      <c r="C15" s="402"/>
      <c r="D15" s="406"/>
      <c r="E15" s="231" t="s">
        <v>436</v>
      </c>
      <c r="F15" s="364"/>
      <c r="G15" s="74">
        <v>2</v>
      </c>
      <c r="H15" s="364"/>
      <c r="I15" s="186">
        <f>+G15*1.07</f>
        <v>2.14</v>
      </c>
      <c r="J15" s="364"/>
      <c r="K15" s="186">
        <f>+I15*1.07</f>
        <v>2.2898000000000001</v>
      </c>
      <c r="L15" s="364"/>
      <c r="M15" s="186">
        <f>+K15*1.07</f>
        <v>2.4500860000000002</v>
      </c>
      <c r="N15" s="364"/>
      <c r="O15" s="186">
        <f>+M15*1.07</f>
        <v>2.6215920200000005</v>
      </c>
      <c r="P15" s="364"/>
      <c r="Q15" s="202">
        <f>+O15*1.07</f>
        <v>2.8051034614000008</v>
      </c>
    </row>
    <row r="16" spans="1:17" outlineLevel="2" thickBot="1">
      <c r="A16" s="354"/>
      <c r="B16" s="211"/>
      <c r="C16" s="402"/>
      <c r="D16" s="375" t="s">
        <v>13</v>
      </c>
      <c r="E16" s="89" t="s">
        <v>657</v>
      </c>
      <c r="F16" s="364"/>
      <c r="G16" s="86">
        <v>25</v>
      </c>
      <c r="H16" s="364"/>
      <c r="I16" s="179">
        <f>(5*8273448*1.07/1000)/1000</f>
        <v>44.262946800000002</v>
      </c>
      <c r="J16" s="364"/>
      <c r="K16" s="179">
        <f>(6*8273448*1.07*1.07/1000)/1000</f>
        <v>56.83362369120001</v>
      </c>
      <c r="L16" s="364"/>
      <c r="M16" s="179">
        <f>(52*8273448*1.07*1.07*1.07/1000)/1000</f>
        <v>527.03713702972811</v>
      </c>
      <c r="N16" s="364"/>
      <c r="O16" s="179">
        <f>(22*8273448*1.07*1.07*1.07*1.07/1000)/1000</f>
        <v>238.58565780153461</v>
      </c>
      <c r="P16" s="364"/>
      <c r="Q16" s="187">
        <f>(7*8273448*1.07*1.07*1.07*1.07*1.07/1000)/1000</f>
        <v>81.227571678795201</v>
      </c>
    </row>
    <row r="17" spans="1:18" ht="45.75" outlineLevel="1" thickTop="1">
      <c r="A17" s="354"/>
      <c r="B17" s="211"/>
      <c r="C17" s="402"/>
      <c r="D17" s="376"/>
      <c r="E17" s="231" t="s">
        <v>437</v>
      </c>
      <c r="F17" s="364"/>
      <c r="G17" s="76">
        <f>SUM(G16)</f>
        <v>25</v>
      </c>
      <c r="H17" s="364"/>
      <c r="I17" s="180">
        <f>SUM(I16)</f>
        <v>44.262946800000002</v>
      </c>
      <c r="J17" s="364"/>
      <c r="K17" s="180">
        <f>SUM(K16)</f>
        <v>56.83362369120001</v>
      </c>
      <c r="L17" s="364"/>
      <c r="M17" s="180">
        <f>SUM(M16)</f>
        <v>527.03713702972811</v>
      </c>
      <c r="N17" s="364"/>
      <c r="O17" s="180">
        <f>SUM(O16)</f>
        <v>238.58565780153461</v>
      </c>
      <c r="P17" s="364"/>
      <c r="Q17" s="222">
        <f>SUM(Q16)</f>
        <v>81.227571678795201</v>
      </c>
    </row>
    <row r="18" spans="1:18" outlineLevel="2" thickBot="1">
      <c r="A18" s="354"/>
      <c r="B18" s="211"/>
      <c r="C18" s="402"/>
      <c r="D18" s="376"/>
      <c r="E18" s="89" t="s">
        <v>651</v>
      </c>
      <c r="F18" s="364"/>
      <c r="G18" s="86">
        <v>16</v>
      </c>
      <c r="H18" s="364"/>
      <c r="I18" s="188">
        <f>+G18*1.07</f>
        <v>17.12</v>
      </c>
      <c r="J18" s="364"/>
      <c r="K18" s="188">
        <f>+I18*1.07</f>
        <v>18.3184</v>
      </c>
      <c r="L18" s="364"/>
      <c r="M18" s="188">
        <f>+K18*1.07</f>
        <v>19.600688000000002</v>
      </c>
      <c r="N18" s="364"/>
      <c r="O18" s="188">
        <f>+M18*1.07</f>
        <v>20.972736160000004</v>
      </c>
      <c r="P18" s="364"/>
      <c r="Q18" s="189">
        <f>+O18*1.07</f>
        <v>22.440827691200006</v>
      </c>
    </row>
    <row r="19" spans="1:18" ht="30.75" outlineLevel="1" thickTop="1">
      <c r="A19" s="354"/>
      <c r="B19" s="211"/>
      <c r="C19" s="402"/>
      <c r="D19" s="376"/>
      <c r="E19" s="231" t="s">
        <v>438</v>
      </c>
      <c r="F19" s="364"/>
      <c r="G19" s="76">
        <f>SUM(G18)</f>
        <v>16</v>
      </c>
      <c r="H19" s="364"/>
      <c r="I19" s="180">
        <f>SUM(I18)</f>
        <v>17.12</v>
      </c>
      <c r="J19" s="364"/>
      <c r="K19" s="180">
        <f>SUM(K18)</f>
        <v>18.3184</v>
      </c>
      <c r="L19" s="364"/>
      <c r="M19" s="180">
        <f>SUM(M18)</f>
        <v>19.600688000000002</v>
      </c>
      <c r="N19" s="364"/>
      <c r="O19" s="180">
        <f>SUM(O18)</f>
        <v>20.972736160000004</v>
      </c>
      <c r="P19" s="364"/>
      <c r="Q19" s="181">
        <f>SUM(Q18)</f>
        <v>22.440827691200006</v>
      </c>
    </row>
    <row r="20" spans="1:18" ht="30" outlineLevel="1">
      <c r="A20" s="354"/>
      <c r="B20" s="211"/>
      <c r="C20" s="402"/>
      <c r="D20" s="376"/>
      <c r="E20" s="231" t="s">
        <v>439</v>
      </c>
      <c r="F20" s="364"/>
      <c r="G20" s="74">
        <v>10</v>
      </c>
      <c r="H20" s="364"/>
      <c r="I20" s="186">
        <f>+G20*1.07</f>
        <v>10.700000000000001</v>
      </c>
      <c r="J20" s="364"/>
      <c r="K20" s="186">
        <f>+I20*1.07</f>
        <v>11.449000000000002</v>
      </c>
      <c r="L20" s="364"/>
      <c r="M20" s="186">
        <f>+K20*1.07</f>
        <v>12.250430000000003</v>
      </c>
      <c r="N20" s="364"/>
      <c r="O20" s="186">
        <f>+M20*1.07</f>
        <v>13.107960100000005</v>
      </c>
      <c r="P20" s="364"/>
      <c r="Q20" s="202">
        <f>+O20*1.07</f>
        <v>14.025517307000007</v>
      </c>
    </row>
    <row r="21" spans="1:18" outlineLevel="2" thickBot="1">
      <c r="A21" s="354"/>
      <c r="B21" s="211"/>
      <c r="C21" s="402"/>
      <c r="D21" s="376"/>
      <c r="E21" s="89" t="s">
        <v>543</v>
      </c>
      <c r="F21" s="364"/>
      <c r="G21" s="86">
        <f>70000/1000</f>
        <v>70</v>
      </c>
      <c r="H21" s="364"/>
      <c r="I21" s="179">
        <f>+G21*1.07</f>
        <v>74.900000000000006</v>
      </c>
      <c r="J21" s="364"/>
      <c r="K21" s="179">
        <f>+I21*1.07</f>
        <v>80.143000000000015</v>
      </c>
      <c r="L21" s="364"/>
      <c r="M21" s="179">
        <f>+K21*1.07</f>
        <v>85.753010000000017</v>
      </c>
      <c r="N21" s="364"/>
      <c r="O21" s="179">
        <f>+M21*1.07</f>
        <v>91.755720700000026</v>
      </c>
      <c r="P21" s="364"/>
      <c r="Q21" s="187">
        <f>+O21*1.07</f>
        <v>98.178621149000037</v>
      </c>
    </row>
    <row r="22" spans="1:18" ht="30.75" outlineLevel="1" thickTop="1">
      <c r="A22" s="354"/>
      <c r="B22" s="211"/>
      <c r="C22" s="402"/>
      <c r="D22" s="376"/>
      <c r="E22" s="231" t="s">
        <v>440</v>
      </c>
      <c r="F22" s="364"/>
      <c r="G22" s="76">
        <f>SUM(G21)</f>
        <v>70</v>
      </c>
      <c r="H22" s="364"/>
      <c r="I22" s="180">
        <f>SUM(I21)</f>
        <v>74.900000000000006</v>
      </c>
      <c r="J22" s="364"/>
      <c r="K22" s="180">
        <f>SUM(K21)</f>
        <v>80.143000000000015</v>
      </c>
      <c r="L22" s="364"/>
      <c r="M22" s="180">
        <f>SUM(M21)</f>
        <v>85.753010000000017</v>
      </c>
      <c r="N22" s="364"/>
      <c r="O22" s="180">
        <f>SUM(O21)</f>
        <v>91.755720700000026</v>
      </c>
      <c r="P22" s="364"/>
      <c r="Q22" s="181">
        <f>SUM(Q21)</f>
        <v>98.178621149000037</v>
      </c>
    </row>
    <row r="23" spans="1:18" outlineLevel="2" thickBot="1">
      <c r="A23" s="354"/>
      <c r="B23" s="211"/>
      <c r="C23" s="402"/>
      <c r="D23" s="376"/>
      <c r="E23" s="89" t="s">
        <v>545</v>
      </c>
      <c r="F23" s="364"/>
      <c r="G23" s="80">
        <f>98000/1000</f>
        <v>98</v>
      </c>
      <c r="H23" s="364"/>
      <c r="I23" s="190">
        <f>+G23*1.07</f>
        <v>104.86</v>
      </c>
      <c r="J23" s="364"/>
      <c r="K23" s="190">
        <f>+I23*1.07</f>
        <v>112.20020000000001</v>
      </c>
      <c r="L23" s="364"/>
      <c r="M23" s="190">
        <f>+K23*1.07</f>
        <v>120.05421400000002</v>
      </c>
      <c r="N23" s="364"/>
      <c r="O23" s="190">
        <f>+M23*1.07</f>
        <v>128.45800898000002</v>
      </c>
      <c r="P23" s="364"/>
      <c r="Q23" s="191">
        <f>+O23*1.07</f>
        <v>137.45006960860002</v>
      </c>
    </row>
    <row r="24" spans="1:18" ht="60.75" outlineLevel="1" thickTop="1">
      <c r="A24" s="354"/>
      <c r="B24" s="211"/>
      <c r="C24" s="402"/>
      <c r="D24" s="376"/>
      <c r="E24" s="231" t="s">
        <v>441</v>
      </c>
      <c r="F24" s="364"/>
      <c r="G24" s="75">
        <f>SUM(G23)</f>
        <v>98</v>
      </c>
      <c r="H24" s="364"/>
      <c r="I24" s="192">
        <f>SUM(I23)</f>
        <v>104.86</v>
      </c>
      <c r="J24" s="364"/>
      <c r="K24" s="192">
        <f>SUM(K23)</f>
        <v>112.20020000000001</v>
      </c>
      <c r="L24" s="364"/>
      <c r="M24" s="192">
        <f>SUM(M23)</f>
        <v>120.05421400000002</v>
      </c>
      <c r="N24" s="364"/>
      <c r="O24" s="192">
        <f>SUM(O23)</f>
        <v>128.45800898000002</v>
      </c>
      <c r="P24" s="364"/>
      <c r="Q24" s="193">
        <f>SUM(Q23)</f>
        <v>137.45006960860002</v>
      </c>
    </row>
    <row r="25" spans="1:18" ht="14.25" outlineLevel="2">
      <c r="A25" s="354"/>
      <c r="B25" s="211"/>
      <c r="C25" s="402"/>
      <c r="D25" s="375" t="s">
        <v>18</v>
      </c>
      <c r="E25" s="89" t="s">
        <v>544</v>
      </c>
      <c r="F25" s="364"/>
      <c r="G25" s="83">
        <v>6</v>
      </c>
      <c r="H25" s="364"/>
      <c r="I25" s="185"/>
      <c r="J25" s="364"/>
      <c r="K25" s="185"/>
      <c r="L25" s="364"/>
      <c r="M25" s="185"/>
      <c r="N25" s="364"/>
      <c r="O25" s="185"/>
      <c r="P25" s="364"/>
      <c r="Q25" s="194"/>
    </row>
    <row r="26" spans="1:18" ht="14.25" outlineLevel="2">
      <c r="A26" s="354"/>
      <c r="B26" s="211"/>
      <c r="C26" s="402"/>
      <c r="D26" s="376"/>
      <c r="E26" s="89" t="s">
        <v>655</v>
      </c>
      <c r="F26" s="364"/>
      <c r="G26" s="84">
        <v>36</v>
      </c>
      <c r="H26" s="364"/>
      <c r="I26" s="184">
        <v>77</v>
      </c>
      <c r="J26" s="364"/>
      <c r="K26" s="184">
        <f>+I26*1.07</f>
        <v>82.39</v>
      </c>
      <c r="L26" s="364"/>
      <c r="M26" s="184">
        <f>+K26*1.07</f>
        <v>88.157300000000006</v>
      </c>
      <c r="N26" s="364"/>
      <c r="O26" s="184">
        <f>+M26*1.07</f>
        <v>94.328311000000014</v>
      </c>
      <c r="P26" s="364"/>
      <c r="Q26" s="195">
        <f>+O26*1.07</f>
        <v>100.93129277000003</v>
      </c>
    </row>
    <row r="27" spans="1:18" outlineLevel="2" thickBot="1">
      <c r="A27" s="354"/>
      <c r="B27" s="211"/>
      <c r="C27" s="402"/>
      <c r="D27" s="376"/>
      <c r="E27" s="89" t="s">
        <v>656</v>
      </c>
      <c r="F27" s="364"/>
      <c r="G27" s="86">
        <v>8</v>
      </c>
      <c r="H27" s="364"/>
      <c r="I27" s="179">
        <v>14</v>
      </c>
      <c r="J27" s="364"/>
      <c r="K27" s="179">
        <f>+I27*1.07</f>
        <v>14.98</v>
      </c>
      <c r="L27" s="364"/>
      <c r="M27" s="179">
        <f>+K27*1.07</f>
        <v>16.028600000000001</v>
      </c>
      <c r="N27" s="364"/>
      <c r="O27" s="179">
        <f>+M27*1.07</f>
        <v>17.150602000000003</v>
      </c>
      <c r="P27" s="364"/>
      <c r="Q27" s="187">
        <f>+O27*1.07</f>
        <v>18.351144140000002</v>
      </c>
    </row>
    <row r="28" spans="1:18" ht="30.75" outlineLevel="1" thickTop="1">
      <c r="A28" s="354"/>
      <c r="B28" s="211"/>
      <c r="C28" s="402"/>
      <c r="D28" s="376"/>
      <c r="E28" s="231" t="s">
        <v>442</v>
      </c>
      <c r="F28" s="364"/>
      <c r="G28" s="75">
        <f>SUM(G25:G27)</f>
        <v>50</v>
      </c>
      <c r="H28" s="364"/>
      <c r="I28" s="192">
        <f>SUM(I25:I27)</f>
        <v>91</v>
      </c>
      <c r="J28" s="364"/>
      <c r="K28" s="192">
        <f>SUM(K25:K27)</f>
        <v>97.37</v>
      </c>
      <c r="L28" s="364"/>
      <c r="M28" s="192">
        <f>SUM(M25:M27)</f>
        <v>104.1859</v>
      </c>
      <c r="N28" s="364"/>
      <c r="O28" s="192">
        <f>SUM(O25:O27)</f>
        <v>111.47891300000002</v>
      </c>
      <c r="P28" s="364"/>
      <c r="Q28" s="193">
        <f>SUM(Q25:Q27)</f>
        <v>119.28243691000003</v>
      </c>
    </row>
    <row r="29" spans="1:18" ht="30" outlineLevel="1">
      <c r="A29" s="354"/>
      <c r="B29" s="211"/>
      <c r="C29" s="403"/>
      <c r="D29" s="406"/>
      <c r="E29" s="231" t="s">
        <v>443</v>
      </c>
      <c r="F29" s="364"/>
      <c r="G29" s="74">
        <v>0</v>
      </c>
      <c r="H29" s="364"/>
      <c r="I29" s="182"/>
      <c r="J29" s="364"/>
      <c r="K29" s="182"/>
      <c r="L29" s="364"/>
      <c r="M29" s="182"/>
      <c r="N29" s="364"/>
      <c r="O29" s="182"/>
      <c r="P29" s="364"/>
      <c r="Q29" s="183"/>
      <c r="R29" s="90"/>
    </row>
    <row r="30" spans="1:18" ht="14.25" outlineLevel="2">
      <c r="A30" s="354"/>
      <c r="B30" s="212"/>
      <c r="C30" s="407" t="s">
        <v>21</v>
      </c>
      <c r="D30" s="375" t="s">
        <v>22</v>
      </c>
      <c r="E30" s="89" t="s">
        <v>546</v>
      </c>
      <c r="F30" s="364"/>
      <c r="G30" s="83">
        <v>72268</v>
      </c>
      <c r="H30" s="364"/>
      <c r="I30" s="185">
        <f>((72268000*1.11)+1426000)/1000</f>
        <v>81643.48</v>
      </c>
      <c r="J30" s="364"/>
      <c r="K30" s="185">
        <f>((80217480*1.086)+2984000)/1000</f>
        <v>90100.183279999997</v>
      </c>
      <c r="L30" s="364"/>
      <c r="M30" s="185">
        <f>((87116183*1.08)+4722000)/1000</f>
        <v>98807.477639999997</v>
      </c>
      <c r="N30" s="364"/>
      <c r="O30" s="185">
        <f>((94085478*1.075)+6623000)/1000</f>
        <v>107764.88884999999</v>
      </c>
      <c r="P30" s="364"/>
      <c r="Q30" s="194">
        <f>((101141899*1.075)+8756000)/1000</f>
        <v>117483.541425</v>
      </c>
    </row>
    <row r="31" spans="1:18" ht="14.25" outlineLevel="2">
      <c r="A31" s="354"/>
      <c r="B31" s="212"/>
      <c r="C31" s="408"/>
      <c r="D31" s="376"/>
      <c r="E31" s="89" t="s">
        <v>654</v>
      </c>
      <c r="F31" s="364"/>
      <c r="G31" s="83">
        <v>9425</v>
      </c>
      <c r="H31" s="364"/>
      <c r="I31" s="185">
        <f>(((9425000*1.11))/1000)</f>
        <v>10461.75</v>
      </c>
      <c r="J31" s="364"/>
      <c r="K31" s="185">
        <f>+I31*1.086</f>
        <v>11361.460500000001</v>
      </c>
      <c r="L31" s="364"/>
      <c r="M31" s="185">
        <f>+K31*1.08</f>
        <v>12270.377340000003</v>
      </c>
      <c r="N31" s="364"/>
      <c r="O31" s="185">
        <f>+M31*1.075</f>
        <v>13190.655640500003</v>
      </c>
      <c r="P31" s="364"/>
      <c r="Q31" s="194">
        <f>+O31*1.075</f>
        <v>14179.954813537503</v>
      </c>
    </row>
    <row r="32" spans="1:18" ht="14.25" outlineLevel="2">
      <c r="A32" s="354"/>
      <c r="B32" s="212"/>
      <c r="C32" s="408"/>
      <c r="D32" s="376"/>
      <c r="E32" s="89" t="s">
        <v>547</v>
      </c>
      <c r="F32" s="364"/>
      <c r="G32" s="83">
        <v>600</v>
      </c>
      <c r="H32" s="364"/>
      <c r="I32" s="185">
        <f>+G32*1.11</f>
        <v>666.00000000000011</v>
      </c>
      <c r="J32" s="364"/>
      <c r="K32" s="185">
        <f>+I32*1.086</f>
        <v>723.27600000000018</v>
      </c>
      <c r="L32" s="364"/>
      <c r="M32" s="185">
        <f>+K32*1.08</f>
        <v>781.13808000000029</v>
      </c>
      <c r="N32" s="364"/>
      <c r="O32" s="185">
        <f>+M32*1.075</f>
        <v>839.72343600000022</v>
      </c>
      <c r="P32" s="364"/>
      <c r="Q32" s="194">
        <f>+O32*1.075</f>
        <v>902.70269370000017</v>
      </c>
    </row>
    <row r="33" spans="1:18" ht="14.25" outlineLevel="2">
      <c r="A33" s="354"/>
      <c r="B33" s="212"/>
      <c r="C33" s="408"/>
      <c r="D33" s="376"/>
      <c r="E33" s="89" t="s">
        <v>362</v>
      </c>
      <c r="F33" s="364"/>
      <c r="G33" s="83">
        <v>8807</v>
      </c>
      <c r="H33" s="364"/>
      <c r="I33" s="185">
        <f>((8807000*1.11)+379000)/1000</f>
        <v>10154.77</v>
      </c>
      <c r="J33" s="364"/>
      <c r="K33" s="185">
        <f>((9775770*1.086)+2339000)/1000</f>
        <v>12955.486220000001</v>
      </c>
      <c r="L33" s="364"/>
      <c r="M33" s="185">
        <f>((10616486*1.08)+4693000)/1000</f>
        <v>16158.804880000002</v>
      </c>
      <c r="N33" s="364"/>
      <c r="O33" s="185">
        <f>((11465805*1.075)+7327000)/1000</f>
        <v>19652.740375000001</v>
      </c>
      <c r="P33" s="364"/>
      <c r="Q33" s="194">
        <f>((12325740*1.075)+10056000)/1000</f>
        <v>23306.1705</v>
      </c>
    </row>
    <row r="34" spans="1:18" ht="14.25" outlineLevel="2">
      <c r="A34" s="354"/>
      <c r="B34" s="212"/>
      <c r="C34" s="408"/>
      <c r="D34" s="376"/>
      <c r="E34" s="89" t="s">
        <v>548</v>
      </c>
      <c r="F34" s="364"/>
      <c r="G34" s="83">
        <v>7101</v>
      </c>
      <c r="H34" s="364"/>
      <c r="I34" s="185">
        <f>+G34*1.11</f>
        <v>7882.1100000000006</v>
      </c>
      <c r="J34" s="364"/>
      <c r="K34" s="185">
        <f>+I34*1.086</f>
        <v>8559.9714600000007</v>
      </c>
      <c r="L34" s="364"/>
      <c r="M34" s="185">
        <f>+K34*1.08</f>
        <v>9244.7691768000004</v>
      </c>
      <c r="N34" s="364"/>
      <c r="O34" s="185">
        <f>+M34*1.075</f>
        <v>9938.1268650599995</v>
      </c>
      <c r="P34" s="364"/>
      <c r="Q34" s="194">
        <f>+O34*1.075</f>
        <v>10683.486379939499</v>
      </c>
    </row>
    <row r="35" spans="1:18" ht="14.25" outlineLevel="2">
      <c r="A35" s="354"/>
      <c r="B35" s="212"/>
      <c r="C35" s="408"/>
      <c r="D35" s="376"/>
      <c r="E35" s="89" t="s">
        <v>549</v>
      </c>
      <c r="F35" s="364"/>
      <c r="G35" s="83">
        <v>212</v>
      </c>
      <c r="H35" s="364"/>
      <c r="I35" s="185">
        <f>+G35*1.07</f>
        <v>226.84</v>
      </c>
      <c r="J35" s="364"/>
      <c r="K35" s="185">
        <f>+I35*1.07</f>
        <v>242.71880000000002</v>
      </c>
      <c r="L35" s="364"/>
      <c r="M35" s="185">
        <f>+K35*1.07</f>
        <v>259.70911600000005</v>
      </c>
      <c r="N35" s="364"/>
      <c r="O35" s="185">
        <f>+M35*1.07</f>
        <v>277.88875412000004</v>
      </c>
      <c r="P35" s="364"/>
      <c r="Q35" s="194">
        <f>+O35*1.07</f>
        <v>297.34096690840005</v>
      </c>
    </row>
    <row r="36" spans="1:18" outlineLevel="2" thickBot="1">
      <c r="A36" s="354"/>
      <c r="B36" s="212"/>
      <c r="C36" s="408"/>
      <c r="D36" s="376"/>
      <c r="E36" s="89" t="s">
        <v>368</v>
      </c>
      <c r="F36" s="364"/>
      <c r="G36" s="84">
        <v>929</v>
      </c>
      <c r="H36" s="364"/>
      <c r="I36" s="184">
        <f>+G36*1.07</f>
        <v>994.03000000000009</v>
      </c>
      <c r="J36" s="364"/>
      <c r="K36" s="184">
        <f>+I36*1.07</f>
        <v>1063.6121000000001</v>
      </c>
      <c r="L36" s="364"/>
      <c r="M36" s="184">
        <f>+K36*1.07</f>
        <v>1138.0649470000001</v>
      </c>
      <c r="N36" s="364"/>
      <c r="O36" s="184">
        <f>+M36*1.07</f>
        <v>1217.7294932900002</v>
      </c>
      <c r="P36" s="364"/>
      <c r="Q36" s="195">
        <f>+O36*1.07</f>
        <v>1302.9705578203002</v>
      </c>
    </row>
    <row r="37" spans="1:18" ht="60.75" outlineLevel="1" thickTop="1">
      <c r="A37" s="354"/>
      <c r="B37" s="212"/>
      <c r="C37" s="408"/>
      <c r="D37" s="376"/>
      <c r="E37" s="232" t="s">
        <v>444</v>
      </c>
      <c r="F37" s="364"/>
      <c r="G37" s="75">
        <f>SUM(G30:G36)</f>
        <v>99342</v>
      </c>
      <c r="H37" s="364"/>
      <c r="I37" s="192">
        <f>SUM(I30:I36)</f>
        <v>112028.98</v>
      </c>
      <c r="J37" s="364"/>
      <c r="K37" s="192">
        <f>SUM(K30:K36)</f>
        <v>125006.70836</v>
      </c>
      <c r="L37" s="364"/>
      <c r="M37" s="192">
        <f>SUM(M30:M36)</f>
        <v>138660.34117980002</v>
      </c>
      <c r="N37" s="364"/>
      <c r="O37" s="192">
        <f>SUM(O30:O36)</f>
        <v>152881.75341397003</v>
      </c>
      <c r="P37" s="364"/>
      <c r="Q37" s="205">
        <f>SUM(Q30:Q36)</f>
        <v>168156.16733690575</v>
      </c>
    </row>
    <row r="38" spans="1:18" ht="14.25" outlineLevel="2">
      <c r="A38" s="354"/>
      <c r="B38" s="212"/>
      <c r="C38" s="408"/>
      <c r="D38" s="376"/>
      <c r="E38" s="89" t="s">
        <v>550</v>
      </c>
      <c r="F38" s="364"/>
      <c r="G38" s="79">
        <v>12386</v>
      </c>
      <c r="H38" s="364"/>
      <c r="I38" s="196">
        <f>((12386000*1.11))/1000</f>
        <v>13748.460000000003</v>
      </c>
      <c r="J38" s="364"/>
      <c r="K38" s="196">
        <f>+I38*1.086</f>
        <v>14930.827560000003</v>
      </c>
      <c r="L38" s="364"/>
      <c r="M38" s="196">
        <f>+K38*1.08</f>
        <v>16125.293764800004</v>
      </c>
      <c r="N38" s="364"/>
      <c r="O38" s="196">
        <f>+M38*1.075</f>
        <v>17334.690797160005</v>
      </c>
      <c r="P38" s="364"/>
      <c r="Q38" s="197">
        <f>+O38*1.075</f>
        <v>18634.792606947005</v>
      </c>
    </row>
    <row r="39" spans="1:18" ht="14.25" outlineLevel="2">
      <c r="A39" s="354"/>
      <c r="B39" s="212"/>
      <c r="C39" s="408"/>
      <c r="D39" s="376"/>
      <c r="E39" s="89" t="s">
        <v>551</v>
      </c>
      <c r="F39" s="364"/>
      <c r="G39" s="79">
        <v>300</v>
      </c>
      <c r="H39" s="364"/>
      <c r="I39" s="196">
        <f>+G39*1.07</f>
        <v>321</v>
      </c>
      <c r="J39" s="364"/>
      <c r="K39" s="196">
        <f>+I39*1.07</f>
        <v>343.47</v>
      </c>
      <c r="L39" s="364"/>
      <c r="M39" s="196">
        <f>+K39*1.07</f>
        <v>367.51290000000006</v>
      </c>
      <c r="N39" s="364"/>
      <c r="O39" s="196">
        <f>+M39*1.07</f>
        <v>393.23880300000008</v>
      </c>
      <c r="P39" s="364"/>
      <c r="Q39" s="197">
        <f>+O39*1.07</f>
        <v>420.76551921000009</v>
      </c>
    </row>
    <row r="40" spans="1:18" ht="14.25" outlineLevel="2">
      <c r="A40" s="354"/>
      <c r="B40" s="212"/>
      <c r="C40" s="408"/>
      <c r="D40" s="376"/>
      <c r="E40" s="89" t="s">
        <v>552</v>
      </c>
      <c r="F40" s="364"/>
      <c r="G40" s="79">
        <v>140</v>
      </c>
      <c r="H40" s="364"/>
      <c r="I40" s="196">
        <f>+G40*1.11</f>
        <v>155.4</v>
      </c>
      <c r="J40" s="364"/>
      <c r="K40" s="196">
        <f>+I40*1.086</f>
        <v>168.76440000000002</v>
      </c>
      <c r="L40" s="364"/>
      <c r="M40" s="196">
        <f>+K40*1.08</f>
        <v>182.26555200000004</v>
      </c>
      <c r="N40" s="364"/>
      <c r="O40" s="196">
        <f>+M40*1.075</f>
        <v>195.93546840000005</v>
      </c>
      <c r="P40" s="364"/>
      <c r="Q40" s="197">
        <f>+O40*1.075</f>
        <v>210.63062853000005</v>
      </c>
      <c r="R40" s="62"/>
    </row>
    <row r="41" spans="1:18" outlineLevel="2" thickBot="1">
      <c r="A41" s="354"/>
      <c r="B41" s="212"/>
      <c r="C41" s="408"/>
      <c r="D41" s="376"/>
      <c r="E41" s="89" t="s">
        <v>362</v>
      </c>
      <c r="F41" s="364"/>
      <c r="G41" s="80">
        <v>1492</v>
      </c>
      <c r="H41" s="364"/>
      <c r="I41" s="190">
        <f>+G41*1.11</f>
        <v>1656.1200000000001</v>
      </c>
      <c r="J41" s="364"/>
      <c r="K41" s="190">
        <f>+I41*1.086</f>
        <v>1798.5463200000002</v>
      </c>
      <c r="L41" s="364"/>
      <c r="M41" s="190">
        <f>+K41*1.08</f>
        <v>1942.4300256000004</v>
      </c>
      <c r="N41" s="364"/>
      <c r="O41" s="190">
        <f>+M41*1.075</f>
        <v>2088.1122775200001</v>
      </c>
      <c r="P41" s="364"/>
      <c r="Q41" s="191">
        <f>+O41*1.075</f>
        <v>2244.7206983340002</v>
      </c>
      <c r="R41" s="62"/>
    </row>
    <row r="42" spans="1:18" ht="61.5" outlineLevel="1" thickTop="1" thickBot="1">
      <c r="A42" s="355"/>
      <c r="B42" s="236"/>
      <c r="C42" s="409"/>
      <c r="D42" s="377"/>
      <c r="E42" s="237" t="s">
        <v>445</v>
      </c>
      <c r="F42" s="400"/>
      <c r="G42" s="238">
        <f>SUM(G38:G41)</f>
        <v>14318</v>
      </c>
      <c r="H42" s="400"/>
      <c r="I42" s="239">
        <f>SUM(I38:I41)</f>
        <v>15880.980000000003</v>
      </c>
      <c r="J42" s="400"/>
      <c r="K42" s="239">
        <f>SUM(K38:K41)</f>
        <v>17241.608280000004</v>
      </c>
      <c r="L42" s="400"/>
      <c r="M42" s="239">
        <f>SUM(M38:M41)</f>
        <v>18617.502242400005</v>
      </c>
      <c r="N42" s="400"/>
      <c r="O42" s="239">
        <f>SUM(O38:O41)</f>
        <v>20011.977346080006</v>
      </c>
      <c r="P42" s="400"/>
      <c r="Q42" s="240">
        <f>SUM(Q38:Q41)</f>
        <v>21510.909453021006</v>
      </c>
      <c r="R42" s="62"/>
    </row>
    <row r="43" spans="1:18" ht="15.75" customHeight="1" outlineLevel="2" thickTop="1">
      <c r="A43" s="356" t="s">
        <v>646</v>
      </c>
      <c r="B43" s="242" t="s">
        <v>426</v>
      </c>
      <c r="C43" s="370" t="s">
        <v>26</v>
      </c>
      <c r="D43" s="393" t="s">
        <v>27</v>
      </c>
      <c r="E43" s="243" t="s">
        <v>639</v>
      </c>
      <c r="F43" s="372">
        <f ca="1">SUMIF('PRESUPUESTO Proy 2016-021 $MM'!$A$8:$A$357,$B$43,'PRESUPUESTO Proy 2016-021 $MM'!L8:L355)-('EDUCACIÓN CONTINUAD CONSOLIDADO'!D26/1000)</f>
        <v>159472.26898362499</v>
      </c>
      <c r="G43" s="244">
        <v>463</v>
      </c>
      <c r="H43" s="372">
        <f ca="1">SUMIF('PRESUPUESTO Proy 2016-021 $MM'!$A$8:$A$357,$B$43,'PRESUPUESTO Proy 2016-021 $MM'!N8:N355)-('EDUCACIÓN CONTINUAD CONSOLIDADO'!I28)</f>
        <v>185442.08336157902</v>
      </c>
      <c r="I43" s="245">
        <v>790</v>
      </c>
      <c r="J43" s="372">
        <f ca="1">SUMIF('PRESUPUESTO Proy 2016-021 $MM'!$A$8:$A$357,$B$43,'PRESUPUESTO Proy 2016-021 $MM'!P8:P355)-('EDUCACIÓN CONTINUAD CONSOLIDADO'!I29)</f>
        <v>214918.76862171138</v>
      </c>
      <c r="K43" s="245">
        <v>1181</v>
      </c>
      <c r="L43" s="372">
        <f ca="1">SUMIF('PRESUPUESTO Proy 2016-021 $MM'!$A$8:$A$357,$B$43,'PRESUPUESTO Proy 2016-021 $MM'!R8:R355)-('EDUCACIÓN CONTINUAD CONSOLIDADO'!I30)</f>
        <v>246602.62688603459</v>
      </c>
      <c r="M43" s="245">
        <v>1607</v>
      </c>
      <c r="N43" s="372">
        <f ca="1">SUMIF('PRESUPUESTO Proy 2016-021 $MM'!$A$8:$A$357,$B$43,'PRESUPUESTO Proy 2016-021 $MM'!T8:T355)-('EDUCACIÓN CONTINUAD CONSOLIDADO'!I31)</f>
        <v>277650.31409633945</v>
      </c>
      <c r="O43" s="245">
        <v>2042</v>
      </c>
      <c r="P43" s="372">
        <f ca="1">SUMIF('PRESUPUESTO Proy 2016-021 $MM'!$A$8:$A$357,$B$43,'PRESUPUESTO Proy 2016-021 $MM'!V8:V355)-('EDUCACIÓN CONTINUAD CONSOLIDADO'!I32)</f>
        <v>310645.26142244803</v>
      </c>
      <c r="Q43" s="246">
        <v>2412</v>
      </c>
    </row>
    <row r="44" spans="1:18" outlineLevel="2">
      <c r="A44" s="357"/>
      <c r="B44" s="60"/>
      <c r="C44" s="369"/>
      <c r="D44" s="392"/>
      <c r="E44" s="72" t="s">
        <v>640</v>
      </c>
      <c r="F44" s="373"/>
      <c r="G44" s="77">
        <v>151</v>
      </c>
      <c r="H44" s="373"/>
      <c r="I44" s="185">
        <v>208</v>
      </c>
      <c r="J44" s="373"/>
      <c r="K44" s="185">
        <v>373</v>
      </c>
      <c r="L44" s="373"/>
      <c r="M44" s="185">
        <v>329</v>
      </c>
      <c r="N44" s="373"/>
      <c r="O44" s="185">
        <v>303</v>
      </c>
      <c r="P44" s="373"/>
      <c r="Q44" s="194">
        <v>288</v>
      </c>
    </row>
    <row r="45" spans="1:18" outlineLevel="2">
      <c r="A45" s="357"/>
      <c r="B45" s="60"/>
      <c r="C45" s="369"/>
      <c r="D45" s="392"/>
      <c r="E45" s="72" t="s">
        <v>362</v>
      </c>
      <c r="F45" s="373"/>
      <c r="G45" s="78">
        <v>300</v>
      </c>
      <c r="H45" s="373"/>
      <c r="I45" s="184">
        <v>379</v>
      </c>
      <c r="J45" s="373"/>
      <c r="K45" s="184">
        <v>2339</v>
      </c>
      <c r="L45" s="373"/>
      <c r="M45" s="184">
        <v>4693</v>
      </c>
      <c r="N45" s="373"/>
      <c r="O45" s="184">
        <v>7327</v>
      </c>
      <c r="P45" s="373"/>
      <c r="Q45" s="195">
        <v>10056</v>
      </c>
    </row>
    <row r="46" spans="1:18" outlineLevel="2">
      <c r="A46" s="357"/>
      <c r="B46" s="60"/>
      <c r="C46" s="369"/>
      <c r="D46" s="392"/>
      <c r="E46" s="72" t="s">
        <v>641</v>
      </c>
      <c r="F46" s="373"/>
      <c r="G46" s="78">
        <v>3</v>
      </c>
      <c r="H46" s="373"/>
      <c r="I46" s="184">
        <v>179</v>
      </c>
      <c r="J46" s="373"/>
      <c r="K46" s="184">
        <v>845</v>
      </c>
      <c r="L46" s="373"/>
      <c r="M46" s="184">
        <v>1752</v>
      </c>
      <c r="N46" s="373"/>
      <c r="O46" s="184">
        <v>2742</v>
      </c>
      <c r="P46" s="373"/>
      <c r="Q46" s="195">
        <v>3784</v>
      </c>
    </row>
    <row r="47" spans="1:18" outlineLevel="2">
      <c r="A47" s="357"/>
      <c r="B47" s="60"/>
      <c r="C47" s="369"/>
      <c r="D47" s="392"/>
      <c r="E47" s="72" t="s">
        <v>642</v>
      </c>
      <c r="F47" s="373"/>
      <c r="G47" s="78"/>
      <c r="H47" s="373"/>
      <c r="I47" s="184">
        <v>744</v>
      </c>
      <c r="J47" s="373"/>
      <c r="K47" s="184">
        <v>927</v>
      </c>
      <c r="L47" s="373"/>
      <c r="M47" s="184">
        <v>1217</v>
      </c>
      <c r="N47" s="373"/>
      <c r="O47" s="184">
        <v>1618</v>
      </c>
      <c r="P47" s="373"/>
      <c r="Q47" s="195">
        <v>1647</v>
      </c>
    </row>
    <row r="48" spans="1:18" ht="15.75" outlineLevel="2" thickBot="1">
      <c r="A48" s="357"/>
      <c r="B48" s="60"/>
      <c r="C48" s="369"/>
      <c r="D48" s="392"/>
      <c r="E48" s="72" t="s">
        <v>482</v>
      </c>
      <c r="F48" s="373"/>
      <c r="G48" s="78">
        <v>34</v>
      </c>
      <c r="H48" s="373"/>
      <c r="I48" s="184">
        <v>36.380000000000003</v>
      </c>
      <c r="J48" s="373"/>
      <c r="K48" s="184">
        <v>38.926600000000008</v>
      </c>
      <c r="L48" s="373"/>
      <c r="M48" s="184">
        <v>41.651462000000009</v>
      </c>
      <c r="N48" s="373"/>
      <c r="O48" s="184">
        <v>44.567064340000009</v>
      </c>
      <c r="P48" s="373"/>
      <c r="Q48" s="195">
        <v>47.686758843800014</v>
      </c>
    </row>
    <row r="49" spans="1:17" ht="15.75" customHeight="1" outlineLevel="1" thickTop="1">
      <c r="A49" s="357"/>
      <c r="B49" s="60"/>
      <c r="C49" s="369"/>
      <c r="D49" s="392"/>
      <c r="E49" s="233" t="s">
        <v>446</v>
      </c>
      <c r="F49" s="373"/>
      <c r="G49" s="73">
        <f>SUM(G43:G48)</f>
        <v>951</v>
      </c>
      <c r="H49" s="373"/>
      <c r="I49" s="192">
        <f>SUM(I43:I48)</f>
        <v>2336.38</v>
      </c>
      <c r="J49" s="373"/>
      <c r="K49" s="192">
        <f>SUM(K43:K48)</f>
        <v>5703.9265999999998</v>
      </c>
      <c r="L49" s="373"/>
      <c r="M49" s="192">
        <f>SUM(M43:M48)</f>
        <v>9639.6514619999998</v>
      </c>
      <c r="N49" s="373"/>
      <c r="O49" s="192">
        <f>SUM(O43:O48)</f>
        <v>14076.567064340001</v>
      </c>
      <c r="P49" s="373"/>
      <c r="Q49" s="193">
        <f>SUM(Q43:Q48)</f>
        <v>18234.6867588438</v>
      </c>
    </row>
    <row r="50" spans="1:17" ht="15.75" outlineLevel="2" thickBot="1">
      <c r="A50" s="357"/>
      <c r="B50" s="60"/>
      <c r="C50" s="369"/>
      <c r="D50" s="392"/>
      <c r="E50" s="72" t="s">
        <v>483</v>
      </c>
      <c r="F50" s="373"/>
      <c r="G50" s="78">
        <v>50</v>
      </c>
      <c r="H50" s="373"/>
      <c r="I50" s="184">
        <f>+G50*1.07</f>
        <v>53.5</v>
      </c>
      <c r="J50" s="373"/>
      <c r="K50" s="184">
        <f>+I50*1.07</f>
        <v>57.245000000000005</v>
      </c>
      <c r="L50" s="373"/>
      <c r="M50" s="184">
        <f>+K50*1.07</f>
        <v>61.252150000000007</v>
      </c>
      <c r="N50" s="373"/>
      <c r="O50" s="184">
        <f>+M50*1.07</f>
        <v>65.539800500000013</v>
      </c>
      <c r="P50" s="373"/>
      <c r="Q50" s="195">
        <f>+O50*1.07</f>
        <v>70.12758653500002</v>
      </c>
    </row>
    <row r="51" spans="1:17" ht="30.75" outlineLevel="1" thickTop="1">
      <c r="A51" s="357"/>
      <c r="B51" s="60"/>
      <c r="C51" s="369"/>
      <c r="D51" s="392"/>
      <c r="E51" s="233" t="s">
        <v>447</v>
      </c>
      <c r="F51" s="373"/>
      <c r="G51" s="75">
        <f>SUM(G50)</f>
        <v>50</v>
      </c>
      <c r="H51" s="373"/>
      <c r="I51" s="192">
        <f>SUM(I50)</f>
        <v>53.5</v>
      </c>
      <c r="J51" s="373"/>
      <c r="K51" s="192">
        <f>SUM(K50)</f>
        <v>57.245000000000005</v>
      </c>
      <c r="L51" s="373"/>
      <c r="M51" s="192">
        <f>SUM(M50)</f>
        <v>61.252150000000007</v>
      </c>
      <c r="N51" s="373"/>
      <c r="O51" s="192">
        <f>SUM(O50)</f>
        <v>65.539800500000013</v>
      </c>
      <c r="P51" s="373"/>
      <c r="Q51" s="193">
        <f>SUM(Q50)</f>
        <v>70.12758653500002</v>
      </c>
    </row>
    <row r="52" spans="1:17" ht="14.25" outlineLevel="2">
      <c r="A52" s="357"/>
      <c r="B52" s="60"/>
      <c r="C52" s="369"/>
      <c r="D52" s="391" t="s">
        <v>30</v>
      </c>
      <c r="E52" s="72" t="s">
        <v>484</v>
      </c>
      <c r="F52" s="373"/>
      <c r="G52" s="79">
        <v>7646</v>
      </c>
      <c r="H52" s="373"/>
      <c r="I52" s="196">
        <f>+G52*1.04</f>
        <v>7951.84</v>
      </c>
      <c r="J52" s="373"/>
      <c r="K52" s="196">
        <f>+I52*1.04</f>
        <v>8269.9135999999999</v>
      </c>
      <c r="L52" s="373"/>
      <c r="M52" s="196">
        <f>+K52*1.04</f>
        <v>8600.7101440000006</v>
      </c>
      <c r="N52" s="373"/>
      <c r="O52" s="196">
        <f>+M52*1.04</f>
        <v>8944.7385497600008</v>
      </c>
      <c r="P52" s="373"/>
      <c r="Q52" s="197">
        <f>+O52*1.04</f>
        <v>9302.5280917504006</v>
      </c>
    </row>
    <row r="53" spans="1:17" ht="14.25" outlineLevel="2">
      <c r="A53" s="357"/>
      <c r="B53" s="60"/>
      <c r="C53" s="369"/>
      <c r="D53" s="392"/>
      <c r="E53" s="72" t="s">
        <v>485</v>
      </c>
      <c r="F53" s="373"/>
      <c r="G53" s="79">
        <v>1754</v>
      </c>
      <c r="H53" s="373"/>
      <c r="I53" s="196">
        <f>+G53*1.1</f>
        <v>1929.4</v>
      </c>
      <c r="J53" s="373"/>
      <c r="K53" s="196">
        <f>+I53*1.081</f>
        <v>2085.6813999999999</v>
      </c>
      <c r="L53" s="373"/>
      <c r="M53" s="196">
        <f>+K53*1.07</f>
        <v>2231.6790980000001</v>
      </c>
      <c r="N53" s="373"/>
      <c r="O53" s="196">
        <f>+M53*1.07</f>
        <v>2387.8966348600002</v>
      </c>
      <c r="P53" s="373"/>
      <c r="Q53" s="197">
        <f>+O53*1.07</f>
        <v>2555.0493993002005</v>
      </c>
    </row>
    <row r="54" spans="1:17" ht="14.25" outlineLevel="2">
      <c r="A54" s="357"/>
      <c r="B54" s="60"/>
      <c r="C54" s="369"/>
      <c r="D54" s="392"/>
      <c r="E54" s="72" t="s">
        <v>488</v>
      </c>
      <c r="F54" s="373"/>
      <c r="G54" s="79">
        <v>459</v>
      </c>
      <c r="H54" s="373"/>
      <c r="I54" s="196">
        <f>+G54*1.1</f>
        <v>504.90000000000003</v>
      </c>
      <c r="J54" s="373"/>
      <c r="K54" s="196">
        <f>+I54*1.081</f>
        <v>545.79690000000005</v>
      </c>
      <c r="L54" s="373"/>
      <c r="M54" s="196">
        <f>+K54*1.07</f>
        <v>584.00268300000005</v>
      </c>
      <c r="N54" s="373"/>
      <c r="O54" s="196">
        <f>+M54*1.07</f>
        <v>624.8828708100001</v>
      </c>
      <c r="P54" s="373"/>
      <c r="Q54" s="197">
        <f>+O54*1.07</f>
        <v>668.62467176670009</v>
      </c>
    </row>
    <row r="55" spans="1:17" ht="14.25" outlineLevel="2">
      <c r="A55" s="357"/>
      <c r="B55" s="60"/>
      <c r="C55" s="369"/>
      <c r="D55" s="392"/>
      <c r="E55" s="72" t="s">
        <v>486</v>
      </c>
      <c r="F55" s="373"/>
      <c r="G55" s="79">
        <v>607</v>
      </c>
      <c r="H55" s="373"/>
      <c r="I55" s="196">
        <f>+G55*1.1</f>
        <v>667.7</v>
      </c>
      <c r="J55" s="373"/>
      <c r="K55" s="196">
        <f>+I55*1.081</f>
        <v>721.78370000000007</v>
      </c>
      <c r="L55" s="373"/>
      <c r="M55" s="196">
        <f>+K55*1.07</f>
        <v>772.30855900000017</v>
      </c>
      <c r="N55" s="373"/>
      <c r="O55" s="196">
        <f>+M55*1.07</f>
        <v>826.37015813000028</v>
      </c>
      <c r="P55" s="373"/>
      <c r="Q55" s="197">
        <f>+O55*1.07</f>
        <v>884.21606919910039</v>
      </c>
    </row>
    <row r="56" spans="1:17" ht="14.25" outlineLevel="2">
      <c r="A56" s="357"/>
      <c r="B56" s="60"/>
      <c r="C56" s="369"/>
      <c r="D56" s="392"/>
      <c r="E56" s="72" t="s">
        <v>487</v>
      </c>
      <c r="F56" s="373"/>
      <c r="G56" s="79">
        <v>188</v>
      </c>
      <c r="H56" s="373"/>
      <c r="I56" s="196">
        <f>+G56*1.1</f>
        <v>206.8</v>
      </c>
      <c r="J56" s="373"/>
      <c r="K56" s="196">
        <f>+I56*1.081</f>
        <v>223.55080000000001</v>
      </c>
      <c r="L56" s="373"/>
      <c r="M56" s="196">
        <f>+K56*1.07</f>
        <v>239.19935600000002</v>
      </c>
      <c r="N56" s="373"/>
      <c r="O56" s="196">
        <f>+M56*1.07</f>
        <v>255.94331092000004</v>
      </c>
      <c r="P56" s="373"/>
      <c r="Q56" s="197">
        <f>+O56*1.07</f>
        <v>273.85934268440008</v>
      </c>
    </row>
    <row r="57" spans="1:17" outlineLevel="2" thickBot="1">
      <c r="A57" s="357"/>
      <c r="B57" s="60"/>
      <c r="C57" s="369"/>
      <c r="D57" s="392"/>
      <c r="E57" s="72" t="s">
        <v>489</v>
      </c>
      <c r="F57" s="373"/>
      <c r="G57" s="80">
        <v>414</v>
      </c>
      <c r="H57" s="373"/>
      <c r="I57" s="190">
        <f>+G57*1.1</f>
        <v>455.40000000000003</v>
      </c>
      <c r="J57" s="373"/>
      <c r="K57" s="190">
        <f>+I57*1.081</f>
        <v>492.28739999999999</v>
      </c>
      <c r="L57" s="373"/>
      <c r="M57" s="190">
        <f>+K57*1.07</f>
        <v>526.74751800000001</v>
      </c>
      <c r="N57" s="373"/>
      <c r="O57" s="190">
        <f>+M57*1.07</f>
        <v>563.61984426000004</v>
      </c>
      <c r="P57" s="373"/>
      <c r="Q57" s="191">
        <f>+O57*1.07</f>
        <v>603.07323335820013</v>
      </c>
    </row>
    <row r="58" spans="1:17" ht="30.75" outlineLevel="1" thickTop="1">
      <c r="A58" s="357"/>
      <c r="B58" s="60"/>
      <c r="C58" s="369"/>
      <c r="D58" s="392"/>
      <c r="E58" s="233" t="s">
        <v>448</v>
      </c>
      <c r="F58" s="373"/>
      <c r="G58" s="75">
        <f>SUM(G52:G57)</f>
        <v>11068</v>
      </c>
      <c r="H58" s="373"/>
      <c r="I58" s="192">
        <f>SUM(I52:I57)</f>
        <v>11716.039999999999</v>
      </c>
      <c r="J58" s="373"/>
      <c r="K58" s="192">
        <f>SUM(K52:K57)</f>
        <v>12339.013799999999</v>
      </c>
      <c r="L58" s="373"/>
      <c r="M58" s="192">
        <f>SUM(M52:M57)</f>
        <v>12954.647358000002</v>
      </c>
      <c r="N58" s="373"/>
      <c r="O58" s="192">
        <f>SUM(O52:O57)</f>
        <v>13603.451368740003</v>
      </c>
      <c r="P58" s="373"/>
      <c r="Q58" s="193">
        <f>SUM(Q52:Q57)</f>
        <v>14287.350808059002</v>
      </c>
    </row>
    <row r="59" spans="1:17" ht="14.25" outlineLevel="2">
      <c r="A59" s="357"/>
      <c r="B59" s="60"/>
      <c r="C59" s="369"/>
      <c r="D59" s="392"/>
      <c r="E59" s="72" t="s">
        <v>490</v>
      </c>
      <c r="F59" s="373"/>
      <c r="G59" s="79">
        <v>270</v>
      </c>
      <c r="H59" s="373"/>
      <c r="I59" s="196">
        <f>+G59*1.1</f>
        <v>297</v>
      </c>
      <c r="J59" s="373"/>
      <c r="K59" s="196">
        <f>+I59*1.081</f>
        <v>321.05700000000002</v>
      </c>
      <c r="L59" s="373"/>
      <c r="M59" s="196">
        <f>+K59*1.07</f>
        <v>343.53099000000003</v>
      </c>
      <c r="N59" s="373"/>
      <c r="O59" s="196">
        <f>+M59*1.07</f>
        <v>367.57815930000004</v>
      </c>
      <c r="P59" s="373"/>
      <c r="Q59" s="197">
        <f>+O59*1.07</f>
        <v>393.30863045100006</v>
      </c>
    </row>
    <row r="60" spans="1:17" outlineLevel="2" thickBot="1">
      <c r="A60" s="357"/>
      <c r="B60" s="60"/>
      <c r="C60" s="369"/>
      <c r="D60" s="392"/>
      <c r="E60" s="72" t="s">
        <v>491</v>
      </c>
      <c r="F60" s="373"/>
      <c r="G60" s="79">
        <v>300</v>
      </c>
      <c r="H60" s="373"/>
      <c r="I60" s="196">
        <f>+G60*1.1</f>
        <v>330</v>
      </c>
      <c r="J60" s="373"/>
      <c r="K60" s="196">
        <f>+I60*1.081</f>
        <v>356.72999999999996</v>
      </c>
      <c r="L60" s="373"/>
      <c r="M60" s="196">
        <f>+K60*1.07</f>
        <v>381.7011</v>
      </c>
      <c r="N60" s="373"/>
      <c r="O60" s="196">
        <f>+M60*1.07</f>
        <v>408.42017700000002</v>
      </c>
      <c r="P60" s="373"/>
      <c r="Q60" s="197">
        <f>+O60*1.07</f>
        <v>437.00958939000003</v>
      </c>
    </row>
    <row r="61" spans="1:17" ht="15.75" outlineLevel="1" thickTop="1">
      <c r="A61" s="357"/>
      <c r="B61" s="60"/>
      <c r="C61" s="369"/>
      <c r="D61" s="392"/>
      <c r="E61" s="233" t="s">
        <v>449</v>
      </c>
      <c r="F61" s="373"/>
      <c r="G61" s="75">
        <f>SUM(G59:G60)</f>
        <v>570</v>
      </c>
      <c r="H61" s="373"/>
      <c r="I61" s="192">
        <f>SUM(I59:I60)</f>
        <v>627</v>
      </c>
      <c r="J61" s="373"/>
      <c r="K61" s="192">
        <f>SUM(K59:K60)</f>
        <v>677.78700000000003</v>
      </c>
      <c r="L61" s="373"/>
      <c r="M61" s="192">
        <f>SUM(M59:M60)</f>
        <v>725.23208999999997</v>
      </c>
      <c r="N61" s="373"/>
      <c r="O61" s="192">
        <f>SUM(O59:O60)</f>
        <v>775.99833630000012</v>
      </c>
      <c r="P61" s="373"/>
      <c r="Q61" s="193">
        <f>SUM(Q59:Q60)</f>
        <v>830.31821984100009</v>
      </c>
    </row>
    <row r="62" spans="1:17" ht="30.75" outlineLevel="1" thickBot="1">
      <c r="A62" s="357"/>
      <c r="B62" s="60"/>
      <c r="C62" s="371"/>
      <c r="D62" s="380"/>
      <c r="E62" s="233" t="s">
        <v>450</v>
      </c>
      <c r="F62" s="374"/>
      <c r="G62" s="69">
        <v>0</v>
      </c>
      <c r="H62" s="374"/>
      <c r="I62" s="186"/>
      <c r="J62" s="374"/>
      <c r="K62" s="186"/>
      <c r="L62" s="374"/>
      <c r="M62" s="186"/>
      <c r="N62" s="374"/>
      <c r="O62" s="186"/>
      <c r="P62" s="374"/>
      <c r="Q62" s="202"/>
    </row>
    <row r="63" spans="1:17" outlineLevel="2" thickBot="1">
      <c r="A63" s="357"/>
      <c r="B63" s="60" t="s">
        <v>34</v>
      </c>
      <c r="C63" s="368" t="s">
        <v>34</v>
      </c>
      <c r="D63" s="375" t="s">
        <v>35</v>
      </c>
      <c r="E63" s="72" t="s">
        <v>492</v>
      </c>
      <c r="F63" s="398">
        <f>SUMIF('PRESUPUESTO Proy 2016-021 $MM'!$A$6:A357,Detalle!$B$63,'PRESUPUESTO Proy 2016-021 $MM'!L6:L357)</f>
        <v>999.10142299999995</v>
      </c>
      <c r="G63" s="80">
        <v>42</v>
      </c>
      <c r="H63" s="398">
        <f ca="1">SUMIF('PRESUPUESTO Proy 2016-021 $MM'!$A$6:B357,Detalle!$B$63,'PRESUPUESTO Proy 2016-021 $MM'!N6:N357)</f>
        <v>1069.03852261</v>
      </c>
      <c r="I63" s="200"/>
      <c r="J63" s="398">
        <f ca="1">SUMIF('PRESUPUESTO Proy 2016-021 $MM'!$A$6:C357,Detalle!$B$63,'PRESUPUESTO Proy 2016-021 $MM'!P6:P357)</f>
        <v>1122.4904487405001</v>
      </c>
      <c r="K63" s="200"/>
      <c r="L63" s="398">
        <f ca="1">SUMIF('PRESUPUESTO Proy 2016-021 $MM'!$A$6:D357,Detalle!$B$63,'PRESUPUESTO Proy 2016-021 $MM'!R6:R357)</f>
        <v>1167.39006669012</v>
      </c>
      <c r="M63" s="200"/>
      <c r="N63" s="398">
        <f ca="1">SUMIF('PRESUPUESTO Proy 2016-021 $MM'!$A$6:E357,Detalle!$B$63,'PRESUPUESTO Proy 2016-021 $MM'!T6:T357)</f>
        <v>1214.0856693577248</v>
      </c>
      <c r="O63" s="200"/>
      <c r="P63" s="398">
        <f ca="1">SUMIF('PRESUPUESTO Proy 2016-021 $MM'!$A$6:F357,Detalle!$B$63,'PRESUPUESTO Proy 2016-021 $MM'!V6:V357)</f>
        <v>1262.6490961320339</v>
      </c>
      <c r="Q63" s="201"/>
    </row>
    <row r="64" spans="1:17" ht="30.75" outlineLevel="1" thickTop="1">
      <c r="A64" s="357"/>
      <c r="B64" s="60"/>
      <c r="C64" s="369"/>
      <c r="D64" s="376"/>
      <c r="E64" s="233" t="s">
        <v>451</v>
      </c>
      <c r="F64" s="399"/>
      <c r="G64" s="75">
        <f>SUM(G63)</f>
        <v>42</v>
      </c>
      <c r="H64" s="399"/>
      <c r="I64" s="192">
        <f>SUM(I63)</f>
        <v>0</v>
      </c>
      <c r="J64" s="399"/>
      <c r="K64" s="192">
        <f>SUM(K63)</f>
        <v>0</v>
      </c>
      <c r="L64" s="399"/>
      <c r="M64" s="192">
        <f>SUM(M63)</f>
        <v>0</v>
      </c>
      <c r="N64" s="399"/>
      <c r="O64" s="192">
        <f>SUM(O63)</f>
        <v>0</v>
      </c>
      <c r="P64" s="399"/>
      <c r="Q64" s="193">
        <f>SUM(Q62)</f>
        <v>0</v>
      </c>
    </row>
    <row r="65" spans="1:17" ht="14.25" outlineLevel="2">
      <c r="A65" s="357"/>
      <c r="B65" s="60"/>
      <c r="C65" s="369"/>
      <c r="D65" s="376"/>
      <c r="E65" s="72" t="s">
        <v>493</v>
      </c>
      <c r="F65" s="399"/>
      <c r="G65" s="79">
        <v>30</v>
      </c>
      <c r="H65" s="399"/>
      <c r="I65" s="196">
        <f t="shared" ref="I65:I72" si="0">+G65*1.1</f>
        <v>33</v>
      </c>
      <c r="J65" s="399"/>
      <c r="K65" s="196">
        <f t="shared" ref="K65:K72" si="1">+I65*1.081</f>
        <v>35.673000000000002</v>
      </c>
      <c r="L65" s="399"/>
      <c r="M65" s="196">
        <f t="shared" ref="M65:M72" si="2">+K65*1.07</f>
        <v>38.170110000000001</v>
      </c>
      <c r="N65" s="399"/>
      <c r="O65" s="196">
        <f t="shared" ref="O65:O72" si="3">+M65*1.07</f>
        <v>40.842017700000007</v>
      </c>
      <c r="P65" s="399"/>
      <c r="Q65" s="197">
        <f t="shared" ref="Q65:Q72" si="4">+O65*1.07</f>
        <v>43.70095893900001</v>
      </c>
    </row>
    <row r="66" spans="1:17" ht="14.25" outlineLevel="2">
      <c r="A66" s="357"/>
      <c r="B66" s="60"/>
      <c r="C66" s="369"/>
      <c r="D66" s="376"/>
      <c r="E66" s="72" t="s">
        <v>496</v>
      </c>
      <c r="F66" s="399"/>
      <c r="G66" s="79">
        <v>100</v>
      </c>
      <c r="H66" s="399"/>
      <c r="I66" s="196">
        <f t="shared" si="0"/>
        <v>110.00000000000001</v>
      </c>
      <c r="J66" s="399"/>
      <c r="K66" s="196">
        <f t="shared" si="1"/>
        <v>118.91000000000001</v>
      </c>
      <c r="L66" s="399"/>
      <c r="M66" s="196">
        <f t="shared" si="2"/>
        <v>127.23370000000001</v>
      </c>
      <c r="N66" s="399"/>
      <c r="O66" s="196">
        <f t="shared" si="3"/>
        <v>136.14005900000001</v>
      </c>
      <c r="P66" s="399"/>
      <c r="Q66" s="197">
        <f t="shared" si="4"/>
        <v>145.66986313000001</v>
      </c>
    </row>
    <row r="67" spans="1:17" ht="14.25" outlineLevel="2">
      <c r="A67" s="357"/>
      <c r="B67" s="60"/>
      <c r="C67" s="369"/>
      <c r="D67" s="376"/>
      <c r="E67" s="72" t="s">
        <v>494</v>
      </c>
      <c r="F67" s="399"/>
      <c r="G67" s="79">
        <v>10</v>
      </c>
      <c r="H67" s="399"/>
      <c r="I67" s="196">
        <f t="shared" si="0"/>
        <v>11</v>
      </c>
      <c r="J67" s="399"/>
      <c r="K67" s="196">
        <f t="shared" si="1"/>
        <v>11.891</v>
      </c>
      <c r="L67" s="399"/>
      <c r="M67" s="196">
        <f t="shared" si="2"/>
        <v>12.723370000000001</v>
      </c>
      <c r="N67" s="399"/>
      <c r="O67" s="196">
        <f t="shared" si="3"/>
        <v>13.614005900000002</v>
      </c>
      <c r="P67" s="399"/>
      <c r="Q67" s="197">
        <f t="shared" si="4"/>
        <v>14.566986313000003</v>
      </c>
    </row>
    <row r="68" spans="1:17" ht="14.25" outlineLevel="2">
      <c r="A68" s="357"/>
      <c r="B68" s="60"/>
      <c r="C68" s="369"/>
      <c r="D68" s="376"/>
      <c r="E68" s="72" t="s">
        <v>495</v>
      </c>
      <c r="F68" s="399"/>
      <c r="G68" s="79">
        <f>(50000)/1000</f>
        <v>50</v>
      </c>
      <c r="H68" s="399"/>
      <c r="I68" s="196">
        <f t="shared" si="0"/>
        <v>55.000000000000007</v>
      </c>
      <c r="J68" s="399"/>
      <c r="K68" s="196">
        <f t="shared" si="1"/>
        <v>59.455000000000005</v>
      </c>
      <c r="L68" s="399"/>
      <c r="M68" s="196">
        <f t="shared" si="2"/>
        <v>63.616850000000007</v>
      </c>
      <c r="N68" s="399"/>
      <c r="O68" s="196">
        <f t="shared" si="3"/>
        <v>68.070029500000004</v>
      </c>
      <c r="P68" s="399"/>
      <c r="Q68" s="197">
        <f t="shared" si="4"/>
        <v>72.834931565000005</v>
      </c>
    </row>
    <row r="69" spans="1:17" ht="14.25" outlineLevel="2">
      <c r="A69" s="357"/>
      <c r="B69" s="60"/>
      <c r="C69" s="369"/>
      <c r="D69" s="376"/>
      <c r="E69" s="72" t="s">
        <v>497</v>
      </c>
      <c r="F69" s="399"/>
      <c r="G69" s="79">
        <v>1400</v>
      </c>
      <c r="H69" s="399"/>
      <c r="I69" s="196">
        <f t="shared" si="0"/>
        <v>1540.0000000000002</v>
      </c>
      <c r="J69" s="399"/>
      <c r="K69" s="196">
        <f t="shared" si="1"/>
        <v>1664.7400000000002</v>
      </c>
      <c r="L69" s="399"/>
      <c r="M69" s="196">
        <f t="shared" si="2"/>
        <v>1781.2718000000004</v>
      </c>
      <c r="N69" s="399"/>
      <c r="O69" s="196">
        <f t="shared" si="3"/>
        <v>1905.9608260000007</v>
      </c>
      <c r="P69" s="399"/>
      <c r="Q69" s="197">
        <f t="shared" si="4"/>
        <v>2039.3780838200009</v>
      </c>
    </row>
    <row r="70" spans="1:17" ht="14.25" outlineLevel="2">
      <c r="A70" s="357"/>
      <c r="B70" s="60"/>
      <c r="C70" s="369"/>
      <c r="D70" s="376"/>
      <c r="E70" s="72" t="s">
        <v>498</v>
      </c>
      <c r="F70" s="399"/>
      <c r="G70" s="79">
        <v>10</v>
      </c>
      <c r="H70" s="399"/>
      <c r="I70" s="196">
        <f t="shared" si="0"/>
        <v>11</v>
      </c>
      <c r="J70" s="399"/>
      <c r="K70" s="196">
        <f t="shared" si="1"/>
        <v>11.891</v>
      </c>
      <c r="L70" s="399"/>
      <c r="M70" s="196">
        <f t="shared" si="2"/>
        <v>12.723370000000001</v>
      </c>
      <c r="N70" s="399"/>
      <c r="O70" s="196">
        <f t="shared" si="3"/>
        <v>13.614005900000002</v>
      </c>
      <c r="P70" s="399"/>
      <c r="Q70" s="197">
        <f t="shared" si="4"/>
        <v>14.566986313000003</v>
      </c>
    </row>
    <row r="71" spans="1:17" ht="14.25" outlineLevel="2">
      <c r="A71" s="357"/>
      <c r="B71" s="60"/>
      <c r="C71" s="369"/>
      <c r="D71" s="376"/>
      <c r="E71" s="72" t="s">
        <v>499</v>
      </c>
      <c r="F71" s="399"/>
      <c r="G71" s="79">
        <v>50</v>
      </c>
      <c r="H71" s="399"/>
      <c r="I71" s="196">
        <f t="shared" si="0"/>
        <v>55.000000000000007</v>
      </c>
      <c r="J71" s="399"/>
      <c r="K71" s="196">
        <f t="shared" si="1"/>
        <v>59.455000000000005</v>
      </c>
      <c r="L71" s="399"/>
      <c r="M71" s="196">
        <f t="shared" si="2"/>
        <v>63.616850000000007</v>
      </c>
      <c r="N71" s="399"/>
      <c r="O71" s="196">
        <f t="shared" si="3"/>
        <v>68.070029500000004</v>
      </c>
      <c r="P71" s="399"/>
      <c r="Q71" s="197">
        <f t="shared" si="4"/>
        <v>72.834931565000005</v>
      </c>
    </row>
    <row r="72" spans="1:17" ht="14.25" outlineLevel="2">
      <c r="A72" s="357"/>
      <c r="B72" s="60"/>
      <c r="C72" s="369"/>
      <c r="D72" s="376"/>
      <c r="E72" s="72" t="s">
        <v>500</v>
      </c>
      <c r="F72" s="399"/>
      <c r="G72" s="79">
        <v>100</v>
      </c>
      <c r="H72" s="399"/>
      <c r="I72" s="196">
        <f t="shared" si="0"/>
        <v>110.00000000000001</v>
      </c>
      <c r="J72" s="399"/>
      <c r="K72" s="196">
        <f t="shared" si="1"/>
        <v>118.91000000000001</v>
      </c>
      <c r="L72" s="399"/>
      <c r="M72" s="196">
        <f t="shared" si="2"/>
        <v>127.23370000000001</v>
      </c>
      <c r="N72" s="399"/>
      <c r="O72" s="196">
        <f t="shared" si="3"/>
        <v>136.14005900000001</v>
      </c>
      <c r="P72" s="399"/>
      <c r="Q72" s="197">
        <f t="shared" si="4"/>
        <v>145.66986313000001</v>
      </c>
    </row>
    <row r="73" spans="1:17" ht="14.25" outlineLevel="2">
      <c r="A73" s="357"/>
      <c r="B73" s="60"/>
      <c r="C73" s="369"/>
      <c r="D73" s="376"/>
      <c r="E73" s="72" t="s">
        <v>501</v>
      </c>
      <c r="F73" s="399"/>
      <c r="G73" s="79">
        <v>448</v>
      </c>
      <c r="H73" s="399"/>
      <c r="I73" s="196">
        <f>+G73*1.04</f>
        <v>465.92</v>
      </c>
      <c r="J73" s="399"/>
      <c r="K73" s="196">
        <f>+I73*1.04</f>
        <v>484.55680000000001</v>
      </c>
      <c r="L73" s="399"/>
      <c r="M73" s="196">
        <f>+K73*1.04</f>
        <v>503.93907200000001</v>
      </c>
      <c r="N73" s="399"/>
      <c r="O73" s="196">
        <f>+M73*1.04</f>
        <v>524.09663488000001</v>
      </c>
      <c r="P73" s="399"/>
      <c r="Q73" s="197">
        <f>+O73*1.04</f>
        <v>545.06050027520007</v>
      </c>
    </row>
    <row r="74" spans="1:17" ht="14.25" outlineLevel="2">
      <c r="A74" s="357"/>
      <c r="B74" s="60"/>
      <c r="C74" s="369"/>
      <c r="D74" s="376"/>
      <c r="E74" s="72" t="s">
        <v>502</v>
      </c>
      <c r="F74" s="399"/>
      <c r="G74" s="79">
        <v>600</v>
      </c>
      <c r="H74" s="399"/>
      <c r="I74" s="196">
        <f>+G74*1.1</f>
        <v>660</v>
      </c>
      <c r="J74" s="399"/>
      <c r="K74" s="196">
        <f>+I74*1.081</f>
        <v>713.45999999999992</v>
      </c>
      <c r="L74" s="399"/>
      <c r="M74" s="196">
        <f>+K74*1.07</f>
        <v>763.40219999999999</v>
      </c>
      <c r="N74" s="399"/>
      <c r="O74" s="196">
        <f>+M74*1.07</f>
        <v>816.84035400000005</v>
      </c>
      <c r="P74" s="399"/>
      <c r="Q74" s="197">
        <f>+O74*1.07</f>
        <v>874.01917878000006</v>
      </c>
    </row>
    <row r="75" spans="1:17" outlineLevel="2" thickBot="1">
      <c r="A75" s="357"/>
      <c r="B75" s="60"/>
      <c r="C75" s="369"/>
      <c r="D75" s="376"/>
      <c r="E75" s="72" t="s">
        <v>503</v>
      </c>
      <c r="F75" s="399"/>
      <c r="G75" s="80">
        <v>696</v>
      </c>
      <c r="H75" s="399"/>
      <c r="I75" s="190">
        <f>+G75*1.1</f>
        <v>765.6</v>
      </c>
      <c r="J75" s="399"/>
      <c r="K75" s="190">
        <f>+I75*1.081</f>
        <v>827.61360000000002</v>
      </c>
      <c r="L75" s="399"/>
      <c r="M75" s="190">
        <f>+K75*1.07</f>
        <v>885.54655200000002</v>
      </c>
      <c r="N75" s="399"/>
      <c r="O75" s="190">
        <f>+M75*1.07</f>
        <v>947.53481064000005</v>
      </c>
      <c r="P75" s="399"/>
      <c r="Q75" s="191">
        <f>+O75*1.07</f>
        <v>1013.8622473848001</v>
      </c>
    </row>
    <row r="76" spans="1:17" ht="30.75" outlineLevel="1" thickTop="1">
      <c r="A76" s="357"/>
      <c r="B76" s="60"/>
      <c r="C76" s="369"/>
      <c r="D76" s="376"/>
      <c r="E76" s="233" t="s">
        <v>452</v>
      </c>
      <c r="F76" s="399"/>
      <c r="G76" s="75">
        <f>SUM(G65:G75)</f>
        <v>3494</v>
      </c>
      <c r="H76" s="399"/>
      <c r="I76" s="192">
        <f>SUM(I65:I75)</f>
        <v>3816.52</v>
      </c>
      <c r="J76" s="399"/>
      <c r="K76" s="192">
        <f>SUM(K65:K75)</f>
        <v>4106.5554000000002</v>
      </c>
      <c r="L76" s="399"/>
      <c r="M76" s="192">
        <f>SUM(M65:M75)</f>
        <v>4379.4775740000005</v>
      </c>
      <c r="N76" s="399"/>
      <c r="O76" s="192">
        <f>SUM(O65:O75)</f>
        <v>4670.92283202</v>
      </c>
      <c r="P76" s="399"/>
      <c r="Q76" s="193">
        <f>SUM(Q65:Q75)</f>
        <v>4982.1645312150013</v>
      </c>
    </row>
    <row r="77" spans="1:17" ht="14.25" outlineLevel="2">
      <c r="A77" s="357"/>
      <c r="B77" s="60"/>
      <c r="C77" s="369"/>
      <c r="D77" s="376"/>
      <c r="E77" s="72" t="s">
        <v>504</v>
      </c>
      <c r="F77" s="399"/>
      <c r="G77" s="79">
        <f>(5*10000)/1000</f>
        <v>50</v>
      </c>
      <c r="H77" s="399"/>
      <c r="I77" s="196">
        <f>+G77*1.1</f>
        <v>55.000000000000007</v>
      </c>
      <c r="J77" s="399"/>
      <c r="K77" s="196">
        <f>+I77*1.081</f>
        <v>59.455000000000005</v>
      </c>
      <c r="L77" s="399"/>
      <c r="M77" s="196">
        <f>+K77*1.07</f>
        <v>63.616850000000007</v>
      </c>
      <c r="N77" s="399"/>
      <c r="O77" s="196">
        <f>+M77*1.07</f>
        <v>68.070029500000004</v>
      </c>
      <c r="P77" s="399"/>
      <c r="Q77" s="197">
        <f>+O77*1.07</f>
        <v>72.834931565000005</v>
      </c>
    </row>
    <row r="78" spans="1:17" outlineLevel="2" thickBot="1">
      <c r="A78" s="357"/>
      <c r="B78" s="60"/>
      <c r="C78" s="369"/>
      <c r="D78" s="376"/>
      <c r="E78" s="72" t="s">
        <v>505</v>
      </c>
      <c r="F78" s="399"/>
      <c r="G78" s="80">
        <v>25</v>
      </c>
      <c r="H78" s="399"/>
      <c r="I78" s="190">
        <f>+G78*1.1</f>
        <v>27.500000000000004</v>
      </c>
      <c r="J78" s="399"/>
      <c r="K78" s="190">
        <f>+I78*1.081</f>
        <v>29.727500000000003</v>
      </c>
      <c r="L78" s="399"/>
      <c r="M78" s="190">
        <f>+K78*1.07</f>
        <v>31.808425000000003</v>
      </c>
      <c r="N78" s="399"/>
      <c r="O78" s="190">
        <f>+M78*1.07</f>
        <v>34.035014750000002</v>
      </c>
      <c r="P78" s="399"/>
      <c r="Q78" s="191">
        <f>+O78*1.07</f>
        <v>36.417465782500003</v>
      </c>
    </row>
    <row r="79" spans="1:17" ht="30.75" outlineLevel="1" thickTop="1">
      <c r="A79" s="357"/>
      <c r="B79" s="60"/>
      <c r="C79" s="369"/>
      <c r="D79" s="376"/>
      <c r="E79" s="233" t="s">
        <v>453</v>
      </c>
      <c r="F79" s="399"/>
      <c r="G79" s="75">
        <f>SUM(G77:G78)</f>
        <v>75</v>
      </c>
      <c r="H79" s="399"/>
      <c r="I79" s="192">
        <f>SUM(I77:I78)</f>
        <v>82.500000000000014</v>
      </c>
      <c r="J79" s="399"/>
      <c r="K79" s="192">
        <f>SUM(K77:K78)</f>
        <v>89.182500000000005</v>
      </c>
      <c r="L79" s="399"/>
      <c r="M79" s="192">
        <f>SUM(M77:M78)</f>
        <v>95.425275000000013</v>
      </c>
      <c r="N79" s="399"/>
      <c r="O79" s="192">
        <f>SUM(O77:O78)</f>
        <v>102.10504425000001</v>
      </c>
      <c r="P79" s="399"/>
      <c r="Q79" s="193">
        <f>SUM(Q77:Q78)</f>
        <v>109.25239734750001</v>
      </c>
    </row>
    <row r="80" spans="1:17" outlineLevel="2" thickBot="1">
      <c r="A80" s="357"/>
      <c r="B80" s="60"/>
      <c r="C80" s="369"/>
      <c r="D80" s="375" t="s">
        <v>39</v>
      </c>
      <c r="E80" s="72" t="s">
        <v>362</v>
      </c>
      <c r="F80" s="399"/>
      <c r="G80" s="80">
        <v>41</v>
      </c>
      <c r="H80" s="399"/>
      <c r="I80" s="190">
        <f>+G80*1.1</f>
        <v>45.1</v>
      </c>
      <c r="J80" s="399"/>
      <c r="K80" s="190">
        <f>+I80*1.081</f>
        <v>48.753099999999996</v>
      </c>
      <c r="L80" s="399"/>
      <c r="M80" s="190">
        <f>+K80*1.07</f>
        <v>52.165816999999997</v>
      </c>
      <c r="N80" s="399"/>
      <c r="O80" s="190">
        <f>+M80*1.07</f>
        <v>55.817424189999997</v>
      </c>
      <c r="P80" s="399"/>
      <c r="Q80" s="191">
        <f>+O80*1.07</f>
        <v>59.724643883299997</v>
      </c>
    </row>
    <row r="81" spans="1:18" ht="45.75" outlineLevel="1" thickTop="1">
      <c r="A81" s="357"/>
      <c r="B81" s="60"/>
      <c r="C81" s="369"/>
      <c r="D81" s="376"/>
      <c r="E81" s="233" t="s">
        <v>454</v>
      </c>
      <c r="F81" s="399"/>
      <c r="G81" s="75">
        <f>+G80</f>
        <v>41</v>
      </c>
      <c r="H81" s="399"/>
      <c r="I81" s="192">
        <f>+I80</f>
        <v>45.1</v>
      </c>
      <c r="J81" s="399"/>
      <c r="K81" s="192">
        <f>+K80</f>
        <v>48.753099999999996</v>
      </c>
      <c r="L81" s="399"/>
      <c r="M81" s="192">
        <f>+M80</f>
        <v>52.165816999999997</v>
      </c>
      <c r="N81" s="399"/>
      <c r="O81" s="192">
        <f>+O80</f>
        <v>55.817424189999997</v>
      </c>
      <c r="P81" s="399"/>
      <c r="Q81" s="193">
        <f>+Q80</f>
        <v>59.724643883299997</v>
      </c>
    </row>
    <row r="82" spans="1:18" ht="14.25" outlineLevel="2">
      <c r="A82" s="357"/>
      <c r="B82" s="60"/>
      <c r="C82" s="369"/>
      <c r="D82" s="376"/>
      <c r="E82" s="72" t="s">
        <v>506</v>
      </c>
      <c r="F82" s="399"/>
      <c r="G82" s="79">
        <v>95</v>
      </c>
      <c r="H82" s="399"/>
      <c r="I82" s="196">
        <f>+G82*1.1</f>
        <v>104.50000000000001</v>
      </c>
      <c r="J82" s="399"/>
      <c r="K82" s="196">
        <f>+I82*1.081</f>
        <v>112.96450000000002</v>
      </c>
      <c r="L82" s="399"/>
      <c r="M82" s="196">
        <f>+K82*1.07</f>
        <v>120.87201500000002</v>
      </c>
      <c r="N82" s="399"/>
      <c r="O82" s="196">
        <f>+M82*1.07</f>
        <v>129.33305605000004</v>
      </c>
      <c r="P82" s="399"/>
      <c r="Q82" s="197">
        <f>+O82*1.07</f>
        <v>138.38636997350005</v>
      </c>
    </row>
    <row r="83" spans="1:18" outlineLevel="2" thickBot="1">
      <c r="A83" s="357"/>
      <c r="B83" s="60"/>
      <c r="C83" s="369"/>
      <c r="D83" s="376"/>
      <c r="E83" s="72" t="s">
        <v>507</v>
      </c>
      <c r="F83" s="399"/>
      <c r="G83" s="80">
        <v>406</v>
      </c>
      <c r="H83" s="399"/>
      <c r="I83" s="190">
        <f>+G83*1.04</f>
        <v>422.24</v>
      </c>
      <c r="J83" s="399"/>
      <c r="K83" s="190">
        <f>+I83*1.04</f>
        <v>439.12960000000004</v>
      </c>
      <c r="L83" s="399"/>
      <c r="M83" s="190">
        <f>+K83*1.04</f>
        <v>456.69478400000008</v>
      </c>
      <c r="N83" s="399"/>
      <c r="O83" s="190">
        <f>+M83*1.04</f>
        <v>474.96257536000013</v>
      </c>
      <c r="P83" s="399"/>
      <c r="Q83" s="191">
        <f>+O83*1.04</f>
        <v>493.96107837440013</v>
      </c>
    </row>
    <row r="84" spans="1:18" ht="30.75" outlineLevel="1" thickTop="1">
      <c r="A84" s="357"/>
      <c r="B84" s="60"/>
      <c r="C84" s="369"/>
      <c r="D84" s="376"/>
      <c r="E84" s="233" t="s">
        <v>455</v>
      </c>
      <c r="F84" s="399"/>
      <c r="G84" s="75">
        <f>SUM(G82:G83)</f>
        <v>501</v>
      </c>
      <c r="H84" s="399"/>
      <c r="I84" s="192">
        <f>SUM(I82:I83)</f>
        <v>526.74</v>
      </c>
      <c r="J84" s="399"/>
      <c r="K84" s="192">
        <f>SUM(K82:K83)</f>
        <v>552.09410000000003</v>
      </c>
      <c r="L84" s="399"/>
      <c r="M84" s="192">
        <f>SUM(M82:M83)</f>
        <v>577.56679900000006</v>
      </c>
      <c r="N84" s="399"/>
      <c r="O84" s="192">
        <f>SUM(O82:O83)</f>
        <v>604.29563141000017</v>
      </c>
      <c r="P84" s="399"/>
      <c r="Q84" s="193">
        <f>SUM(Q82:Q83)</f>
        <v>632.34744834790013</v>
      </c>
    </row>
    <row r="85" spans="1:18" ht="14.25" outlineLevel="2">
      <c r="A85" s="357"/>
      <c r="B85" s="60"/>
      <c r="C85" s="369"/>
      <c r="D85" s="376"/>
      <c r="E85" s="72" t="s">
        <v>508</v>
      </c>
      <c r="F85" s="399"/>
      <c r="G85" s="79">
        <v>25</v>
      </c>
      <c r="H85" s="399"/>
      <c r="I85" s="196">
        <f>+G85*1.1</f>
        <v>27.500000000000004</v>
      </c>
      <c r="J85" s="399"/>
      <c r="K85" s="196">
        <f>+I85*1.081</f>
        <v>29.727500000000003</v>
      </c>
      <c r="L85" s="399"/>
      <c r="M85" s="196">
        <f>+K85*1.07</f>
        <v>31.808425000000003</v>
      </c>
      <c r="N85" s="399"/>
      <c r="O85" s="196">
        <f>+M85*1.07</f>
        <v>34.035014750000002</v>
      </c>
      <c r="P85" s="399"/>
      <c r="Q85" s="197">
        <f>+O85*1.07</f>
        <v>36.417465782500003</v>
      </c>
    </row>
    <row r="86" spans="1:18" ht="14.25" outlineLevel="2">
      <c r="A86" s="357"/>
      <c r="B86" s="60"/>
      <c r="C86" s="369"/>
      <c r="D86" s="376"/>
      <c r="E86" s="72" t="s">
        <v>509</v>
      </c>
      <c r="F86" s="399"/>
      <c r="G86" s="79">
        <v>72</v>
      </c>
      <c r="H86" s="399"/>
      <c r="I86" s="196">
        <f>+G86*1.1</f>
        <v>79.2</v>
      </c>
      <c r="J86" s="399"/>
      <c r="K86" s="196">
        <f>+I86*1.081</f>
        <v>85.615200000000002</v>
      </c>
      <c r="L86" s="399"/>
      <c r="M86" s="196">
        <f>+K86*1.07</f>
        <v>91.608264000000005</v>
      </c>
      <c r="N86" s="399"/>
      <c r="O86" s="196">
        <f>+M86*1.07</f>
        <v>98.020842480000013</v>
      </c>
      <c r="P86" s="399"/>
      <c r="Q86" s="197">
        <f>+O86*1.07</f>
        <v>104.88230145360002</v>
      </c>
    </row>
    <row r="87" spans="1:18" ht="14.25" outlineLevel="2">
      <c r="A87" s="357"/>
      <c r="B87" s="60"/>
      <c r="C87" s="369"/>
      <c r="D87" s="376"/>
      <c r="E87" s="72" t="s">
        <v>510</v>
      </c>
      <c r="F87" s="399"/>
      <c r="G87" s="79">
        <v>10</v>
      </c>
      <c r="H87" s="399"/>
      <c r="I87" s="196">
        <f>+G87*1.1</f>
        <v>11</v>
      </c>
      <c r="J87" s="399"/>
      <c r="K87" s="196">
        <f>+I87*1.081</f>
        <v>11.891</v>
      </c>
      <c r="L87" s="399"/>
      <c r="M87" s="196">
        <f>+K87*1.07</f>
        <v>12.723370000000001</v>
      </c>
      <c r="N87" s="399"/>
      <c r="O87" s="196">
        <f>+M87*1.07</f>
        <v>13.614005900000002</v>
      </c>
      <c r="P87" s="399"/>
      <c r="Q87" s="197">
        <f>+O87*1.07</f>
        <v>14.566986313000003</v>
      </c>
    </row>
    <row r="88" spans="1:18" outlineLevel="2" thickBot="1">
      <c r="A88" s="357"/>
      <c r="B88" s="60"/>
      <c r="C88" s="369"/>
      <c r="D88" s="376"/>
      <c r="E88" s="72" t="s">
        <v>511</v>
      </c>
      <c r="F88" s="399"/>
      <c r="G88" s="80">
        <v>6</v>
      </c>
      <c r="H88" s="399"/>
      <c r="I88" s="190">
        <f>+G88*1.1</f>
        <v>6.6000000000000005</v>
      </c>
      <c r="J88" s="399"/>
      <c r="K88" s="190">
        <f>+I88*1.081</f>
        <v>7.1346000000000007</v>
      </c>
      <c r="L88" s="399"/>
      <c r="M88" s="190">
        <f>+K88*1.07</f>
        <v>7.6340220000000016</v>
      </c>
      <c r="N88" s="399"/>
      <c r="O88" s="190">
        <f>+M88*1.07</f>
        <v>8.1684035400000017</v>
      </c>
      <c r="P88" s="399"/>
      <c r="Q88" s="191">
        <f>+O88*1.07</f>
        <v>8.7401917878000024</v>
      </c>
    </row>
    <row r="89" spans="1:18" ht="31.5" outlineLevel="1" thickTop="1" thickBot="1">
      <c r="A89" s="357"/>
      <c r="B89" s="60"/>
      <c r="C89" s="369"/>
      <c r="D89" s="376"/>
      <c r="E89" s="233" t="s">
        <v>456</v>
      </c>
      <c r="F89" s="399"/>
      <c r="G89" s="75">
        <f>SUM(G85:G88)</f>
        <v>113</v>
      </c>
      <c r="H89" s="399"/>
      <c r="I89" s="192">
        <f>SUM(I85:I88)</f>
        <v>124.3</v>
      </c>
      <c r="J89" s="399"/>
      <c r="K89" s="192">
        <f>SUM(K85:K88)</f>
        <v>134.3683</v>
      </c>
      <c r="L89" s="399"/>
      <c r="M89" s="192">
        <f>SUM(M85:M88)</f>
        <v>143.77408100000002</v>
      </c>
      <c r="N89" s="399"/>
      <c r="O89" s="192">
        <f>SUM(O85:O88)</f>
        <v>153.83826667000002</v>
      </c>
      <c r="P89" s="399"/>
      <c r="Q89" s="193">
        <f>SUM(Q85:Q88)</f>
        <v>164.60694533690003</v>
      </c>
    </row>
    <row r="90" spans="1:18" ht="30" outlineLevel="1">
      <c r="A90" s="357"/>
      <c r="B90" s="60" t="s">
        <v>42</v>
      </c>
      <c r="C90" s="366" t="s">
        <v>42</v>
      </c>
      <c r="D90" s="378" t="s">
        <v>43</v>
      </c>
      <c r="E90" s="233" t="s">
        <v>457</v>
      </c>
      <c r="F90" s="394">
        <f>SUMIF('PRESUPUESTO Proy 2016-021 $MM'!$A$6:$A$357,Detalle!$B$90,'PRESUPUESTO Proy 2016-021 $MM'!L6:L357)+('EDUCACIÓN CONTINUAD CONSOLIDADO'!D26/1000)</f>
        <v>7202.2080461199985</v>
      </c>
      <c r="G90" s="74">
        <v>150</v>
      </c>
      <c r="H90" s="394">
        <f>SUMIF('PRESUPUESTO Proy 2016-021 $MM'!$A$6:$A$357,Detalle!$B$90,'PRESUPUESTO Proy 2016-021 $MM'!N6:N357)+('EDUCACIÓN CONTINUAD CONSOLIDADO'!I28)</f>
        <v>7836.2814930019995</v>
      </c>
      <c r="I90" s="182">
        <f>+G90*1.07</f>
        <v>160.5</v>
      </c>
      <c r="J90" s="394">
        <f>SUMIF('PRESUPUESTO Proy 2016-021 $MM'!$A$6:$A$357,Detalle!$B$90,'PRESUPUESTO Proy 2016-021 $MM'!P6:P357)+('EDUCACIÓN CONTINUAD CONSOLIDADO'!I29)</f>
        <v>8466.3443876837009</v>
      </c>
      <c r="K90" s="182">
        <f>+I90*1.07</f>
        <v>171.73500000000001</v>
      </c>
      <c r="L90" s="394">
        <f>SUMIF('PRESUPUESTO Proy 2016-021 $MM'!$A$6:$A$357,Detalle!$B$90,'PRESUPUESTO Proy 2016-021 $MM'!R6:R357)+('EDUCACIÓN CONTINUAD CONSOLIDADO'!I30)</f>
        <v>9119.5049026327615</v>
      </c>
      <c r="M90" s="182">
        <f>+K90*1.07</f>
        <v>183.75645000000003</v>
      </c>
      <c r="N90" s="394">
        <f>SUMIF('PRESUPUESTO Proy 2016-021 $MM'!$A$6:$A$357,Detalle!$B$90,'PRESUPUESTO Proy 2016-021 $MM'!T6:T357)+('EDUCACIÓN CONTINUAD CONSOLIDADO'!I31)</f>
        <v>9830.239420893955</v>
      </c>
      <c r="O90" s="182">
        <f>+M90*1.07</f>
        <v>196.61940150000004</v>
      </c>
      <c r="P90" s="394">
        <f>SUMIF('PRESUPUESTO Proy 2016-021 $MM'!$A$6:$A$357,Detalle!$B$90,'PRESUPUESTO Proy 2016-021 $MM'!V6:V357)+('EDUCACIÓN CONTINUAD CONSOLIDADO'!I32)</f>
        <v>10599.787789292986</v>
      </c>
      <c r="Q90" s="183">
        <f>+O90*1.07</f>
        <v>210.38275960500005</v>
      </c>
    </row>
    <row r="91" spans="1:18" ht="45" outlineLevel="1">
      <c r="A91" s="357"/>
      <c r="B91" s="60"/>
      <c r="C91" s="366"/>
      <c r="D91" s="378"/>
      <c r="E91" s="233" t="s">
        <v>458</v>
      </c>
      <c r="F91" s="395"/>
      <c r="G91" s="74">
        <v>10</v>
      </c>
      <c r="H91" s="395"/>
      <c r="I91" s="182">
        <f>+G91*1.07</f>
        <v>10.700000000000001</v>
      </c>
      <c r="J91" s="395"/>
      <c r="K91" s="182">
        <f>+I91*1.07</f>
        <v>11.449000000000002</v>
      </c>
      <c r="L91" s="395"/>
      <c r="M91" s="182">
        <f>+K91*1.07</f>
        <v>12.250430000000003</v>
      </c>
      <c r="N91" s="395"/>
      <c r="O91" s="182">
        <f>+M91*1.07</f>
        <v>13.107960100000005</v>
      </c>
      <c r="P91" s="395"/>
      <c r="Q91" s="183">
        <f>+O91*1.07</f>
        <v>14.025517307000007</v>
      </c>
    </row>
    <row r="92" spans="1:18" ht="14.25" outlineLevel="2">
      <c r="A92" s="357"/>
      <c r="B92" s="60"/>
      <c r="C92" s="366"/>
      <c r="D92" s="378"/>
      <c r="E92" s="72" t="s">
        <v>488</v>
      </c>
      <c r="F92" s="395"/>
      <c r="G92" s="83">
        <v>1051</v>
      </c>
      <c r="H92" s="395"/>
      <c r="I92" s="185">
        <f>+G92*1.1</f>
        <v>1156.1000000000001</v>
      </c>
      <c r="J92" s="395"/>
      <c r="K92" s="185">
        <f>+I92*1.081</f>
        <v>1249.7441000000001</v>
      </c>
      <c r="L92" s="395"/>
      <c r="M92" s="185">
        <f>+K92*1.07</f>
        <v>1337.2261870000002</v>
      </c>
      <c r="N92" s="395"/>
      <c r="O92" s="185">
        <f>+M92*1.07</f>
        <v>1430.8320200900002</v>
      </c>
      <c r="P92" s="395"/>
      <c r="Q92" s="194">
        <f>+O92*1.07</f>
        <v>1530.9902614963003</v>
      </c>
    </row>
    <row r="93" spans="1:18" outlineLevel="2" thickBot="1">
      <c r="A93" s="357"/>
      <c r="B93" s="60"/>
      <c r="C93" s="366"/>
      <c r="D93" s="378"/>
      <c r="E93" s="72" t="s">
        <v>512</v>
      </c>
      <c r="F93" s="395"/>
      <c r="G93" s="84">
        <v>30</v>
      </c>
      <c r="H93" s="395"/>
      <c r="I93" s="184">
        <f>+G93*1.1</f>
        <v>33</v>
      </c>
      <c r="J93" s="395"/>
      <c r="K93" s="184">
        <f>+I93*1.081</f>
        <v>35.673000000000002</v>
      </c>
      <c r="L93" s="395"/>
      <c r="M93" s="184">
        <f>+K93*1.07</f>
        <v>38.170110000000001</v>
      </c>
      <c r="N93" s="395"/>
      <c r="O93" s="184">
        <f>+M93*1.07</f>
        <v>40.842017700000007</v>
      </c>
      <c r="P93" s="395"/>
      <c r="Q93" s="195">
        <f>+O93*1.07</f>
        <v>43.70095893900001</v>
      </c>
    </row>
    <row r="94" spans="1:18" ht="30.75" outlineLevel="1" thickTop="1">
      <c r="A94" s="357"/>
      <c r="B94" s="60"/>
      <c r="C94" s="366"/>
      <c r="D94" s="378"/>
      <c r="E94" s="233" t="s">
        <v>459</v>
      </c>
      <c r="F94" s="396"/>
      <c r="G94" s="193">
        <f>SUM(G92:G93)</f>
        <v>1081</v>
      </c>
      <c r="H94" s="396"/>
      <c r="I94" s="193">
        <f>SUM(I92:I93)</f>
        <v>1189.1000000000001</v>
      </c>
      <c r="J94" s="396"/>
      <c r="K94" s="193">
        <f>SUM(K92:K93)</f>
        <v>1285.4171000000001</v>
      </c>
      <c r="L94" s="396"/>
      <c r="M94" s="193">
        <f>SUM(M92:M93)</f>
        <v>1375.3962970000002</v>
      </c>
      <c r="N94" s="396"/>
      <c r="O94" s="193">
        <f>SUM(O92:O93)</f>
        <v>1471.6740377900003</v>
      </c>
      <c r="P94" s="396"/>
      <c r="Q94" s="193">
        <f>SUM(Q92:Q93)</f>
        <v>1574.6912204353002</v>
      </c>
      <c r="R94" s="281"/>
    </row>
    <row r="95" spans="1:18" ht="30" outlineLevel="1">
      <c r="A95" s="357"/>
      <c r="B95" s="60"/>
      <c r="C95" s="366"/>
      <c r="D95" s="378" t="s">
        <v>47</v>
      </c>
      <c r="E95" s="233" t="s">
        <v>460</v>
      </c>
      <c r="F95" s="395"/>
      <c r="G95" s="74">
        <v>30</v>
      </c>
      <c r="H95" s="395"/>
      <c r="I95" s="182">
        <f t="shared" ref="I95:I101" si="5">+G95*1.07</f>
        <v>32.1</v>
      </c>
      <c r="J95" s="395"/>
      <c r="K95" s="182">
        <f t="shared" ref="K95:K101" si="6">+I95*1.07</f>
        <v>34.347000000000001</v>
      </c>
      <c r="L95" s="395"/>
      <c r="M95" s="182">
        <f t="shared" ref="M95:M103" si="7">+K95*1.07</f>
        <v>36.751290000000004</v>
      </c>
      <c r="N95" s="395"/>
      <c r="O95" s="182">
        <f t="shared" ref="O95:O103" si="8">+M95*1.07</f>
        <v>39.323880300000006</v>
      </c>
      <c r="P95" s="395"/>
      <c r="Q95" s="183">
        <f t="shared" ref="Q95:Q103" si="9">+O95*1.07</f>
        <v>42.076551921000011</v>
      </c>
    </row>
    <row r="96" spans="1:18" ht="30" outlineLevel="1">
      <c r="A96" s="357"/>
      <c r="B96" s="60"/>
      <c r="C96" s="366"/>
      <c r="D96" s="378"/>
      <c r="E96" s="233" t="s">
        <v>461</v>
      </c>
      <c r="F96" s="395"/>
      <c r="G96" s="74">
        <v>40</v>
      </c>
      <c r="H96" s="395"/>
      <c r="I96" s="182">
        <f t="shared" si="5"/>
        <v>42.800000000000004</v>
      </c>
      <c r="J96" s="395"/>
      <c r="K96" s="182">
        <f t="shared" si="6"/>
        <v>45.796000000000006</v>
      </c>
      <c r="L96" s="395"/>
      <c r="M96" s="182">
        <f t="shared" si="7"/>
        <v>49.001720000000013</v>
      </c>
      <c r="N96" s="395"/>
      <c r="O96" s="182">
        <f t="shared" si="8"/>
        <v>52.43184040000002</v>
      </c>
      <c r="P96" s="395"/>
      <c r="Q96" s="183">
        <f t="shared" si="9"/>
        <v>56.102069228000026</v>
      </c>
    </row>
    <row r="97" spans="1:17" ht="30" outlineLevel="1">
      <c r="A97" s="357"/>
      <c r="B97" s="60"/>
      <c r="C97" s="366"/>
      <c r="D97" s="378"/>
      <c r="E97" s="233" t="s">
        <v>462</v>
      </c>
      <c r="F97" s="395"/>
      <c r="G97" s="74">
        <v>20</v>
      </c>
      <c r="H97" s="395"/>
      <c r="I97" s="182">
        <f t="shared" si="5"/>
        <v>21.400000000000002</v>
      </c>
      <c r="J97" s="395"/>
      <c r="K97" s="182">
        <f t="shared" si="6"/>
        <v>22.898000000000003</v>
      </c>
      <c r="L97" s="395"/>
      <c r="M97" s="182">
        <f t="shared" si="7"/>
        <v>24.500860000000007</v>
      </c>
      <c r="N97" s="395"/>
      <c r="O97" s="182">
        <f t="shared" si="8"/>
        <v>26.21592020000001</v>
      </c>
      <c r="P97" s="395"/>
      <c r="Q97" s="183">
        <f t="shared" si="9"/>
        <v>28.051034614000013</v>
      </c>
    </row>
    <row r="98" spans="1:17" ht="30" outlineLevel="1">
      <c r="A98" s="357"/>
      <c r="B98" s="60"/>
      <c r="C98" s="366"/>
      <c r="D98" s="378"/>
      <c r="E98" s="233" t="s">
        <v>463</v>
      </c>
      <c r="F98" s="395"/>
      <c r="G98" s="74">
        <v>20</v>
      </c>
      <c r="H98" s="395"/>
      <c r="I98" s="182">
        <f t="shared" si="5"/>
        <v>21.400000000000002</v>
      </c>
      <c r="J98" s="395"/>
      <c r="K98" s="182">
        <f t="shared" si="6"/>
        <v>22.898000000000003</v>
      </c>
      <c r="L98" s="395"/>
      <c r="M98" s="182">
        <f t="shared" si="7"/>
        <v>24.500860000000007</v>
      </c>
      <c r="N98" s="395"/>
      <c r="O98" s="182">
        <f t="shared" si="8"/>
        <v>26.21592020000001</v>
      </c>
      <c r="P98" s="395"/>
      <c r="Q98" s="183">
        <f t="shared" si="9"/>
        <v>28.051034614000013</v>
      </c>
    </row>
    <row r="99" spans="1:17" ht="29.25" outlineLevel="1" thickBot="1">
      <c r="A99" s="358"/>
      <c r="B99" s="247"/>
      <c r="C99" s="367"/>
      <c r="D99" s="248" t="s">
        <v>52</v>
      </c>
      <c r="E99" s="249" t="s">
        <v>464</v>
      </c>
      <c r="F99" s="397"/>
      <c r="G99" s="250">
        <v>5</v>
      </c>
      <c r="H99" s="397"/>
      <c r="I99" s="251">
        <f t="shared" si="5"/>
        <v>5.3500000000000005</v>
      </c>
      <c r="J99" s="397"/>
      <c r="K99" s="251">
        <f t="shared" si="6"/>
        <v>5.7245000000000008</v>
      </c>
      <c r="L99" s="397"/>
      <c r="M99" s="251">
        <f t="shared" si="7"/>
        <v>6.1252150000000016</v>
      </c>
      <c r="N99" s="397"/>
      <c r="O99" s="251">
        <f t="shared" si="8"/>
        <v>6.5539800500000025</v>
      </c>
      <c r="P99" s="397"/>
      <c r="Q99" s="252">
        <f t="shared" si="9"/>
        <v>7.0127586535000033</v>
      </c>
    </row>
    <row r="100" spans="1:17" ht="16.5" outlineLevel="1" thickTop="1" thickBot="1">
      <c r="A100" s="340"/>
      <c r="B100" s="342"/>
      <c r="C100" s="341"/>
      <c r="D100" s="339" t="s">
        <v>689</v>
      </c>
      <c r="E100" s="343"/>
      <c r="F100" s="338"/>
      <c r="G100" s="344">
        <v>3700</v>
      </c>
      <c r="H100" s="338"/>
      <c r="I100" s="345">
        <f>+G100*(1+'PRESUPUESTO Proy 2016-021 $MM'!O275)</f>
        <v>3996.0000000000005</v>
      </c>
      <c r="J100" s="338"/>
      <c r="K100" s="345">
        <f>+I100*(1+'PRESUPUESTO Proy 2016-021 $MM'!Q275)</f>
        <v>4315.6800000000012</v>
      </c>
      <c r="L100" s="338"/>
      <c r="M100" s="345">
        <f>+K100*(1+'PRESUPUESTO Proy 2016-021 $MM'!S275)</f>
        <v>4617.7776000000013</v>
      </c>
      <c r="N100" s="338"/>
      <c r="O100" s="345">
        <f>+M100*(1+'PRESUPUESTO Proy 2016-021 $MM'!U275)</f>
        <v>4941.0220320000017</v>
      </c>
      <c r="P100" s="338"/>
      <c r="Q100" s="346">
        <f>+O100*(1+'PRESUPUESTO Proy 2016-021 $MM'!W275)</f>
        <v>5286.8935742400017</v>
      </c>
    </row>
    <row r="101" spans="1:17" ht="15" customHeight="1" outlineLevel="1" thickTop="1">
      <c r="A101" s="359" t="s">
        <v>648</v>
      </c>
      <c r="B101" s="228"/>
      <c r="C101" s="389" t="s">
        <v>647</v>
      </c>
      <c r="D101" s="380" t="s">
        <v>54</v>
      </c>
      <c r="E101" s="241" t="s">
        <v>465</v>
      </c>
      <c r="F101" s="364"/>
      <c r="G101" s="76">
        <v>5</v>
      </c>
      <c r="H101" s="364"/>
      <c r="I101" s="180">
        <f t="shared" si="5"/>
        <v>5.3500000000000005</v>
      </c>
      <c r="J101" s="364"/>
      <c r="K101" s="180">
        <f t="shared" si="6"/>
        <v>5.7245000000000008</v>
      </c>
      <c r="L101" s="364"/>
      <c r="M101" s="180">
        <f t="shared" si="7"/>
        <v>6.1252150000000016</v>
      </c>
      <c r="N101" s="364"/>
      <c r="O101" s="180">
        <f t="shared" si="8"/>
        <v>6.5539800500000025</v>
      </c>
      <c r="P101" s="364"/>
      <c r="Q101" s="181">
        <f t="shared" si="9"/>
        <v>7.0127586535000033</v>
      </c>
    </row>
    <row r="102" spans="1:17" ht="15" customHeight="1" outlineLevel="2">
      <c r="A102" s="359"/>
      <c r="B102" s="59"/>
      <c r="C102" s="382"/>
      <c r="D102" s="378"/>
      <c r="E102" s="72" t="s">
        <v>513</v>
      </c>
      <c r="F102" s="364"/>
      <c r="G102" s="83">
        <v>2</v>
      </c>
      <c r="H102" s="364"/>
      <c r="I102" s="185">
        <f>+G102*1.1</f>
        <v>2.2000000000000002</v>
      </c>
      <c r="J102" s="364"/>
      <c r="K102" s="185">
        <f>+I102*1.081</f>
        <v>2.3782000000000001</v>
      </c>
      <c r="L102" s="364"/>
      <c r="M102" s="185">
        <f t="shared" si="7"/>
        <v>2.5446740000000001</v>
      </c>
      <c r="N102" s="364"/>
      <c r="O102" s="185">
        <f t="shared" si="8"/>
        <v>2.7228011800000003</v>
      </c>
      <c r="P102" s="364"/>
      <c r="Q102" s="194">
        <f t="shared" si="9"/>
        <v>2.9133972626000006</v>
      </c>
    </row>
    <row r="103" spans="1:17" ht="15" customHeight="1" outlineLevel="2" thickBot="1">
      <c r="A103" s="359"/>
      <c r="B103" s="59"/>
      <c r="C103" s="382"/>
      <c r="D103" s="378"/>
      <c r="E103" s="72" t="s">
        <v>514</v>
      </c>
      <c r="F103" s="364"/>
      <c r="G103" s="84">
        <v>4</v>
      </c>
      <c r="H103" s="364"/>
      <c r="I103" s="184">
        <f>+G103*1.1</f>
        <v>4.4000000000000004</v>
      </c>
      <c r="J103" s="364"/>
      <c r="K103" s="184">
        <f>+I103*1.081</f>
        <v>4.7564000000000002</v>
      </c>
      <c r="L103" s="364"/>
      <c r="M103" s="184">
        <f t="shared" si="7"/>
        <v>5.0893480000000002</v>
      </c>
      <c r="N103" s="364"/>
      <c r="O103" s="184">
        <f t="shared" si="8"/>
        <v>5.4456023600000005</v>
      </c>
      <c r="P103" s="364"/>
      <c r="Q103" s="195">
        <f t="shared" si="9"/>
        <v>5.8267945252000013</v>
      </c>
    </row>
    <row r="104" spans="1:17" ht="15" customHeight="1" outlineLevel="1" thickTop="1">
      <c r="A104" s="359"/>
      <c r="B104" s="59"/>
      <c r="C104" s="382"/>
      <c r="D104" s="378"/>
      <c r="E104" s="233" t="s">
        <v>466</v>
      </c>
      <c r="F104" s="364"/>
      <c r="G104" s="75">
        <f>SUM(G102:G103)</f>
        <v>6</v>
      </c>
      <c r="H104" s="364"/>
      <c r="I104" s="192">
        <f>SUM(I102:I103)</f>
        <v>6.6000000000000005</v>
      </c>
      <c r="J104" s="364"/>
      <c r="K104" s="192">
        <f>SUM(K102:K103)</f>
        <v>7.1346000000000007</v>
      </c>
      <c r="L104" s="364"/>
      <c r="M104" s="192">
        <f>SUM(M102:M103)</f>
        <v>7.6340219999999999</v>
      </c>
      <c r="N104" s="364"/>
      <c r="O104" s="192">
        <f>SUM(O102:O103)</f>
        <v>8.1684035399999999</v>
      </c>
      <c r="P104" s="364"/>
      <c r="Q104" s="193">
        <f>SUM(Q102:Q103)</f>
        <v>8.7401917878000024</v>
      </c>
    </row>
    <row r="105" spans="1:17" ht="14.25" outlineLevel="2">
      <c r="A105" s="359"/>
      <c r="B105" s="59"/>
      <c r="C105" s="382"/>
      <c r="D105" s="378"/>
      <c r="E105" s="72" t="s">
        <v>515</v>
      </c>
      <c r="F105" s="364"/>
      <c r="G105" s="81">
        <v>32</v>
      </c>
      <c r="H105" s="364"/>
      <c r="I105" s="198">
        <f>+G105*1.1</f>
        <v>35.200000000000003</v>
      </c>
      <c r="J105" s="364"/>
      <c r="K105" s="198">
        <f>+I105*1.081</f>
        <v>38.051200000000001</v>
      </c>
      <c r="L105" s="364"/>
      <c r="M105" s="198">
        <f>+K105*1.07</f>
        <v>40.714784000000002</v>
      </c>
      <c r="N105" s="364"/>
      <c r="O105" s="198">
        <f>+M105*1.07</f>
        <v>43.564818880000004</v>
      </c>
      <c r="P105" s="364"/>
      <c r="Q105" s="199">
        <f>+O105*1.07</f>
        <v>46.61435620160001</v>
      </c>
    </row>
    <row r="106" spans="1:17" outlineLevel="2" thickBot="1">
      <c r="A106" s="359"/>
      <c r="B106" s="59"/>
      <c r="C106" s="382"/>
      <c r="D106" s="378"/>
      <c r="E106" s="72" t="s">
        <v>516</v>
      </c>
      <c r="F106" s="364"/>
      <c r="G106" s="82">
        <v>20</v>
      </c>
      <c r="H106" s="364"/>
      <c r="I106" s="200">
        <f>+G106*1.1</f>
        <v>22</v>
      </c>
      <c r="J106" s="364"/>
      <c r="K106" s="200">
        <f>+I106*1.081</f>
        <v>23.782</v>
      </c>
      <c r="L106" s="364"/>
      <c r="M106" s="200">
        <f>+K106*1.07</f>
        <v>25.446740000000002</v>
      </c>
      <c r="N106" s="364"/>
      <c r="O106" s="200">
        <f>+M106*1.07</f>
        <v>27.228011800000004</v>
      </c>
      <c r="P106" s="364"/>
      <c r="Q106" s="201">
        <f>+O106*1.07</f>
        <v>29.133972626000006</v>
      </c>
    </row>
    <row r="107" spans="1:17" ht="30.75" outlineLevel="1" thickTop="1">
      <c r="A107" s="359"/>
      <c r="B107" s="59"/>
      <c r="C107" s="382"/>
      <c r="D107" s="378"/>
      <c r="E107" s="233" t="s">
        <v>467</v>
      </c>
      <c r="F107" s="364"/>
      <c r="G107" s="75">
        <f>SUM(G105:G106)</f>
        <v>52</v>
      </c>
      <c r="H107" s="364"/>
      <c r="I107" s="192">
        <f>SUM(I105:I106)</f>
        <v>57.2</v>
      </c>
      <c r="J107" s="364"/>
      <c r="K107" s="192">
        <f>SUM(K105:K106)</f>
        <v>61.833200000000005</v>
      </c>
      <c r="L107" s="364"/>
      <c r="M107" s="192">
        <f>SUM(M105:M106)</f>
        <v>66.161524</v>
      </c>
      <c r="N107" s="364"/>
      <c r="O107" s="192">
        <f>SUM(O105:O106)</f>
        <v>70.792830680000009</v>
      </c>
      <c r="P107" s="364"/>
      <c r="Q107" s="193">
        <f>SUM(Q105:Q106)</f>
        <v>75.74832882760002</v>
      </c>
    </row>
    <row r="108" spans="1:17" ht="28.5" outlineLevel="2">
      <c r="A108" s="359"/>
      <c r="B108" s="59"/>
      <c r="C108" s="382"/>
      <c r="D108" s="391" t="s">
        <v>58</v>
      </c>
      <c r="E108" s="72" t="s">
        <v>517</v>
      </c>
      <c r="F108" s="364"/>
      <c r="G108" s="79">
        <v>10</v>
      </c>
      <c r="H108" s="364"/>
      <c r="I108" s="198">
        <f>+G108*1.1</f>
        <v>11</v>
      </c>
      <c r="J108" s="364"/>
      <c r="K108" s="198">
        <f>+I108*1.081</f>
        <v>11.891</v>
      </c>
      <c r="L108" s="364"/>
      <c r="M108" s="198">
        <f>+K108*1.07</f>
        <v>12.723370000000001</v>
      </c>
      <c r="N108" s="364"/>
      <c r="O108" s="198">
        <f>+M108*1.07</f>
        <v>13.614005900000002</v>
      </c>
      <c r="P108" s="364"/>
      <c r="Q108" s="199">
        <f>+O108*1.07</f>
        <v>14.566986313000003</v>
      </c>
    </row>
    <row r="109" spans="1:17" ht="57" outlineLevel="2">
      <c r="A109" s="359"/>
      <c r="B109" s="59"/>
      <c r="C109" s="382"/>
      <c r="D109" s="392"/>
      <c r="E109" s="72" t="s">
        <v>518</v>
      </c>
      <c r="F109" s="364"/>
      <c r="G109" s="79">
        <v>17</v>
      </c>
      <c r="H109" s="364"/>
      <c r="I109" s="198">
        <f>+G109*1.1</f>
        <v>18.700000000000003</v>
      </c>
      <c r="J109" s="364"/>
      <c r="K109" s="198">
        <f>+I109*1.081</f>
        <v>20.214700000000004</v>
      </c>
      <c r="L109" s="364"/>
      <c r="M109" s="198">
        <f>+K109*1.07</f>
        <v>21.629729000000005</v>
      </c>
      <c r="N109" s="364"/>
      <c r="O109" s="198">
        <f>+M109*1.07</f>
        <v>23.143810030000008</v>
      </c>
      <c r="P109" s="364"/>
      <c r="Q109" s="199">
        <f>+O109*1.07</f>
        <v>24.763876732100009</v>
      </c>
    </row>
    <row r="110" spans="1:17" ht="14.25" outlineLevel="2">
      <c r="A110" s="359"/>
      <c r="B110" s="59"/>
      <c r="C110" s="382"/>
      <c r="D110" s="392"/>
      <c r="E110" s="72" t="s">
        <v>519</v>
      </c>
      <c r="F110" s="364"/>
      <c r="G110" s="80">
        <v>3</v>
      </c>
      <c r="H110" s="364"/>
      <c r="I110" s="200">
        <f>+G110*1.1</f>
        <v>3.3000000000000003</v>
      </c>
      <c r="J110" s="364"/>
      <c r="K110" s="200">
        <f>+I110*1.081</f>
        <v>3.5673000000000004</v>
      </c>
      <c r="L110" s="364"/>
      <c r="M110" s="200">
        <f>+K110*1.07</f>
        <v>3.8170110000000008</v>
      </c>
      <c r="N110" s="364"/>
      <c r="O110" s="200">
        <f>+M110*1.07</f>
        <v>4.0842017700000008</v>
      </c>
      <c r="P110" s="364"/>
      <c r="Q110" s="201">
        <f>+O110*1.07</f>
        <v>4.3700958939000012</v>
      </c>
    </row>
    <row r="111" spans="1:17" outlineLevel="2" thickBot="1">
      <c r="A111" s="359"/>
      <c r="B111" s="59"/>
      <c r="C111" s="382"/>
      <c r="D111" s="392"/>
      <c r="E111" s="72" t="s">
        <v>553</v>
      </c>
      <c r="F111" s="364"/>
      <c r="G111" s="86">
        <v>2</v>
      </c>
      <c r="H111" s="364"/>
      <c r="I111" s="188">
        <f>+G111*1.1</f>
        <v>2.2000000000000002</v>
      </c>
      <c r="J111" s="364"/>
      <c r="K111" s="188">
        <f>+I111*1.081</f>
        <v>2.3782000000000001</v>
      </c>
      <c r="L111" s="364"/>
      <c r="M111" s="188">
        <f>+K111*1.07</f>
        <v>2.5446740000000001</v>
      </c>
      <c r="N111" s="364"/>
      <c r="O111" s="188">
        <f>+M111*1.07</f>
        <v>2.7228011800000003</v>
      </c>
      <c r="P111" s="364"/>
      <c r="Q111" s="189">
        <f>+O111*1.07</f>
        <v>2.9133972626000006</v>
      </c>
    </row>
    <row r="112" spans="1:17" ht="15.75" outlineLevel="1" thickTop="1">
      <c r="A112" s="359"/>
      <c r="B112" s="59"/>
      <c r="C112" s="382"/>
      <c r="D112" s="392"/>
      <c r="E112" s="234" t="s">
        <v>468</v>
      </c>
      <c r="F112" s="364"/>
      <c r="G112" s="75">
        <f>SUM(G108:G111)</f>
        <v>32</v>
      </c>
      <c r="H112" s="364"/>
      <c r="I112" s="192">
        <f>SUM(I108:I111)</f>
        <v>35.200000000000003</v>
      </c>
      <c r="J112" s="364"/>
      <c r="K112" s="192">
        <f>SUM(K108:K111)</f>
        <v>38.051200000000009</v>
      </c>
      <c r="L112" s="364"/>
      <c r="M112" s="192">
        <f>SUM(M108:M111)</f>
        <v>40.714784000000009</v>
      </c>
      <c r="N112" s="364"/>
      <c r="O112" s="192">
        <f>SUM(O108:O111)</f>
        <v>43.564818880000004</v>
      </c>
      <c r="P112" s="364"/>
      <c r="Q112" s="193">
        <f>SUM(Q108:Q111)</f>
        <v>46.61435620160001</v>
      </c>
    </row>
    <row r="113" spans="1:17" ht="14.25" outlineLevel="2">
      <c r="A113" s="359"/>
      <c r="B113" s="59"/>
      <c r="C113" s="382"/>
      <c r="D113" s="391" t="s">
        <v>60</v>
      </c>
      <c r="E113" s="85" t="s">
        <v>520</v>
      </c>
      <c r="F113" s="364"/>
      <c r="G113" s="79">
        <v>3</v>
      </c>
      <c r="H113" s="364"/>
      <c r="I113" s="196">
        <f>+G113*1.1</f>
        <v>3.3000000000000003</v>
      </c>
      <c r="J113" s="364"/>
      <c r="K113" s="196">
        <f>+I113*1.081</f>
        <v>3.5673000000000004</v>
      </c>
      <c r="L113" s="364"/>
      <c r="M113" s="196">
        <f>+K113*1.07</f>
        <v>3.8170110000000008</v>
      </c>
      <c r="N113" s="364"/>
      <c r="O113" s="196">
        <f>+M113*1.07</f>
        <v>4.0842017700000008</v>
      </c>
      <c r="P113" s="364"/>
      <c r="Q113" s="197">
        <f>+O113*1.07</f>
        <v>4.3700958939000012</v>
      </c>
    </row>
    <row r="114" spans="1:17" outlineLevel="2" thickBot="1">
      <c r="A114" s="359"/>
      <c r="B114" s="59"/>
      <c r="C114" s="382"/>
      <c r="D114" s="392"/>
      <c r="E114" s="85" t="s">
        <v>521</v>
      </c>
      <c r="F114" s="364"/>
      <c r="G114" s="80">
        <v>10</v>
      </c>
      <c r="H114" s="364"/>
      <c r="I114" s="190">
        <f>+G114*1.1</f>
        <v>11</v>
      </c>
      <c r="J114" s="364"/>
      <c r="K114" s="190">
        <f>+I114*1.081</f>
        <v>11.891</v>
      </c>
      <c r="L114" s="364"/>
      <c r="M114" s="190">
        <f>+K114*1.07</f>
        <v>12.723370000000001</v>
      </c>
      <c r="N114" s="364"/>
      <c r="O114" s="190">
        <f>+M114*1.07</f>
        <v>13.614005900000002</v>
      </c>
      <c r="P114" s="364"/>
      <c r="Q114" s="191">
        <f>+O114*1.07</f>
        <v>14.566986313000003</v>
      </c>
    </row>
    <row r="115" spans="1:17" ht="31.5" outlineLevel="1" thickTop="1" thickBot="1">
      <c r="A115" s="359"/>
      <c r="B115" s="59"/>
      <c r="C115" s="390"/>
      <c r="D115" s="392"/>
      <c r="E115" s="233" t="s">
        <v>469</v>
      </c>
      <c r="F115" s="364"/>
      <c r="G115" s="75">
        <f>SUM(G113:G114)</f>
        <v>13</v>
      </c>
      <c r="H115" s="364"/>
      <c r="I115" s="192">
        <f>SUM(I113:I114)</f>
        <v>14.3</v>
      </c>
      <c r="J115" s="364"/>
      <c r="K115" s="192">
        <f>SUM(K113:K114)</f>
        <v>15.458300000000001</v>
      </c>
      <c r="L115" s="364"/>
      <c r="M115" s="192">
        <f>SUM(M113:M114)</f>
        <v>16.540381000000004</v>
      </c>
      <c r="N115" s="364"/>
      <c r="O115" s="192">
        <f>SUM(O113:O114)</f>
        <v>17.698207670000002</v>
      </c>
      <c r="P115" s="364"/>
      <c r="Q115" s="193">
        <f>SUM(Q113:Q114)</f>
        <v>18.937082206900005</v>
      </c>
    </row>
    <row r="116" spans="1:17" ht="15.75" customHeight="1" outlineLevel="2" thickBot="1">
      <c r="A116" s="359"/>
      <c r="B116" s="59" t="s">
        <v>62</v>
      </c>
      <c r="C116" s="381" t="s">
        <v>62</v>
      </c>
      <c r="D116" s="375" t="s">
        <v>63</v>
      </c>
      <c r="E116" s="72" t="s">
        <v>522</v>
      </c>
      <c r="F116" s="363">
        <f>SUMIF('PRESUPUESTO Proy 2016-021 $MM'!$A$6:$A$357,$B$116,'PRESUPUESTO Proy 2016-021 $MM'!L6:L357)</f>
        <v>0</v>
      </c>
      <c r="G116" s="80">
        <v>247</v>
      </c>
      <c r="H116" s="363">
        <f>SUMIF('PRESUPUESTO Proy 2016-021 $MM'!$A$6:$A$357,B116,'PRESUPUESTO Proy 2016-021 $MM'!N6:N357)</f>
        <v>0</v>
      </c>
      <c r="I116" s="190">
        <f>+G116*1.08</f>
        <v>266.76</v>
      </c>
      <c r="J116" s="363">
        <f>SUMIF('PRESUPUESTO Proy 2016-021 $MM'!$A$6:$A$357,B116,'PRESUPUESTO Proy 2016-021 $MM'!P6:P357)</f>
        <v>0</v>
      </c>
      <c r="K116" s="190">
        <f>+I116*1.08</f>
        <v>288.10079999999999</v>
      </c>
      <c r="L116" s="363">
        <f>SUMIF('PRESUPUESTO Proy 2016-021 $MM'!$A$6:$A$357,B116,'PRESUPUESTO Proy 2016-021 $MM'!R6:R357)</f>
        <v>0</v>
      </c>
      <c r="M116" s="190">
        <f>+K116*1.07</f>
        <v>308.26785599999999</v>
      </c>
      <c r="N116" s="363">
        <f>SUMIF('PRESUPUESTO Proy 2016-021 $MM'!$A$6:$A$357,B116,'PRESUPUESTO Proy 2016-021 $MM'!T6:T357)</f>
        <v>0</v>
      </c>
      <c r="O116" s="190">
        <f>+M116*1.07</f>
        <v>329.84660592</v>
      </c>
      <c r="P116" s="363">
        <f>SUMIF('PRESUPUESTO Proy 2016-021 $MM'!$A$6:$A$357,B116,'PRESUPUESTO Proy 2016-021 $MM'!V6:V357)</f>
        <v>0</v>
      </c>
      <c r="Q116" s="191">
        <f>+O116*1.07</f>
        <v>352.93586833440003</v>
      </c>
    </row>
    <row r="117" spans="1:17" ht="39" customHeight="1" outlineLevel="1" thickTop="1">
      <c r="A117" s="359"/>
      <c r="B117" s="59"/>
      <c r="C117" s="382"/>
      <c r="D117" s="376"/>
      <c r="E117" s="233" t="s">
        <v>470</v>
      </c>
      <c r="F117" s="364"/>
      <c r="G117" s="75">
        <f>SUM(G116)</f>
        <v>247</v>
      </c>
      <c r="H117" s="364"/>
      <c r="I117" s="192">
        <f>SUM(I116)</f>
        <v>266.76</v>
      </c>
      <c r="J117" s="364"/>
      <c r="K117" s="192">
        <f>SUM(K116)</f>
        <v>288.10079999999999</v>
      </c>
      <c r="L117" s="364"/>
      <c r="M117" s="192">
        <f>SUM(M116)</f>
        <v>308.26785599999999</v>
      </c>
      <c r="N117" s="364"/>
      <c r="O117" s="192">
        <f>SUM(O116)</f>
        <v>329.84660592</v>
      </c>
      <c r="P117" s="364"/>
      <c r="Q117" s="193">
        <f>SUM(Q116)</f>
        <v>352.93586833440003</v>
      </c>
    </row>
    <row r="118" spans="1:17" ht="14.25" outlineLevel="2">
      <c r="A118" s="359"/>
      <c r="B118" s="59"/>
      <c r="C118" s="382"/>
      <c r="D118" s="376"/>
      <c r="E118" s="72" t="s">
        <v>523</v>
      </c>
      <c r="F118" s="364"/>
      <c r="G118" s="79">
        <v>846</v>
      </c>
      <c r="H118" s="364"/>
      <c r="I118" s="196">
        <f>+G118*1.1</f>
        <v>930.6</v>
      </c>
      <c r="J118" s="364"/>
      <c r="K118" s="196">
        <f>+I118*1.081</f>
        <v>1005.9786</v>
      </c>
      <c r="L118" s="364"/>
      <c r="M118" s="196">
        <f>+K118*1.07</f>
        <v>1076.3971020000001</v>
      </c>
      <c r="N118" s="364"/>
      <c r="O118" s="196">
        <f>+M118*1.07</f>
        <v>1151.7448991400001</v>
      </c>
      <c r="P118" s="364"/>
      <c r="Q118" s="197">
        <f>+O118*1.07</f>
        <v>1232.3670420798003</v>
      </c>
    </row>
    <row r="119" spans="1:17" ht="14.25" outlineLevel="2">
      <c r="A119" s="359"/>
      <c r="B119" s="59"/>
      <c r="C119" s="382"/>
      <c r="D119" s="376"/>
      <c r="E119" s="72" t="s">
        <v>524</v>
      </c>
      <c r="F119" s="364"/>
      <c r="G119" s="79">
        <v>140</v>
      </c>
      <c r="H119" s="364"/>
      <c r="I119" s="196">
        <f>+G119*1.1</f>
        <v>154</v>
      </c>
      <c r="J119" s="364"/>
      <c r="K119" s="196">
        <f>+I119*1.081</f>
        <v>166.47399999999999</v>
      </c>
      <c r="L119" s="364"/>
      <c r="M119" s="196">
        <f>+K119*1.07</f>
        <v>178.12718000000001</v>
      </c>
      <c r="N119" s="364"/>
      <c r="O119" s="196">
        <f>+M119*1.07</f>
        <v>190.59608260000002</v>
      </c>
      <c r="P119" s="364"/>
      <c r="Q119" s="197">
        <f>+O119*1.07</f>
        <v>203.93780838200004</v>
      </c>
    </row>
    <row r="120" spans="1:17" ht="14.25" outlineLevel="2">
      <c r="A120" s="359"/>
      <c r="B120" s="59"/>
      <c r="C120" s="382"/>
      <c r="D120" s="376"/>
      <c r="E120" s="72" t="s">
        <v>525</v>
      </c>
      <c r="F120" s="364"/>
      <c r="G120" s="79">
        <v>948</v>
      </c>
      <c r="H120" s="364"/>
      <c r="I120" s="196">
        <f>+G120*1.1</f>
        <v>1042.8000000000002</v>
      </c>
      <c r="J120" s="364"/>
      <c r="K120" s="196">
        <f>+I120*1.081</f>
        <v>1127.2668000000001</v>
      </c>
      <c r="L120" s="364"/>
      <c r="M120" s="196">
        <f>+K120*1.07</f>
        <v>1206.1754760000001</v>
      </c>
      <c r="N120" s="364"/>
      <c r="O120" s="196">
        <f>+M120*1.07</f>
        <v>1290.6077593200002</v>
      </c>
      <c r="P120" s="364"/>
      <c r="Q120" s="197">
        <f>+O120*1.07</f>
        <v>1380.9503024724004</v>
      </c>
    </row>
    <row r="121" spans="1:17" ht="14.25" outlineLevel="2">
      <c r="A121" s="359"/>
      <c r="B121" s="59"/>
      <c r="C121" s="382"/>
      <c r="D121" s="376"/>
      <c r="E121" s="72" t="s">
        <v>526</v>
      </c>
      <c r="F121" s="364"/>
      <c r="G121" s="79">
        <v>650</v>
      </c>
      <c r="H121" s="364"/>
      <c r="I121" s="196">
        <f>+G121*1.1</f>
        <v>715.00000000000011</v>
      </c>
      <c r="J121" s="364"/>
      <c r="K121" s="196">
        <f>+I121*1.081</f>
        <v>772.91500000000008</v>
      </c>
      <c r="L121" s="364"/>
      <c r="M121" s="196">
        <f>+K121*1.07</f>
        <v>827.01905000000011</v>
      </c>
      <c r="N121" s="364"/>
      <c r="O121" s="196">
        <f>+M121*1.07</f>
        <v>884.91038350000019</v>
      </c>
      <c r="P121" s="364"/>
      <c r="Q121" s="197">
        <f>+O121*1.07</f>
        <v>946.85411034500021</v>
      </c>
    </row>
    <row r="122" spans="1:17" outlineLevel="2" thickBot="1">
      <c r="A122" s="359"/>
      <c r="B122" s="59"/>
      <c r="C122" s="382"/>
      <c r="D122" s="376"/>
      <c r="E122" s="72" t="s">
        <v>527</v>
      </c>
      <c r="F122" s="364"/>
      <c r="G122" s="80">
        <v>178</v>
      </c>
      <c r="H122" s="364"/>
      <c r="I122" s="190">
        <f>+G122*1.1</f>
        <v>195.8</v>
      </c>
      <c r="J122" s="364"/>
      <c r="K122" s="190">
        <f>+I122*1.081</f>
        <v>211.65980000000002</v>
      </c>
      <c r="L122" s="364"/>
      <c r="M122" s="190">
        <f>+K122*1.07</f>
        <v>226.47598600000003</v>
      </c>
      <c r="N122" s="364"/>
      <c r="O122" s="190">
        <f>+M122*1.07</f>
        <v>242.32930502000005</v>
      </c>
      <c r="P122" s="364"/>
      <c r="Q122" s="191">
        <f>+O122*1.07</f>
        <v>259.29235637140005</v>
      </c>
    </row>
    <row r="123" spans="1:17" ht="30.75" outlineLevel="1" thickTop="1">
      <c r="A123" s="359"/>
      <c r="B123" s="59"/>
      <c r="C123" s="382"/>
      <c r="D123" s="376"/>
      <c r="E123" s="233" t="s">
        <v>471</v>
      </c>
      <c r="F123" s="364"/>
      <c r="G123" s="75">
        <f>SUM(G118:G122)</f>
        <v>2762</v>
      </c>
      <c r="H123" s="364"/>
      <c r="I123" s="192">
        <f>SUM(I118:I122)</f>
        <v>3038.2000000000003</v>
      </c>
      <c r="J123" s="364"/>
      <c r="K123" s="192">
        <f>SUM(K118:K122)</f>
        <v>3284.2941999999998</v>
      </c>
      <c r="L123" s="364"/>
      <c r="M123" s="192">
        <f>SUM(M118:M122)</f>
        <v>3514.1947940000005</v>
      </c>
      <c r="N123" s="364"/>
      <c r="O123" s="192">
        <f>SUM(O118:O122)</f>
        <v>3760.1884295800005</v>
      </c>
      <c r="P123" s="364"/>
      <c r="Q123" s="193">
        <f>SUM(Q118:Q122)</f>
        <v>4023.4016196506009</v>
      </c>
    </row>
    <row r="124" spans="1:17" ht="14.25" outlineLevel="2">
      <c r="A124" s="359"/>
      <c r="B124" s="59"/>
      <c r="C124" s="382"/>
      <c r="D124" s="375" t="s">
        <v>66</v>
      </c>
      <c r="E124" s="72" t="s">
        <v>528</v>
      </c>
      <c r="F124" s="364"/>
      <c r="G124" s="79">
        <v>4</v>
      </c>
      <c r="H124" s="364"/>
      <c r="I124" s="196">
        <f>+G124*1.08</f>
        <v>4.32</v>
      </c>
      <c r="J124" s="364"/>
      <c r="K124" s="196">
        <f>+I124*1.08</f>
        <v>4.6656000000000004</v>
      </c>
      <c r="L124" s="364"/>
      <c r="M124" s="196">
        <f>+K124*1.07</f>
        <v>4.9921920000000011</v>
      </c>
      <c r="N124" s="364"/>
      <c r="O124" s="196">
        <f>+M124*1.07</f>
        <v>5.3416454400000015</v>
      </c>
      <c r="P124" s="364"/>
      <c r="Q124" s="197">
        <f>+O124*1.07</f>
        <v>5.7155606208000016</v>
      </c>
    </row>
    <row r="125" spans="1:17" outlineLevel="2" thickBot="1">
      <c r="A125" s="359"/>
      <c r="B125" s="59"/>
      <c r="C125" s="382"/>
      <c r="D125" s="376"/>
      <c r="E125" s="72" t="s">
        <v>529</v>
      </c>
      <c r="F125" s="364"/>
      <c r="G125" s="80">
        <v>28</v>
      </c>
      <c r="H125" s="364"/>
      <c r="I125" s="190">
        <f>+G125*1.08</f>
        <v>30.240000000000002</v>
      </c>
      <c r="J125" s="364"/>
      <c r="K125" s="190">
        <f>+I125*1.08</f>
        <v>32.659200000000006</v>
      </c>
      <c r="L125" s="364"/>
      <c r="M125" s="190">
        <f>+K125*1.07</f>
        <v>34.945344000000006</v>
      </c>
      <c r="N125" s="364"/>
      <c r="O125" s="190">
        <f>+M125*1.07</f>
        <v>37.391518080000012</v>
      </c>
      <c r="P125" s="364"/>
      <c r="Q125" s="191">
        <f>+O125*1.07</f>
        <v>40.008924345600015</v>
      </c>
    </row>
    <row r="126" spans="1:17" ht="45.75" outlineLevel="1" thickTop="1">
      <c r="A126" s="359"/>
      <c r="B126" s="59"/>
      <c r="C126" s="382"/>
      <c r="D126" s="376"/>
      <c r="E126" s="233" t="s">
        <v>472</v>
      </c>
      <c r="F126" s="364"/>
      <c r="G126" s="75">
        <f>SUM(G124:G125)</f>
        <v>32</v>
      </c>
      <c r="H126" s="364"/>
      <c r="I126" s="192">
        <f>SUM(I124:I125)</f>
        <v>34.56</v>
      </c>
      <c r="J126" s="364"/>
      <c r="K126" s="192">
        <f>SUM(K124:K125)</f>
        <v>37.324800000000003</v>
      </c>
      <c r="L126" s="364"/>
      <c r="M126" s="192">
        <f>SUM(M124:M125)</f>
        <v>39.937536000000009</v>
      </c>
      <c r="N126" s="364"/>
      <c r="O126" s="192">
        <f>SUM(O124:O125)</f>
        <v>42.733163520000012</v>
      </c>
      <c r="P126" s="364"/>
      <c r="Q126" s="193">
        <f>SUM(Q124:Q125)</f>
        <v>45.724484966400013</v>
      </c>
    </row>
    <row r="127" spans="1:17" ht="14.25" outlineLevel="2">
      <c r="A127" s="359"/>
      <c r="B127" s="59"/>
      <c r="C127" s="382"/>
      <c r="D127" s="376"/>
      <c r="E127" s="72" t="s">
        <v>530</v>
      </c>
      <c r="F127" s="364"/>
      <c r="G127" s="79">
        <v>99</v>
      </c>
      <c r="H127" s="364"/>
      <c r="I127" s="198">
        <f>+G127*1.08</f>
        <v>106.92</v>
      </c>
      <c r="J127" s="364"/>
      <c r="K127" s="198">
        <f>+I127*1.08</f>
        <v>115.4736</v>
      </c>
      <c r="L127" s="364"/>
      <c r="M127" s="198">
        <f>+K127*1.07</f>
        <v>123.55675200000002</v>
      </c>
      <c r="N127" s="364"/>
      <c r="O127" s="198">
        <f>+M127*1.07</f>
        <v>132.20572464000003</v>
      </c>
      <c r="P127" s="364"/>
      <c r="Q127" s="199">
        <f>+O127*1.07</f>
        <v>141.46012536480004</v>
      </c>
    </row>
    <row r="128" spans="1:17" ht="14.25" outlineLevel="2">
      <c r="A128" s="359"/>
      <c r="B128" s="59"/>
      <c r="C128" s="382"/>
      <c r="D128" s="376"/>
      <c r="E128" s="72" t="s">
        <v>531</v>
      </c>
      <c r="F128" s="364"/>
      <c r="G128" s="79">
        <v>3</v>
      </c>
      <c r="H128" s="364"/>
      <c r="I128" s="198">
        <f>+G128*1.08</f>
        <v>3.24</v>
      </c>
      <c r="J128" s="364"/>
      <c r="K128" s="198">
        <f>+I128*1.08</f>
        <v>3.4992000000000005</v>
      </c>
      <c r="L128" s="364"/>
      <c r="M128" s="198">
        <f>+K128*1.07</f>
        <v>3.7441440000000008</v>
      </c>
      <c r="N128" s="364"/>
      <c r="O128" s="198">
        <f>+M128*1.07</f>
        <v>4.0062340800000014</v>
      </c>
      <c r="P128" s="364"/>
      <c r="Q128" s="199">
        <f>+O128*1.07</f>
        <v>4.2866704656000021</v>
      </c>
    </row>
    <row r="129" spans="1:17" outlineLevel="2" thickBot="1">
      <c r="A129" s="359"/>
      <c r="B129" s="59"/>
      <c r="C129" s="382"/>
      <c r="D129" s="376"/>
      <c r="E129" s="72" t="s">
        <v>532</v>
      </c>
      <c r="F129" s="364"/>
      <c r="G129" s="80">
        <v>17</v>
      </c>
      <c r="H129" s="364"/>
      <c r="I129" s="200">
        <f>+G129*1.08</f>
        <v>18.36</v>
      </c>
      <c r="J129" s="364"/>
      <c r="K129" s="200">
        <f>+I129*1.08</f>
        <v>19.828800000000001</v>
      </c>
      <c r="L129" s="364"/>
      <c r="M129" s="200">
        <f>+K129*1.07</f>
        <v>21.216816000000001</v>
      </c>
      <c r="N129" s="364"/>
      <c r="O129" s="200">
        <f>+M129*1.07</f>
        <v>22.701993120000004</v>
      </c>
      <c r="P129" s="364"/>
      <c r="Q129" s="201">
        <f>+O129*1.07</f>
        <v>24.291132638400008</v>
      </c>
    </row>
    <row r="130" spans="1:17" ht="15.75" outlineLevel="1" thickTop="1">
      <c r="A130" s="359"/>
      <c r="B130" s="59"/>
      <c r="C130" s="382"/>
      <c r="D130" s="376"/>
      <c r="E130" s="233" t="s">
        <v>473</v>
      </c>
      <c r="F130" s="364"/>
      <c r="G130" s="75">
        <f>SUM(G127:G129)</f>
        <v>119</v>
      </c>
      <c r="H130" s="364"/>
      <c r="I130" s="192">
        <f>SUM(I127:I129)</f>
        <v>128.51999999999998</v>
      </c>
      <c r="J130" s="364"/>
      <c r="K130" s="192">
        <f>SUM(K127:K129)</f>
        <v>138.80160000000001</v>
      </c>
      <c r="L130" s="364"/>
      <c r="M130" s="192">
        <f>SUM(M127:M129)</f>
        <v>148.51771200000002</v>
      </c>
      <c r="N130" s="364"/>
      <c r="O130" s="192">
        <f>SUM(O127:O129)</f>
        <v>158.91395184000004</v>
      </c>
      <c r="P130" s="364"/>
      <c r="Q130" s="193">
        <f>SUM(Q127:Q129)</f>
        <v>170.03792846880003</v>
      </c>
    </row>
    <row r="131" spans="1:17" ht="30" outlineLevel="1">
      <c r="A131" s="359"/>
      <c r="B131" s="59"/>
      <c r="C131" s="382"/>
      <c r="D131" s="379" t="s">
        <v>69</v>
      </c>
      <c r="E131" s="233" t="s">
        <v>474</v>
      </c>
      <c r="F131" s="364"/>
      <c r="G131" s="69">
        <v>0</v>
      </c>
      <c r="H131" s="364"/>
      <c r="I131" s="186"/>
      <c r="J131" s="364"/>
      <c r="K131" s="186"/>
      <c r="L131" s="364"/>
      <c r="M131" s="186"/>
      <c r="N131" s="364"/>
      <c r="O131" s="186"/>
      <c r="P131" s="364"/>
      <c r="Q131" s="202"/>
    </row>
    <row r="132" spans="1:17" ht="14.25" outlineLevel="2">
      <c r="A132" s="359"/>
      <c r="B132" s="59"/>
      <c r="C132" s="382"/>
      <c r="D132" s="379"/>
      <c r="E132" s="72" t="s">
        <v>533</v>
      </c>
      <c r="F132" s="364"/>
      <c r="G132" s="83">
        <v>48</v>
      </c>
      <c r="H132" s="364"/>
      <c r="I132" s="185">
        <f>+G132*1.08</f>
        <v>51.84</v>
      </c>
      <c r="J132" s="364"/>
      <c r="K132" s="185">
        <f>+I132*1.08</f>
        <v>55.987200000000009</v>
      </c>
      <c r="L132" s="364"/>
      <c r="M132" s="185">
        <f>+K132*1.07</f>
        <v>59.906304000000013</v>
      </c>
      <c r="N132" s="364"/>
      <c r="O132" s="185">
        <f>+M132*1.07</f>
        <v>64.099745280000022</v>
      </c>
      <c r="P132" s="364"/>
      <c r="Q132" s="194">
        <f>+O132*1.07</f>
        <v>68.586727449600033</v>
      </c>
    </row>
    <row r="133" spans="1:17" outlineLevel="2" thickBot="1">
      <c r="A133" s="359"/>
      <c r="B133" s="59"/>
      <c r="C133" s="382"/>
      <c r="D133" s="379"/>
      <c r="E133" s="72" t="s">
        <v>534</v>
      </c>
      <c r="F133" s="364"/>
      <c r="G133" s="84">
        <v>10</v>
      </c>
      <c r="H133" s="364"/>
      <c r="I133" s="184">
        <f>+G133*1.08</f>
        <v>10.8</v>
      </c>
      <c r="J133" s="364"/>
      <c r="K133" s="184">
        <f>+I133*1.08</f>
        <v>11.664000000000001</v>
      </c>
      <c r="L133" s="364"/>
      <c r="M133" s="184">
        <f>+K133*1.07</f>
        <v>12.480480000000002</v>
      </c>
      <c r="N133" s="364"/>
      <c r="O133" s="184">
        <f>+M133*1.07</f>
        <v>13.354113600000003</v>
      </c>
      <c r="P133" s="364"/>
      <c r="Q133" s="195">
        <f>+O133*1.07</f>
        <v>14.288901552000004</v>
      </c>
    </row>
    <row r="134" spans="1:17" ht="30.75" outlineLevel="1" thickTop="1">
      <c r="A134" s="359"/>
      <c r="B134" s="59"/>
      <c r="C134" s="382"/>
      <c r="D134" s="379"/>
      <c r="E134" s="233" t="s">
        <v>475</v>
      </c>
      <c r="F134" s="364"/>
      <c r="G134" s="75">
        <f>SUM(G132:G133)</f>
        <v>58</v>
      </c>
      <c r="H134" s="364"/>
      <c r="I134" s="192">
        <f>SUM(I132:I133)</f>
        <v>62.64</v>
      </c>
      <c r="J134" s="364"/>
      <c r="K134" s="192">
        <f>SUM(K132:K133)</f>
        <v>67.651200000000017</v>
      </c>
      <c r="L134" s="364"/>
      <c r="M134" s="192">
        <f>SUM(M132:M133)</f>
        <v>72.38678400000002</v>
      </c>
      <c r="N134" s="364"/>
      <c r="O134" s="192">
        <f>SUM(O132:O133)</f>
        <v>77.453858880000027</v>
      </c>
      <c r="P134" s="364"/>
      <c r="Q134" s="193">
        <f>SUM(Q132:Q133)</f>
        <v>82.875629001600032</v>
      </c>
    </row>
    <row r="135" spans="1:17" outlineLevel="2" thickBot="1">
      <c r="A135" s="359"/>
      <c r="B135" s="59"/>
      <c r="C135" s="382"/>
      <c r="D135" s="379"/>
      <c r="E135" s="72" t="s">
        <v>535</v>
      </c>
      <c r="F135" s="364"/>
      <c r="G135" s="86">
        <v>15</v>
      </c>
      <c r="H135" s="364"/>
      <c r="I135" s="188">
        <f>+G135*1.08</f>
        <v>16.200000000000003</v>
      </c>
      <c r="J135" s="364"/>
      <c r="K135" s="188">
        <f>+I135*1.08</f>
        <v>17.496000000000006</v>
      </c>
      <c r="L135" s="364"/>
      <c r="M135" s="188">
        <f>+K135*1.07</f>
        <v>18.720720000000007</v>
      </c>
      <c r="N135" s="364"/>
      <c r="O135" s="188">
        <f>+M135*1.07</f>
        <v>20.031170400000008</v>
      </c>
      <c r="P135" s="364"/>
      <c r="Q135" s="189">
        <f>+O135*1.07</f>
        <v>21.433352328000009</v>
      </c>
    </row>
    <row r="136" spans="1:17" ht="16.5" outlineLevel="1" thickTop="1" thickBot="1">
      <c r="A136" s="359"/>
      <c r="B136" s="59"/>
      <c r="C136" s="382"/>
      <c r="D136" s="379"/>
      <c r="E136" s="233" t="s">
        <v>476</v>
      </c>
      <c r="F136" s="364"/>
      <c r="G136" s="76">
        <f>SUM(G135)</f>
        <v>15</v>
      </c>
      <c r="H136" s="364"/>
      <c r="I136" s="180">
        <f>SUM(I135)</f>
        <v>16.200000000000003</v>
      </c>
      <c r="J136" s="364"/>
      <c r="K136" s="180">
        <f>SUM(K135)</f>
        <v>17.496000000000006</v>
      </c>
      <c r="L136" s="364"/>
      <c r="M136" s="180">
        <f>SUM(M135)</f>
        <v>18.720720000000007</v>
      </c>
      <c r="N136" s="364"/>
      <c r="O136" s="180">
        <f>SUM(O135)</f>
        <v>20.031170400000008</v>
      </c>
      <c r="P136" s="364"/>
      <c r="Q136" s="181">
        <f>SUM(Q135)</f>
        <v>21.433352328000009</v>
      </c>
    </row>
    <row r="137" spans="1:17" ht="28.5" customHeight="1" outlineLevel="2" thickBot="1">
      <c r="A137" s="359"/>
      <c r="B137" s="59"/>
      <c r="C137" s="383" t="s">
        <v>73</v>
      </c>
      <c r="D137" s="375" t="s">
        <v>74</v>
      </c>
      <c r="E137" s="72" t="s">
        <v>536</v>
      </c>
      <c r="F137" s="363">
        <v>0</v>
      </c>
      <c r="G137" s="80">
        <v>100</v>
      </c>
      <c r="H137" s="363">
        <v>0</v>
      </c>
      <c r="I137" s="190">
        <f>+G137*1.1</f>
        <v>110.00000000000001</v>
      </c>
      <c r="J137" s="363">
        <v>0</v>
      </c>
      <c r="K137" s="190">
        <f>+I137*1.081</f>
        <v>118.91000000000001</v>
      </c>
      <c r="L137" s="363">
        <v>0</v>
      </c>
      <c r="M137" s="190">
        <f>+K137*1.07</f>
        <v>127.23370000000001</v>
      </c>
      <c r="N137" s="363">
        <v>0</v>
      </c>
      <c r="O137" s="190">
        <f>+M137*1.07</f>
        <v>136.14005900000001</v>
      </c>
      <c r="P137" s="363">
        <v>0</v>
      </c>
      <c r="Q137" s="191">
        <f>+O137*1.07</f>
        <v>145.66986313000001</v>
      </c>
    </row>
    <row r="138" spans="1:17" ht="28.5" customHeight="1" outlineLevel="1" thickTop="1">
      <c r="A138" s="359"/>
      <c r="B138" s="59"/>
      <c r="C138" s="384"/>
      <c r="D138" s="376"/>
      <c r="E138" s="233" t="s">
        <v>477</v>
      </c>
      <c r="F138" s="364"/>
      <c r="G138" s="75">
        <f>SUM(G137)</f>
        <v>100</v>
      </c>
      <c r="H138" s="364"/>
      <c r="I138" s="192">
        <f>SUM(I137)</f>
        <v>110.00000000000001</v>
      </c>
      <c r="J138" s="364"/>
      <c r="K138" s="192">
        <f>SUM(K137)</f>
        <v>118.91000000000001</v>
      </c>
      <c r="L138" s="364"/>
      <c r="M138" s="192">
        <f>SUM(M137)</f>
        <v>127.23370000000001</v>
      </c>
      <c r="N138" s="364"/>
      <c r="O138" s="192">
        <f>SUM(O137)</f>
        <v>136.14005900000001</v>
      </c>
      <c r="P138" s="364"/>
      <c r="Q138" s="193">
        <f>SUM(Q137)</f>
        <v>145.66986313000001</v>
      </c>
    </row>
    <row r="139" spans="1:17" ht="15.75" customHeight="1" outlineLevel="2" thickBot="1">
      <c r="A139" s="359"/>
      <c r="B139" s="61"/>
      <c r="C139" s="384"/>
      <c r="D139" s="376"/>
      <c r="E139" s="72" t="s">
        <v>537</v>
      </c>
      <c r="F139" s="364"/>
      <c r="G139" s="80">
        <v>300</v>
      </c>
      <c r="H139" s="364"/>
      <c r="I139" s="200">
        <f>+G139*1.1</f>
        <v>330</v>
      </c>
      <c r="J139" s="364"/>
      <c r="K139" s="200">
        <f>+I139*1.081</f>
        <v>356.72999999999996</v>
      </c>
      <c r="L139" s="364"/>
      <c r="M139" s="200">
        <f>+K139*1.07</f>
        <v>381.7011</v>
      </c>
      <c r="N139" s="364"/>
      <c r="O139" s="200">
        <f>+M139*1.07</f>
        <v>408.42017700000002</v>
      </c>
      <c r="P139" s="364"/>
      <c r="Q139" s="201">
        <f>+O139*1.07</f>
        <v>437.00958939000003</v>
      </c>
    </row>
    <row r="140" spans="1:17" ht="15.75" customHeight="1" outlineLevel="1" thickTop="1">
      <c r="A140" s="359"/>
      <c r="B140" s="61"/>
      <c r="C140" s="384"/>
      <c r="D140" s="376"/>
      <c r="E140" s="233" t="s">
        <v>478</v>
      </c>
      <c r="F140" s="364"/>
      <c r="G140" s="75">
        <f>SUM(G139)</f>
        <v>300</v>
      </c>
      <c r="H140" s="364"/>
      <c r="I140" s="192">
        <f>SUM(I139)</f>
        <v>330</v>
      </c>
      <c r="J140" s="364"/>
      <c r="K140" s="192">
        <f>SUM(K139)</f>
        <v>356.72999999999996</v>
      </c>
      <c r="L140" s="364"/>
      <c r="M140" s="192">
        <f>SUM(M139)</f>
        <v>381.7011</v>
      </c>
      <c r="N140" s="364"/>
      <c r="O140" s="192">
        <f>SUM(O139)</f>
        <v>408.42017700000002</v>
      </c>
      <c r="P140" s="364"/>
      <c r="Q140" s="193">
        <f>SUM(Q139)</f>
        <v>437.00958939000003</v>
      </c>
    </row>
    <row r="141" spans="1:17" ht="15.75" customHeight="1" outlineLevel="2" thickBot="1">
      <c r="A141" s="359"/>
      <c r="B141" s="61"/>
      <c r="C141" s="384"/>
      <c r="D141" s="376"/>
      <c r="E141" s="72" t="s">
        <v>538</v>
      </c>
      <c r="F141" s="364"/>
      <c r="G141" s="80">
        <v>400</v>
      </c>
      <c r="H141" s="364"/>
      <c r="I141" s="200">
        <f>+G141*1.1</f>
        <v>440.00000000000006</v>
      </c>
      <c r="J141" s="364"/>
      <c r="K141" s="200">
        <f>+I141*1.081</f>
        <v>475.64000000000004</v>
      </c>
      <c r="L141" s="364"/>
      <c r="M141" s="200">
        <f>+K141*1.07</f>
        <v>508.93480000000005</v>
      </c>
      <c r="N141" s="364"/>
      <c r="O141" s="200">
        <f>+M141*1.07</f>
        <v>544.56023600000003</v>
      </c>
      <c r="P141" s="364"/>
      <c r="Q141" s="201">
        <f>+O141*1.07</f>
        <v>582.67945252000004</v>
      </c>
    </row>
    <row r="142" spans="1:17" ht="15.75" customHeight="1" outlineLevel="1" thickTop="1">
      <c r="A142" s="359"/>
      <c r="B142" s="61"/>
      <c r="C142" s="384"/>
      <c r="D142" s="376"/>
      <c r="E142" s="233" t="s">
        <v>479</v>
      </c>
      <c r="F142" s="364"/>
      <c r="G142" s="75">
        <f>SUM(G141)</f>
        <v>400</v>
      </c>
      <c r="H142" s="364"/>
      <c r="I142" s="192">
        <f>SUM(I141)</f>
        <v>440.00000000000006</v>
      </c>
      <c r="J142" s="364"/>
      <c r="K142" s="192">
        <f>SUM(K141)</f>
        <v>475.64000000000004</v>
      </c>
      <c r="L142" s="364"/>
      <c r="M142" s="192">
        <f>SUM(M141)</f>
        <v>508.93480000000005</v>
      </c>
      <c r="N142" s="364"/>
      <c r="O142" s="192">
        <f>SUM(O141)</f>
        <v>544.56023600000003</v>
      </c>
      <c r="P142" s="364"/>
      <c r="Q142" s="193">
        <f>SUM(Q141)</f>
        <v>582.67945252000004</v>
      </c>
    </row>
    <row r="143" spans="1:17" ht="30" customHeight="1" outlineLevel="2" thickBot="1">
      <c r="A143" s="359"/>
      <c r="B143" s="61"/>
      <c r="C143" s="384"/>
      <c r="D143" s="376"/>
      <c r="E143" s="72" t="s">
        <v>539</v>
      </c>
      <c r="F143" s="364"/>
      <c r="G143" s="80">
        <v>1.1000000000000001</v>
      </c>
      <c r="H143" s="364"/>
      <c r="I143" s="190">
        <f>+G143*1.1</f>
        <v>1.2100000000000002</v>
      </c>
      <c r="J143" s="364"/>
      <c r="K143" s="190">
        <f>+I143*1.081</f>
        <v>1.3080100000000001</v>
      </c>
      <c r="L143" s="364"/>
      <c r="M143" s="190">
        <f>+K143*1.07</f>
        <v>1.3995707000000002</v>
      </c>
      <c r="N143" s="364"/>
      <c r="O143" s="190">
        <f>+M143*1.07</f>
        <v>1.4975406490000003</v>
      </c>
      <c r="P143" s="364"/>
      <c r="Q143" s="191">
        <f>+O143*1.07</f>
        <v>1.6023684944300003</v>
      </c>
    </row>
    <row r="144" spans="1:17" ht="30" customHeight="1" outlineLevel="1" thickTop="1">
      <c r="A144" s="359"/>
      <c r="B144" s="61"/>
      <c r="C144" s="384"/>
      <c r="D144" s="376"/>
      <c r="E144" s="233" t="s">
        <v>480</v>
      </c>
      <c r="F144" s="364"/>
      <c r="G144" s="75">
        <v>1100</v>
      </c>
      <c r="H144" s="364"/>
      <c r="I144" s="192">
        <v>1100</v>
      </c>
      <c r="J144" s="364"/>
      <c r="K144" s="192">
        <v>1100</v>
      </c>
      <c r="L144" s="364"/>
      <c r="M144" s="192">
        <v>1100</v>
      </c>
      <c r="N144" s="364"/>
      <c r="O144" s="192">
        <v>1100</v>
      </c>
      <c r="P144" s="364"/>
      <c r="Q144" s="193">
        <v>1100</v>
      </c>
    </row>
    <row r="145" spans="1:17" ht="45.75" outlineLevel="1" thickBot="1">
      <c r="A145" s="360"/>
      <c r="B145" s="229"/>
      <c r="C145" s="385"/>
      <c r="D145" s="386"/>
      <c r="E145" s="235" t="s">
        <v>481</v>
      </c>
      <c r="F145" s="365"/>
      <c r="G145" s="70">
        <v>0</v>
      </c>
      <c r="H145" s="365"/>
      <c r="I145" s="203"/>
      <c r="J145" s="365"/>
      <c r="K145" s="203"/>
      <c r="L145" s="365"/>
      <c r="M145" s="203"/>
      <c r="N145" s="365"/>
      <c r="O145" s="203"/>
      <c r="P145" s="365"/>
      <c r="Q145" s="204"/>
    </row>
    <row r="146" spans="1:17" ht="15.75" outlineLevel="1" thickBot="1">
      <c r="F146" s="94"/>
      <c r="H146" s="94"/>
      <c r="J146" s="94"/>
      <c r="L146" s="94"/>
      <c r="N146" s="94"/>
      <c r="P146" s="94"/>
    </row>
    <row r="147" spans="1:17" outlineLevel="2">
      <c r="B147" s="253"/>
      <c r="C147" s="254"/>
      <c r="D147" s="255" t="s">
        <v>424</v>
      </c>
      <c r="E147" s="256" t="s">
        <v>415</v>
      </c>
      <c r="F147" s="257"/>
      <c r="G147" s="258">
        <v>58668</v>
      </c>
      <c r="H147" s="257"/>
      <c r="I147" s="258">
        <v>57775</v>
      </c>
      <c r="J147" s="257"/>
      <c r="K147" s="258">
        <v>56966</v>
      </c>
      <c r="L147" s="257"/>
      <c r="M147" s="258">
        <v>21372</v>
      </c>
      <c r="N147" s="257"/>
      <c r="O147" s="258">
        <v>22227</v>
      </c>
      <c r="P147" s="257"/>
      <c r="Q147" s="259">
        <v>23116</v>
      </c>
    </row>
    <row r="148" spans="1:17" ht="15.75" outlineLevel="1" thickBot="1">
      <c r="B148" s="218"/>
      <c r="C148" s="260"/>
      <c r="D148" s="261"/>
      <c r="E148" s="262" t="s">
        <v>649</v>
      </c>
      <c r="F148" s="263"/>
      <c r="G148" s="264">
        <f>+G147</f>
        <v>58668</v>
      </c>
      <c r="H148" s="263"/>
      <c r="I148" s="264">
        <f>+I147</f>
        <v>57775</v>
      </c>
      <c r="J148" s="263"/>
      <c r="K148" s="264">
        <f>+K147</f>
        <v>56966</v>
      </c>
      <c r="L148" s="263"/>
      <c r="M148" s="264">
        <f>+M147</f>
        <v>21372</v>
      </c>
      <c r="N148" s="263"/>
      <c r="O148" s="264">
        <f>+O147</f>
        <v>22227</v>
      </c>
      <c r="P148" s="263"/>
      <c r="Q148" s="265">
        <f>+Q147</f>
        <v>23116</v>
      </c>
    </row>
    <row r="149" spans="1:17" s="94" customFormat="1" outlineLevel="1">
      <c r="E149" s="95"/>
      <c r="G149" s="96"/>
      <c r="I149" s="96"/>
      <c r="K149" s="96"/>
      <c r="M149" s="96"/>
      <c r="O149" s="96"/>
      <c r="Q149" s="96"/>
    </row>
    <row r="150" spans="1:17" s="94" customFormat="1" ht="15.75" outlineLevel="1" thickBot="1">
      <c r="E150" s="95"/>
      <c r="F150" s="178"/>
      <c r="G150" s="96"/>
      <c r="H150" s="178"/>
      <c r="I150" s="96"/>
      <c r="J150" s="178"/>
      <c r="K150" s="96"/>
      <c r="L150" s="178"/>
      <c r="M150" s="96"/>
      <c r="N150" s="178"/>
      <c r="O150" s="96"/>
      <c r="P150" s="178"/>
      <c r="Q150" s="96"/>
    </row>
    <row r="151" spans="1:17" outlineLevel="2">
      <c r="B151" s="253" t="s">
        <v>427</v>
      </c>
      <c r="C151" s="266" t="s">
        <v>106</v>
      </c>
      <c r="D151" s="267" t="s">
        <v>428</v>
      </c>
      <c r="E151" s="268" t="s">
        <v>429</v>
      </c>
      <c r="F151" s="269">
        <f>SUMIF('PRESUPUESTO Proy 2016-021 $MM'!$A$6:$A$357,$B$151,'PRESUPUESTO Proy 2016-021 $MM'!L6:L357)</f>
        <v>29802.661076112097</v>
      </c>
      <c r="G151" s="258">
        <v>16652</v>
      </c>
      <c r="H151" s="269">
        <f>SUMIF('PRESUPUESTO Proy 2016-021 $MM'!$A$6:$A$357,B151,'PRESUPUESTO Proy 2016-021 $MM'!N6:N357)</f>
        <v>11361.239554525597</v>
      </c>
      <c r="I151" s="258">
        <v>17990</v>
      </c>
      <c r="J151" s="269">
        <f>+SUMIF('PRESUPUESTO Proy 2016-021 $MM'!$A$6:$A$357,B151,'PRESUPUESTO Proy 2016-021 $MM'!P6:P357)</f>
        <v>11929.30153225188</v>
      </c>
      <c r="K151" s="258">
        <v>17384</v>
      </c>
      <c r="L151" s="269">
        <f>+SUMIF('PRESUPUESTO Proy 2016-021 $MM'!$A$6:$A$357,B151,'PRESUPUESTO Proy 2016-021 $MM'!R6:R357)</f>
        <v>12406.473593541956</v>
      </c>
      <c r="M151" s="258">
        <v>15349</v>
      </c>
      <c r="N151" s="269">
        <f>+SUMIF('PRESUPUESTO Proy 2016-021 $MM'!$A$6:$A$357,B151,'PRESUPUESTO Proy 2016-021 $MM'!T6:T357)</f>
        <v>12902.732537283635</v>
      </c>
      <c r="O151" s="258">
        <v>13786</v>
      </c>
      <c r="P151" s="269">
        <f>+SUMIF('PRESUPUESTO Proy 2016-021 $MM'!$A$6:$A$357,B151,'PRESUPUESTO Proy 2016-021 $MM'!V6:V357)</f>
        <v>13418.841838774984</v>
      </c>
      <c r="Q151" s="259">
        <v>12050</v>
      </c>
    </row>
    <row r="152" spans="1:17" ht="15.75" outlineLevel="1" thickBot="1">
      <c r="B152" s="218"/>
      <c r="C152" s="270"/>
      <c r="D152" s="271"/>
      <c r="E152" s="272" t="s">
        <v>650</v>
      </c>
      <c r="F152" s="273">
        <f t="shared" ref="F152:Q152" si="10">+F151</f>
        <v>29802.661076112097</v>
      </c>
      <c r="G152" s="264">
        <f t="shared" si="10"/>
        <v>16652</v>
      </c>
      <c r="H152" s="273">
        <f t="shared" si="10"/>
        <v>11361.239554525597</v>
      </c>
      <c r="I152" s="264">
        <f t="shared" si="10"/>
        <v>17990</v>
      </c>
      <c r="J152" s="273">
        <f t="shared" si="10"/>
        <v>11929.30153225188</v>
      </c>
      <c r="K152" s="264">
        <f t="shared" si="10"/>
        <v>17384</v>
      </c>
      <c r="L152" s="273">
        <f t="shared" si="10"/>
        <v>12406.473593541956</v>
      </c>
      <c r="M152" s="264">
        <f t="shared" si="10"/>
        <v>15349</v>
      </c>
      <c r="N152" s="273">
        <f t="shared" si="10"/>
        <v>12902.732537283635</v>
      </c>
      <c r="O152" s="264">
        <f t="shared" si="10"/>
        <v>13786</v>
      </c>
      <c r="P152" s="273">
        <f t="shared" si="10"/>
        <v>13418.841838774984</v>
      </c>
      <c r="Q152" s="265">
        <f t="shared" si="10"/>
        <v>12050</v>
      </c>
    </row>
    <row r="153" spans="1:17" ht="15.75" outlineLevel="1" thickBot="1">
      <c r="B153" s="63"/>
      <c r="C153" s="65"/>
      <c r="D153" s="66"/>
      <c r="E153" s="71"/>
      <c r="F153" s="68"/>
      <c r="G153" s="67"/>
      <c r="H153" s="68"/>
      <c r="J153" s="68"/>
      <c r="L153" s="68"/>
      <c r="N153" s="68"/>
      <c r="P153" s="68"/>
    </row>
    <row r="154" spans="1:17" ht="20.25" outlineLevel="1" thickTop="1" thickBot="1">
      <c r="B154" s="217"/>
      <c r="C154" s="217"/>
      <c r="D154" s="217"/>
      <c r="E154" s="217"/>
      <c r="F154" s="93">
        <f ca="1">SUM(F5:F151)</f>
        <v>197476.23952885708</v>
      </c>
      <c r="G154" s="92">
        <f>+G6+G8+G9+G11+G14+G15+G17+G19+G20+G22+G24+G28+G29+G37+G42+G49+G51+G58+G61+G62+G64+G76+G79+G81+G84+G89+G90+G91+G94+G95+G96+G97+G98+G99+G101+G104+G107+G112+G115+G117+G123+G126+G130+G131+G134+G136+G138+G140+G142+G144+G145+G147+G151</f>
        <v>213113</v>
      </c>
      <c r="H154" s="93">
        <f ca="1">SUM(H5:H151)</f>
        <v>205708.6429317166</v>
      </c>
      <c r="I154" s="92">
        <f>+I6+I8+I9+I11+I14+I15+I17+I19+I20+I22+I24+I28+I29+I37+I42+I49+I51+I58+I61+I62+I64+I76+I79+I81+I84+I89+I90+I91+I94+I95+I96+I97+I98+I99+I101+I104+I107+I112+I115+I117+I123+I126+I130+I131+I134+I136+I138+I140+I142+I144+I145+I147+I151</f>
        <v>230862.10294680006</v>
      </c>
      <c r="J154" s="93">
        <f ca="1">SUM(J5:J151)</f>
        <v>236436.90499038747</v>
      </c>
      <c r="K154" s="92">
        <f>+K6+K8+K9+K11+K14+K15+K17+K19+K20+K22+K24+K28+K29+K37+K42+K49+K51+K58+K61+K62+K64+K76+K79+K81+K84+K89+K90+K91+K94+K95+K96+K97+K98+K99+K101+K104+K107+K112+K115+K117+K123+K126+K130+K131+K134+K136+K138+K140+K142+K144+K145+K147+K151</f>
        <v>248711.42546369118</v>
      </c>
      <c r="L154" s="93">
        <f ca="1">SUM(L5:L151)</f>
        <v>269295.99544889946</v>
      </c>
      <c r="M154" s="92">
        <f>M6+M8+M9+M11+M14+M15+M17+M19+M20+M22+M24+M28+M29+M37+M42+M49+M51+M58+M61+M62+M64+M76+M79+M81+M84+M89+M90+M91+M94+M95+M96+M97+M98+M99+M101+M104+M107+M112+M115+M117+M123+M126+M130+M131+M134+M136+M138+M140+M142+M144+M145+M147+M151</f>
        <v>232009.73702322974</v>
      </c>
      <c r="N154" s="93">
        <f ca="1">SUM(N5:N151)</f>
        <v>301597.37172387476</v>
      </c>
      <c r="O154" s="92">
        <f>O6+O8+O9+O11+O14+O15+O17+O19+O20+O22+O24+O28+O29+O37+O42+O49+O51+O58+O61+O62+O64+O76+O79+O81+O84+O89+O90+O91+O94+O95+O96+O97+O98+O99+O101+O104+O107+O112+O115+O117+O123+O126+O130+O131+O134+O136+O138+O140+O142+O144+O145+O147+O151</f>
        <v>252651.3425143316</v>
      </c>
      <c r="P154" s="93">
        <f ca="1">SUM(P5:P151)</f>
        <v>335926.54014664801</v>
      </c>
      <c r="Q154" s="92">
        <f>Q6+Q8+Q9+Q11+Q14+Q15+Q17+Q19+Q20+Q22+Q24+Q28+Q29+Q37+Q42+Q49+Q51+Q58+Q61+Q62+Q64+Q76+Q79+Q81+Q84+Q89+Q90+Q91+Q94+Q95+Q96+Q97+Q98+Q99+Q101+Q104+Q107+Q112+Q115+Q117+Q123+Q126+Q130+Q131+Q134+Q136+Q138+Q140+Q142+Q144+Q145+Q147+Q151</f>
        <v>274263.19835203921</v>
      </c>
    </row>
    <row r="155" spans="1:17" ht="19.5" outlineLevel="1" thickTop="1">
      <c r="B155" s="219"/>
      <c r="C155" s="219"/>
      <c r="D155" s="323" t="s">
        <v>684</v>
      </c>
      <c r="E155" s="323"/>
      <c r="F155" s="324"/>
      <c r="G155" s="325">
        <f>+'PDI 2016-2021'!D32-Detalle!G154</f>
        <v>4363.2389145274356</v>
      </c>
      <c r="H155" s="324"/>
      <c r="I155" s="325">
        <f>+'PDI 2016-2021'!G32-Detalle!I154</f>
        <v>5251.2104644275678</v>
      </c>
      <c r="J155" s="324"/>
      <c r="K155" s="325">
        <f>+'PDI 2016-2021'!J32-Detalle!K154</f>
        <v>43746.338780702441</v>
      </c>
      <c r="L155" s="324"/>
      <c r="M155" s="325">
        <f>+'PDI 2016-2021'!M32-Detalle!M154</f>
        <v>26406.928696109069</v>
      </c>
      <c r="N155" s="324"/>
      <c r="O155" s="325">
        <f>+'PDI 2016-2021'!P32-Detalle!O154</f>
        <v>8529.8245513222355</v>
      </c>
      <c r="P155" s="324"/>
      <c r="Q155" s="325">
        <f>+'PDI 2016-2021'!S32-Detalle!Q154</f>
        <v>1211.061086573347</v>
      </c>
    </row>
    <row r="156" spans="1:17" ht="18.75">
      <c r="B156" s="219"/>
      <c r="C156" s="219"/>
      <c r="D156" s="219"/>
      <c r="E156" s="219"/>
      <c r="F156" s="320"/>
      <c r="G156" s="221"/>
      <c r="H156" s="220"/>
      <c r="I156" s="221"/>
      <c r="J156" s="220"/>
      <c r="K156" s="221"/>
      <c r="L156" s="220"/>
      <c r="M156" s="221"/>
      <c r="N156" s="220"/>
      <c r="O156" s="221"/>
      <c r="P156" s="220"/>
      <c r="Q156" s="221"/>
    </row>
    <row r="158" spans="1:17">
      <c r="F158" s="62"/>
      <c r="H158" s="62"/>
      <c r="J158" s="62"/>
      <c r="L158" s="62"/>
      <c r="N158" s="62"/>
      <c r="P158" s="62"/>
    </row>
    <row r="163" spans="8:8">
      <c r="H163" s="321"/>
    </row>
    <row r="164" spans="8:8">
      <c r="H164" s="321"/>
    </row>
  </sheetData>
  <autoFilter ref="A4:Q154"/>
  <mergeCells count="80">
    <mergeCell ref="P116:P136"/>
    <mergeCell ref="P137:P145"/>
    <mergeCell ref="H2:Q2"/>
    <mergeCell ref="P5:P42"/>
    <mergeCell ref="P43:P62"/>
    <mergeCell ref="P63:P89"/>
    <mergeCell ref="P90:P99"/>
    <mergeCell ref="P101:P115"/>
    <mergeCell ref="N90:N99"/>
    <mergeCell ref="N101:N115"/>
    <mergeCell ref="N116:N136"/>
    <mergeCell ref="N137:N145"/>
    <mergeCell ref="N5:N42"/>
    <mergeCell ref="N43:N62"/>
    <mergeCell ref="N63:N89"/>
    <mergeCell ref="H137:H145"/>
    <mergeCell ref="J137:J145"/>
    <mergeCell ref="L137:L145"/>
    <mergeCell ref="H116:H136"/>
    <mergeCell ref="J116:J136"/>
    <mergeCell ref="L116:L136"/>
    <mergeCell ref="H101:H115"/>
    <mergeCell ref="J101:J115"/>
    <mergeCell ref="L101:L115"/>
    <mergeCell ref="H90:H99"/>
    <mergeCell ref="J90:J99"/>
    <mergeCell ref="L90:L99"/>
    <mergeCell ref="J43:J62"/>
    <mergeCell ref="L43:L62"/>
    <mergeCell ref="H43:H62"/>
    <mergeCell ref="H63:H89"/>
    <mergeCell ref="J63:J89"/>
    <mergeCell ref="L63:L89"/>
    <mergeCell ref="H5:H42"/>
    <mergeCell ref="J5:J42"/>
    <mergeCell ref="L5:L42"/>
    <mergeCell ref="C5:C9"/>
    <mergeCell ref="D5:D8"/>
    <mergeCell ref="C10:C29"/>
    <mergeCell ref="D10:D15"/>
    <mergeCell ref="D16:D24"/>
    <mergeCell ref="D25:D29"/>
    <mergeCell ref="C30:C42"/>
    <mergeCell ref="F5:F42"/>
    <mergeCell ref="B1:E2"/>
    <mergeCell ref="C101:C115"/>
    <mergeCell ref="F101:F115"/>
    <mergeCell ref="D108:D112"/>
    <mergeCell ref="D113:D115"/>
    <mergeCell ref="D80:D89"/>
    <mergeCell ref="D43:D51"/>
    <mergeCell ref="D52:D62"/>
    <mergeCell ref="F90:F99"/>
    <mergeCell ref="F63:F89"/>
    <mergeCell ref="C116:C136"/>
    <mergeCell ref="D116:D123"/>
    <mergeCell ref="D124:D130"/>
    <mergeCell ref="C137:C145"/>
    <mergeCell ref="D137:D145"/>
    <mergeCell ref="A5:A42"/>
    <mergeCell ref="A43:A99"/>
    <mergeCell ref="A101:A145"/>
    <mergeCell ref="F3:G3"/>
    <mergeCell ref="F137:F145"/>
    <mergeCell ref="C90:C99"/>
    <mergeCell ref="C63:C89"/>
    <mergeCell ref="C43:C62"/>
    <mergeCell ref="F43:F62"/>
    <mergeCell ref="F116:F136"/>
    <mergeCell ref="D30:D42"/>
    <mergeCell ref="D90:D94"/>
    <mergeCell ref="D131:D136"/>
    <mergeCell ref="D101:D107"/>
    <mergeCell ref="D95:D98"/>
    <mergeCell ref="D63:D79"/>
    <mergeCell ref="H3:I3"/>
    <mergeCell ref="J3:K3"/>
    <mergeCell ref="L3:M3"/>
    <mergeCell ref="N3:O3"/>
    <mergeCell ref="P3:Q3"/>
  </mergeCells>
  <pageMargins left="0.70866141732283472" right="0.70866141732283472" top="0.74803149606299213" bottom="0.74803149606299213" header="0.31496062992125984" footer="0.31496062992125984"/>
  <pageSetup scale="71" fitToHeight="2"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V50"/>
  <sheetViews>
    <sheetView showGridLines="0" tabSelected="1" zoomScale="80" zoomScaleNormal="80" workbookViewId="0">
      <pane xSplit="1" ySplit="4" topLeftCell="B5" activePane="bottomRight" state="frozen"/>
      <selection pane="topRight" activeCell="B1" sqref="B1"/>
      <selection pane="bottomLeft" activeCell="A5" sqref="A5"/>
      <selection pane="bottomRight" activeCell="S1" sqref="S1:T1"/>
    </sheetView>
  </sheetViews>
  <sheetFormatPr baseColWidth="10" defaultRowHeight="15"/>
  <cols>
    <col min="2" max="2" width="41.140625" customWidth="1"/>
    <col min="3" max="4" width="11.42578125" customWidth="1"/>
    <col min="5" max="5" width="5" customWidth="1"/>
    <col min="6" max="6" width="11.42578125" customWidth="1"/>
    <col min="7" max="7" width="11.5703125" bestFit="1" customWidth="1"/>
    <col min="8" max="8" width="5" customWidth="1"/>
    <col min="9" max="10" width="11.5703125" bestFit="1" customWidth="1"/>
    <col min="11" max="11" width="5" customWidth="1"/>
    <col min="12" max="13" width="11.5703125" bestFit="1" customWidth="1"/>
    <col min="14" max="14" width="5" customWidth="1"/>
    <col min="15" max="16" width="11.5703125" bestFit="1" customWidth="1"/>
    <col min="17" max="17" width="5" customWidth="1"/>
    <col min="18" max="18" width="11.7109375" customWidth="1"/>
    <col min="19" max="19" width="11.5703125" bestFit="1" customWidth="1"/>
    <col min="20" max="20" width="5" customWidth="1"/>
    <col min="21" max="22" width="13.140625" bestFit="1" customWidth="1"/>
  </cols>
  <sheetData>
    <row r="1" spans="1:20">
      <c r="S1" s="461" t="s">
        <v>681</v>
      </c>
      <c r="T1" s="461"/>
    </row>
    <row r="2" spans="1:20">
      <c r="F2" s="440" t="s">
        <v>554</v>
      </c>
      <c r="G2" s="441"/>
      <c r="H2" s="441"/>
      <c r="I2" s="441"/>
      <c r="J2" s="441"/>
      <c r="K2" s="441"/>
      <c r="L2" s="441"/>
      <c r="M2" s="441"/>
      <c r="N2" s="441"/>
      <c r="O2" s="441"/>
      <c r="P2" s="441"/>
      <c r="Q2" s="441"/>
      <c r="R2" s="441"/>
      <c r="S2" s="441"/>
      <c r="T2" s="441"/>
    </row>
    <row r="3" spans="1:20">
      <c r="C3" s="427">
        <v>2016</v>
      </c>
      <c r="D3" s="428"/>
      <c r="E3" s="429"/>
      <c r="F3" s="427">
        <v>2017</v>
      </c>
      <c r="G3" s="428"/>
      <c r="H3" s="429"/>
      <c r="I3" s="427">
        <v>2018</v>
      </c>
      <c r="J3" s="428"/>
      <c r="K3" s="429"/>
      <c r="L3" s="427">
        <v>2019</v>
      </c>
      <c r="M3" s="428"/>
      <c r="N3" s="429"/>
      <c r="O3" s="427">
        <v>2020</v>
      </c>
      <c r="P3" s="428"/>
      <c r="Q3" s="429"/>
      <c r="R3" s="439">
        <v>2021</v>
      </c>
      <c r="S3" s="439"/>
      <c r="T3" s="439"/>
    </row>
    <row r="4" spans="1:20">
      <c r="A4" s="280" t="s">
        <v>644</v>
      </c>
      <c r="B4" s="280" t="s">
        <v>664</v>
      </c>
      <c r="C4" s="280" t="s">
        <v>652</v>
      </c>
      <c r="D4" s="427" t="s">
        <v>653</v>
      </c>
      <c r="E4" s="429"/>
      <c r="F4" s="280" t="s">
        <v>652</v>
      </c>
      <c r="G4" s="427" t="s">
        <v>653</v>
      </c>
      <c r="H4" s="429"/>
      <c r="I4" s="280" t="s">
        <v>652</v>
      </c>
      <c r="J4" s="427" t="s">
        <v>653</v>
      </c>
      <c r="K4" s="429"/>
      <c r="L4" s="280" t="s">
        <v>652</v>
      </c>
      <c r="M4" s="427" t="s">
        <v>653</v>
      </c>
      <c r="N4" s="429"/>
      <c r="O4" s="280" t="s">
        <v>652</v>
      </c>
      <c r="P4" s="427" t="s">
        <v>653</v>
      </c>
      <c r="Q4" s="429"/>
      <c r="R4" s="280" t="s">
        <v>652</v>
      </c>
      <c r="S4" s="469" t="s">
        <v>653</v>
      </c>
      <c r="T4" s="469"/>
    </row>
    <row r="5" spans="1:20" ht="30">
      <c r="A5" s="443" t="s">
        <v>645</v>
      </c>
      <c r="B5" s="276" t="s">
        <v>0</v>
      </c>
      <c r="C5" s="277">
        <v>0</v>
      </c>
      <c r="D5" s="423">
        <f>+Detalle!G6+Detalle!G8+Detalle!G9</f>
        <v>100</v>
      </c>
      <c r="E5" s="424"/>
      <c r="F5" s="277">
        <v>0</v>
      </c>
      <c r="G5" s="423">
        <f>+Detalle!I6+Detalle!I8+Detalle!I9</f>
        <v>107</v>
      </c>
      <c r="H5" s="424"/>
      <c r="I5" s="277">
        <v>0</v>
      </c>
      <c r="J5" s="423">
        <f>+Detalle!K6+Detalle!K8+Detalle!K9</f>
        <v>114.49000000000001</v>
      </c>
      <c r="K5" s="424"/>
      <c r="L5" s="277">
        <v>0</v>
      </c>
      <c r="M5" s="423">
        <f>+Detalle!M6+Detalle!M8+Detalle!M9</f>
        <v>122.50430000000001</v>
      </c>
      <c r="N5" s="424"/>
      <c r="O5" s="277">
        <v>0</v>
      </c>
      <c r="P5" s="423">
        <f>+Detalle!O6+Detalle!O8+Detalle!O9</f>
        <v>131.07960100000003</v>
      </c>
      <c r="Q5" s="424"/>
      <c r="R5" s="277">
        <v>0</v>
      </c>
      <c r="S5" s="422">
        <f>+Detalle!Q6+Detalle!Q8+Detalle!Q9</f>
        <v>140.25517307000004</v>
      </c>
      <c r="T5" s="422"/>
    </row>
    <row r="6" spans="1:20">
      <c r="A6" s="443"/>
      <c r="B6" s="278" t="s">
        <v>659</v>
      </c>
      <c r="C6" s="277">
        <v>0</v>
      </c>
      <c r="D6" s="423">
        <f>+Detalle!G11+Detalle!G14+Detalle!G15+Detalle!G17+Detalle!G19+Detalle!G20+Detalle!G22+Detalle!G24+Detalle!G28+Detalle!G29</f>
        <v>531</v>
      </c>
      <c r="E6" s="424"/>
      <c r="F6" s="277">
        <v>0</v>
      </c>
      <c r="G6" s="423">
        <f>+Detalle!I11+Detalle!I14+Detalle!I15+Detalle!I17+Detalle!I19+Detalle!I20+Detalle!I22+Detalle!I24+Detalle!I28+Detalle!I29</f>
        <v>623.18294680000008</v>
      </c>
      <c r="H6" s="424"/>
      <c r="I6" s="277">
        <v>0</v>
      </c>
      <c r="J6" s="423">
        <f>+Detalle!K11+Detalle!K14+Detalle!K15+Detalle!K17+Detalle!K19+Detalle!K20+Detalle!K22+Detalle!K24+Detalle!K28+Detalle!K29</f>
        <v>676.27802369120013</v>
      </c>
      <c r="K6" s="424"/>
      <c r="L6" s="277">
        <v>0</v>
      </c>
      <c r="M6" s="423">
        <f>+Detalle!M11+Detalle!M14+Detalle!M15+Detalle!M17+Detalle!M19+Detalle!M20+Detalle!M22+Detalle!M24+Detalle!M28+Detalle!M29</f>
        <v>1189.8426450297284</v>
      </c>
      <c r="N6" s="424"/>
      <c r="O6" s="277">
        <v>0</v>
      </c>
      <c r="P6" s="423">
        <f>+Detalle!O11+Detalle!O14+Detalle!O15+Detalle!O17+Detalle!O19+Detalle!O20+Detalle!O22+Detalle!O24+Detalle!O28+Detalle!O29</f>
        <v>947.78755136153472</v>
      </c>
      <c r="Q6" s="424"/>
      <c r="R6" s="277">
        <v>0</v>
      </c>
      <c r="S6" s="422">
        <f>+Detalle!Q11+Detalle!Q14+Detalle!Q15+Detalle!Q17+Detalle!Q19+Detalle!Q20+Detalle!Q22+Detalle!Q24+Detalle!Q28+Detalle!Q29</f>
        <v>840.07359778799525</v>
      </c>
      <c r="T6" s="422"/>
    </row>
    <row r="7" spans="1:20" ht="15.75" thickBot="1">
      <c r="A7" s="443"/>
      <c r="B7" s="278" t="s">
        <v>21</v>
      </c>
      <c r="C7" s="279">
        <v>0</v>
      </c>
      <c r="D7" s="423">
        <f>+Detalle!G37+Detalle!G42</f>
        <v>113660</v>
      </c>
      <c r="E7" s="424"/>
      <c r="F7" s="279">
        <v>0</v>
      </c>
      <c r="G7" s="447">
        <f>+Detalle!I37+Detalle!I42</f>
        <v>127909.95999999999</v>
      </c>
      <c r="H7" s="448"/>
      <c r="I7" s="279">
        <v>0</v>
      </c>
      <c r="J7" s="447">
        <f>+Detalle!K37+Detalle!K42</f>
        <v>142248.31664</v>
      </c>
      <c r="K7" s="448"/>
      <c r="L7" s="279">
        <v>0</v>
      </c>
      <c r="M7" s="447">
        <f>+Detalle!M37+Detalle!M42</f>
        <v>157277.84342220001</v>
      </c>
      <c r="N7" s="448"/>
      <c r="O7" s="279">
        <v>0</v>
      </c>
      <c r="P7" s="447">
        <f>+Detalle!O37+Detalle!O42</f>
        <v>172893.73076005004</v>
      </c>
      <c r="Q7" s="448"/>
      <c r="R7" s="279">
        <v>0</v>
      </c>
      <c r="S7" s="422">
        <f>+Detalle!Q37+Detalle!Q42</f>
        <v>189667.07678992677</v>
      </c>
      <c r="T7" s="422"/>
    </row>
    <row r="8" spans="1:20" ht="15.75" thickTop="1">
      <c r="A8" s="442" t="s">
        <v>662</v>
      </c>
      <c r="B8" s="442"/>
      <c r="C8" s="297">
        <f t="shared" ref="C8:F8" si="0">SUM(C5:C7)</f>
        <v>0</v>
      </c>
      <c r="D8" s="445">
        <f t="shared" si="0"/>
        <v>114291</v>
      </c>
      <c r="E8" s="446"/>
      <c r="F8" s="297">
        <f t="shared" si="0"/>
        <v>0</v>
      </c>
      <c r="G8" s="432">
        <f>SUM(G5:G7)</f>
        <v>128640.1429468</v>
      </c>
      <c r="H8" s="433"/>
      <c r="I8" s="297">
        <f t="shared" ref="I8:S8" si="1">SUM(I5:I7)</f>
        <v>0</v>
      </c>
      <c r="J8" s="432">
        <f t="shared" si="1"/>
        <v>143039.0846636912</v>
      </c>
      <c r="K8" s="433"/>
      <c r="L8" s="297">
        <f t="shared" si="1"/>
        <v>0</v>
      </c>
      <c r="M8" s="432">
        <f t="shared" si="1"/>
        <v>158590.19036722975</v>
      </c>
      <c r="N8" s="433"/>
      <c r="O8" s="297">
        <f t="shared" si="1"/>
        <v>0</v>
      </c>
      <c r="P8" s="432">
        <f t="shared" si="1"/>
        <v>173972.59791241158</v>
      </c>
      <c r="Q8" s="433"/>
      <c r="R8" s="297">
        <f t="shared" si="1"/>
        <v>0</v>
      </c>
      <c r="S8" s="466">
        <f t="shared" si="1"/>
        <v>190647.40556078477</v>
      </c>
      <c r="T8" s="466"/>
    </row>
    <row r="9" spans="1:20">
      <c r="A9" s="443" t="s">
        <v>646</v>
      </c>
      <c r="B9" s="278" t="s">
        <v>426</v>
      </c>
      <c r="C9" s="277">
        <f ca="1">+Detalle!F43</f>
        <v>159472.26898362499</v>
      </c>
      <c r="D9" s="423">
        <f>+Detalle!G49+Detalle!G51+Detalle!G58+Detalle!G61+Detalle!G62</f>
        <v>12639</v>
      </c>
      <c r="E9" s="424"/>
      <c r="F9" s="277">
        <f ca="1">+Detalle!H43</f>
        <v>185442.08336157902</v>
      </c>
      <c r="G9" s="423">
        <f>+Detalle!I49+Detalle!I51+Detalle!I58+Detalle!I61+Detalle!I62</f>
        <v>14732.919999999998</v>
      </c>
      <c r="H9" s="424"/>
      <c r="I9" s="277">
        <f ca="1">+Detalle!J43</f>
        <v>214918.76862171138</v>
      </c>
      <c r="J9" s="423">
        <f>+Detalle!K49+Detalle!K51+Detalle!K58+Detalle!K61+Detalle!K62</f>
        <v>18777.972399999999</v>
      </c>
      <c r="K9" s="424"/>
      <c r="L9" s="277">
        <f ca="1">+Detalle!L43</f>
        <v>246602.62688603459</v>
      </c>
      <c r="M9" s="423">
        <f>+Detalle!M49+Detalle!M51+Detalle!M58+Detalle!M61+Detalle!M62</f>
        <v>23380.783060000005</v>
      </c>
      <c r="N9" s="424"/>
      <c r="O9" s="277">
        <f ca="1">+Detalle!N43</f>
        <v>277650.31409633945</v>
      </c>
      <c r="P9" s="423">
        <f>+Detalle!O49+Detalle!O51+Detalle!O58+Detalle!O61+Detalle!O62</f>
        <v>28521.556569880006</v>
      </c>
      <c r="Q9" s="424"/>
      <c r="R9" s="277">
        <f ca="1">+Detalle!P43</f>
        <v>310645.26142244803</v>
      </c>
      <c r="S9" s="422">
        <f>+Detalle!Q49+Detalle!Q51+Detalle!Q58+Detalle!Q61+Detalle!Q62</f>
        <v>33422.483373278803</v>
      </c>
      <c r="T9" s="422"/>
    </row>
    <row r="10" spans="1:20" ht="15.75" thickBot="1">
      <c r="A10" s="443"/>
      <c r="B10" s="282" t="s">
        <v>34</v>
      </c>
      <c r="C10" s="279">
        <f>+Detalle!F63</f>
        <v>999.10142299999995</v>
      </c>
      <c r="D10" s="450">
        <v>5055</v>
      </c>
      <c r="E10" s="451"/>
      <c r="F10" s="279">
        <f ca="1">+Detalle!H63</f>
        <v>1069.03852261</v>
      </c>
      <c r="G10" s="434">
        <f>+D10*(1+'PRESUPUESTO Proy 2016-021 $MM'!O273)</f>
        <v>5601.6584206831303</v>
      </c>
      <c r="H10" s="435"/>
      <c r="I10" s="279">
        <f ca="1">+Detalle!J63</f>
        <v>1122.4904487405001</v>
      </c>
      <c r="J10" s="434">
        <f>+G10*(1+'PRESUPUESTO Proy 2016-021 $MM'!Q273)</f>
        <v>6592.8667723407989</v>
      </c>
      <c r="K10" s="435"/>
      <c r="L10" s="279">
        <f ca="1">+Detalle!L63</f>
        <v>1167.39006669012</v>
      </c>
      <c r="M10" s="434">
        <f>+J10*(1+'PRESUPUESTO Proy 2016-021 $MM'!S273)</f>
        <v>7953.14548840934</v>
      </c>
      <c r="N10" s="435"/>
      <c r="O10" s="279">
        <f ca="1">+Detalle!N63</f>
        <v>1214.0856693577248</v>
      </c>
      <c r="P10" s="434">
        <f>+M10*(1+'PRESUPUESTO Proy 2016-021 $MM'!U273)</f>
        <v>9269.0683820715476</v>
      </c>
      <c r="Q10" s="435"/>
      <c r="R10" s="279">
        <f ca="1">+Detalle!P63</f>
        <v>1262.6490961320339</v>
      </c>
      <c r="S10" s="463">
        <f>+P10*(1+'PRESUPUESTO Proy 2016-021 $MM'!W273)</f>
        <v>10685.25708506786</v>
      </c>
      <c r="T10" s="463"/>
    </row>
    <row r="11" spans="1:20" ht="15.75" thickBot="1">
      <c r="A11" s="444"/>
      <c r="B11" s="286" t="s">
        <v>667</v>
      </c>
      <c r="C11" s="287"/>
      <c r="D11" s="452">
        <f>4825697/1000</f>
        <v>4825.6970000000001</v>
      </c>
      <c r="E11" s="453"/>
      <c r="F11" s="287"/>
      <c r="G11" s="452">
        <f>D11*(1+11%)</f>
        <v>5356.5236700000005</v>
      </c>
      <c r="H11" s="453"/>
      <c r="I11" s="287"/>
      <c r="J11" s="452">
        <f>G11*(1+8.6%)</f>
        <v>5817.1847056200013</v>
      </c>
      <c r="K11" s="453"/>
      <c r="L11" s="287"/>
      <c r="M11" s="452">
        <f>J11*(1+8%)</f>
        <v>6282.5594820696015</v>
      </c>
      <c r="N11" s="453"/>
      <c r="O11" s="287"/>
      <c r="P11" s="452">
        <f>+M11*(1+7.5%)</f>
        <v>6753.7514432248217</v>
      </c>
      <c r="Q11" s="454"/>
      <c r="R11" s="287"/>
      <c r="S11" s="464">
        <f>+P11*(1+7.5%)</f>
        <v>7260.2828014666829</v>
      </c>
      <c r="T11" s="465"/>
    </row>
    <row r="12" spans="1:20" ht="15.75" thickBot="1">
      <c r="A12" s="443"/>
      <c r="B12" s="283" t="s">
        <v>42</v>
      </c>
      <c r="C12" s="284">
        <f>+Detalle!F90</f>
        <v>7202.2080461199985</v>
      </c>
      <c r="D12" s="436">
        <f>+Detalle!G90+Detalle!G91+Detalle!G94+Detalle!G95+Detalle!G96+Detalle!G97+Detalle!G98+Detalle!G99</f>
        <v>1356</v>
      </c>
      <c r="E12" s="437"/>
      <c r="F12" s="284">
        <f>+Detalle!H90</f>
        <v>7836.2814930019995</v>
      </c>
      <c r="G12" s="436">
        <f>+Detalle!I90+Detalle!I91+Detalle!I94+Detalle!I95+Detalle!I96+Detalle!I97+Detalle!I98+Detalle!I99</f>
        <v>1483.3500000000001</v>
      </c>
      <c r="H12" s="437"/>
      <c r="I12" s="284">
        <f>+Detalle!J90</f>
        <v>8466.3443876837009</v>
      </c>
      <c r="J12" s="436">
        <f>+Detalle!K90+Detalle!K91+Detalle!K94+Detalle!K95+Detalle!K96+Detalle!K97+Detalle!K98+Detalle!K99</f>
        <v>1600.2646</v>
      </c>
      <c r="K12" s="437"/>
      <c r="L12" s="284">
        <f>+Detalle!L90</f>
        <v>9119.5049026327615</v>
      </c>
      <c r="M12" s="436">
        <f>+Detalle!M90+Detalle!M91+Detalle!M94+Detalle!M95+Detalle!M96+Detalle!M97+Detalle!M98+Detalle!M99</f>
        <v>1712.2831220000003</v>
      </c>
      <c r="N12" s="437"/>
      <c r="O12" s="284">
        <f>+Detalle!N90</f>
        <v>9830.239420893955</v>
      </c>
      <c r="P12" s="436">
        <f>+Detalle!O90+Detalle!O91+Detalle!O94+Detalle!O95+Detalle!O96+Detalle!O97+Detalle!O98+Detalle!O99</f>
        <v>1832.1429405400004</v>
      </c>
      <c r="Q12" s="437"/>
      <c r="R12" s="284">
        <f>+Detalle!P90</f>
        <v>10599.787789292986</v>
      </c>
      <c r="S12" s="467">
        <f>+Detalle!Q90+Detalle!Q91+Detalle!Q94+Detalle!Q95+Detalle!Q96+Detalle!Q97+Detalle!Q98+Detalle!Q99</f>
        <v>1960.3929463778002</v>
      </c>
      <c r="T12" s="468"/>
    </row>
    <row r="13" spans="1:20" ht="15.75" thickTop="1">
      <c r="A13" s="442" t="s">
        <v>663</v>
      </c>
      <c r="B13" s="442"/>
      <c r="C13" s="297">
        <f ca="1">+C9+C10+C12</f>
        <v>167673.57845274499</v>
      </c>
      <c r="D13" s="432">
        <f t="shared" ref="D13:S13" si="2">+D9+D10+D12</f>
        <v>19050</v>
      </c>
      <c r="E13" s="433"/>
      <c r="F13" s="297">
        <f t="shared" ca="1" si="2"/>
        <v>194347.40337719102</v>
      </c>
      <c r="G13" s="432">
        <f t="shared" si="2"/>
        <v>21817.928420683129</v>
      </c>
      <c r="H13" s="433"/>
      <c r="I13" s="297">
        <f t="shared" ca="1" si="2"/>
        <v>224507.60345813559</v>
      </c>
      <c r="J13" s="432">
        <f t="shared" si="2"/>
        <v>26971.103772340797</v>
      </c>
      <c r="K13" s="433"/>
      <c r="L13" s="297">
        <f t="shared" ca="1" si="2"/>
        <v>256889.52185535748</v>
      </c>
      <c r="M13" s="432">
        <f t="shared" si="2"/>
        <v>33046.211670409342</v>
      </c>
      <c r="N13" s="433"/>
      <c r="O13" s="297">
        <f t="shared" ca="1" si="2"/>
        <v>288694.63918659114</v>
      </c>
      <c r="P13" s="432">
        <f t="shared" si="2"/>
        <v>39622.767892491553</v>
      </c>
      <c r="Q13" s="433"/>
      <c r="R13" s="297">
        <f t="shared" ca="1" si="2"/>
        <v>322507.69830787304</v>
      </c>
      <c r="S13" s="466">
        <f t="shared" si="2"/>
        <v>46068.13340472446</v>
      </c>
      <c r="T13" s="466"/>
    </row>
    <row r="14" spans="1:20" ht="25.5" customHeight="1">
      <c r="A14" s="443" t="s">
        <v>661</v>
      </c>
      <c r="B14" s="278" t="s">
        <v>647</v>
      </c>
      <c r="C14" s="277">
        <f>+Detalle!F101</f>
        <v>0</v>
      </c>
      <c r="D14" s="423">
        <f>+Detalle!G101+Detalle!G104+Detalle!G107+Detalle!G112+Detalle!G115</f>
        <v>108</v>
      </c>
      <c r="E14" s="424"/>
      <c r="F14" s="277">
        <f>+Detalle!H101</f>
        <v>0</v>
      </c>
      <c r="G14" s="423">
        <f>+Detalle!I101+Detalle!I104+Detalle!I107+Detalle!I112+Detalle!I115</f>
        <v>118.65</v>
      </c>
      <c r="H14" s="424"/>
      <c r="I14" s="277">
        <f>+Detalle!J101</f>
        <v>0</v>
      </c>
      <c r="J14" s="423">
        <f>+Detalle!K101+Detalle!K104+Detalle!K107+Detalle!K112+Detalle!K115</f>
        <v>128.20180000000002</v>
      </c>
      <c r="K14" s="424"/>
      <c r="L14" s="277">
        <f>+Detalle!L101</f>
        <v>0</v>
      </c>
      <c r="M14" s="423">
        <f>+Detalle!M101+Detalle!M104+Detalle!M107+Detalle!M112+Detalle!M115</f>
        <v>137.175926</v>
      </c>
      <c r="N14" s="424"/>
      <c r="O14" s="277">
        <f>+Detalle!N101</f>
        <v>0</v>
      </c>
      <c r="P14" s="423">
        <f>+Detalle!O101+Detalle!O104+Detalle!O107+Detalle!O112+Detalle!O115</f>
        <v>146.77824082000001</v>
      </c>
      <c r="Q14" s="424"/>
      <c r="R14" s="277">
        <f>+Detalle!P101</f>
        <v>0</v>
      </c>
      <c r="S14" s="422">
        <f>+Detalle!Q101+Detalle!Q104+Detalle!Q107+Detalle!Q112+Detalle!Q115</f>
        <v>157.05271767740004</v>
      </c>
      <c r="T14" s="422"/>
    </row>
    <row r="15" spans="1:20" ht="21.75" customHeight="1" thickBot="1">
      <c r="A15" s="443"/>
      <c r="B15" s="282" t="s">
        <v>62</v>
      </c>
      <c r="C15" s="279">
        <f>+Detalle!F116</f>
        <v>0</v>
      </c>
      <c r="D15" s="450">
        <v>6807</v>
      </c>
      <c r="E15" s="451"/>
      <c r="F15" s="279">
        <f>+Detalle!H116</f>
        <v>0</v>
      </c>
      <c r="G15" s="434">
        <f>+D15*(1+'PRESUPUESTO Proy 2016-021 $MM'!O275)</f>
        <v>7351.56</v>
      </c>
      <c r="H15" s="435"/>
      <c r="I15" s="279">
        <f>+Detalle!J116</f>
        <v>0</v>
      </c>
      <c r="J15" s="434">
        <f>+G15*(1+'PRESUPUESTO Proy 2016-021 $MM'!Q275)</f>
        <v>7939.6848000000009</v>
      </c>
      <c r="K15" s="435"/>
      <c r="L15" s="279">
        <f>+Detalle!L116</f>
        <v>0</v>
      </c>
      <c r="M15" s="434">
        <f>+J15*(1+'PRESUPUESTO Proy 2016-021 $MM'!S275)</f>
        <v>8495.4627360000013</v>
      </c>
      <c r="N15" s="435"/>
      <c r="O15" s="279">
        <f>+Detalle!N116</f>
        <v>0</v>
      </c>
      <c r="P15" s="434">
        <f>+M15*(1+'PRESUPUESTO Proy 2016-021 $MM'!U275)</f>
        <v>9090.1451275200016</v>
      </c>
      <c r="Q15" s="435"/>
      <c r="R15" s="279">
        <f>+Detalle!P116</f>
        <v>0</v>
      </c>
      <c r="S15" s="463">
        <f>+P15*(1+'PRESUPUESTO Proy 2016-021 $MM'!W275)</f>
        <v>9726.4552864464022</v>
      </c>
      <c r="T15" s="463"/>
    </row>
    <row r="16" spans="1:20" ht="15.75" thickBot="1">
      <c r="A16" s="444"/>
      <c r="B16" s="286" t="s">
        <v>668</v>
      </c>
      <c r="C16" s="287"/>
      <c r="D16" s="452">
        <f>1583891/1000</f>
        <v>1583.8910000000001</v>
      </c>
      <c r="E16" s="453"/>
      <c r="F16" s="287"/>
      <c r="G16" s="452">
        <f>+D16*(1+11%)</f>
        <v>1758.1190100000003</v>
      </c>
      <c r="H16" s="453"/>
      <c r="I16" s="287"/>
      <c r="J16" s="452">
        <f>+G16*(1+8.6%)</f>
        <v>1909.3172448600005</v>
      </c>
      <c r="K16" s="453"/>
      <c r="L16" s="287"/>
      <c r="M16" s="452">
        <f>+J16*(1+8%)</f>
        <v>2062.0626244488008</v>
      </c>
      <c r="N16" s="453"/>
      <c r="O16" s="287"/>
      <c r="P16" s="452">
        <f>+M16*(1+7.5%)</f>
        <v>2216.7173212824609</v>
      </c>
      <c r="Q16" s="454"/>
      <c r="R16" s="287"/>
      <c r="S16" s="464">
        <f>+P16*(1+7.5%)</f>
        <v>2382.9711203786455</v>
      </c>
      <c r="T16" s="465"/>
    </row>
    <row r="17" spans="1:22" ht="21" customHeight="1" thickBot="1">
      <c r="A17" s="443"/>
      <c r="B17" s="283" t="s">
        <v>660</v>
      </c>
      <c r="C17" s="284">
        <f>+Detalle!F137</f>
        <v>0</v>
      </c>
      <c r="D17" s="436">
        <f>+Detalle!G138+Detalle!G140+Detalle!G142+Detalle!G144+Detalle!G145</f>
        <v>1900</v>
      </c>
      <c r="E17" s="437"/>
      <c r="F17" s="284">
        <f>+Detalle!H137</f>
        <v>0</v>
      </c>
      <c r="G17" s="436">
        <f>+Detalle!I138+Detalle!I140+Detalle!I142+Detalle!I144+Detalle!I145</f>
        <v>1980</v>
      </c>
      <c r="H17" s="437"/>
      <c r="I17" s="284">
        <f>+Detalle!J137</f>
        <v>0</v>
      </c>
      <c r="J17" s="436">
        <f>+Detalle!K138+Detalle!K140+Detalle!K142+Detalle!K144+Detalle!K145</f>
        <v>2051.2799999999997</v>
      </c>
      <c r="K17" s="437"/>
      <c r="L17" s="284">
        <f>+Detalle!L137</f>
        <v>0</v>
      </c>
      <c r="M17" s="436">
        <f>+Detalle!M138+Detalle!M140+Detalle!M142+Detalle!M144+Detalle!M145</f>
        <v>2117.8696</v>
      </c>
      <c r="N17" s="437"/>
      <c r="O17" s="284">
        <f>+Detalle!N137</f>
        <v>0</v>
      </c>
      <c r="P17" s="436">
        <f>+Detalle!O138+Detalle!O140+Detalle!O142+Detalle!O144+Detalle!O145</f>
        <v>2189.1204720000001</v>
      </c>
      <c r="Q17" s="437"/>
      <c r="R17" s="284">
        <f>+Detalle!P137</f>
        <v>0</v>
      </c>
      <c r="S17" s="457">
        <f>+Detalle!Q138+Detalle!Q140+Detalle!Q142+Detalle!Q144+Detalle!Q145</f>
        <v>2265.3589050400001</v>
      </c>
      <c r="T17" s="457"/>
    </row>
    <row r="18" spans="1:22" ht="15.75" thickTop="1">
      <c r="A18" s="442" t="s">
        <v>665</v>
      </c>
      <c r="B18" s="442"/>
      <c r="C18" s="297">
        <f>+C14+C15+C17</f>
        <v>0</v>
      </c>
      <c r="D18" s="432">
        <f t="shared" ref="D18:S18" si="3">+D14+D15+D17</f>
        <v>8815</v>
      </c>
      <c r="E18" s="433"/>
      <c r="F18" s="297">
        <f t="shared" si="3"/>
        <v>0</v>
      </c>
      <c r="G18" s="432">
        <f t="shared" si="3"/>
        <v>9450.2099999999991</v>
      </c>
      <c r="H18" s="433"/>
      <c r="I18" s="297">
        <f t="shared" si="3"/>
        <v>0</v>
      </c>
      <c r="J18" s="432">
        <f t="shared" si="3"/>
        <v>10119.1666</v>
      </c>
      <c r="K18" s="433"/>
      <c r="L18" s="297">
        <f t="shared" si="3"/>
        <v>0</v>
      </c>
      <c r="M18" s="432">
        <f t="shared" si="3"/>
        <v>10750.508262000001</v>
      </c>
      <c r="N18" s="433"/>
      <c r="O18" s="297">
        <f t="shared" si="3"/>
        <v>0</v>
      </c>
      <c r="P18" s="432">
        <f t="shared" si="3"/>
        <v>11426.043840340002</v>
      </c>
      <c r="Q18" s="433"/>
      <c r="R18" s="297">
        <f t="shared" si="3"/>
        <v>0</v>
      </c>
      <c r="S18" s="466">
        <f t="shared" si="3"/>
        <v>12148.866909163802</v>
      </c>
      <c r="T18" s="466"/>
    </row>
    <row r="19" spans="1:22" s="290" customFormat="1">
      <c r="A19" s="288"/>
      <c r="B19" s="288"/>
      <c r="C19" s="289"/>
      <c r="D19" s="319"/>
      <c r="E19" s="319"/>
      <c r="F19" s="289"/>
      <c r="G19" s="319"/>
      <c r="H19" s="319"/>
      <c r="I19" s="289"/>
      <c r="J19" s="319"/>
      <c r="K19" s="319"/>
      <c r="L19" s="289"/>
      <c r="M19" s="319"/>
      <c r="N19" s="319"/>
      <c r="O19" s="289"/>
      <c r="P19" s="319"/>
      <c r="Q19" s="319"/>
      <c r="R19" s="289"/>
      <c r="S19" s="319"/>
      <c r="T19" s="319"/>
    </row>
    <row r="20" spans="1:22" s="290" customFormat="1">
      <c r="A20" s="288"/>
      <c r="B20" s="288"/>
      <c r="C20" s="289"/>
      <c r="D20" s="319"/>
      <c r="E20" s="319"/>
      <c r="F20" s="289"/>
      <c r="G20" s="319"/>
      <c r="H20" s="319"/>
      <c r="I20" s="289"/>
      <c r="J20" s="319"/>
      <c r="K20" s="319"/>
      <c r="L20" s="289"/>
      <c r="M20" s="319"/>
      <c r="N20" s="319"/>
      <c r="O20" s="289"/>
      <c r="P20" s="319"/>
      <c r="Q20" s="319"/>
      <c r="R20" s="289"/>
      <c r="S20" s="319"/>
      <c r="T20" s="319"/>
      <c r="U20" s="449" t="s">
        <v>666</v>
      </c>
      <c r="V20" s="449"/>
    </row>
    <row r="21" spans="1:22" s="290" customFormat="1" ht="15.75" thickBot="1">
      <c r="A21" s="288"/>
      <c r="B21" s="288"/>
      <c r="C21" s="289"/>
      <c r="D21" s="289"/>
      <c r="E21" s="289"/>
      <c r="F21" s="289"/>
      <c r="G21" s="289"/>
      <c r="H21" s="289"/>
      <c r="I21" s="289"/>
      <c r="J21" s="289"/>
      <c r="K21" s="289"/>
      <c r="L21" s="289"/>
      <c r="M21" s="289"/>
      <c r="N21" s="289"/>
      <c r="O21" s="289"/>
      <c r="P21" s="289"/>
      <c r="Q21" s="289"/>
      <c r="R21" s="289"/>
      <c r="S21" s="289"/>
      <c r="U21" s="298" t="s">
        <v>652</v>
      </c>
      <c r="V21" s="298" t="s">
        <v>653</v>
      </c>
    </row>
    <row r="22" spans="1:22" s="290" customFormat="1" ht="15.75" thickBot="1">
      <c r="B22" s="296" t="s">
        <v>688</v>
      </c>
      <c r="C22" s="291">
        <f ca="1">+C8+C13+C18</f>
        <v>167673.57845274499</v>
      </c>
      <c r="D22" s="291">
        <f t="shared" ref="D22:S22" si="4">+D8+D13+D18</f>
        <v>142156</v>
      </c>
      <c r="E22" s="304">
        <f>+D22/$D$27</f>
        <v>0.65366221155929494</v>
      </c>
      <c r="F22" s="291">
        <f t="shared" ca="1" si="4"/>
        <v>194347.40337719102</v>
      </c>
      <c r="G22" s="291">
        <f t="shared" si="4"/>
        <v>159908.28136748311</v>
      </c>
      <c r="H22" s="304">
        <f>+G22/$G$27</f>
        <v>0.67725318149085745</v>
      </c>
      <c r="I22" s="291">
        <f t="shared" ca="1" si="4"/>
        <v>224507.60345813559</v>
      </c>
      <c r="J22" s="291">
        <f t="shared" si="4"/>
        <v>180129.35503603201</v>
      </c>
      <c r="K22" s="304">
        <f>+J22/$J$27</f>
        <v>0.6151027053735374</v>
      </c>
      <c r="L22" s="291">
        <f t="shared" ca="1" si="4"/>
        <v>256889.52185535748</v>
      </c>
      <c r="M22" s="291">
        <f t="shared" si="4"/>
        <v>202386.91029963907</v>
      </c>
      <c r="N22" s="304">
        <f>+M22/$M$27</f>
        <v>0.77735903710755161</v>
      </c>
      <c r="O22" s="291">
        <f t="shared" ca="1" si="4"/>
        <v>288694.63918659114</v>
      </c>
      <c r="P22" s="291">
        <f t="shared" si="4"/>
        <v>225021.40964524314</v>
      </c>
      <c r="Q22" s="304">
        <f>+P22/$P$27</f>
        <v>0.84452466603013354</v>
      </c>
      <c r="R22" s="291">
        <f t="shared" ca="1" si="4"/>
        <v>322507.69830787304</v>
      </c>
      <c r="S22" s="292">
        <f t="shared" si="4"/>
        <v>248864.40587467302</v>
      </c>
      <c r="T22" s="313">
        <f>+S22/$S$27</f>
        <v>0.88382549348058714</v>
      </c>
      <c r="U22" s="294">
        <f ca="1">+C22+F22+I22+L22+O22+R22</f>
        <v>1454620.4446378932</v>
      </c>
      <c r="V22" s="316">
        <f>+D22+G22+J22+M22+P22+S22</f>
        <v>1158466.3622230703</v>
      </c>
    </row>
    <row r="23" spans="1:22" ht="15.75" thickBot="1">
      <c r="C23" s="274"/>
      <c r="D23" s="307"/>
      <c r="E23" s="307"/>
      <c r="F23" s="307"/>
      <c r="G23" s="307"/>
      <c r="H23" s="307"/>
      <c r="I23" s="307"/>
      <c r="J23" s="307"/>
      <c r="K23" s="307"/>
      <c r="L23" s="307"/>
      <c r="M23" s="307"/>
      <c r="N23" s="307"/>
      <c r="O23" s="307"/>
      <c r="P23" s="307"/>
      <c r="Q23" s="307"/>
      <c r="R23" s="307"/>
      <c r="S23" s="307"/>
      <c r="T23" s="307"/>
    </row>
    <row r="24" spans="1:22">
      <c r="B24" s="300" t="s">
        <v>672</v>
      </c>
      <c r="C24" s="301">
        <f>+Detalle!F148</f>
        <v>0</v>
      </c>
      <c r="D24" s="301">
        <f>+D50</f>
        <v>58668</v>
      </c>
      <c r="E24" s="305">
        <f>+D24/$D$27</f>
        <v>0.26976740079743883</v>
      </c>
      <c r="F24" s="301">
        <f>+Detalle!H148</f>
        <v>0</v>
      </c>
      <c r="G24" s="301">
        <f>+G50</f>
        <v>58214.720000000001</v>
      </c>
      <c r="H24" s="305">
        <f>+G24/$G$27</f>
        <v>0.24655448731260415</v>
      </c>
      <c r="I24" s="301">
        <f>+Detalle!J148</f>
        <v>0</v>
      </c>
      <c r="J24" s="301">
        <f>+J50</f>
        <v>93646</v>
      </c>
      <c r="K24" s="305">
        <f>+J24/$J$27</f>
        <v>0.31978079273024623</v>
      </c>
      <c r="L24" s="301">
        <f>+Detalle!L148</f>
        <v>0</v>
      </c>
      <c r="M24" s="301">
        <f>+M50</f>
        <v>37751</v>
      </c>
      <c r="N24" s="305">
        <f>+M24/$M$27</f>
        <v>0.14499989631937929</v>
      </c>
      <c r="O24" s="301">
        <f>+Detalle!N148</f>
        <v>0</v>
      </c>
      <c r="P24" s="301">
        <f>+P50</f>
        <v>20000</v>
      </c>
      <c r="Q24" s="305">
        <f>+P24/$P$27</f>
        <v>7.5061716781666815E-2</v>
      </c>
      <c r="R24" s="301">
        <f>+Detalle!P148</f>
        <v>0</v>
      </c>
      <c r="S24" s="301">
        <f>+S50</f>
        <v>10000</v>
      </c>
      <c r="T24" s="314">
        <f>+S24/$S$27</f>
        <v>3.5514339239243305E-2</v>
      </c>
      <c r="U24" s="301">
        <f>+C24+F24+I24+L24+O24+R24</f>
        <v>0</v>
      </c>
      <c r="V24" s="317">
        <f>+D24+G24+J24+M24+P24+S24</f>
        <v>278279.71999999997</v>
      </c>
    </row>
    <row r="25" spans="1:22" ht="15.75" thickBot="1">
      <c r="B25" s="302" t="s">
        <v>673</v>
      </c>
      <c r="C25" s="303">
        <v>9803</v>
      </c>
      <c r="D25" s="303">
        <f>16702.24-50</f>
        <v>16652.240000000002</v>
      </c>
      <c r="E25" s="306">
        <f>+D25/$D$27</f>
        <v>7.6570387643266236E-2</v>
      </c>
      <c r="F25" s="303">
        <f>+Detalle!H152</f>
        <v>11361.239554525597</v>
      </c>
      <c r="G25" s="303">
        <f>18043-53</f>
        <v>17990</v>
      </c>
      <c r="H25" s="306">
        <f>+G25/$G$27</f>
        <v>7.6192331196538413E-2</v>
      </c>
      <c r="I25" s="303">
        <f>+Detalle!J152</f>
        <v>11929.30153225188</v>
      </c>
      <c r="J25" s="303">
        <v>19069</v>
      </c>
      <c r="K25" s="306">
        <f>+J25/$J$27</f>
        <v>6.5116501896216233E-2</v>
      </c>
      <c r="L25" s="303">
        <f>+Detalle!L152</f>
        <v>12406.473593541956</v>
      </c>
      <c r="M25" s="303">
        <v>20214</v>
      </c>
      <c r="N25" s="306">
        <f>+M25/$M$27</f>
        <v>7.7641066573069129E-2</v>
      </c>
      <c r="O25" s="303">
        <f>+Detalle!N152</f>
        <v>12902.732537283635</v>
      </c>
      <c r="P25" s="303">
        <v>21426</v>
      </c>
      <c r="Q25" s="306">
        <f>+P25/$P$27</f>
        <v>8.0413617188199657E-2</v>
      </c>
      <c r="R25" s="303">
        <f>+Detalle!P152</f>
        <v>13418.841838774984</v>
      </c>
      <c r="S25" s="303">
        <v>22712</v>
      </c>
      <c r="T25" s="315">
        <f>+S25/$S$27</f>
        <v>8.0660167280169393E-2</v>
      </c>
      <c r="U25" s="303">
        <f>+C25+F25+I25+L25+O25+R25</f>
        <v>71821.589056378056</v>
      </c>
      <c r="V25" s="318">
        <f>+D25+G25+J25+M25+P25+S25</f>
        <v>118063.24</v>
      </c>
    </row>
    <row r="26" spans="1:22" s="327" customFormat="1" ht="15.75" thickBot="1">
      <c r="C26" s="328">
        <v>9803</v>
      </c>
      <c r="D26" s="328"/>
      <c r="E26" s="328"/>
      <c r="F26" s="328"/>
      <c r="G26" s="329">
        <f>+(G25/D25)-1</f>
        <v>8.0335138095535497E-2</v>
      </c>
      <c r="H26" s="328"/>
      <c r="I26" s="328"/>
      <c r="J26" s="329">
        <f>+(J25/G25)-1</f>
        <v>5.9977765425236251E-2</v>
      </c>
      <c r="K26" s="328"/>
      <c r="L26" s="328"/>
      <c r="M26" s="329">
        <f>+(M25/J25)-1</f>
        <v>6.0045099375950484E-2</v>
      </c>
      <c r="N26" s="328"/>
      <c r="O26" s="328"/>
      <c r="P26" s="329">
        <f>+(P25/M25)-1</f>
        <v>5.9958444642327136E-2</v>
      </c>
      <c r="Q26" s="328"/>
      <c r="R26" s="328"/>
      <c r="S26" s="329">
        <f>+(S25/P25)-1</f>
        <v>6.0020535797629115E-2</v>
      </c>
    </row>
    <row r="27" spans="1:22" ht="15.75" thickBot="1">
      <c r="B27" s="293" t="s">
        <v>669</v>
      </c>
      <c r="C27" s="294">
        <f ca="1">+C22+C24+C25</f>
        <v>177476.57845274499</v>
      </c>
      <c r="D27" s="425">
        <f t="shared" ref="D27:S27" si="5">+D8+D13+D18+D24+D25</f>
        <v>217476.24</v>
      </c>
      <c r="E27" s="426"/>
      <c r="F27" s="294">
        <f t="shared" ca="1" si="5"/>
        <v>205708.6429317166</v>
      </c>
      <c r="G27" s="425">
        <f t="shared" si="5"/>
        <v>236113.00136748311</v>
      </c>
      <c r="H27" s="426"/>
      <c r="I27" s="294">
        <f t="shared" ca="1" si="5"/>
        <v>236436.90499038747</v>
      </c>
      <c r="J27" s="425">
        <f t="shared" si="5"/>
        <v>292844.35503603204</v>
      </c>
      <c r="K27" s="426"/>
      <c r="L27" s="294">
        <f t="shared" ca="1" si="5"/>
        <v>269295.99544889946</v>
      </c>
      <c r="M27" s="425">
        <f t="shared" si="5"/>
        <v>260351.91029963907</v>
      </c>
      <c r="N27" s="426"/>
      <c r="O27" s="294">
        <f t="shared" ca="1" si="5"/>
        <v>301597.37172387476</v>
      </c>
      <c r="P27" s="425">
        <f t="shared" si="5"/>
        <v>266447.40964524314</v>
      </c>
      <c r="Q27" s="426"/>
      <c r="R27" s="294">
        <f t="shared" ca="1" si="5"/>
        <v>335926.54014664801</v>
      </c>
      <c r="S27" s="425">
        <f t="shared" si="5"/>
        <v>281576.40587467304</v>
      </c>
      <c r="T27" s="462"/>
      <c r="U27" s="294">
        <f ca="1">+C27+F27+I27+L27+O27+R27</f>
        <v>1526442.0336942712</v>
      </c>
      <c r="V27" s="316">
        <f>+D27+G27+J27+M27+P27+S27</f>
        <v>1554809.3222230705</v>
      </c>
    </row>
    <row r="28" spans="1:22">
      <c r="D28" s="275"/>
      <c r="E28" s="275"/>
      <c r="J28" s="274">
        <f>+G25*1.06</f>
        <v>19069.400000000001</v>
      </c>
      <c r="K28" s="274"/>
      <c r="L28" s="274"/>
      <c r="M28" s="274">
        <f>+J28*1.06</f>
        <v>20213.564000000002</v>
      </c>
      <c r="N28" s="274"/>
      <c r="O28" s="274"/>
      <c r="P28" s="274">
        <f>+M28*1.06</f>
        <v>21426.377840000005</v>
      </c>
      <c r="Q28" s="274"/>
      <c r="R28" s="274"/>
      <c r="S28" s="274">
        <f>+P28*1.06</f>
        <v>22711.960510400007</v>
      </c>
    </row>
    <row r="29" spans="1:22" hidden="1">
      <c r="C29" s="285"/>
      <c r="D29" s="285"/>
      <c r="E29" s="285"/>
      <c r="F29" s="285"/>
      <c r="G29" s="285"/>
      <c r="H29" s="285"/>
      <c r="I29" s="285"/>
      <c r="J29" s="337"/>
      <c r="K29" s="337"/>
      <c r="L29" s="337"/>
      <c r="M29" s="337"/>
      <c r="N29" s="337"/>
      <c r="O29" s="337"/>
      <c r="P29" s="337"/>
      <c r="Q29" s="337"/>
      <c r="R29" s="337"/>
      <c r="S29" s="337"/>
    </row>
    <row r="30" spans="1:22" hidden="1">
      <c r="B30" s="438" t="s">
        <v>682</v>
      </c>
      <c r="C30" s="285"/>
      <c r="D30" s="285"/>
      <c r="E30" s="285"/>
      <c r="F30" s="285">
        <f>+'PRESUPUESTO Proy 2016-021 $MM'!N105</f>
        <v>205708.64293171657</v>
      </c>
      <c r="G30" s="285"/>
      <c r="H30" s="285"/>
      <c r="I30" s="285">
        <f>+'PRESUPUESTO Proy 2016-021 $MM'!P105</f>
        <v>236436.90499038747</v>
      </c>
      <c r="J30" s="337"/>
      <c r="K30" s="337"/>
      <c r="L30" s="337">
        <f>+'PRESUPUESTO Proy 2016-021 $MM'!R105</f>
        <v>269295.99544889946</v>
      </c>
      <c r="M30" s="337"/>
      <c r="N30" s="337"/>
      <c r="O30" s="337">
        <f>+'PRESUPUESTO Proy 2016-021 $MM'!T105</f>
        <v>301597.37172387476</v>
      </c>
      <c r="P30" s="337"/>
      <c r="Q30" s="337"/>
      <c r="R30" s="337">
        <f>+'PRESUPUESTO Proy 2016-021 $MM'!V105</f>
        <v>335926.54014664801</v>
      </c>
      <c r="S30" s="337"/>
      <c r="T30" s="285"/>
      <c r="U30" s="285"/>
      <c r="V30" s="285"/>
    </row>
    <row r="31" spans="1:22" hidden="1">
      <c r="B31" s="438"/>
      <c r="C31" s="285"/>
      <c r="D31" s="285"/>
      <c r="E31" s="285"/>
      <c r="F31" s="285">
        <f ca="1">+F27-F30</f>
        <v>0</v>
      </c>
      <c r="G31" s="285"/>
      <c r="H31" s="285"/>
      <c r="I31" s="285">
        <f ca="1">+I27-I30</f>
        <v>0</v>
      </c>
      <c r="J31" s="337"/>
      <c r="K31" s="337"/>
      <c r="L31" s="337">
        <f ca="1">+L27-L30</f>
        <v>0</v>
      </c>
      <c r="M31" s="337"/>
      <c r="N31" s="337"/>
      <c r="O31" s="337">
        <f ca="1">+O27-O30</f>
        <v>0</v>
      </c>
      <c r="P31" s="337"/>
      <c r="Q31" s="337"/>
      <c r="R31" s="337">
        <f ca="1">+R27-R30</f>
        <v>0</v>
      </c>
      <c r="S31" s="337"/>
      <c r="T31" s="285"/>
      <c r="U31" s="285"/>
      <c r="V31" s="285"/>
    </row>
    <row r="32" spans="1:22" s="285" customFormat="1" hidden="1">
      <c r="A32"/>
      <c r="B32" s="322" t="s">
        <v>683</v>
      </c>
      <c r="C32"/>
      <c r="D32" s="285">
        <f>+'PRESUPUESTO Proy 2016-021 $MM'!L353</f>
        <v>217476.23891452744</v>
      </c>
      <c r="G32" s="285">
        <f>+'PRESUPUESTO Proy 2016-021 $MM'!N353</f>
        <v>236113.31341122763</v>
      </c>
      <c r="J32" s="337">
        <f>+'PRESUPUESTO Proy 2016-021 $MM'!P353</f>
        <v>292457.76424439362</v>
      </c>
      <c r="K32" s="337"/>
      <c r="L32" s="337"/>
      <c r="M32" s="337">
        <f>+'PRESUPUESTO Proy 2016-021 $MM'!R353</f>
        <v>258416.66571933881</v>
      </c>
      <c r="N32" s="337"/>
      <c r="O32" s="337"/>
      <c r="P32" s="337">
        <f>+'PRESUPUESTO Proy 2016-021 $MM'!T353</f>
        <v>261181.16706565383</v>
      </c>
      <c r="Q32" s="337"/>
      <c r="R32" s="337"/>
      <c r="S32" s="337">
        <f>+'PRESUPUESTO Proy 2016-021 $MM'!V353</f>
        <v>275474.25943861256</v>
      </c>
    </row>
    <row r="33" spans="1:21" s="285" customFormat="1" hidden="1">
      <c r="A33"/>
      <c r="B33" s="322"/>
      <c r="C33"/>
      <c r="J33" s="337"/>
      <c r="K33" s="337"/>
      <c r="L33" s="337"/>
      <c r="M33" s="337"/>
      <c r="N33" s="337"/>
      <c r="O33" s="337"/>
      <c r="P33" s="337"/>
      <c r="Q33" s="337"/>
      <c r="R33" s="337"/>
      <c r="S33" s="337"/>
    </row>
    <row r="34" spans="1:21" hidden="1">
      <c r="C34" s="285"/>
      <c r="D34" s="285">
        <f>+D27-D32</f>
        <v>1.0854725551325828E-3</v>
      </c>
      <c r="E34" s="285"/>
      <c r="F34" s="285"/>
      <c r="G34" s="285">
        <f>+G27-G32</f>
        <v>-0.3120437445177231</v>
      </c>
      <c r="H34" s="285"/>
      <c r="I34" s="285"/>
      <c r="J34" s="337">
        <f>+J27-J32</f>
        <v>386.5907916384167</v>
      </c>
      <c r="K34" s="337"/>
      <c r="L34" s="337"/>
      <c r="M34" s="337">
        <f>+M27-M32</f>
        <v>1935.2445803002629</v>
      </c>
      <c r="N34" s="337"/>
      <c r="O34" s="337"/>
      <c r="P34" s="337">
        <f>+P27-P32</f>
        <v>5266.2425795893068</v>
      </c>
      <c r="Q34" s="337"/>
      <c r="R34" s="337"/>
      <c r="S34" s="337">
        <f>+S27-S32</f>
        <v>6102.1464360604878</v>
      </c>
    </row>
    <row r="35" spans="1:21" ht="15.75" thickBot="1">
      <c r="J35" s="274"/>
      <c r="K35" s="274"/>
      <c r="L35" s="274">
        <f>+J25+M25+P25+S25-S28-P28-M28-J28</f>
        <v>-0.30235040001207381</v>
      </c>
      <c r="M35" s="274"/>
      <c r="N35" s="274"/>
      <c r="O35" s="274"/>
      <c r="P35" s="274"/>
      <c r="Q35" s="274"/>
      <c r="R35" s="274"/>
      <c r="S35" s="274"/>
    </row>
    <row r="36" spans="1:21" ht="15.75" thickBot="1">
      <c r="B36" s="310" t="s">
        <v>673</v>
      </c>
      <c r="J36" s="274">
        <f>+J28-J25</f>
        <v>0.40000000000145519</v>
      </c>
      <c r="M36" s="274">
        <f>+M28-M25</f>
        <v>-0.43599999999787542</v>
      </c>
      <c r="P36" s="274">
        <f>+P28-P25</f>
        <v>0.37784000000465312</v>
      </c>
      <c r="S36" s="274">
        <f>+S28-S25</f>
        <v>-3.9489599992521107E-2</v>
      </c>
    </row>
    <row r="37" spans="1:21" ht="15.75" hidden="1" thickBot="1">
      <c r="G37" s="326">
        <f>+G26</f>
        <v>8.0335138095535497E-2</v>
      </c>
      <c r="J37" s="326">
        <f>+J26</f>
        <v>5.9977765425236251E-2</v>
      </c>
      <c r="K37" s="299"/>
      <c r="M37" s="326">
        <f>+M26</f>
        <v>6.0045099375950484E-2</v>
      </c>
      <c r="P37" s="326">
        <f>+P26</f>
        <v>5.9958444642327136E-2</v>
      </c>
      <c r="S37" s="326">
        <f>+S26</f>
        <v>6.0020535797629115E-2</v>
      </c>
    </row>
    <row r="38" spans="1:21" s="274" customFormat="1">
      <c r="A38"/>
      <c r="B38" s="311" t="s">
        <v>338</v>
      </c>
      <c r="C38" s="416"/>
      <c r="D38" s="421">
        <v>6180</v>
      </c>
      <c r="E38" s="421"/>
      <c r="F38" s="455"/>
      <c r="G38" s="421">
        <f>+D38*(1+$G$37)</f>
        <v>6676.4711534304097</v>
      </c>
      <c r="H38" s="421"/>
      <c r="I38" s="455"/>
      <c r="J38" s="421">
        <f>+G38*(1+$J$37)</f>
        <v>7076.9109741392149</v>
      </c>
      <c r="K38" s="421"/>
      <c r="L38" s="455"/>
      <c r="M38" s="419">
        <f>+J38*(1+$M$37)</f>
        <v>7501.8447968561586</v>
      </c>
      <c r="N38" s="419"/>
      <c r="O38" s="455"/>
      <c r="P38" s="421">
        <f>+M38*(1+$P$37)</f>
        <v>7951.6437428237887</v>
      </c>
      <c r="Q38" s="421"/>
      <c r="R38" s="455"/>
      <c r="S38" s="421">
        <f>+P38*(1+$S$37)</f>
        <v>8428.905660739938</v>
      </c>
      <c r="T38" s="430"/>
    </row>
    <row r="39" spans="1:21" s="274" customFormat="1">
      <c r="A39"/>
      <c r="B39" s="312" t="s">
        <v>617</v>
      </c>
      <c r="C39" s="417"/>
      <c r="D39" s="422">
        <v>4312</v>
      </c>
      <c r="E39" s="422"/>
      <c r="F39" s="456"/>
      <c r="G39" s="422">
        <f t="shared" ref="G39:G41" si="6">+D39*(1+$G$37)</f>
        <v>4658.4051154679491</v>
      </c>
      <c r="H39" s="422"/>
      <c r="I39" s="456"/>
      <c r="J39" s="422">
        <f t="shared" ref="J39:J41" si="7">+G39*(1+$J$37)</f>
        <v>4937.8058447392068</v>
      </c>
      <c r="K39" s="422"/>
      <c r="L39" s="456"/>
      <c r="M39" s="422">
        <f t="shared" ref="M39:M41" si="8">+J39*(1+$M$37)</f>
        <v>5234.2968873857217</v>
      </c>
      <c r="N39" s="422"/>
      <c r="O39" s="456"/>
      <c r="P39" s="422">
        <f t="shared" ref="P39:P41" si="9">+M39*(1+$P$37)</f>
        <v>5548.1371875495433</v>
      </c>
      <c r="Q39" s="422"/>
      <c r="R39" s="456"/>
      <c r="S39" s="422">
        <f t="shared" ref="S39:S41" si="10">+P39*(1+$S$37)</f>
        <v>5881.139354225018</v>
      </c>
      <c r="T39" s="431"/>
    </row>
    <row r="40" spans="1:21" s="274" customFormat="1">
      <c r="A40"/>
      <c r="B40" s="312" t="s">
        <v>674</v>
      </c>
      <c r="C40" s="417"/>
      <c r="D40" s="422">
        <v>1244</v>
      </c>
      <c r="E40" s="422"/>
      <c r="F40" s="456"/>
      <c r="G40" s="422">
        <f t="shared" si="6"/>
        <v>1343.9369117908461</v>
      </c>
      <c r="H40" s="422"/>
      <c r="I40" s="456"/>
      <c r="J40" s="422">
        <f t="shared" si="7"/>
        <v>1424.543244632554</v>
      </c>
      <c r="K40" s="422"/>
      <c r="L40" s="456"/>
      <c r="M40" s="422">
        <f t="shared" si="8"/>
        <v>1510.0800853218545</v>
      </c>
      <c r="N40" s="422"/>
      <c r="O40" s="456"/>
      <c r="P40" s="422">
        <f t="shared" si="9"/>
        <v>1600.6221385231056</v>
      </c>
      <c r="Q40" s="422"/>
      <c r="R40" s="456"/>
      <c r="S40" s="422">
        <f t="shared" si="10"/>
        <v>1696.6923368868092</v>
      </c>
      <c r="T40" s="431"/>
    </row>
    <row r="41" spans="1:21" s="274" customFormat="1">
      <c r="A41"/>
      <c r="B41" s="312" t="s">
        <v>675</v>
      </c>
      <c r="C41" s="417"/>
      <c r="D41" s="422">
        <v>1112</v>
      </c>
      <c r="E41" s="422"/>
      <c r="F41" s="456"/>
      <c r="G41" s="422">
        <f t="shared" si="6"/>
        <v>1201.3326735622354</v>
      </c>
      <c r="H41" s="422"/>
      <c r="I41" s="456"/>
      <c r="J41" s="422">
        <f t="shared" si="7"/>
        <v>1273.3859228548231</v>
      </c>
      <c r="K41" s="422"/>
      <c r="L41" s="456"/>
      <c r="M41" s="422">
        <f t="shared" si="8"/>
        <v>1349.8465071365774</v>
      </c>
      <c r="N41" s="422"/>
      <c r="O41" s="456"/>
      <c r="P41" s="422">
        <f t="shared" si="9"/>
        <v>1430.7812042103646</v>
      </c>
      <c r="Q41" s="422"/>
      <c r="R41" s="456"/>
      <c r="S41" s="422">
        <f t="shared" si="10"/>
        <v>1516.6574586962477</v>
      </c>
      <c r="T41" s="431"/>
    </row>
    <row r="42" spans="1:21" s="274" customFormat="1">
      <c r="A42"/>
      <c r="B42" s="312" t="s">
        <v>370</v>
      </c>
      <c r="C42" s="418"/>
      <c r="D42" s="422">
        <f>D25-SUM(D38:D41)</f>
        <v>3804.2400000000016</v>
      </c>
      <c r="E42" s="422"/>
      <c r="F42" s="457"/>
      <c r="G42" s="422">
        <f>G25-SUM(G38:G41)</f>
        <v>4109.8541457485589</v>
      </c>
      <c r="H42" s="422"/>
      <c r="I42" s="457"/>
      <c r="J42" s="422">
        <f>J25-SUM(J38:J41)</f>
        <v>4356.3540136342017</v>
      </c>
      <c r="K42" s="422"/>
      <c r="L42" s="457"/>
      <c r="M42" s="422">
        <f>M25-SUM(M38:M41)</f>
        <v>4617.9317232996873</v>
      </c>
      <c r="N42" s="422"/>
      <c r="O42" s="457"/>
      <c r="P42" s="422">
        <f>P25-SUM(P38:P41)</f>
        <v>4894.8157268931973</v>
      </c>
      <c r="Q42" s="422"/>
      <c r="R42" s="457"/>
      <c r="S42" s="422">
        <f>S25-SUM(S38:S41)</f>
        <v>5188.6051894519878</v>
      </c>
      <c r="T42" s="431"/>
    </row>
    <row r="43" spans="1:21" ht="15.75" thickBot="1">
      <c r="B43" s="308" t="s">
        <v>679</v>
      </c>
      <c r="C43" s="309"/>
      <c r="D43" s="458">
        <f>SUM(D38:D42)</f>
        <v>16652.240000000002</v>
      </c>
      <c r="E43" s="458"/>
      <c r="F43" s="309"/>
      <c r="G43" s="459">
        <f t="shared" ref="G43:S43" si="11">SUM(G38:H42)</f>
        <v>17990</v>
      </c>
      <c r="H43" s="460"/>
      <c r="I43" s="309"/>
      <c r="J43" s="459">
        <f t="shared" si="11"/>
        <v>19069</v>
      </c>
      <c r="K43" s="460"/>
      <c r="L43" s="309"/>
      <c r="M43" s="459">
        <f t="shared" si="11"/>
        <v>20214</v>
      </c>
      <c r="N43" s="460"/>
      <c r="O43" s="309"/>
      <c r="P43" s="459">
        <f t="shared" si="11"/>
        <v>21426</v>
      </c>
      <c r="Q43" s="460"/>
      <c r="R43" s="309"/>
      <c r="S43" s="459">
        <f t="shared" si="11"/>
        <v>22712</v>
      </c>
      <c r="T43" s="470"/>
    </row>
    <row r="44" spans="1:21" ht="15.75" thickBot="1"/>
    <row r="45" spans="1:21" ht="15.75" thickBot="1">
      <c r="B45" s="310" t="s">
        <v>672</v>
      </c>
    </row>
    <row r="46" spans="1:21" ht="15.75" hidden="1" thickBot="1"/>
    <row r="47" spans="1:21">
      <c r="B47" s="333" t="s">
        <v>676</v>
      </c>
      <c r="C47" s="413"/>
      <c r="D47" s="421">
        <f>+'PRESUPUESTO Proy 2016-021 $MM'!L343</f>
        <v>15000</v>
      </c>
      <c r="E47" s="421"/>
      <c r="F47" s="416"/>
      <c r="G47" s="421">
        <f>+'PRESUPUESTO Proy 2016-021 $MM'!N343</f>
        <v>9000</v>
      </c>
      <c r="H47" s="421"/>
      <c r="I47" s="416"/>
      <c r="J47" s="421">
        <f>+'PRESUPUESTO Proy 2016-021 $MM'!P343</f>
        <v>11000</v>
      </c>
      <c r="K47" s="421"/>
      <c r="L47" s="416"/>
      <c r="M47" s="419">
        <f>+'PRESUPUESTO Proy 2016-021 $MM'!R343</f>
        <v>0</v>
      </c>
      <c r="N47" s="419"/>
      <c r="O47" s="416"/>
      <c r="P47" s="421">
        <f>+'PRESUPUESTO Proy 2016-021 $MM'!T343</f>
        <v>0</v>
      </c>
      <c r="Q47" s="421"/>
      <c r="R47" s="416"/>
      <c r="S47" s="421">
        <f>+'PRESUPUESTO Proy 2016-021 $MM'!V343</f>
        <v>0</v>
      </c>
      <c r="T47" s="430"/>
      <c r="U47" s="285"/>
    </row>
    <row r="48" spans="1:21">
      <c r="B48" s="334" t="s">
        <v>677</v>
      </c>
      <c r="C48" s="414"/>
      <c r="D48" s="422">
        <f>+'PRESUPUESTO Proy 2016-021 $MM'!L350</f>
        <v>33668</v>
      </c>
      <c r="E48" s="422"/>
      <c r="F48" s="417"/>
      <c r="G48" s="422">
        <f>+'PRESUPUESTO Proy 2016-021 $MM'!N350</f>
        <v>35014.720000000001</v>
      </c>
      <c r="H48" s="422"/>
      <c r="I48" s="417"/>
      <c r="J48" s="422">
        <f>+'PRESUPUESTO Proy 2016-021 $MM'!P350</f>
        <v>37217</v>
      </c>
      <c r="K48" s="422"/>
      <c r="L48" s="417"/>
      <c r="M48" s="420">
        <f>+'PRESUPUESTO Proy 2016-021 $MM'!R350</f>
        <v>0</v>
      </c>
      <c r="N48" s="420"/>
      <c r="O48" s="417"/>
      <c r="P48" s="422">
        <f>+'PRESUPUESTO Proy 2016-021 $MM'!T350</f>
        <v>0</v>
      </c>
      <c r="Q48" s="422"/>
      <c r="R48" s="417"/>
      <c r="S48" s="422">
        <f>+'PRESUPUESTO Proy 2016-021 $MM'!V350</f>
        <v>0</v>
      </c>
      <c r="T48" s="431"/>
      <c r="U48" s="285"/>
    </row>
    <row r="49" spans="2:21">
      <c r="B49" s="334" t="s">
        <v>678</v>
      </c>
      <c r="C49" s="415"/>
      <c r="D49" s="422">
        <f>+'PRESUPUESTO Proy 2016-021 $MM'!L341+'PRESUPUESTO Proy 2016-021 $MM'!L342+'PRESUPUESTO Proy 2016-021 $MM'!L344+'PRESUPUESTO Proy 2016-021 $MM'!L345+'PRESUPUESTO Proy 2016-021 $MM'!L346+'PRESUPUESTO Proy 2016-021 $MM'!L347+'PRESUPUESTO Proy 2016-021 $MM'!L349</f>
        <v>10000</v>
      </c>
      <c r="E49" s="422"/>
      <c r="F49" s="418"/>
      <c r="G49" s="422">
        <f>+'PRESUPUESTO Proy 2016-021 $MM'!N341+'PRESUPUESTO Proy 2016-021 $MM'!N342+'PRESUPUESTO Proy 2016-021 $MM'!N344+'PRESUPUESTO Proy 2016-021 $MM'!N345+'PRESUPUESTO Proy 2016-021 $MM'!N346+'PRESUPUESTO Proy 2016-021 $MM'!N347+'PRESUPUESTO Proy 2016-021 $MM'!N349</f>
        <v>14200</v>
      </c>
      <c r="H49" s="422"/>
      <c r="I49" s="418"/>
      <c r="J49" s="422">
        <f>+'PRESUPUESTO Proy 2016-021 $MM'!P341+'PRESUPUESTO Proy 2016-021 $MM'!P342+'PRESUPUESTO Proy 2016-021 $MM'!P344+'PRESUPUESTO Proy 2016-021 $MM'!P345+'PRESUPUESTO Proy 2016-021 $MM'!P346+'PRESUPUESTO Proy 2016-021 $MM'!P347+'PRESUPUESTO Proy 2016-021 $MM'!P349</f>
        <v>45429</v>
      </c>
      <c r="K49" s="422"/>
      <c r="L49" s="418"/>
      <c r="M49" s="420">
        <f>+'PRESUPUESTO Proy 2016-021 $MM'!R341+'PRESUPUESTO Proy 2016-021 $MM'!R342+'PRESUPUESTO Proy 2016-021 $MM'!R344+'PRESUPUESTO Proy 2016-021 $MM'!R345+'PRESUPUESTO Proy 2016-021 $MM'!R346+'PRESUPUESTO Proy 2016-021 $MM'!R347+'PRESUPUESTO Proy 2016-021 $MM'!R349</f>
        <v>37751</v>
      </c>
      <c r="N49" s="420"/>
      <c r="O49" s="418"/>
      <c r="P49" s="422">
        <f>+'PRESUPUESTO Proy 2016-021 $MM'!T341+'PRESUPUESTO Proy 2016-021 $MM'!T342+'PRESUPUESTO Proy 2016-021 $MM'!T344+'PRESUPUESTO Proy 2016-021 $MM'!T345+'PRESUPUESTO Proy 2016-021 $MM'!T346+'PRESUPUESTO Proy 2016-021 $MM'!T347+'PRESUPUESTO Proy 2016-021 $MM'!T349</f>
        <v>20000</v>
      </c>
      <c r="Q49" s="422"/>
      <c r="R49" s="418"/>
      <c r="S49" s="422">
        <f>+'PRESUPUESTO Proy 2016-021 $MM'!V341+'PRESUPUESTO Proy 2016-021 $MM'!V342+'PRESUPUESTO Proy 2016-021 $MM'!V344+'PRESUPUESTO Proy 2016-021 $MM'!V345+'PRESUPUESTO Proy 2016-021 $MM'!V346+'PRESUPUESTO Proy 2016-021 $MM'!V347+'PRESUPUESTO Proy 2016-021 $MM'!V349</f>
        <v>10000</v>
      </c>
      <c r="T49" s="431"/>
      <c r="U49" s="285"/>
    </row>
    <row r="50" spans="2:21" ht="15.75" thickBot="1">
      <c r="B50" s="308" t="s">
        <v>680</v>
      </c>
      <c r="C50" s="302"/>
      <c r="D50" s="458">
        <f>SUM(D47:D49)</f>
        <v>58668</v>
      </c>
      <c r="E50" s="458"/>
      <c r="F50" s="335"/>
      <c r="G50" s="459">
        <f>+SUM(G47:G49)</f>
        <v>58214.720000000001</v>
      </c>
      <c r="H50" s="460"/>
      <c r="I50" s="335"/>
      <c r="J50" s="459">
        <f>+SUM(J47:J49)</f>
        <v>93646</v>
      </c>
      <c r="K50" s="460"/>
      <c r="L50" s="335"/>
      <c r="M50" s="459">
        <f>+SUM(M47:M49)</f>
        <v>37751</v>
      </c>
      <c r="N50" s="460"/>
      <c r="O50" s="335"/>
      <c r="P50" s="459">
        <f>+SUM(P47:P49)</f>
        <v>20000</v>
      </c>
      <c r="Q50" s="460"/>
      <c r="R50" s="335"/>
      <c r="S50" s="459">
        <f>+SUM(S47:S49)</f>
        <v>10000</v>
      </c>
      <c r="T50" s="460"/>
      <c r="U50" s="285"/>
    </row>
  </sheetData>
  <mergeCells count="184">
    <mergeCell ref="S1:T1"/>
    <mergeCell ref="S27:T27"/>
    <mergeCell ref="D50:E50"/>
    <mergeCell ref="G50:H50"/>
    <mergeCell ref="J50:K50"/>
    <mergeCell ref="M50:N50"/>
    <mergeCell ref="P50:Q50"/>
    <mergeCell ref="S50:T50"/>
    <mergeCell ref="S14:T14"/>
    <mergeCell ref="S15:T15"/>
    <mergeCell ref="S16:T16"/>
    <mergeCell ref="S17:T17"/>
    <mergeCell ref="S18:T18"/>
    <mergeCell ref="S9:T9"/>
    <mergeCell ref="S10:T10"/>
    <mergeCell ref="S11:T11"/>
    <mergeCell ref="S12:T12"/>
    <mergeCell ref="S13:T13"/>
    <mergeCell ref="S4:T4"/>
    <mergeCell ref="S5:T5"/>
    <mergeCell ref="S6:T6"/>
    <mergeCell ref="S7:T7"/>
    <mergeCell ref="S8:T8"/>
    <mergeCell ref="S43:T43"/>
    <mergeCell ref="D43:E43"/>
    <mergeCell ref="G43:H43"/>
    <mergeCell ref="J43:K43"/>
    <mergeCell ref="M43:N43"/>
    <mergeCell ref="P43:Q43"/>
    <mergeCell ref="P41:Q41"/>
    <mergeCell ref="P42:Q42"/>
    <mergeCell ref="D41:E41"/>
    <mergeCell ref="D42:E42"/>
    <mergeCell ref="G41:H41"/>
    <mergeCell ref="G42:H42"/>
    <mergeCell ref="S42:T42"/>
    <mergeCell ref="J41:K41"/>
    <mergeCell ref="J42:K42"/>
    <mergeCell ref="M38:N38"/>
    <mergeCell ref="M39:N39"/>
    <mergeCell ref="M40:N40"/>
    <mergeCell ref="M41:N41"/>
    <mergeCell ref="M42:N42"/>
    <mergeCell ref="C38:C42"/>
    <mergeCell ref="F38:F42"/>
    <mergeCell ref="I38:I42"/>
    <mergeCell ref="L38:L42"/>
    <mergeCell ref="O38:O42"/>
    <mergeCell ref="R38:R42"/>
    <mergeCell ref="G38:H38"/>
    <mergeCell ref="G39:H39"/>
    <mergeCell ref="G40:H40"/>
    <mergeCell ref="J18:K18"/>
    <mergeCell ref="D27:E27"/>
    <mergeCell ref="S38:T38"/>
    <mergeCell ref="S39:T39"/>
    <mergeCell ref="S40:T40"/>
    <mergeCell ref="S41:T41"/>
    <mergeCell ref="D38:E38"/>
    <mergeCell ref="D39:E39"/>
    <mergeCell ref="D40:E40"/>
    <mergeCell ref="J38:K38"/>
    <mergeCell ref="J39:K39"/>
    <mergeCell ref="J40:K40"/>
    <mergeCell ref="P38:Q38"/>
    <mergeCell ref="P39:Q39"/>
    <mergeCell ref="P40:Q40"/>
    <mergeCell ref="J27:K27"/>
    <mergeCell ref="P5:Q5"/>
    <mergeCell ref="P11:Q11"/>
    <mergeCell ref="P17:Q17"/>
    <mergeCell ref="P18:Q18"/>
    <mergeCell ref="P14:Q14"/>
    <mergeCell ref="P15:Q15"/>
    <mergeCell ref="P16:Q16"/>
    <mergeCell ref="P27:Q27"/>
    <mergeCell ref="M18:N18"/>
    <mergeCell ref="M27:N27"/>
    <mergeCell ref="M12:N12"/>
    <mergeCell ref="M13:N13"/>
    <mergeCell ref="M14:N14"/>
    <mergeCell ref="M15:N15"/>
    <mergeCell ref="M16:N16"/>
    <mergeCell ref="M17:N17"/>
    <mergeCell ref="J5:K5"/>
    <mergeCell ref="J6:K6"/>
    <mergeCell ref="J7:K7"/>
    <mergeCell ref="J8:K8"/>
    <mergeCell ref="J9:K9"/>
    <mergeCell ref="J10:K10"/>
    <mergeCell ref="J11:K11"/>
    <mergeCell ref="L3:N3"/>
    <mergeCell ref="M4:N4"/>
    <mergeCell ref="M5:N5"/>
    <mergeCell ref="M6:N6"/>
    <mergeCell ref="M7:N7"/>
    <mergeCell ref="M8:N8"/>
    <mergeCell ref="M9:N9"/>
    <mergeCell ref="M10:N10"/>
    <mergeCell ref="M11:N11"/>
    <mergeCell ref="U20:V20"/>
    <mergeCell ref="D14:E14"/>
    <mergeCell ref="D15:E15"/>
    <mergeCell ref="D16:E16"/>
    <mergeCell ref="D17:E17"/>
    <mergeCell ref="D18:E18"/>
    <mergeCell ref="D9:E9"/>
    <mergeCell ref="D10:E10"/>
    <mergeCell ref="D11:E11"/>
    <mergeCell ref="D12:E12"/>
    <mergeCell ref="D13:E13"/>
    <mergeCell ref="G9:H9"/>
    <mergeCell ref="G10:H10"/>
    <mergeCell ref="G16:H16"/>
    <mergeCell ref="G17:H17"/>
    <mergeCell ref="G18:H18"/>
    <mergeCell ref="J14:K14"/>
    <mergeCell ref="G11:H11"/>
    <mergeCell ref="G12:H12"/>
    <mergeCell ref="J15:K15"/>
    <mergeCell ref="J16:K16"/>
    <mergeCell ref="J17:K17"/>
    <mergeCell ref="J12:K12"/>
    <mergeCell ref="J13:K13"/>
    <mergeCell ref="B30:B31"/>
    <mergeCell ref="R3:T3"/>
    <mergeCell ref="F2:T2"/>
    <mergeCell ref="A18:B18"/>
    <mergeCell ref="A5:A7"/>
    <mergeCell ref="A14:A17"/>
    <mergeCell ref="A9:A12"/>
    <mergeCell ref="A8:B8"/>
    <mergeCell ref="A13:B13"/>
    <mergeCell ref="D8:E8"/>
    <mergeCell ref="F3:H3"/>
    <mergeCell ref="G4:H4"/>
    <mergeCell ref="G5:H5"/>
    <mergeCell ref="G6:H6"/>
    <mergeCell ref="G7:H7"/>
    <mergeCell ref="G8:H8"/>
    <mergeCell ref="D4:E4"/>
    <mergeCell ref="C3:E3"/>
    <mergeCell ref="D5:E5"/>
    <mergeCell ref="P6:Q6"/>
    <mergeCell ref="P7:Q7"/>
    <mergeCell ref="P8:Q8"/>
    <mergeCell ref="P9:Q9"/>
    <mergeCell ref="P10:Q10"/>
    <mergeCell ref="D6:E6"/>
    <mergeCell ref="D7:E7"/>
    <mergeCell ref="G27:H27"/>
    <mergeCell ref="I3:K3"/>
    <mergeCell ref="J4:K4"/>
    <mergeCell ref="S47:T47"/>
    <mergeCell ref="S48:T48"/>
    <mergeCell ref="S49:T49"/>
    <mergeCell ref="D47:E47"/>
    <mergeCell ref="D48:E48"/>
    <mergeCell ref="D49:E49"/>
    <mergeCell ref="G47:H47"/>
    <mergeCell ref="G48:H48"/>
    <mergeCell ref="G49:H49"/>
    <mergeCell ref="J47:K47"/>
    <mergeCell ref="J48:K48"/>
    <mergeCell ref="J49:K49"/>
    <mergeCell ref="G13:H13"/>
    <mergeCell ref="G14:H14"/>
    <mergeCell ref="G15:H15"/>
    <mergeCell ref="P12:Q12"/>
    <mergeCell ref="P13:Q13"/>
    <mergeCell ref="O3:Q3"/>
    <mergeCell ref="P4:Q4"/>
    <mergeCell ref="C47:C49"/>
    <mergeCell ref="F47:F49"/>
    <mergeCell ref="I47:I49"/>
    <mergeCell ref="L47:L49"/>
    <mergeCell ref="O47:O49"/>
    <mergeCell ref="R47:R49"/>
    <mergeCell ref="M47:N47"/>
    <mergeCell ref="M48:N48"/>
    <mergeCell ref="M49:N49"/>
    <mergeCell ref="P47:Q47"/>
    <mergeCell ref="P48:Q48"/>
    <mergeCell ref="P49:Q4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9"/>
  <sheetViews>
    <sheetView workbookViewId="0">
      <selection activeCell="B25" sqref="B25"/>
    </sheetView>
  </sheetViews>
  <sheetFormatPr baseColWidth="10" defaultRowHeight="15"/>
  <cols>
    <col min="2" max="2" width="55.85546875" customWidth="1"/>
    <col min="3" max="3" width="17" customWidth="1"/>
    <col min="4" max="4" width="17.28515625" customWidth="1"/>
  </cols>
  <sheetData>
    <row r="5" spans="2:5" ht="15.75" thickBot="1"/>
    <row r="6" spans="2:5" ht="63.75" customHeight="1" thickBot="1">
      <c r="B6" s="10" t="s">
        <v>80</v>
      </c>
      <c r="C6" s="10" t="s">
        <v>81</v>
      </c>
    </row>
    <row r="7" spans="2:5" ht="15.75" customHeight="1" thickBot="1">
      <c r="C7" s="11" t="s">
        <v>82</v>
      </c>
      <c r="D7" s="11" t="s">
        <v>83</v>
      </c>
      <c r="E7" s="11" t="s">
        <v>84</v>
      </c>
    </row>
    <row r="9" spans="2:5">
      <c r="E9" t="str">
        <f>IFERROR(D9/C9,"")</f>
        <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60"/>
  <sheetViews>
    <sheetView topLeftCell="A28" zoomScale="78" zoomScaleNormal="78" workbookViewId="0">
      <selection activeCell="B25" sqref="B25"/>
    </sheetView>
  </sheetViews>
  <sheetFormatPr baseColWidth="10" defaultRowHeight="15"/>
  <cols>
    <col min="3" max="3" width="47.85546875" style="1" customWidth="1"/>
    <col min="4" max="4" width="67.85546875" customWidth="1"/>
  </cols>
  <sheetData>
    <row r="1" spans="3:4" ht="15.75" thickBot="1">
      <c r="C1" s="5" t="s">
        <v>3</v>
      </c>
    </row>
    <row r="2" spans="3:4" ht="90">
      <c r="C2" s="3" t="s">
        <v>4</v>
      </c>
      <c r="D2" s="13" t="s">
        <v>87</v>
      </c>
    </row>
    <row r="3" spans="3:4" ht="57">
      <c r="C3" s="2" t="s">
        <v>5</v>
      </c>
      <c r="D3" s="14" t="s">
        <v>93</v>
      </c>
    </row>
    <row r="4" spans="3:4" ht="45">
      <c r="C4" s="2" t="s">
        <v>7</v>
      </c>
      <c r="D4" s="14" t="s">
        <v>88</v>
      </c>
    </row>
    <row r="5" spans="3:4" ht="75">
      <c r="C5" s="2" t="s">
        <v>10</v>
      </c>
      <c r="D5" s="14" t="s">
        <v>96</v>
      </c>
    </row>
    <row r="6" spans="3:4" ht="150">
      <c r="C6" s="2" t="s">
        <v>11</v>
      </c>
      <c r="D6" s="14" t="s">
        <v>97</v>
      </c>
    </row>
    <row r="7" spans="3:4" ht="45">
      <c r="C7" s="2" t="s">
        <v>12</v>
      </c>
      <c r="D7" s="14" t="s">
        <v>94</v>
      </c>
    </row>
    <row r="8" spans="3:4" ht="45">
      <c r="C8" s="2" t="s">
        <v>14</v>
      </c>
      <c r="D8" s="14" t="s">
        <v>89</v>
      </c>
    </row>
    <row r="9" spans="3:4" ht="105">
      <c r="C9" s="2" t="s">
        <v>15</v>
      </c>
      <c r="D9" s="14" t="s">
        <v>95</v>
      </c>
    </row>
    <row r="10" spans="3:4" ht="60">
      <c r="C10" s="2" t="s">
        <v>16</v>
      </c>
      <c r="D10" s="14" t="s">
        <v>90</v>
      </c>
    </row>
    <row r="11" spans="3:4" ht="60">
      <c r="C11" s="2" t="s">
        <v>17</v>
      </c>
      <c r="D11" s="15" t="s">
        <v>91</v>
      </c>
    </row>
    <row r="12" spans="3:4" ht="42.75">
      <c r="C12" s="2" t="s">
        <v>92</v>
      </c>
    </row>
    <row r="13" spans="3:4" ht="90">
      <c r="C13" s="2" t="s">
        <v>19</v>
      </c>
      <c r="D13" s="14" t="s">
        <v>98</v>
      </c>
    </row>
    <row r="14" spans="3:4" ht="60">
      <c r="C14" s="2" t="s">
        <v>20</v>
      </c>
      <c r="D14" s="14" t="s">
        <v>100</v>
      </c>
    </row>
    <row r="15" spans="3:4" ht="150">
      <c r="C15" s="2" t="s">
        <v>23</v>
      </c>
      <c r="D15" s="14" t="s">
        <v>99</v>
      </c>
    </row>
    <row r="16" spans="3:4" ht="75">
      <c r="C16" s="2" t="s">
        <v>24</v>
      </c>
      <c r="D16" s="14" t="s">
        <v>101</v>
      </c>
    </row>
    <row r="17" spans="3:4">
      <c r="C17" s="12" t="s">
        <v>85</v>
      </c>
    </row>
    <row r="18" spans="3:4">
      <c r="C18" s="12" t="s">
        <v>86</v>
      </c>
    </row>
    <row r="19" spans="3:4" ht="60">
      <c r="C19" s="6" t="s">
        <v>28</v>
      </c>
      <c r="D19" s="15" t="s">
        <v>102</v>
      </c>
    </row>
    <row r="20" spans="3:4" ht="30">
      <c r="C20" s="6" t="s">
        <v>29</v>
      </c>
      <c r="D20" s="15" t="s">
        <v>103</v>
      </c>
    </row>
    <row r="21" spans="3:4" ht="29.25">
      <c r="C21" s="6" t="s">
        <v>31</v>
      </c>
    </row>
    <row r="22" spans="3:4" ht="60">
      <c r="C22" s="6" t="s">
        <v>32</v>
      </c>
      <c r="D22" s="14" t="s">
        <v>104</v>
      </c>
    </row>
    <row r="23" spans="3:4" ht="45">
      <c r="C23" s="6" t="s">
        <v>33</v>
      </c>
      <c r="D23" s="14" t="s">
        <v>105</v>
      </c>
    </row>
    <row r="24" spans="3:4">
      <c r="C24" s="12" t="s">
        <v>85</v>
      </c>
    </row>
    <row r="25" spans="3:4">
      <c r="C25" s="12" t="s">
        <v>86</v>
      </c>
    </row>
    <row r="26" spans="3:4">
      <c r="C26" s="6" t="s">
        <v>36</v>
      </c>
    </row>
    <row r="27" spans="3:4" ht="29.25">
      <c r="C27" s="6" t="s">
        <v>37</v>
      </c>
    </row>
    <row r="28" spans="3:4">
      <c r="C28" s="6" t="s">
        <v>38</v>
      </c>
    </row>
    <row r="29" spans="3:4" ht="43.5">
      <c r="C29" s="6" t="s">
        <v>39</v>
      </c>
    </row>
    <row r="30" spans="3:4" ht="29.25">
      <c r="C30" s="6" t="s">
        <v>40</v>
      </c>
    </row>
    <row r="31" spans="3:4" ht="29.25">
      <c r="C31" s="6" t="s">
        <v>41</v>
      </c>
    </row>
    <row r="32" spans="3:4">
      <c r="C32" s="12" t="s">
        <v>85</v>
      </c>
    </row>
    <row r="33" spans="3:3">
      <c r="C33" s="12" t="s">
        <v>86</v>
      </c>
    </row>
    <row r="34" spans="3:3">
      <c r="C34" s="6" t="s">
        <v>44</v>
      </c>
    </row>
    <row r="35" spans="3:3" ht="43.5">
      <c r="C35" s="6" t="s">
        <v>45</v>
      </c>
    </row>
    <row r="36" spans="3:3" ht="29.25">
      <c r="C36" s="6" t="s">
        <v>46</v>
      </c>
    </row>
    <row r="37" spans="3:3">
      <c r="C37" s="6" t="s">
        <v>48</v>
      </c>
    </row>
    <row r="38" spans="3:3" ht="29.25">
      <c r="C38" s="6" t="s">
        <v>49</v>
      </c>
    </row>
    <row r="39" spans="3:3" ht="29.25">
      <c r="C39" s="6" t="s">
        <v>50</v>
      </c>
    </row>
    <row r="40" spans="3:3" ht="29.25">
      <c r="C40" s="6" t="s">
        <v>51</v>
      </c>
    </row>
    <row r="41" spans="3:3">
      <c r="C41" s="7" t="s">
        <v>53</v>
      </c>
    </row>
    <row r="42" spans="3:3">
      <c r="C42" s="12" t="s">
        <v>85</v>
      </c>
    </row>
    <row r="43" spans="3:3">
      <c r="C43" s="12" t="s">
        <v>86</v>
      </c>
    </row>
    <row r="44" spans="3:3">
      <c r="C44" s="6" t="s">
        <v>55</v>
      </c>
    </row>
    <row r="45" spans="3:3">
      <c r="C45" s="6" t="s">
        <v>56</v>
      </c>
    </row>
    <row r="46" spans="3:3" ht="29.25">
      <c r="C46" s="6" t="s">
        <v>57</v>
      </c>
    </row>
    <row r="47" spans="3:3">
      <c r="C47" s="8" t="s">
        <v>59</v>
      </c>
    </row>
    <row r="48" spans="3:3">
      <c r="C48" s="6" t="s">
        <v>61</v>
      </c>
    </row>
    <row r="49" spans="3:3" ht="29.25">
      <c r="C49" s="6" t="s">
        <v>64</v>
      </c>
    </row>
    <row r="50" spans="3:3" ht="29.25">
      <c r="C50" s="6" t="s">
        <v>65</v>
      </c>
    </row>
    <row r="51" spans="3:3" ht="29.25">
      <c r="C51" s="6" t="s">
        <v>67</v>
      </c>
    </row>
    <row r="52" spans="3:3">
      <c r="C52" s="6" t="s">
        <v>68</v>
      </c>
    </row>
    <row r="53" spans="3:3">
      <c r="C53" s="6" t="s">
        <v>70</v>
      </c>
    </row>
    <row r="54" spans="3:3" ht="29.25">
      <c r="C54" s="6" t="s">
        <v>71</v>
      </c>
    </row>
    <row r="55" spans="3:3">
      <c r="C55" s="6" t="s">
        <v>72</v>
      </c>
    </row>
    <row r="56" spans="3:3" ht="29.25">
      <c r="C56" s="6" t="s">
        <v>75</v>
      </c>
    </row>
    <row r="57" spans="3:3">
      <c r="C57" s="6" t="s">
        <v>76</v>
      </c>
    </row>
    <row r="58" spans="3:3">
      <c r="C58" s="6" t="s">
        <v>77</v>
      </c>
    </row>
    <row r="59" spans="3:3">
      <c r="C59" s="6" t="s">
        <v>78</v>
      </c>
    </row>
    <row r="60" spans="3:3" ht="30" thickBot="1">
      <c r="C60" s="9"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PRESUPUESTO Proy 2016-021 $MM</vt:lpstr>
      <vt:lpstr>EDUCACIÓN CONTINUAD CONSOLIDADO</vt:lpstr>
      <vt:lpstr>Detalle</vt:lpstr>
      <vt:lpstr>PDI 2016-2021</vt:lpstr>
      <vt:lpstr>CIMIENTOS</vt:lpstr>
      <vt:lpstr>Detalle_Proyectos</vt:lpstr>
      <vt:lpstr>Detalle!Área_de_impresión</vt:lpstr>
      <vt:lpstr>Detalle!Títulos_a_imprimir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Dahiana Suárez</dc:creator>
  <cp:lastModifiedBy>Jorge Orlando Castaño Garzon</cp:lastModifiedBy>
  <cp:lastPrinted>2016-04-15T15:14:51Z</cp:lastPrinted>
  <dcterms:created xsi:type="dcterms:W3CDTF">2016-04-11T23:02:26Z</dcterms:created>
  <dcterms:modified xsi:type="dcterms:W3CDTF">2019-01-21T23:15:10Z</dcterms:modified>
</cp:coreProperties>
</file>