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tañojorge\Documents\informacion\ACREDITACION 2018-2019\EVIDENCIAS\"/>
    </mc:Choice>
  </mc:AlternateContent>
  <bookViews>
    <workbookView xWindow="0" yWindow="0" windowWidth="21600" windowHeight="9630"/>
  </bookViews>
  <sheets>
    <sheet name="MEDICINA" sheetId="1" r:id="rId1"/>
    <sheet name="ADMON EMPRESAS" sheetId="2" r:id="rId2"/>
    <sheet name="PSICOLOGIA DIURNO" sheetId="3" r:id="rId3"/>
  </sheets>
  <externalReferences>
    <externalReference r:id="rId4"/>
    <externalReference r:id="rId5"/>
    <externalReference r:id="rId6"/>
  </externalReferences>
  <definedNames>
    <definedName name="_xlnm.Print_Area" localSheetId="1">'ADMON EMPRESAS'!$B$6:$F$65</definedName>
    <definedName name="_xlnm.Print_Area" localSheetId="0">MEDICINA!$B$6:$F$65</definedName>
    <definedName name="_xlnm.Print_Area" localSheetId="2">'PSICOLOGIA DIURNO'!$B$6:$F$65</definedName>
    <definedName name="catego2" localSheetId="1">#REF!</definedName>
    <definedName name="catego2" localSheetId="2">#REF!</definedName>
    <definedName name="catego2">#REF!</definedName>
    <definedName name="codigo" localSheetId="1">#REF!</definedName>
    <definedName name="codigo" localSheetId="2">#REF!</definedName>
    <definedName name="codigo">#REF!</definedName>
    <definedName name="DATA1" localSheetId="1">#REF!</definedName>
    <definedName name="DATA1" localSheetId="2">#REF!</definedName>
    <definedName name="DATA1">#REF!</definedName>
    <definedName name="DATA2" localSheetId="1">#REF!</definedName>
    <definedName name="DATA2" localSheetId="2">#REF!</definedName>
    <definedName name="DATA2">#REF!</definedName>
    <definedName name="DATA3" localSheetId="1">#REF!</definedName>
    <definedName name="DATA3" localSheetId="2">#REF!</definedName>
    <definedName name="DATA3">#REF!</definedName>
    <definedName name="DATA4" localSheetId="1">#REF!</definedName>
    <definedName name="DATA4" localSheetId="2">#REF!</definedName>
    <definedName name="DATA4">#REF!</definedName>
    <definedName name="DATA5" localSheetId="1">#REF!</definedName>
    <definedName name="DATA5" localSheetId="2">#REF!</definedName>
    <definedName name="DATA5">#REF!</definedName>
    <definedName name="OTROS_GASTOS_NOMINA_PDI" localSheetId="2">[3]PRESUPUESTO!$G$35,[3]PRESUPUESTO!$G$36,[3]PRESUPUESTO!$G$37,[3]PRESUPUESTO!$G$43,[3]PRESUPUESTO!$G$46,[3]PRESUPUESTO!$G$47,[3]PRESUPUESTO!$G$58,[3]PRESUPUESTO!$G$59,[3]PRESUPUESTO!$G$60</definedName>
    <definedName name="OTROS_GASTOS_NOMINA_PDI">[2]PRESUPUESTO!$G$35,[2]PRESUPUESTO!$G$36,[2]PRESUPUESTO!$G$37,[2]PRESUPUESTO!$G$43,[2]PRESUPUESTO!$G$46,[2]PRESUPUESTO!$G$47,[2]PRESUPUESTO!$G$58,[2]PRESUPUESTO!$G$59,[2]PRESUPUESTO!$G$60</definedName>
    <definedName name="OTROS_GASTOS_PDI" localSheetId="2">[3]PRESUPUESTO!$G$85,[3]PRESUPUESTO!$G$86,[3]PRESUPUESTO!$G$87,[3]PRESUPUESTO!$G$88,[3]PRESUPUESTO!$G$92,[3]PRESUPUESTO!$G$104,[3]PRESUPUESTO!$G$105,[3]PRESUPUESTO!$G$106,[3]PRESUPUESTO!$G$107,[3]PRESUPUESTO!$G$109,[3]PRESUPUESTO!$G$111,[3]PRESUPUESTO!$G$112,[3]PRESUPUESTO!$G$115,[3]PRESUPUESTO!$G$116,[3]PRESUPUESTO!$G$120,[3]PRESUPUESTO!$G$122,[3]PRESUPUESTO!$G$148,[3]PRESUPUESTO!$G$149,[3]PRESUPUESTO!$G$150,[3]PRESUPUESTO!$G$151,[3]PRESUPUESTO!$G$152,[3]PRESUPUESTO!$G$153,[3]PRESUPUESTO!$G$154,[3]PRESUPUESTO!$G$155,[3]PRESUPUESTO!$G$159,[3]PRESUPUESTO!$G$162,[3]PRESUPUESTO!$G$163,[3]PRESUPUESTO!$G$171,[3]PRESUPUESTO!$G$172,[3]PRESUPUESTO!$G$324,[3]PRESUPUESTO!$G$93,[3]PRESUPUESTO!$G$318</definedName>
    <definedName name="OTROS_GASTOS_PDI">[2]PRESUPUESTO!$G$85,[2]PRESUPUESTO!$G$86,[2]PRESUPUESTO!$G$87,[2]PRESUPUESTO!$G$88,[2]PRESUPUESTO!$G$92,[2]PRESUPUESTO!$G$104,[2]PRESUPUESTO!$G$105,[2]PRESUPUESTO!$G$106,[2]PRESUPUESTO!$G$107,[2]PRESUPUESTO!$G$109,[2]PRESUPUESTO!$G$111,[2]PRESUPUESTO!$G$112,[2]PRESUPUESTO!$G$115,[2]PRESUPUESTO!$G$116,[2]PRESUPUESTO!$G$120,[2]PRESUPUESTO!$G$122,[2]PRESUPUESTO!$G$148,[2]PRESUPUESTO!$G$149,[2]PRESUPUESTO!$G$150,[2]PRESUPUESTO!$G$151,[2]PRESUPUESTO!$G$152,[2]PRESUPUESTO!$G$153,[2]PRESUPUESTO!$G$154,[2]PRESUPUESTO!$G$155,[2]PRESUPUESTO!$G$159,[2]PRESUPUESTO!$G$162,[2]PRESUPUESTO!$G$163,[2]PRESUPUESTO!$G$171,[2]PRESUPUESTO!$G$172,[2]PRESUPUESTO!$G$327,[2]PRESUPUESTO!$G$93,[2]PRESUPUESTO!$G$321</definedName>
    <definedName name="razon" localSheetId="1">#REF!</definedName>
    <definedName name="razon" localSheetId="2">#REF!</definedName>
    <definedName name="razon">#REF!</definedName>
    <definedName name="sueldo" localSheetId="1">#REF!</definedName>
    <definedName name="sueldo" localSheetId="2">#REF!</definedName>
    <definedName name="sueldo">#REF!</definedName>
    <definedName name="TEST0" localSheetId="1">#REF!</definedName>
    <definedName name="TEST0" localSheetId="2">#REF!</definedName>
    <definedName name="TEST0">#REF!</definedName>
    <definedName name="TESTHKEY" localSheetId="1">#REF!</definedName>
    <definedName name="TESTHKEY" localSheetId="2">#REF!</definedName>
    <definedName name="TESTHKEY">#REF!</definedName>
    <definedName name="TESTKEYS" localSheetId="1">#REF!</definedName>
    <definedName name="TESTKEYS" localSheetId="2">#REF!</definedName>
    <definedName name="TESTKEYS">#REF!</definedName>
    <definedName name="TESTVKEY" localSheetId="1">#REF!</definedName>
    <definedName name="TESTVKEY" localSheetId="2">#REF!</definedName>
    <definedName name="TESTVKEY">#REF!</definedName>
    <definedName name="tipo" localSheetId="1">#REF!</definedName>
    <definedName name="tipo" localSheetId="2">#REF!</definedName>
    <definedName name="tipo">#REF!</definedName>
    <definedName name="TipoOD" localSheetId="1">[2]NOMINA!#REF!</definedName>
    <definedName name="TipoOD" localSheetId="2">[3]NOMINA!#REF!</definedName>
    <definedName name="TipoOD">[1]NOMINA!#REF!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3" l="1"/>
  <c r="F61" i="3"/>
  <c r="F58" i="3"/>
  <c r="F59" i="3" s="1"/>
  <c r="F57" i="3"/>
  <c r="F56" i="3"/>
  <c r="F55" i="3"/>
  <c r="F53" i="3"/>
  <c r="F52" i="3"/>
  <c r="F50" i="3"/>
  <c r="F51" i="3" s="1"/>
  <c r="F49" i="3"/>
  <c r="F47" i="3"/>
  <c r="F46" i="3"/>
  <c r="F41" i="3"/>
  <c r="F42" i="3" s="1"/>
  <c r="F40" i="3"/>
  <c r="F38" i="3"/>
  <c r="F37" i="3"/>
  <c r="F36" i="3"/>
  <c r="F35" i="3"/>
  <c r="F34" i="3"/>
  <c r="F33" i="3"/>
  <c r="F32" i="3"/>
  <c r="F39" i="3" s="1"/>
  <c r="F30" i="3"/>
  <c r="F29" i="3"/>
  <c r="F28" i="3"/>
  <c r="F27" i="3"/>
  <c r="F26" i="3"/>
  <c r="F25" i="3"/>
  <c r="F24" i="3"/>
  <c r="F23" i="3"/>
  <c r="F31" i="3" s="1"/>
  <c r="F18" i="3"/>
  <c r="F15" i="3"/>
  <c r="F60" i="3" s="1"/>
  <c r="F63" i="3" s="1"/>
  <c r="F10" i="3"/>
  <c r="F9" i="3"/>
  <c r="F8" i="3"/>
  <c r="F11" i="3" s="1"/>
  <c r="B3" i="3"/>
  <c r="F65" i="3" l="1"/>
  <c r="F67" i="3" s="1"/>
  <c r="F62" i="2" l="1"/>
  <c r="F61" i="2"/>
  <c r="F58" i="2"/>
  <c r="F59" i="2" s="1"/>
  <c r="F57" i="2"/>
  <c r="F56" i="2"/>
  <c r="F55" i="2"/>
  <c r="F52" i="2"/>
  <c r="F53" i="2" s="1"/>
  <c r="F50" i="2"/>
  <c r="F51" i="2" s="1"/>
  <c r="F49" i="2"/>
  <c r="F47" i="2"/>
  <c r="F46" i="2"/>
  <c r="F36" i="2"/>
  <c r="F30" i="2"/>
  <c r="F28" i="2"/>
  <c r="F27" i="2"/>
  <c r="F24" i="2"/>
  <c r="F23" i="2"/>
  <c r="F18" i="2"/>
  <c r="F15" i="2"/>
  <c r="F11" i="2"/>
  <c r="F10" i="2"/>
  <c r="F9" i="2"/>
  <c r="F8" i="2"/>
  <c r="B3" i="2"/>
  <c r="F40" i="2" l="1"/>
  <c r="F25" i="2"/>
  <c r="F41" i="2"/>
  <c r="F35" i="2"/>
  <c r="F33" i="2"/>
  <c r="F42" i="2" l="1"/>
  <c r="F32" i="2"/>
  <c r="F34" i="2"/>
  <c r="F37" i="2"/>
  <c r="F38" i="2" l="1"/>
  <c r="F39" i="2"/>
  <c r="F29" i="2"/>
  <c r="F26" i="2"/>
  <c r="F31" i="2" l="1"/>
  <c r="F60" i="2" s="1"/>
  <c r="F63" i="2" s="1"/>
  <c r="F65" i="2" s="1"/>
  <c r="F67" i="2" s="1"/>
  <c r="F62" i="1" l="1"/>
  <c r="F61" i="1"/>
  <c r="F58" i="1"/>
  <c r="F59" i="1" s="1"/>
  <c r="F57" i="1"/>
  <c r="F56" i="1"/>
  <c r="F55" i="1"/>
  <c r="F53" i="1"/>
  <c r="F52" i="1"/>
  <c r="F50" i="1"/>
  <c r="F51" i="1" s="1"/>
  <c r="F49" i="1"/>
  <c r="F47" i="1"/>
  <c r="F46" i="1"/>
  <c r="F41" i="1"/>
  <c r="F40" i="1"/>
  <c r="F42" i="1" s="1"/>
  <c r="F38" i="1"/>
  <c r="F37" i="1"/>
  <c r="F36" i="1"/>
  <c r="F35" i="1"/>
  <c r="F34" i="1"/>
  <c r="F33" i="1"/>
  <c r="F32" i="1"/>
  <c r="F39" i="1" s="1"/>
  <c r="F30" i="1"/>
  <c r="F29" i="1"/>
  <c r="F28" i="1"/>
  <c r="F27" i="1"/>
  <c r="F26" i="1"/>
  <c r="F25" i="1"/>
  <c r="F24" i="1"/>
  <c r="F23" i="1"/>
  <c r="F31" i="1" s="1"/>
  <c r="F18" i="1"/>
  <c r="F15" i="1"/>
  <c r="F10" i="1"/>
  <c r="F9" i="1"/>
  <c r="F8" i="1"/>
  <c r="F11" i="1" s="1"/>
  <c r="B3" i="1"/>
  <c r="F60" i="1" l="1"/>
  <c r="F63" i="1" s="1"/>
  <c r="F65" i="1" s="1"/>
  <c r="F67" i="1" s="1"/>
</calcChain>
</file>

<file path=xl/sharedStrings.xml><?xml version="1.0" encoding="utf-8"?>
<sst xmlns="http://schemas.openxmlformats.org/spreadsheetml/2006/main" count="255" uniqueCount="84">
  <si>
    <t xml:space="preserve">                                  PRESUPUESTO 2018-PLAN DE DESARROLLO</t>
  </si>
  <si>
    <t>CANTIDADES EN MILES DE PESOS</t>
  </si>
  <si>
    <t>LÍNEAS ESTRATEGICAS</t>
  </si>
  <si>
    <t>PROGRAMA</t>
  </si>
  <si>
    <t>PROYECTO</t>
  </si>
  <si>
    <t>VALOR</t>
  </si>
  <si>
    <t>INGRESOS</t>
  </si>
  <si>
    <t>4.EDUCACION</t>
  </si>
  <si>
    <t>5.INVESTIGACION</t>
  </si>
  <si>
    <t>6.RESPONSABILIDAD SOCIAL</t>
  </si>
  <si>
    <t xml:space="preserve"> TOTAL INGRESOS</t>
  </si>
  <si>
    <t>GASTOS FUNCIONAMIENTO E INVERSION</t>
  </si>
  <si>
    <t>CIMIENTOS</t>
  </si>
  <si>
    <t xml:space="preserve"> 2.   PLANEACIÓN - INNOVACIÓN - CALIDAD</t>
  </si>
  <si>
    <t>Programa 1. Fortalecimiento del Sistema de Planeación Institucional y de Unidades Académicas y Administrativas</t>
  </si>
  <si>
    <t>Líderes</t>
  </si>
  <si>
    <t>Proyecto 1. Implementación, seguimiento y evaluación del PDI 2016 - 2021</t>
  </si>
  <si>
    <t>Impresión planes de desarrollo de las unidades</t>
  </si>
  <si>
    <t>Proyecto 2. Elaboración, implementación, seguimiento y evaluación  de Planes Estratégicos de las Unidades Académicas y Administrativas articulados con el PDI 2016 - 2021</t>
  </si>
  <si>
    <t xml:space="preserve">Proyecto 1. Autoevaluación y Acreditación  Institucional  y de Programas a nivel nacional </t>
  </si>
  <si>
    <t>Proyecto 2. Acreditación  institucional  y de programas a nivel internacional</t>
  </si>
  <si>
    <t>Proyecto 3. Certificaciones de calidad de los procesos académico-administrativos</t>
  </si>
  <si>
    <t xml:space="preserve">Proyecto 4. Fortalecimiento del desarrollo del Sistema de Información de Calidad  </t>
  </si>
  <si>
    <t>3. TALENTO HUMANO</t>
  </si>
  <si>
    <t>Programa 1. Desarrollo e Implementación de la Política de Gestión del Talento Humano Académico y Administrativo, alineada con la Misión y Visión Institucional</t>
  </si>
  <si>
    <t>Nómina</t>
  </si>
  <si>
    <t>Nómina Acad. Admon</t>
  </si>
  <si>
    <t>Capacitación, apoyos académicos</t>
  </si>
  <si>
    <t>Honorarios</t>
  </si>
  <si>
    <t>Convenios Doc - Asis.</t>
  </si>
  <si>
    <t>Excelencia Académica</t>
  </si>
  <si>
    <t>Gastos de Viaje</t>
  </si>
  <si>
    <t>Otros Gastos de Nómina</t>
  </si>
  <si>
    <t>Proyecto 1. Desarrollo e  implementación  de la Política de Gestión de Talento Humano Académico, alineada con la Misión y la Visión Institucional</t>
  </si>
  <si>
    <t>PILARES</t>
  </si>
  <si>
    <t>4. EDUCACIÓN</t>
  </si>
  <si>
    <t>Fortalecimiento Académico</t>
  </si>
  <si>
    <t>Inversiones Académicas</t>
  </si>
  <si>
    <t>Base de datos y Bibliotéca</t>
  </si>
  <si>
    <t>Elementos de Laboratorio</t>
  </si>
  <si>
    <t>Impresos y Publicaciones</t>
  </si>
  <si>
    <t>Elementos Audiovisuales</t>
  </si>
  <si>
    <t>Material Didáctico</t>
  </si>
  <si>
    <t>Otros Gastos</t>
  </si>
  <si>
    <t>Proyecto 1. IMPLEMENTACIÓN Y SEGUIMIENTO DE LA POLÍTICA DE GESTIÓN CURRICULAR</t>
  </si>
  <si>
    <t>5. INVESTIGACIÓN</t>
  </si>
  <si>
    <t>Programa 2. Desarrollo e implementación de la Política Institucional para la Transferencia del Conocimiento producto de investigación de acuerdo con la Misión y la Visión.</t>
  </si>
  <si>
    <t>Soporte y Mantenimiento</t>
  </si>
  <si>
    <t>Equipos de Laboratorio</t>
  </si>
  <si>
    <t>Proyecto 2. Fortalecimiento de la innovación de base tecnológica</t>
  </si>
  <si>
    <t>6. RESPONSABILIDAD SOCIAL</t>
  </si>
  <si>
    <t>Programa 1. Vinculación con el entorno</t>
  </si>
  <si>
    <t>Proyecto 1. Fortalecimiento de la relación con egresados</t>
  </si>
  <si>
    <t>Proyecto 2. Estrategia de priorización y relacionamiento Interinstitucional con alcance nacional e internacional</t>
  </si>
  <si>
    <t>Otras Actividades</t>
  </si>
  <si>
    <t>Afiliaciones y Cuotas de Sostenimiento-Nacionales</t>
  </si>
  <si>
    <t xml:space="preserve">Proyecto 3. Consolidación de las relaciones con la comunidad </t>
  </si>
  <si>
    <t>ESTRATEGIAS</t>
  </si>
  <si>
    <t>7. ÉXITO ESTUDIANTIL</t>
  </si>
  <si>
    <t>Programa 3. Preparación a la Vida Laboral</t>
  </si>
  <si>
    <t>Participación Eventos</t>
  </si>
  <si>
    <t>Proyecto 1. Gestión para el desempeño profesional</t>
  </si>
  <si>
    <t>8. BIENESTAR INSTITUCIONAL</t>
  </si>
  <si>
    <t>Programa 1. Fortalecimiento de Bienestar para los Actores Universitarios</t>
  </si>
  <si>
    <t>Servicios Bienestar Universitario</t>
  </si>
  <si>
    <t>Proyecto 2. Fortalecimiento de bienestar  para estudiantes y egresados</t>
  </si>
  <si>
    <t>9. INTERNACIONALIZACIÓN</t>
  </si>
  <si>
    <t xml:space="preserve">Programa 1. Fortalecimiento de la implementación de la Política de Internacionalización </t>
  </si>
  <si>
    <t>Afiliaciones y Cuotas de Sostenimiento Internacionales</t>
  </si>
  <si>
    <t>Proyecto 1. Relaciones Internacionales con los grupos de interés</t>
  </si>
  <si>
    <t>Cursos y Otros</t>
  </si>
  <si>
    <t>Proyecto 2. Internacionalización del currículo</t>
  </si>
  <si>
    <t>Movilidad Estudiantil</t>
  </si>
  <si>
    <t>Proyecto 3. Internacionalización para el éxito estudiantil</t>
  </si>
  <si>
    <t>Apoyos a maestrias y doctorados, asistencia a congresos, viajes de misiones académicas, asistencia a cursos</t>
  </si>
  <si>
    <t>Proyecto 4. Internacionalización del Talento Humano</t>
  </si>
  <si>
    <t>SUB TOTAL GASTOS FUNCIONAMIENTO E INVERSION PLAN DE DESARROLLO</t>
  </si>
  <si>
    <t>GASTOS INDIRECTOS</t>
  </si>
  <si>
    <t>OTROS GASTOS</t>
  </si>
  <si>
    <t>TOTAL GASTOS</t>
  </si>
  <si>
    <t>RENDIMIENTO O SUBVENCION</t>
  </si>
  <si>
    <t>MARGEN NETO</t>
  </si>
  <si>
    <t xml:space="preserve"># TOTAL DE PROGRAMAS: </t>
  </si>
  <si>
    <t xml:space="preserve"># TOTAL DE PROYECTOS: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</si>
</sst>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color rgb="FFFFFFFF"/>
      <name val="Arial"/>
      <family val="2"/>
    </font>
    <font>
      <b/>
      <sz val="12"/>
      <color rgb="FFFFFFFF"/>
      <name val="Arial"/>
      <family val="2"/>
    </font>
    <font>
      <sz val="11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4"/>
      <color theme="0"/>
      <name val="Arial"/>
      <family val="2"/>
    </font>
    <font>
      <b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31859B"/>
        <bgColor rgb="FF31859B"/>
      </patternFill>
    </fill>
    <fill>
      <patternFill patternType="solid">
        <fgColor rgb="FF31859B"/>
        <bgColor indexed="64"/>
      </patternFill>
    </fill>
    <fill>
      <patternFill patternType="solid">
        <fgColor theme="6" tint="0.59999389629810485"/>
        <bgColor rgb="FF31859B"/>
      </patternFill>
    </fill>
    <fill>
      <patternFill patternType="solid">
        <fgColor theme="0"/>
        <bgColor rgb="FF31859B"/>
      </patternFill>
    </fill>
    <fill>
      <patternFill patternType="solid">
        <fgColor theme="6" tint="0.79998168889431442"/>
        <bgColor rgb="FF31859B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rgb="FF31859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31859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3" applyFont="1"/>
    <xf numFmtId="0" fontId="4" fillId="3" borderId="0" xfId="0" applyFont="1" applyFill="1" applyAlignment="1">
      <alignment horizontal="center"/>
    </xf>
    <xf numFmtId="9" fontId="5" fillId="0" borderId="0" xfId="0" applyNumberFormat="1" applyFont="1"/>
    <xf numFmtId="0" fontId="3" fillId="0" borderId="0" xfId="3" applyFont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4" borderId="1" xfId="3" applyFont="1" applyFill="1" applyBorder="1" applyAlignment="1">
      <alignment horizont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7" fillId="5" borderId="4" xfId="3" applyFont="1" applyFill="1" applyBorder="1" applyAlignment="1">
      <alignment horizontal="center" vertical="center" wrapText="1"/>
    </xf>
    <xf numFmtId="0" fontId="3" fillId="0" borderId="0" xfId="3" applyFont="1" applyAlignment="1">
      <alignment horizontal="center"/>
    </xf>
    <xf numFmtId="0" fontId="6" fillId="4" borderId="5" xfId="3" applyFont="1" applyFill="1" applyBorder="1" applyAlignment="1">
      <alignment horizontal="center" wrapText="1"/>
    </xf>
    <xf numFmtId="0" fontId="6" fillId="4" borderId="6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7" fillId="5" borderId="8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wrapText="1"/>
    </xf>
    <xf numFmtId="0" fontId="8" fillId="6" borderId="6" xfId="3" applyFont="1" applyFill="1" applyBorder="1" applyAlignment="1">
      <alignment horizontal="center" vertical="center" wrapText="1"/>
    </xf>
    <xf numFmtId="0" fontId="8" fillId="6" borderId="7" xfId="3" applyFont="1" applyFill="1" applyBorder="1" applyAlignment="1">
      <alignment horizontal="center" vertical="center" wrapText="1"/>
    </xf>
    <xf numFmtId="3" fontId="3" fillId="0" borderId="9" xfId="3" applyNumberFormat="1" applyFont="1" applyFill="1" applyBorder="1" applyAlignment="1">
      <alignment horizontal="center" vertical="center"/>
    </xf>
    <xf numFmtId="0" fontId="8" fillId="6" borderId="10" xfId="3" applyFont="1" applyFill="1" applyBorder="1" applyAlignment="1">
      <alignment horizontal="center" vertical="center" wrapText="1"/>
    </xf>
    <xf numFmtId="0" fontId="8" fillId="6" borderId="11" xfId="3" applyFont="1" applyFill="1" applyBorder="1" applyAlignment="1">
      <alignment horizontal="center" vertical="center" wrapText="1"/>
    </xf>
    <xf numFmtId="3" fontId="3" fillId="0" borderId="12" xfId="3" applyNumberFormat="1" applyFont="1" applyFill="1" applyBorder="1" applyAlignment="1">
      <alignment horizontal="center" vertical="center"/>
    </xf>
    <xf numFmtId="0" fontId="6" fillId="4" borderId="13" xfId="3" applyFont="1" applyFill="1" applyBorder="1" applyAlignment="1">
      <alignment horizontal="center" wrapText="1"/>
    </xf>
    <xf numFmtId="0" fontId="9" fillId="4" borderId="14" xfId="3" applyFont="1" applyFill="1" applyBorder="1" applyAlignment="1">
      <alignment horizontal="center" vertical="center" wrapText="1"/>
    </xf>
    <xf numFmtId="0" fontId="9" fillId="4" borderId="15" xfId="3" applyFont="1" applyFill="1" applyBorder="1" applyAlignment="1">
      <alignment horizontal="center" vertical="center" wrapText="1"/>
    </xf>
    <xf numFmtId="3" fontId="10" fillId="5" borderId="16" xfId="3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6" fillId="7" borderId="0" xfId="3" applyFont="1" applyFill="1" applyBorder="1" applyAlignment="1">
      <alignment horizontal="center" wrapText="1"/>
    </xf>
    <xf numFmtId="0" fontId="6" fillId="7" borderId="0" xfId="3" applyFont="1" applyFill="1" applyBorder="1" applyAlignment="1">
      <alignment horizontal="center" vertical="center" wrapText="1"/>
    </xf>
    <xf numFmtId="3" fontId="3" fillId="0" borderId="0" xfId="3" applyNumberFormat="1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/>
    </xf>
    <xf numFmtId="0" fontId="6" fillId="4" borderId="3" xfId="3" applyFont="1" applyFill="1" applyBorder="1" applyAlignment="1">
      <alignment horizontal="center" vertical="center" wrapText="1"/>
    </xf>
    <xf numFmtId="0" fontId="6" fillId="4" borderId="17" xfId="3" applyFont="1" applyFill="1" applyBorder="1" applyAlignment="1">
      <alignment horizontal="center" vertical="center" wrapText="1"/>
    </xf>
    <xf numFmtId="3" fontId="3" fillId="5" borderId="18" xfId="3" applyNumberFormat="1" applyFont="1" applyFill="1" applyBorder="1" applyAlignment="1">
      <alignment horizontal="center" vertical="center"/>
    </xf>
    <xf numFmtId="0" fontId="2" fillId="8" borderId="19" xfId="3" applyFont="1" applyFill="1" applyBorder="1" applyAlignment="1">
      <alignment horizontal="center" vertical="center" textRotation="90" wrapText="1"/>
    </xf>
    <xf numFmtId="0" fontId="8" fillId="9" borderId="20" xfId="3" applyFont="1" applyFill="1" applyBorder="1" applyAlignment="1">
      <alignment horizontal="center" vertical="center" wrapText="1"/>
    </xf>
    <xf numFmtId="0" fontId="8" fillId="9" borderId="11" xfId="3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justify" vertical="justify" wrapText="1"/>
    </xf>
    <xf numFmtId="0" fontId="2" fillId="8" borderId="21" xfId="3" applyFont="1" applyFill="1" applyBorder="1" applyAlignment="1">
      <alignment horizontal="center" vertical="center" textRotation="90" wrapText="1"/>
    </xf>
    <xf numFmtId="0" fontId="8" fillId="9" borderId="22" xfId="3" applyFont="1" applyFill="1" applyBorder="1" applyAlignment="1">
      <alignment horizontal="center" vertical="center" wrapText="1"/>
    </xf>
    <xf numFmtId="0" fontId="8" fillId="9" borderId="0" xfId="3" applyFont="1" applyFill="1" applyBorder="1" applyAlignment="1">
      <alignment horizontal="center" vertical="center" wrapText="1"/>
    </xf>
    <xf numFmtId="0" fontId="8" fillId="9" borderId="6" xfId="3" applyFont="1" applyFill="1" applyBorder="1" applyAlignment="1">
      <alignment vertical="center" wrapText="1"/>
    </xf>
    <xf numFmtId="3" fontId="12" fillId="9" borderId="9" xfId="3" applyNumberFormat="1" applyFont="1" applyFill="1" applyBorder="1" applyAlignment="1">
      <alignment horizontal="center" vertical="center"/>
    </xf>
    <xf numFmtId="0" fontId="8" fillId="9" borderId="23" xfId="3" applyFont="1" applyFill="1" applyBorder="1" applyAlignment="1">
      <alignment horizontal="center" vertical="center" wrapText="1"/>
    </xf>
    <xf numFmtId="0" fontId="8" fillId="9" borderId="24" xfId="3" applyFont="1" applyFill="1" applyBorder="1" applyAlignment="1">
      <alignment horizontal="center" vertical="center" wrapText="1"/>
    </xf>
    <xf numFmtId="0" fontId="8" fillId="9" borderId="6" xfId="3" applyFont="1" applyFill="1" applyBorder="1" applyAlignment="1">
      <alignment horizontal="left" vertical="center" wrapText="1"/>
    </xf>
    <xf numFmtId="0" fontId="8" fillId="9" borderId="20" xfId="3" applyFont="1" applyFill="1" applyBorder="1" applyAlignment="1">
      <alignment horizontal="left" vertical="center" wrapText="1"/>
    </xf>
    <xf numFmtId="0" fontId="8" fillId="9" borderId="10" xfId="3" applyFont="1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justify" wrapText="1"/>
    </xf>
    <xf numFmtId="3" fontId="3" fillId="11" borderId="9" xfId="3" applyNumberFormat="1" applyFont="1" applyFill="1" applyBorder="1" applyAlignment="1">
      <alignment horizontal="center" vertical="center"/>
    </xf>
    <xf numFmtId="3" fontId="3" fillId="12" borderId="9" xfId="3" applyNumberFormat="1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 textRotation="90" wrapText="1"/>
    </xf>
    <xf numFmtId="0" fontId="8" fillId="9" borderId="26" xfId="3" applyFont="1" applyFill="1" applyBorder="1" applyAlignment="1">
      <alignment horizontal="center" vertical="center" wrapText="1"/>
    </xf>
    <xf numFmtId="0" fontId="2" fillId="13" borderId="19" xfId="3" applyFont="1" applyFill="1" applyBorder="1" applyAlignment="1">
      <alignment horizontal="center" vertical="center" textRotation="90" wrapText="1"/>
    </xf>
    <xf numFmtId="0" fontId="8" fillId="14" borderId="20" xfId="3" applyFont="1" applyFill="1" applyBorder="1" applyAlignment="1">
      <alignment horizontal="center" vertical="center" wrapText="1"/>
    </xf>
    <xf numFmtId="0" fontId="2" fillId="13" borderId="21" xfId="3" applyFont="1" applyFill="1" applyBorder="1" applyAlignment="1">
      <alignment horizontal="center" vertical="center" textRotation="90" wrapText="1"/>
    </xf>
    <xf numFmtId="0" fontId="8" fillId="14" borderId="22" xfId="3" applyFont="1" applyFill="1" applyBorder="1" applyAlignment="1">
      <alignment horizontal="center" vertical="center" wrapText="1"/>
    </xf>
    <xf numFmtId="0" fontId="8" fillId="14" borderId="26" xfId="3" applyFont="1" applyFill="1" applyBorder="1" applyAlignment="1">
      <alignment horizontal="center" vertical="center" wrapText="1"/>
    </xf>
    <xf numFmtId="0" fontId="8" fillId="14" borderId="6" xfId="3" applyFont="1" applyFill="1" applyBorder="1" applyAlignment="1">
      <alignment horizontal="left" vertical="center" wrapText="1"/>
    </xf>
    <xf numFmtId="3" fontId="12" fillId="14" borderId="9" xfId="3" applyNumberFormat="1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left" wrapText="1"/>
    </xf>
    <xf numFmtId="0" fontId="8" fillId="14" borderId="6" xfId="3" applyFont="1" applyFill="1" applyBorder="1" applyAlignment="1">
      <alignment vertical="center" wrapText="1"/>
    </xf>
    <xf numFmtId="0" fontId="2" fillId="13" borderId="25" xfId="3" applyFont="1" applyFill="1" applyBorder="1" applyAlignment="1">
      <alignment horizontal="center" vertical="center" textRotation="90" wrapText="1"/>
    </xf>
    <xf numFmtId="0" fontId="2" fillId="15" borderId="19" xfId="3" applyFont="1" applyFill="1" applyBorder="1" applyAlignment="1">
      <alignment horizontal="center" vertical="center" textRotation="90" wrapText="1"/>
    </xf>
    <xf numFmtId="0" fontId="8" fillId="16" borderId="20" xfId="3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left"/>
    </xf>
    <xf numFmtId="0" fontId="2" fillId="15" borderId="21" xfId="3" applyFont="1" applyFill="1" applyBorder="1" applyAlignment="1">
      <alignment horizontal="center" vertical="center" textRotation="90" wrapText="1"/>
    </xf>
    <xf numFmtId="0" fontId="8" fillId="16" borderId="26" xfId="3" applyFont="1" applyFill="1" applyBorder="1" applyAlignment="1">
      <alignment horizontal="center" vertical="center" wrapText="1"/>
    </xf>
    <xf numFmtId="0" fontId="8" fillId="16" borderId="6" xfId="3" applyFont="1" applyFill="1" applyBorder="1" applyAlignment="1">
      <alignment vertical="center" wrapText="1"/>
    </xf>
    <xf numFmtId="3" fontId="12" fillId="16" borderId="9" xfId="3" applyNumberFormat="1" applyFont="1" applyFill="1" applyBorder="1" applyAlignment="1">
      <alignment horizontal="center" vertical="center"/>
    </xf>
    <xf numFmtId="0" fontId="8" fillId="16" borderId="22" xfId="3" applyFont="1" applyFill="1" applyBorder="1" applyAlignment="1">
      <alignment horizontal="center" vertical="center" wrapText="1"/>
    </xf>
    <xf numFmtId="0" fontId="2" fillId="15" borderId="25" xfId="3" applyFont="1" applyFill="1" applyBorder="1" applyAlignment="1">
      <alignment horizontal="center" vertical="center" textRotation="90" wrapText="1"/>
    </xf>
    <xf numFmtId="0" fontId="6" fillId="4" borderId="27" xfId="3" applyFont="1" applyFill="1" applyBorder="1" applyAlignment="1">
      <alignment horizontal="center" vertical="center" wrapText="1"/>
    </xf>
    <xf numFmtId="3" fontId="13" fillId="5" borderId="9" xfId="3" applyNumberFormat="1" applyFont="1" applyFill="1" applyBorder="1" applyAlignment="1">
      <alignment horizontal="center" vertical="center"/>
    </xf>
    <xf numFmtId="0" fontId="6" fillId="4" borderId="20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3" fontId="13" fillId="11" borderId="12" xfId="3" applyNumberFormat="1" applyFont="1" applyFill="1" applyBorder="1" applyAlignment="1">
      <alignment horizontal="center" vertical="center"/>
    </xf>
    <xf numFmtId="0" fontId="3" fillId="17" borderId="0" xfId="3" applyFont="1" applyFill="1"/>
    <xf numFmtId="0" fontId="6" fillId="4" borderId="28" xfId="3" applyFont="1" applyFill="1" applyBorder="1" applyAlignment="1">
      <alignment horizontal="center" vertical="center" wrapText="1"/>
    </xf>
    <xf numFmtId="0" fontId="6" fillId="4" borderId="14" xfId="3" applyFont="1" applyFill="1" applyBorder="1" applyAlignment="1">
      <alignment horizontal="center" vertical="center" wrapText="1"/>
    </xf>
    <xf numFmtId="3" fontId="13" fillId="5" borderId="16" xfId="3" applyNumberFormat="1" applyFont="1" applyFill="1" applyBorder="1" applyAlignment="1">
      <alignment horizontal="center" vertical="center"/>
    </xf>
    <xf numFmtId="165" fontId="3" fillId="0" borderId="0" xfId="1" applyNumberFormat="1" applyFont="1"/>
    <xf numFmtId="165" fontId="3" fillId="0" borderId="0" xfId="3" applyNumberFormat="1" applyFont="1"/>
    <xf numFmtId="0" fontId="3" fillId="0" borderId="0" xfId="3" applyFont="1" applyBorder="1"/>
    <xf numFmtId="0" fontId="3" fillId="0" borderId="0" xfId="3" applyFont="1" applyBorder="1" applyAlignment="1">
      <alignment vertical="center"/>
    </xf>
    <xf numFmtId="0" fontId="6" fillId="4" borderId="29" xfId="3" applyFont="1" applyFill="1" applyBorder="1" applyAlignment="1">
      <alignment horizontal="center" wrapText="1"/>
    </xf>
    <xf numFmtId="0" fontId="6" fillId="4" borderId="30" xfId="3" applyFont="1" applyFill="1" applyBorder="1" applyAlignment="1">
      <alignment horizontal="center" vertical="center" wrapText="1"/>
    </xf>
    <xf numFmtId="0" fontId="6" fillId="4" borderId="31" xfId="3" applyFont="1" applyFill="1" applyBorder="1" applyAlignment="1">
      <alignment horizontal="center" vertical="center" wrapText="1"/>
    </xf>
    <xf numFmtId="3" fontId="13" fillId="5" borderId="32" xfId="3" applyNumberFormat="1" applyFont="1" applyFill="1" applyBorder="1" applyAlignment="1">
      <alignment horizontal="center" vertical="center"/>
    </xf>
    <xf numFmtId="3" fontId="3" fillId="0" borderId="0" xfId="3" applyNumberFormat="1" applyFont="1"/>
    <xf numFmtId="3" fontId="12" fillId="0" borderId="0" xfId="3" applyNumberFormat="1" applyFont="1"/>
    <xf numFmtId="3" fontId="3" fillId="0" borderId="0" xfId="3" applyNumberFormat="1" applyFont="1" applyFill="1" applyAlignment="1">
      <alignment horizontal="center" vertical="center"/>
    </xf>
    <xf numFmtId="0" fontId="14" fillId="18" borderId="33" xfId="3" applyFont="1" applyFill="1" applyBorder="1" applyAlignment="1">
      <alignment horizontal="center"/>
    </xf>
    <xf numFmtId="0" fontId="14" fillId="18" borderId="34" xfId="3" applyFont="1" applyFill="1" applyBorder="1" applyAlignment="1">
      <alignment horizontal="center"/>
    </xf>
    <xf numFmtId="10" fontId="13" fillId="5" borderId="35" xfId="2" applyNumberFormat="1" applyFont="1" applyFill="1" applyBorder="1" applyAlignment="1">
      <alignment horizontal="center" vertical="center"/>
    </xf>
    <xf numFmtId="10" fontId="3" fillId="0" borderId="0" xfId="3" applyNumberFormat="1" applyFont="1" applyFill="1" applyAlignment="1">
      <alignment horizontal="center" vertical="center"/>
    </xf>
    <xf numFmtId="0" fontId="14" fillId="0" borderId="0" xfId="3" applyFont="1" applyAlignment="1">
      <alignment vertical="center"/>
    </xf>
    <xf numFmtId="3" fontId="13" fillId="5" borderId="12" xfId="3" applyNumberFormat="1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4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173935</xdr:colOff>
      <xdr:row>0</xdr:row>
      <xdr:rowOff>49695</xdr:rowOff>
    </xdr:from>
    <xdr:to>
      <xdr:col>3</xdr:col>
      <xdr:colOff>206652</xdr:colOff>
      <xdr:row>1</xdr:row>
      <xdr:rowOff>95250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660" y="49695"/>
          <a:ext cx="2318717" cy="293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173935</xdr:colOff>
      <xdr:row>0</xdr:row>
      <xdr:rowOff>49695</xdr:rowOff>
    </xdr:from>
    <xdr:to>
      <xdr:col>3</xdr:col>
      <xdr:colOff>206652</xdr:colOff>
      <xdr:row>1</xdr:row>
      <xdr:rowOff>95250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660" y="49695"/>
          <a:ext cx="2318717" cy="293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173935</xdr:colOff>
      <xdr:row>0</xdr:row>
      <xdr:rowOff>49695</xdr:rowOff>
    </xdr:from>
    <xdr:to>
      <xdr:col>3</xdr:col>
      <xdr:colOff>206652</xdr:colOff>
      <xdr:row>1</xdr:row>
      <xdr:rowOff>95250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660" y="49695"/>
          <a:ext cx="2318717" cy="2932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ta&#241;ojorge/Documents/informacion/CLAUSTRO/2018-01/PRESUPUESTO%20DEFINITIVO%202018/MEDICINA/MEDICINA-Pregrado2018-13Diciembre-Revis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ta&#241;ojorge/Documents/informacion/CLAUSTRO/2018-01/PRESUPUESTO%20DEFINITIVO%202018/CIENCIAS%20ECONOMICAS/ADMON.%20EMPRESAS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ta&#241;ojorge/Documents/informacion/CLAUSTRO/2018-01/PRESUPUESTO%20DEFINITIVO%202018/PSICOLOGIA/PSICOLOGIA%20DIA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ESUPUESTO"/>
      <sheetName val="PTO - PDI"/>
      <sheetName val="PTO + EC"/>
      <sheetName val="ALUMNOS"/>
      <sheetName val="MAT."/>
      <sheetName val="NOMINA"/>
      <sheetName val="BASE"/>
      <sheetName val="Base 3"/>
      <sheetName val="HONORARIOS"/>
      <sheetName val="CONVENIOS"/>
      <sheetName val="ASESOR.Y.CONSULT."/>
      <sheetName val="PROY INVEST."/>
      <sheetName val="P.PROY.SOCIAL"/>
      <sheetName val="GEST.REC.HUM."/>
      <sheetName val="OTRAS ACTIV."/>
      <sheetName val="ADICIONALES PD"/>
      <sheetName val="SALIDAS"/>
      <sheetName val="BIBLIOTECA"/>
      <sheetName val="AFILIACIONES"/>
      <sheetName val="IMPRESOS.PUBLIC"/>
      <sheetName val="MANTEN.EQUIP."/>
      <sheetName val="INVER.EQUIPO.COMP"/>
      <sheetName val="INVER.OTROS.EQUIPOS"/>
      <sheetName val="INVER.MUEBLES"/>
      <sheetName val="ADECUAC.LOCATIVAS"/>
      <sheetName val="Hoja2"/>
      <sheetName val="EDUC.CONT."/>
      <sheetName val="PPTO 2017"/>
      <sheetName val="EJEC"/>
    </sheetNames>
    <sheetDataSet>
      <sheetData sheetId="0"/>
      <sheetData sheetId="1">
        <row r="2">
          <cell r="B2" t="str">
            <v>MEDICINA PREGRADO</v>
          </cell>
        </row>
        <row r="29">
          <cell r="G29">
            <v>38297733.159999996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12069.75</v>
          </cell>
        </row>
        <row r="47">
          <cell r="G47">
            <v>0</v>
          </cell>
        </row>
        <row r="48">
          <cell r="G48">
            <v>37400</v>
          </cell>
        </row>
        <row r="49">
          <cell r="G49">
            <v>15225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73">
          <cell r="G73">
            <v>311826.09399999998</v>
          </cell>
        </row>
        <row r="76">
          <cell r="G76">
            <v>2975430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92">
          <cell r="G92">
            <v>0</v>
          </cell>
        </row>
        <row r="93">
          <cell r="G93">
            <v>7140</v>
          </cell>
        </row>
        <row r="95">
          <cell r="G95">
            <v>6032</v>
          </cell>
        </row>
        <row r="104">
          <cell r="G104">
            <v>2782.5</v>
          </cell>
        </row>
        <row r="105">
          <cell r="G105">
            <v>472.5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0</v>
          </cell>
        </row>
        <row r="113">
          <cell r="G113">
            <v>656250</v>
          </cell>
        </row>
        <row r="115">
          <cell r="G115">
            <v>63</v>
          </cell>
        </row>
        <row r="116">
          <cell r="G116">
            <v>8660</v>
          </cell>
        </row>
        <row r="117">
          <cell r="G117">
            <v>19425</v>
          </cell>
        </row>
        <row r="120">
          <cell r="G120">
            <v>0</v>
          </cell>
        </row>
        <row r="122">
          <cell r="G122">
            <v>2152.5</v>
          </cell>
        </row>
        <row r="132">
          <cell r="G132">
            <v>0</v>
          </cell>
        </row>
        <row r="133">
          <cell r="G133">
            <v>0</v>
          </cell>
        </row>
        <row r="134">
          <cell r="G134">
            <v>0</v>
          </cell>
        </row>
        <row r="135">
          <cell r="G135">
            <v>0</v>
          </cell>
        </row>
        <row r="136">
          <cell r="G136">
            <v>0</v>
          </cell>
        </row>
        <row r="137">
          <cell r="G137">
            <v>0</v>
          </cell>
        </row>
        <row r="138">
          <cell r="G138">
            <v>2254.35</v>
          </cell>
        </row>
        <row r="140">
          <cell r="G140">
            <v>1500</v>
          </cell>
        </row>
        <row r="141">
          <cell r="G141">
            <v>52500</v>
          </cell>
        </row>
        <row r="142">
          <cell r="G142">
            <v>0</v>
          </cell>
        </row>
        <row r="143">
          <cell r="G143">
            <v>0</v>
          </cell>
        </row>
        <row r="144">
          <cell r="G144">
            <v>0</v>
          </cell>
        </row>
        <row r="146">
          <cell r="G146">
            <v>111000</v>
          </cell>
        </row>
        <row r="148">
          <cell r="G148">
            <v>88636.800000000003</v>
          </cell>
        </row>
        <row r="149">
          <cell r="G149">
            <v>20790</v>
          </cell>
        </row>
        <row r="150">
          <cell r="G150">
            <v>8190</v>
          </cell>
        </row>
        <row r="151">
          <cell r="G151">
            <v>20160</v>
          </cell>
        </row>
        <row r="152">
          <cell r="G152">
            <v>0</v>
          </cell>
        </row>
        <row r="153">
          <cell r="G153">
            <v>20125</v>
          </cell>
        </row>
        <row r="154">
          <cell r="G154">
            <v>0</v>
          </cell>
        </row>
        <row r="155">
          <cell r="G155">
            <v>0</v>
          </cell>
        </row>
        <row r="156">
          <cell r="G156">
            <v>80000</v>
          </cell>
        </row>
        <row r="157">
          <cell r="G157">
            <v>67410</v>
          </cell>
        </row>
        <row r="158">
          <cell r="G158">
            <v>0</v>
          </cell>
        </row>
        <row r="159">
          <cell r="G159">
            <v>609</v>
          </cell>
        </row>
        <row r="160">
          <cell r="G160">
            <v>0</v>
          </cell>
        </row>
        <row r="161">
          <cell r="G161">
            <v>0</v>
          </cell>
        </row>
        <row r="162">
          <cell r="G162">
            <v>543.9</v>
          </cell>
        </row>
        <row r="163">
          <cell r="G163">
            <v>0</v>
          </cell>
        </row>
        <row r="165">
          <cell r="G165">
            <v>0</v>
          </cell>
        </row>
        <row r="166">
          <cell r="G166">
            <v>52034</v>
          </cell>
        </row>
        <row r="167">
          <cell r="G167">
            <v>0</v>
          </cell>
        </row>
        <row r="168">
          <cell r="G168">
            <v>0</v>
          </cell>
        </row>
        <row r="169">
          <cell r="G169">
            <v>979.65000000000009</v>
          </cell>
        </row>
        <row r="170">
          <cell r="G170">
            <v>0</v>
          </cell>
        </row>
        <row r="171">
          <cell r="G171">
            <v>823.2</v>
          </cell>
        </row>
        <row r="172">
          <cell r="G172">
            <v>0</v>
          </cell>
        </row>
        <row r="173">
          <cell r="G173">
            <v>0</v>
          </cell>
        </row>
        <row r="242">
          <cell r="G242">
            <v>11505792.82375</v>
          </cell>
        </row>
        <row r="270">
          <cell r="G270">
            <v>0</v>
          </cell>
        </row>
        <row r="271">
          <cell r="G271">
            <v>0</v>
          </cell>
        </row>
        <row r="274">
          <cell r="G274">
            <v>0</v>
          </cell>
        </row>
        <row r="275">
          <cell r="G275">
            <v>0</v>
          </cell>
        </row>
        <row r="279">
          <cell r="G279">
            <v>0</v>
          </cell>
        </row>
        <row r="280">
          <cell r="G280">
            <v>0</v>
          </cell>
        </row>
        <row r="285">
          <cell r="G285">
            <v>27219.15</v>
          </cell>
        </row>
        <row r="286">
          <cell r="G286">
            <v>13875.75</v>
          </cell>
        </row>
        <row r="291">
          <cell r="G291">
            <v>0</v>
          </cell>
        </row>
        <row r="293">
          <cell r="G293">
            <v>0</v>
          </cell>
        </row>
        <row r="294">
          <cell r="G294">
            <v>0</v>
          </cell>
        </row>
        <row r="313">
          <cell r="G313">
            <v>28875</v>
          </cell>
        </row>
        <row r="314">
          <cell r="G314">
            <v>0</v>
          </cell>
        </row>
        <row r="315">
          <cell r="G315">
            <v>61914.3</v>
          </cell>
        </row>
        <row r="319">
          <cell r="G319">
            <v>24200</v>
          </cell>
        </row>
        <row r="326">
          <cell r="G326">
            <v>12000</v>
          </cell>
        </row>
        <row r="327">
          <cell r="G327">
            <v>0</v>
          </cell>
        </row>
        <row r="328">
          <cell r="G328">
            <v>700000</v>
          </cell>
        </row>
      </sheetData>
      <sheetData sheetId="2"/>
      <sheetData sheetId="3">
        <row r="29">
          <cell r="D29">
            <v>1489791.828</v>
          </cell>
        </row>
        <row r="72">
          <cell r="D72">
            <v>546393.35600000003</v>
          </cell>
        </row>
        <row r="174">
          <cell r="D174">
            <v>206398.736</v>
          </cell>
        </row>
        <row r="275">
          <cell r="D275">
            <v>32000</v>
          </cell>
        </row>
        <row r="318">
          <cell r="D318">
            <v>20995.170999999998</v>
          </cell>
        </row>
      </sheetData>
      <sheetData sheetId="4"/>
      <sheetData sheetId="5"/>
      <sheetData sheetId="6">
        <row r="278">
          <cell r="AO278">
            <v>15225052746.160351</v>
          </cell>
        </row>
        <row r="312">
          <cell r="AO312">
            <v>768720616.22748458</v>
          </cell>
        </row>
        <row r="333">
          <cell r="AO333">
            <v>0</v>
          </cell>
        </row>
        <row r="350">
          <cell r="AO350">
            <v>685026063.55896282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32">
          <cell r="N32">
            <v>28000000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38000000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66000000</v>
          </cell>
        </row>
      </sheetData>
      <sheetData sheetId="15">
        <row r="32">
          <cell r="N32">
            <v>0</v>
          </cell>
        </row>
        <row r="33">
          <cell r="N33">
            <v>0</v>
          </cell>
        </row>
        <row r="34">
          <cell r="N34">
            <v>8000000</v>
          </cell>
        </row>
        <row r="35">
          <cell r="N35">
            <v>12000000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20000000</v>
          </cell>
        </row>
      </sheetData>
      <sheetData sheetId="16"/>
      <sheetData sheetId="17"/>
      <sheetData sheetId="18"/>
      <sheetData sheetId="19">
        <row r="16">
          <cell r="E16">
            <v>10000000</v>
          </cell>
        </row>
        <row r="24">
          <cell r="E24">
            <v>2000000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ESUPUESTO"/>
      <sheetName val="PTO - PDI"/>
      <sheetName val="PTO + EC"/>
      <sheetName val="ALUMNOS"/>
      <sheetName val="MAT."/>
      <sheetName val="NOMINA"/>
      <sheetName val="BASE"/>
      <sheetName val="Base 3"/>
      <sheetName val="HONORARIOS"/>
      <sheetName val="CONVENIOS"/>
      <sheetName val="ASESOR.Y.CONSULT."/>
      <sheetName val="PROY INVEST."/>
      <sheetName val="P.PROY.SOCIAL"/>
      <sheetName val="GEST.REC.HUM."/>
      <sheetName val="OTRAS ACTIV."/>
      <sheetName val="ADICIONALES PD"/>
      <sheetName val="SALIDAS"/>
      <sheetName val="BIBLIOTECA"/>
      <sheetName val="AFILIACIONES"/>
      <sheetName val="IMPRESOS.PUBLIC"/>
      <sheetName val="MANTEN.EQUIP."/>
      <sheetName val="INVER.EQUIPO.COMP"/>
      <sheetName val="INVER.OTROS.EQUIPOS"/>
      <sheetName val="INVER.MUEBLES"/>
      <sheetName val="ADECUAC.LOCATIVAS"/>
      <sheetName val="Hoja2"/>
      <sheetName val="EDUC.CONT."/>
      <sheetName val="PPTO 2017"/>
      <sheetName val="EJEC"/>
    </sheetNames>
    <sheetDataSet>
      <sheetData sheetId="0"/>
      <sheetData sheetId="1">
        <row r="2">
          <cell r="B2" t="str">
            <v>ADMINISTRACION DE EMPRESAS</v>
          </cell>
        </row>
        <row r="29">
          <cell r="G29">
            <v>5863501.0699999984</v>
          </cell>
        </row>
        <row r="35">
          <cell r="G35">
            <v>0</v>
          </cell>
        </row>
        <row r="36">
          <cell r="G36">
            <v>530.71672500000011</v>
          </cell>
        </row>
        <row r="37">
          <cell r="G37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17200</v>
          </cell>
        </row>
        <row r="49">
          <cell r="G49">
            <v>3874.5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73">
          <cell r="G73">
            <v>3000</v>
          </cell>
        </row>
        <row r="76">
          <cell r="G76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1732.5</v>
          </cell>
        </row>
        <row r="92">
          <cell r="G92">
            <v>0</v>
          </cell>
        </row>
        <row r="93">
          <cell r="G93">
            <v>0</v>
          </cell>
        </row>
        <row r="95">
          <cell r="G95">
            <v>2864</v>
          </cell>
        </row>
        <row r="104">
          <cell r="G104">
            <v>237.3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0</v>
          </cell>
        </row>
        <row r="113">
          <cell r="G113">
            <v>37803.15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3231.9</v>
          </cell>
        </row>
        <row r="120">
          <cell r="G120">
            <v>0</v>
          </cell>
        </row>
        <row r="122">
          <cell r="G122">
            <v>0</v>
          </cell>
        </row>
        <row r="132">
          <cell r="G132">
            <v>0</v>
          </cell>
        </row>
        <row r="133">
          <cell r="G133">
            <v>0</v>
          </cell>
        </row>
        <row r="134">
          <cell r="G134">
            <v>0</v>
          </cell>
        </row>
        <row r="135">
          <cell r="G135">
            <v>0</v>
          </cell>
        </row>
        <row r="136">
          <cell r="G136">
            <v>0</v>
          </cell>
        </row>
        <row r="137">
          <cell r="G137">
            <v>0</v>
          </cell>
        </row>
        <row r="138">
          <cell r="G138">
            <v>0</v>
          </cell>
        </row>
        <row r="140">
          <cell r="G140">
            <v>6400</v>
          </cell>
        </row>
        <row r="141">
          <cell r="G141">
            <v>7500</v>
          </cell>
        </row>
        <row r="142">
          <cell r="G142">
            <v>0</v>
          </cell>
        </row>
        <row r="143">
          <cell r="G143">
            <v>600</v>
          </cell>
        </row>
        <row r="144">
          <cell r="G144">
            <v>0</v>
          </cell>
        </row>
        <row r="146">
          <cell r="G146">
            <v>667.33500000000004</v>
          </cell>
        </row>
        <row r="148">
          <cell r="G148">
            <v>38.281950000000002</v>
          </cell>
        </row>
        <row r="149">
          <cell r="G149">
            <v>11100</v>
          </cell>
        </row>
        <row r="150">
          <cell r="G150">
            <v>2400.610275</v>
          </cell>
        </row>
        <row r="151">
          <cell r="G151">
            <v>3919.6914750000005</v>
          </cell>
        </row>
        <row r="152">
          <cell r="G152">
            <v>0</v>
          </cell>
        </row>
        <row r="153">
          <cell r="G153">
            <v>5100</v>
          </cell>
        </row>
        <row r="154">
          <cell r="G154">
            <v>0</v>
          </cell>
        </row>
        <row r="155">
          <cell r="G155">
            <v>0</v>
          </cell>
        </row>
        <row r="156">
          <cell r="G156">
            <v>10000</v>
          </cell>
        </row>
        <row r="157">
          <cell r="G157">
            <v>0</v>
          </cell>
        </row>
        <row r="158">
          <cell r="G158">
            <v>0</v>
          </cell>
        </row>
        <row r="159">
          <cell r="G159">
            <v>0</v>
          </cell>
        </row>
        <row r="160">
          <cell r="G160">
            <v>0</v>
          </cell>
        </row>
        <row r="161">
          <cell r="G161">
            <v>0</v>
          </cell>
        </row>
        <row r="162">
          <cell r="G162">
            <v>0</v>
          </cell>
        </row>
        <row r="163">
          <cell r="G163">
            <v>0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0</v>
          </cell>
        </row>
        <row r="169">
          <cell r="G169">
            <v>532.66499999999996</v>
          </cell>
        </row>
        <row r="170">
          <cell r="G170">
            <v>0</v>
          </cell>
        </row>
        <row r="171">
          <cell r="G171">
            <v>201.60000000000002</v>
          </cell>
        </row>
        <row r="172">
          <cell r="G172">
            <v>0</v>
          </cell>
        </row>
        <row r="173">
          <cell r="G173">
            <v>0</v>
          </cell>
        </row>
        <row r="250">
          <cell r="G250">
            <v>1932104.4849749999</v>
          </cell>
        </row>
        <row r="278">
          <cell r="G278">
            <v>0</v>
          </cell>
        </row>
        <row r="279">
          <cell r="G279">
            <v>0</v>
          </cell>
        </row>
        <row r="282">
          <cell r="G282">
            <v>0</v>
          </cell>
        </row>
        <row r="283">
          <cell r="G283">
            <v>0</v>
          </cell>
        </row>
        <row r="287">
          <cell r="G287">
            <v>0</v>
          </cell>
        </row>
        <row r="288">
          <cell r="G288">
            <v>0</v>
          </cell>
        </row>
        <row r="293">
          <cell r="G293">
            <v>0</v>
          </cell>
        </row>
        <row r="294">
          <cell r="G294">
            <v>0</v>
          </cell>
        </row>
        <row r="299">
          <cell r="G299">
            <v>0</v>
          </cell>
        </row>
        <row r="301">
          <cell r="G301">
            <v>0</v>
          </cell>
        </row>
        <row r="302">
          <cell r="G302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3015.6</v>
          </cell>
        </row>
        <row r="327">
          <cell r="G327">
            <v>2900</v>
          </cell>
        </row>
        <row r="334">
          <cell r="G334">
            <v>0</v>
          </cell>
        </row>
        <row r="335">
          <cell r="G335">
            <v>7000</v>
          </cell>
        </row>
        <row r="336">
          <cell r="G336">
            <v>5000</v>
          </cell>
        </row>
      </sheetData>
      <sheetData sheetId="2"/>
      <sheetData sheetId="3">
        <row r="29">
          <cell r="D29">
            <v>0</v>
          </cell>
        </row>
        <row r="72">
          <cell r="D72">
            <v>0</v>
          </cell>
        </row>
        <row r="174">
          <cell r="D174">
            <v>0</v>
          </cell>
        </row>
        <row r="275">
          <cell r="D275">
            <v>0</v>
          </cell>
        </row>
        <row r="318">
          <cell r="D318">
            <v>0</v>
          </cell>
        </row>
      </sheetData>
      <sheetData sheetId="4"/>
      <sheetData sheetId="5"/>
      <sheetData sheetId="6">
        <row r="62">
          <cell r="AO62">
            <v>1734732894.9576139</v>
          </cell>
        </row>
        <row r="79">
          <cell r="AO79">
            <v>171945189.18119445</v>
          </cell>
        </row>
        <row r="89">
          <cell r="AO89">
            <v>0</v>
          </cell>
        </row>
        <row r="98">
          <cell r="AO98">
            <v>196727432.269463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32">
          <cell r="M32">
            <v>4000000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1000000</v>
          </cell>
        </row>
        <row r="36">
          <cell r="M36">
            <v>0</v>
          </cell>
        </row>
        <row r="37">
          <cell r="M37">
            <v>400000</v>
          </cell>
        </row>
        <row r="38">
          <cell r="M38">
            <v>500000</v>
          </cell>
        </row>
        <row r="39">
          <cell r="M39">
            <v>5900000</v>
          </cell>
        </row>
      </sheetData>
      <sheetData sheetId="15">
        <row r="32">
          <cell r="N32">
            <v>0</v>
          </cell>
        </row>
        <row r="33">
          <cell r="N33">
            <v>0</v>
          </cell>
        </row>
        <row r="34">
          <cell r="N34">
            <v>3600000</v>
          </cell>
        </row>
        <row r="35">
          <cell r="N35">
            <v>3500000</v>
          </cell>
        </row>
        <row r="36">
          <cell r="N36">
            <v>0</v>
          </cell>
        </row>
        <row r="37">
          <cell r="N37">
            <v>600000</v>
          </cell>
        </row>
        <row r="38">
          <cell r="N38">
            <v>700000</v>
          </cell>
        </row>
        <row r="39">
          <cell r="N39">
            <v>8400000</v>
          </cell>
        </row>
      </sheetData>
      <sheetData sheetId="16"/>
      <sheetData sheetId="17"/>
      <sheetData sheetId="18"/>
      <sheetData sheetId="19">
        <row r="16">
          <cell r="E16">
            <v>2500000</v>
          </cell>
        </row>
        <row r="24">
          <cell r="E24">
            <v>5000000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ESUPUESTO"/>
      <sheetName val="PTO - PDI"/>
      <sheetName val="PTO + EC"/>
      <sheetName val="ALUMNOS"/>
      <sheetName val="MAT."/>
      <sheetName val="NOMINA"/>
      <sheetName val="BASE"/>
      <sheetName val="Base 3"/>
      <sheetName val="HONORARIOS"/>
      <sheetName val="CONVENIOS"/>
      <sheetName val="ASESOR.Y.CONSULT."/>
      <sheetName val="PROY INVEST."/>
      <sheetName val="P.PROY.SOCIAL"/>
      <sheetName val="GEST.REC.HUM."/>
      <sheetName val="OTRAS ACTIV."/>
      <sheetName val="ADICIONALES PD"/>
      <sheetName val="SALIDAS"/>
      <sheetName val="BIBLIOTECA"/>
      <sheetName val="AFILIACIONES"/>
      <sheetName val="IMPRESOS.PUBLIC"/>
      <sheetName val="MANTEN.EQUIP."/>
      <sheetName val="INVER.EQUIPO.COMP"/>
      <sheetName val="INVER.OTROS.EQUIPOS"/>
      <sheetName val="INVER.MUEBLES"/>
      <sheetName val="ADECUAC.LOCATIVAS"/>
      <sheetName val="Hoja2"/>
      <sheetName val="EDUC.CONT."/>
      <sheetName val="PPTO 2017"/>
      <sheetName val="EJEC"/>
    </sheetNames>
    <sheetDataSet>
      <sheetData sheetId="0"/>
      <sheetData sheetId="1">
        <row r="2">
          <cell r="B2" t="str">
            <v>PSICOLOGIA DIURNO</v>
          </cell>
        </row>
        <row r="29">
          <cell r="G29">
            <v>9131311.7999999989</v>
          </cell>
        </row>
        <row r="35">
          <cell r="G35">
            <v>0</v>
          </cell>
        </row>
        <row r="36">
          <cell r="G36">
            <v>299.99497500000007</v>
          </cell>
        </row>
        <row r="37">
          <cell r="G37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366.93247500000007</v>
          </cell>
        </row>
        <row r="47">
          <cell r="G47">
            <v>0</v>
          </cell>
        </row>
        <row r="48">
          <cell r="G48">
            <v>20000</v>
          </cell>
        </row>
        <row r="49">
          <cell r="G49">
            <v>3780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73">
          <cell r="G73">
            <v>0</v>
          </cell>
        </row>
        <row r="76">
          <cell r="G76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92">
          <cell r="G92">
            <v>0</v>
          </cell>
        </row>
        <row r="93">
          <cell r="G93">
            <v>0</v>
          </cell>
        </row>
        <row r="95">
          <cell r="G95">
            <v>5708</v>
          </cell>
        </row>
        <row r="104">
          <cell r="G104">
            <v>55.503</v>
          </cell>
        </row>
        <row r="105">
          <cell r="G105">
            <v>189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0</v>
          </cell>
        </row>
        <row r="113">
          <cell r="G113">
            <v>100552.85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1042.2090000000001</v>
          </cell>
        </row>
        <row r="120">
          <cell r="G120">
            <v>0</v>
          </cell>
        </row>
        <row r="122">
          <cell r="G122">
            <v>0</v>
          </cell>
        </row>
        <row r="132">
          <cell r="G132">
            <v>0</v>
          </cell>
        </row>
        <row r="133">
          <cell r="G133">
            <v>0</v>
          </cell>
        </row>
        <row r="134">
          <cell r="G134">
            <v>0</v>
          </cell>
        </row>
        <row r="135">
          <cell r="G135">
            <v>0</v>
          </cell>
        </row>
        <row r="136">
          <cell r="G136">
            <v>0</v>
          </cell>
        </row>
        <row r="137">
          <cell r="G137">
            <v>5000</v>
          </cell>
        </row>
        <row r="138">
          <cell r="G138">
            <v>0</v>
          </cell>
        </row>
        <row r="140">
          <cell r="G140">
            <v>4000</v>
          </cell>
        </row>
        <row r="141">
          <cell r="G141">
            <v>13500</v>
          </cell>
        </row>
        <row r="142">
          <cell r="G142">
            <v>0</v>
          </cell>
        </row>
        <row r="143">
          <cell r="G143">
            <v>0</v>
          </cell>
        </row>
        <row r="144">
          <cell r="G144">
            <v>0</v>
          </cell>
        </row>
        <row r="146">
          <cell r="G146">
            <v>21105.894249999998</v>
          </cell>
        </row>
        <row r="148">
          <cell r="G148">
            <v>0</v>
          </cell>
        </row>
        <row r="149">
          <cell r="G149">
            <v>2280</v>
          </cell>
        </row>
        <row r="150">
          <cell r="G150">
            <v>1589.7</v>
          </cell>
        </row>
        <row r="151">
          <cell r="G151">
            <v>7941.1500000000005</v>
          </cell>
        </row>
        <row r="152">
          <cell r="G152">
            <v>0</v>
          </cell>
        </row>
        <row r="153">
          <cell r="G153">
            <v>1668.1</v>
          </cell>
        </row>
        <row r="154">
          <cell r="G154">
            <v>0</v>
          </cell>
        </row>
        <row r="155">
          <cell r="G155">
            <v>0</v>
          </cell>
        </row>
        <row r="156">
          <cell r="G156">
            <v>14800</v>
          </cell>
        </row>
        <row r="157">
          <cell r="G157">
            <v>1217.5999999999999</v>
          </cell>
        </row>
        <row r="158">
          <cell r="G158">
            <v>0</v>
          </cell>
        </row>
        <row r="159">
          <cell r="G159">
            <v>0</v>
          </cell>
        </row>
        <row r="160">
          <cell r="G160">
            <v>0</v>
          </cell>
        </row>
        <row r="161">
          <cell r="G161">
            <v>0</v>
          </cell>
        </row>
        <row r="162">
          <cell r="G162">
            <v>0</v>
          </cell>
        </row>
        <row r="163">
          <cell r="G163">
            <v>0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0</v>
          </cell>
        </row>
        <row r="169">
          <cell r="G169">
            <v>6894.1057500000006</v>
          </cell>
        </row>
        <row r="170">
          <cell r="G170">
            <v>10708.95</v>
          </cell>
        </row>
        <row r="171">
          <cell r="G171">
            <v>0</v>
          </cell>
        </row>
        <row r="172">
          <cell r="G172">
            <v>0</v>
          </cell>
        </row>
        <row r="173">
          <cell r="G173">
            <v>0</v>
          </cell>
        </row>
        <row r="247">
          <cell r="G247">
            <v>2644706.37335</v>
          </cell>
        </row>
        <row r="275">
          <cell r="G275">
            <v>0</v>
          </cell>
        </row>
        <row r="276">
          <cell r="G276">
            <v>0</v>
          </cell>
        </row>
        <row r="279">
          <cell r="G279">
            <v>0</v>
          </cell>
        </row>
        <row r="280">
          <cell r="G280">
            <v>0</v>
          </cell>
        </row>
        <row r="284">
          <cell r="G284">
            <v>0</v>
          </cell>
        </row>
        <row r="285">
          <cell r="G285">
            <v>0</v>
          </cell>
        </row>
        <row r="290">
          <cell r="G290">
            <v>0</v>
          </cell>
        </row>
        <row r="291">
          <cell r="G291">
            <v>0</v>
          </cell>
        </row>
        <row r="296">
          <cell r="G296">
            <v>0</v>
          </cell>
        </row>
        <row r="298">
          <cell r="G298">
            <v>0</v>
          </cell>
        </row>
        <row r="299">
          <cell r="G299">
            <v>0</v>
          </cell>
        </row>
        <row r="318">
          <cell r="G318">
            <v>0</v>
          </cell>
        </row>
        <row r="319">
          <cell r="G319">
            <v>0</v>
          </cell>
        </row>
        <row r="320">
          <cell r="G320">
            <v>7192.5</v>
          </cell>
        </row>
        <row r="324">
          <cell r="G324">
            <v>0</v>
          </cell>
        </row>
        <row r="331">
          <cell r="G331">
            <v>10000</v>
          </cell>
        </row>
        <row r="332">
          <cell r="G332">
            <v>20000</v>
          </cell>
        </row>
        <row r="333">
          <cell r="G333">
            <v>48800</v>
          </cell>
        </row>
      </sheetData>
      <sheetData sheetId="2"/>
      <sheetData sheetId="3">
        <row r="29">
          <cell r="D29">
            <v>90000</v>
          </cell>
        </row>
        <row r="72">
          <cell r="D72">
            <v>0</v>
          </cell>
        </row>
        <row r="174">
          <cell r="D174">
            <v>33200</v>
          </cell>
        </row>
        <row r="275">
          <cell r="D275">
            <v>0</v>
          </cell>
        </row>
        <row r="318">
          <cell r="D318">
            <v>0</v>
          </cell>
        </row>
      </sheetData>
      <sheetData sheetId="4"/>
      <sheetData sheetId="5"/>
      <sheetData sheetId="6">
        <row r="108">
          <cell r="AO108">
            <v>3897386071.0429153</v>
          </cell>
        </row>
        <row r="116">
          <cell r="AO116">
            <v>125322006.84002778</v>
          </cell>
        </row>
        <row r="120">
          <cell r="AO120">
            <v>22051177.991604939</v>
          </cell>
        </row>
        <row r="128">
          <cell r="AO128">
            <v>271243379.86346602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</sheetData>
      <sheetData sheetId="15">
        <row r="32">
          <cell r="N32">
            <v>0</v>
          </cell>
        </row>
        <row r="33">
          <cell r="N33">
            <v>0</v>
          </cell>
        </row>
        <row r="34">
          <cell r="N34">
            <v>5000000</v>
          </cell>
        </row>
        <row r="35">
          <cell r="N35">
            <v>12000000</v>
          </cell>
        </row>
        <row r="36">
          <cell r="N36">
            <v>0</v>
          </cell>
        </row>
        <row r="37">
          <cell r="N37">
            <v>1000000</v>
          </cell>
        </row>
        <row r="38">
          <cell r="N38">
            <v>0</v>
          </cell>
        </row>
        <row r="39">
          <cell r="N39">
            <v>18000000</v>
          </cell>
        </row>
      </sheetData>
      <sheetData sheetId="16"/>
      <sheetData sheetId="17"/>
      <sheetData sheetId="18"/>
      <sheetData sheetId="19">
        <row r="16">
          <cell r="E16">
            <v>9000000</v>
          </cell>
        </row>
        <row r="24">
          <cell r="E24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112"/>
  <sheetViews>
    <sheetView showGridLines="0" tabSelected="1" topLeftCell="B1" zoomScaleNormal="100" workbookViewId="0">
      <selection activeCell="H13" sqref="H13"/>
    </sheetView>
  </sheetViews>
  <sheetFormatPr baseColWidth="10" defaultRowHeight="14.25" x14ac:dyDescent="0.2"/>
  <cols>
    <col min="1" max="1" width="1.28515625" style="2" customWidth="1"/>
    <col min="2" max="2" width="6" style="2" customWidth="1"/>
    <col min="3" max="3" width="28.28515625" style="5" customWidth="1"/>
    <col min="4" max="4" width="42.42578125" style="5" customWidth="1"/>
    <col min="5" max="5" width="60.28515625" style="5" customWidth="1"/>
    <col min="6" max="6" width="15.7109375" style="93" customWidth="1"/>
    <col min="7" max="7" width="14.5703125" style="2" bestFit="1" customWidth="1"/>
    <col min="8" max="16384" width="11.42578125" style="2"/>
  </cols>
  <sheetData>
    <row r="1" spans="2:8" ht="19.5" customHeight="1" x14ac:dyDescent="0.2">
      <c r="B1" s="1" t="s">
        <v>0</v>
      </c>
      <c r="C1" s="1"/>
      <c r="D1" s="1"/>
      <c r="E1" s="1"/>
      <c r="F1" s="1"/>
    </row>
    <row r="2" spans="2:8" ht="15" customHeight="1" x14ac:dyDescent="0.2">
      <c r="B2" s="1"/>
      <c r="C2" s="1"/>
      <c r="D2" s="1"/>
      <c r="E2" s="1"/>
      <c r="F2" s="1"/>
    </row>
    <row r="3" spans="2:8" ht="18" x14ac:dyDescent="0.25">
      <c r="B3" s="3" t="str">
        <f>+[1]PRESUPUESTO!B2</f>
        <v>MEDICINA PREGRADO</v>
      </c>
      <c r="C3" s="3"/>
      <c r="D3" s="3"/>
      <c r="E3" s="3"/>
      <c r="F3" s="3"/>
    </row>
    <row r="4" spans="2:8" x14ac:dyDescent="0.2">
      <c r="C4" s="4" t="s">
        <v>1</v>
      </c>
      <c r="F4" s="6"/>
    </row>
    <row r="5" spans="2:8" ht="15" thickBot="1" x14ac:dyDescent="0.25">
      <c r="F5" s="6"/>
    </row>
    <row r="6" spans="2:8" s="11" customFormat="1" ht="40.5" x14ac:dyDescent="0.3">
      <c r="B6" s="7"/>
      <c r="C6" s="8" t="s">
        <v>2</v>
      </c>
      <c r="D6" s="8" t="s">
        <v>3</v>
      </c>
      <c r="E6" s="9" t="s">
        <v>4</v>
      </c>
      <c r="F6" s="10" t="s">
        <v>5</v>
      </c>
    </row>
    <row r="7" spans="2:8" s="11" customFormat="1" ht="20.25" x14ac:dyDescent="0.3">
      <c r="B7" s="12"/>
      <c r="C7" s="13" t="s">
        <v>6</v>
      </c>
      <c r="D7" s="14"/>
      <c r="E7" s="14"/>
      <c r="F7" s="15"/>
    </row>
    <row r="8" spans="2:8" s="11" customFormat="1" ht="20.25" x14ac:dyDescent="0.3">
      <c r="B8" s="16"/>
      <c r="C8" s="17" t="s">
        <v>7</v>
      </c>
      <c r="D8" s="18"/>
      <c r="E8" s="18"/>
      <c r="F8" s="19">
        <f>+[1]PRESUPUESTO!G29</f>
        <v>38297733.159999996</v>
      </c>
    </row>
    <row r="9" spans="2:8" s="11" customFormat="1" ht="20.25" x14ac:dyDescent="0.3">
      <c r="B9" s="16"/>
      <c r="C9" s="17" t="s">
        <v>8</v>
      </c>
      <c r="D9" s="18"/>
      <c r="E9" s="18"/>
      <c r="F9" s="19">
        <f>+[1]PRESUPUESTO!G275+[1]PRESUPUESTO!G280+[1]PRESUPUESTO!G293+[1]PRESUPUESTO!G294+[1]PRESUPUESTO!G291</f>
        <v>0</v>
      </c>
    </row>
    <row r="10" spans="2:8" s="11" customFormat="1" ht="21" thickBot="1" x14ac:dyDescent="0.35">
      <c r="B10" s="16"/>
      <c r="C10" s="20" t="s">
        <v>9</v>
      </c>
      <c r="D10" s="21"/>
      <c r="E10" s="21"/>
      <c r="F10" s="22">
        <f>'[1]PTO + EC'!D29+'[1]PTO + EC'!D275+[1]PRESUPUESTO!G279+[1]PRESUPUESTO!G271+[1]PRESUPUESTO!G270+[1]PRESUPUESTO!G274+[1]PRESUPUESTO!G285+[1]PRESUPUESTO!G286</f>
        <v>1562886.7279999999</v>
      </c>
    </row>
    <row r="11" spans="2:8" s="11" customFormat="1" ht="21.75" thickTop="1" thickBot="1" x14ac:dyDescent="0.35">
      <c r="B11" s="23"/>
      <c r="C11" s="24" t="s">
        <v>10</v>
      </c>
      <c r="D11" s="25"/>
      <c r="E11" s="25"/>
      <c r="F11" s="26">
        <f>SUM(F8:F10)</f>
        <v>39860619.887999997</v>
      </c>
      <c r="G11" s="27"/>
      <c r="H11" s="28"/>
    </row>
    <row r="12" spans="2:8" s="11" customFormat="1" ht="21" thickBot="1" x14ac:dyDescent="0.35">
      <c r="B12" s="29"/>
      <c r="C12" s="30"/>
      <c r="D12" s="30"/>
      <c r="E12" s="30"/>
      <c r="F12" s="31"/>
      <c r="G12" s="32"/>
    </row>
    <row r="13" spans="2:8" s="11" customFormat="1" ht="30.75" customHeight="1" x14ac:dyDescent="0.3">
      <c r="B13" s="7"/>
      <c r="C13" s="33" t="s">
        <v>11</v>
      </c>
      <c r="D13" s="34"/>
      <c r="E13" s="34"/>
      <c r="F13" s="35"/>
    </row>
    <row r="14" spans="2:8" s="11" customFormat="1" x14ac:dyDescent="0.2">
      <c r="B14" s="36" t="s">
        <v>12</v>
      </c>
      <c r="C14" s="37" t="s">
        <v>13</v>
      </c>
      <c r="D14" s="38" t="s">
        <v>14</v>
      </c>
      <c r="E14" s="39" t="s">
        <v>15</v>
      </c>
      <c r="F14" s="19"/>
    </row>
    <row r="15" spans="2:8" ht="30" customHeight="1" x14ac:dyDescent="0.2">
      <c r="B15" s="40"/>
      <c r="C15" s="41"/>
      <c r="D15" s="42"/>
      <c r="E15" s="43" t="s">
        <v>16</v>
      </c>
      <c r="F15" s="44">
        <f>+F14</f>
        <v>0</v>
      </c>
    </row>
    <row r="16" spans="2:8" x14ac:dyDescent="0.2">
      <c r="B16" s="40"/>
      <c r="C16" s="41"/>
      <c r="D16" s="42"/>
      <c r="E16" s="39" t="s">
        <v>15</v>
      </c>
      <c r="F16" s="19"/>
    </row>
    <row r="17" spans="2:6" x14ac:dyDescent="0.2">
      <c r="B17" s="40"/>
      <c r="C17" s="41"/>
      <c r="D17" s="42"/>
      <c r="E17" s="39" t="s">
        <v>17</v>
      </c>
      <c r="F17" s="19"/>
    </row>
    <row r="18" spans="2:6" ht="57" x14ac:dyDescent="0.2">
      <c r="B18" s="40"/>
      <c r="C18" s="41"/>
      <c r="D18" s="45"/>
      <c r="E18" s="43" t="s">
        <v>18</v>
      </c>
      <c r="F18" s="44">
        <f>+SUM(F16:F17)</f>
        <v>0</v>
      </c>
    </row>
    <row r="19" spans="2:6" ht="30" customHeight="1" x14ac:dyDescent="0.2">
      <c r="B19" s="40"/>
      <c r="C19" s="41"/>
      <c r="D19" s="46"/>
      <c r="E19" s="47" t="s">
        <v>19</v>
      </c>
      <c r="F19" s="44"/>
    </row>
    <row r="20" spans="2:6" ht="30" customHeight="1" x14ac:dyDescent="0.2">
      <c r="B20" s="40"/>
      <c r="C20" s="41"/>
      <c r="D20" s="46"/>
      <c r="E20" s="48" t="s">
        <v>20</v>
      </c>
      <c r="F20" s="44"/>
    </row>
    <row r="21" spans="2:6" ht="28.5" x14ac:dyDescent="0.2">
      <c r="B21" s="40"/>
      <c r="C21" s="41"/>
      <c r="D21" s="46"/>
      <c r="E21" s="43" t="s">
        <v>21</v>
      </c>
      <c r="F21" s="44"/>
    </row>
    <row r="22" spans="2:6" ht="30.75" customHeight="1" x14ac:dyDescent="0.2">
      <c r="B22" s="40"/>
      <c r="C22" s="41"/>
      <c r="D22" s="46"/>
      <c r="E22" s="49" t="s">
        <v>22</v>
      </c>
      <c r="F22" s="44"/>
    </row>
    <row r="23" spans="2:6" x14ac:dyDescent="0.2">
      <c r="B23" s="40"/>
      <c r="C23" s="37" t="s">
        <v>23</v>
      </c>
      <c r="D23" s="37" t="s">
        <v>24</v>
      </c>
      <c r="E23" s="50" t="s">
        <v>25</v>
      </c>
      <c r="F23" s="19">
        <f>([1]NOMINA!AO278+[1]NOMINA!AO312+[1]NOMINA!AO333)/1000</f>
        <v>15993773.362387834</v>
      </c>
    </row>
    <row r="24" spans="2:6" x14ac:dyDescent="0.2">
      <c r="B24" s="40"/>
      <c r="C24" s="41"/>
      <c r="D24" s="41"/>
      <c r="E24" s="50" t="s">
        <v>26</v>
      </c>
      <c r="F24" s="19">
        <f>+[1]NOMINA!AO350/1000</f>
        <v>685026.06355896278</v>
      </c>
    </row>
    <row r="25" spans="2:6" x14ac:dyDescent="0.2">
      <c r="B25" s="40"/>
      <c r="C25" s="41"/>
      <c r="D25" s="41"/>
      <c r="E25" s="50" t="s">
        <v>27</v>
      </c>
      <c r="F25" s="19">
        <f>+[1]PRESUPUESTO!G48+[1]PRESUPUESTO!G49+[1]PRESUPUESTO!G44-(([1]GEST.REC.HUM.!N32+'[1]OTRAS ACTIV.'!N32)/1000)</f>
        <v>24625</v>
      </c>
    </row>
    <row r="26" spans="2:6" x14ac:dyDescent="0.2">
      <c r="B26" s="40"/>
      <c r="C26" s="41"/>
      <c r="D26" s="41"/>
      <c r="E26" s="50" t="s">
        <v>28</v>
      </c>
      <c r="F26" s="51">
        <f>+[1]PRESUPUESTO!G73-(([1]GEST.REC.HUM.!N33+'[1]OTRAS ACTIV.'!N33)/1000)+'[1]PTO + EC'!D72</f>
        <v>858219.45</v>
      </c>
    </row>
    <row r="27" spans="2:6" x14ac:dyDescent="0.2">
      <c r="B27" s="40"/>
      <c r="C27" s="41"/>
      <c r="D27" s="41"/>
      <c r="E27" s="50" t="s">
        <v>29</v>
      </c>
      <c r="F27" s="52">
        <f>+[1]PRESUPUESTO!G76</f>
        <v>2975430</v>
      </c>
    </row>
    <row r="28" spans="2:6" x14ac:dyDescent="0.2">
      <c r="B28" s="40"/>
      <c r="C28" s="41"/>
      <c r="D28" s="41"/>
      <c r="E28" s="50" t="s">
        <v>30</v>
      </c>
      <c r="F28" s="19">
        <f>+[1]PRESUPUESTO!G45</f>
        <v>0</v>
      </c>
    </row>
    <row r="29" spans="2:6" x14ac:dyDescent="0.2">
      <c r="B29" s="40"/>
      <c r="C29" s="41"/>
      <c r="D29" s="41"/>
      <c r="E29" s="50" t="s">
        <v>31</v>
      </c>
      <c r="F29" s="52">
        <f>SUM([1]PRESUPUESTO!G140:G144)-(([1]GEST.REC.HUM.!N34+[1]GEST.REC.HUM.!N35+'[1]OTRAS ACTIV.'!N34+'[1]OTRAS ACTIV.'!N35)/1000)</f>
        <v>-4000</v>
      </c>
    </row>
    <row r="30" spans="2:6" x14ac:dyDescent="0.2">
      <c r="B30" s="40"/>
      <c r="C30" s="41"/>
      <c r="D30" s="41"/>
      <c r="E30" s="50" t="s">
        <v>32</v>
      </c>
      <c r="F30" s="19">
        <f>+SUM([1]PRESUPUESTO!G35:G37)+[1]PRESUPUESTO!G43+[1]PRESUPUESTO!G46+[1]PRESUPUESTO!G47+SUM([1]PRESUPUESTO!G58:G60)</f>
        <v>12069.75</v>
      </c>
    </row>
    <row r="31" spans="2:6" ht="48" customHeight="1" x14ac:dyDescent="0.2">
      <c r="B31" s="53"/>
      <c r="C31" s="54"/>
      <c r="D31" s="54"/>
      <c r="E31" s="47" t="s">
        <v>33</v>
      </c>
      <c r="F31" s="44">
        <f>SUM(F23:F30)</f>
        <v>20545143.625946797</v>
      </c>
    </row>
    <row r="32" spans="2:6" x14ac:dyDescent="0.2">
      <c r="B32" s="55" t="s">
        <v>34</v>
      </c>
      <c r="C32" s="56" t="s">
        <v>35</v>
      </c>
      <c r="D32" s="56" t="s">
        <v>36</v>
      </c>
      <c r="E32" s="50" t="s">
        <v>37</v>
      </c>
      <c r="F32" s="19">
        <f>+[1]PRESUPUESTO!G326+[1]PRESUPUESTO!G327+SUM([1]PRESUPUESTO!G165:G168)+[1]PRESUPUESTO!G173</f>
        <v>64034</v>
      </c>
    </row>
    <row r="33" spans="2:6" x14ac:dyDescent="0.2">
      <c r="B33" s="57"/>
      <c r="C33" s="58"/>
      <c r="D33" s="58"/>
      <c r="E33" s="50" t="s">
        <v>38</v>
      </c>
      <c r="F33" s="19">
        <f>+[1]PRESUPUESTO!G113+[1]PRESUPUESTO!G146+[1]PRESUPUESTO!G169</f>
        <v>768229.65</v>
      </c>
    </row>
    <row r="34" spans="2:6" x14ac:dyDescent="0.2">
      <c r="B34" s="57"/>
      <c r="C34" s="58"/>
      <c r="D34" s="58"/>
      <c r="E34" s="50" t="s">
        <v>39</v>
      </c>
      <c r="F34" s="19">
        <f>+[1]PRESUPUESTO!G157</f>
        <v>67410</v>
      </c>
    </row>
    <row r="35" spans="2:6" x14ac:dyDescent="0.2">
      <c r="B35" s="57"/>
      <c r="C35" s="58"/>
      <c r="D35" s="58"/>
      <c r="E35" s="50" t="s">
        <v>40</v>
      </c>
      <c r="F35" s="19">
        <f>+[1]PRESUPUESTO!G110+[1]PRESUPUESTO!G156</f>
        <v>80000</v>
      </c>
    </row>
    <row r="36" spans="2:6" x14ac:dyDescent="0.2">
      <c r="B36" s="57"/>
      <c r="C36" s="58"/>
      <c r="D36" s="58"/>
      <c r="E36" s="50" t="s">
        <v>41</v>
      </c>
      <c r="F36" s="19">
        <f>+[1]PRESUPUESTO!G108+[1]PRESUPUESTO!G158</f>
        <v>0</v>
      </c>
    </row>
    <row r="37" spans="2:6" x14ac:dyDescent="0.2">
      <c r="B37" s="57"/>
      <c r="C37" s="58"/>
      <c r="D37" s="58"/>
      <c r="E37" s="50" t="s">
        <v>42</v>
      </c>
      <c r="F37" s="19">
        <f>+[1]PRESUPUESTO!G170</f>
        <v>0</v>
      </c>
    </row>
    <row r="38" spans="2:6" x14ac:dyDescent="0.2">
      <c r="B38" s="57"/>
      <c r="C38" s="58"/>
      <c r="D38" s="58"/>
      <c r="E38" s="50" t="s">
        <v>43</v>
      </c>
      <c r="F38" s="51">
        <f>+SUM([1]PRESUPUESTO!G85:G88)+[1]PRESUPUESTO!G92+[1]PRESUPUESTO!G104+[1]PRESUPUESTO!G105+[1]PRESUPUESTO!G106+[1]PRESUPUESTO!G107+[1]PRESUPUESTO!G109+[1]PRESUPUESTO!G111+[1]PRESUPUESTO!G112+[1]PRESUPUESTO!G115+[1]PRESUPUESTO!G116+[1]PRESUPUESTO!G120+[1]PRESUPUESTO!G122+SUM([1]PRESUPUESTO!G148:G155)+[1]PRESUPUESTO!G159+[1]PRESUPUESTO!G162+[1]PRESUPUESTO!G163+[1]PRESUPUESTO!G171+[1]PRESUPUESTO!G172+[1]PRESUPUESTO!G319+[1]PRESUPUESTO!G93+[1]PRESUPUESTO!G313-(([1]GEST.REC.HUM.!N36+[1]GEST.REC.HUM.!N37+[1]GEST.REC.HUM.!N38+'[1]OTRAS ACTIV.'!N36+'[1]OTRAS ACTIV.'!N37+'[1]OTRAS ACTIV.'!N38)/1000)</f>
        <v>234223.4</v>
      </c>
    </row>
    <row r="39" spans="2:6" ht="28.5" x14ac:dyDescent="0.2">
      <c r="B39" s="57"/>
      <c r="C39" s="59"/>
      <c r="D39" s="59"/>
      <c r="E39" s="60" t="s">
        <v>44</v>
      </c>
      <c r="F39" s="61">
        <f>SUM(F32:F38)</f>
        <v>1213897.05</v>
      </c>
    </row>
    <row r="40" spans="2:6" ht="15" customHeight="1" x14ac:dyDescent="0.2">
      <c r="B40" s="57"/>
      <c r="C40" s="56" t="s">
        <v>45</v>
      </c>
      <c r="D40" s="56" t="s">
        <v>46</v>
      </c>
      <c r="E40" s="62" t="s">
        <v>47</v>
      </c>
      <c r="F40" s="19">
        <f>SUM([1]PRESUPUESTO!G132:G138)</f>
        <v>2254.35</v>
      </c>
    </row>
    <row r="41" spans="2:6" x14ac:dyDescent="0.2">
      <c r="B41" s="57"/>
      <c r="C41" s="58"/>
      <c r="D41" s="58"/>
      <c r="E41" s="62" t="s">
        <v>48</v>
      </c>
      <c r="F41" s="19">
        <f>+[1]PRESUPUESTO!G328</f>
        <v>700000</v>
      </c>
    </row>
    <row r="42" spans="2:6" ht="28.5" x14ac:dyDescent="0.2">
      <c r="B42" s="57"/>
      <c r="C42" s="59"/>
      <c r="D42" s="59"/>
      <c r="E42" s="63" t="s">
        <v>49</v>
      </c>
      <c r="F42" s="61">
        <f>SUM(F40:F41)</f>
        <v>702254.35</v>
      </c>
    </row>
    <row r="43" spans="2:6" ht="18.75" customHeight="1" x14ac:dyDescent="0.2">
      <c r="B43" s="57"/>
      <c r="C43" s="56" t="s">
        <v>50</v>
      </c>
      <c r="D43" s="56" t="s">
        <v>51</v>
      </c>
      <c r="E43" s="63" t="s">
        <v>52</v>
      </c>
      <c r="F43" s="61"/>
    </row>
    <row r="44" spans="2:6" ht="30.75" customHeight="1" x14ac:dyDescent="0.2">
      <c r="B44" s="57"/>
      <c r="C44" s="58"/>
      <c r="D44" s="58"/>
      <c r="E44" s="60" t="s">
        <v>53</v>
      </c>
      <c r="F44" s="61"/>
    </row>
    <row r="45" spans="2:6" x14ac:dyDescent="0.2">
      <c r="B45" s="57"/>
      <c r="C45" s="58"/>
      <c r="D45" s="58"/>
      <c r="E45" s="62" t="s">
        <v>54</v>
      </c>
      <c r="F45" s="19"/>
    </row>
    <row r="46" spans="2:6" x14ac:dyDescent="0.2">
      <c r="B46" s="57"/>
      <c r="C46" s="58"/>
      <c r="D46" s="58"/>
      <c r="E46" s="62" t="s">
        <v>55</v>
      </c>
      <c r="F46" s="19">
        <f>+[1]AFILIACIONES!E16/1000</f>
        <v>10000</v>
      </c>
    </row>
    <row r="47" spans="2:6" ht="18" customHeight="1" x14ac:dyDescent="0.2">
      <c r="B47" s="64"/>
      <c r="C47" s="59"/>
      <c r="D47" s="59"/>
      <c r="E47" s="60" t="s">
        <v>56</v>
      </c>
      <c r="F47" s="61">
        <f>SUM(F45:F46)</f>
        <v>10000</v>
      </c>
    </row>
    <row r="48" spans="2:6" ht="18" customHeight="1" x14ac:dyDescent="0.2">
      <c r="B48" s="65" t="s">
        <v>57</v>
      </c>
      <c r="C48" s="66" t="s">
        <v>58</v>
      </c>
      <c r="D48" s="66" t="s">
        <v>59</v>
      </c>
      <c r="E48" s="67" t="s">
        <v>60</v>
      </c>
      <c r="F48" s="19"/>
    </row>
    <row r="49" spans="2:8" ht="15" customHeight="1" x14ac:dyDescent="0.2">
      <c r="B49" s="68"/>
      <c r="C49" s="69"/>
      <c r="D49" s="69"/>
      <c r="E49" s="70" t="s">
        <v>61</v>
      </c>
      <c r="F49" s="71">
        <f>SUM(F48:F48)</f>
        <v>0</v>
      </c>
    </row>
    <row r="50" spans="2:8" ht="15" customHeight="1" x14ac:dyDescent="0.2">
      <c r="B50" s="68"/>
      <c r="C50" s="66" t="s">
        <v>62</v>
      </c>
      <c r="D50" s="66" t="s">
        <v>63</v>
      </c>
      <c r="E50" s="67" t="s">
        <v>64</v>
      </c>
      <c r="F50" s="19">
        <f>+[1]PRESUPUESTO!G161+[1]PRESUPUESTO!G117+[1]PRESUPUESTO!G160+[1]PRESUPUESTO!G95+[1]PRESUPUESTO!G315</f>
        <v>87371.3</v>
      </c>
    </row>
    <row r="51" spans="2:8" ht="28.5" x14ac:dyDescent="0.2">
      <c r="B51" s="68"/>
      <c r="C51" s="69"/>
      <c r="D51" s="69"/>
      <c r="E51" s="70" t="s">
        <v>65</v>
      </c>
      <c r="F51" s="71">
        <f>+F50</f>
        <v>87371.3</v>
      </c>
    </row>
    <row r="52" spans="2:8" ht="15" customHeight="1" x14ac:dyDescent="0.2">
      <c r="B52" s="68"/>
      <c r="C52" s="66" t="s">
        <v>66</v>
      </c>
      <c r="D52" s="66" t="s">
        <v>67</v>
      </c>
      <c r="E52" s="62" t="s">
        <v>68</v>
      </c>
      <c r="F52" s="19">
        <f>+[1]AFILIACIONES!E24/1000</f>
        <v>2000</v>
      </c>
    </row>
    <row r="53" spans="2:8" ht="28.5" customHeight="1" x14ac:dyDescent="0.2">
      <c r="B53" s="68"/>
      <c r="C53" s="72"/>
      <c r="D53" s="72"/>
      <c r="E53" s="70" t="s">
        <v>69</v>
      </c>
      <c r="F53" s="71">
        <f>+F52</f>
        <v>2000</v>
      </c>
    </row>
    <row r="54" spans="2:8" ht="17.25" customHeight="1" x14ac:dyDescent="0.2">
      <c r="B54" s="68"/>
      <c r="C54" s="72"/>
      <c r="D54" s="72"/>
      <c r="E54" s="62" t="s">
        <v>70</v>
      </c>
      <c r="F54" s="19"/>
    </row>
    <row r="55" spans="2:8" ht="16.5" customHeight="1" x14ac:dyDescent="0.2">
      <c r="B55" s="68"/>
      <c r="C55" s="72"/>
      <c r="D55" s="72"/>
      <c r="E55" s="70" t="s">
        <v>71</v>
      </c>
      <c r="F55" s="71">
        <f>+F54</f>
        <v>0</v>
      </c>
    </row>
    <row r="56" spans="2:8" ht="16.5" customHeight="1" x14ac:dyDescent="0.2">
      <c r="B56" s="68"/>
      <c r="C56" s="72"/>
      <c r="D56" s="72"/>
      <c r="E56" s="62" t="s">
        <v>72</v>
      </c>
      <c r="F56" s="19">
        <f>+[1]PRESUPUESTO!G314</f>
        <v>0</v>
      </c>
    </row>
    <row r="57" spans="2:8" ht="16.5" customHeight="1" x14ac:dyDescent="0.2">
      <c r="B57" s="68"/>
      <c r="C57" s="72"/>
      <c r="D57" s="72"/>
      <c r="E57" s="70" t="s">
        <v>73</v>
      </c>
      <c r="F57" s="71">
        <f>+F56</f>
        <v>0</v>
      </c>
    </row>
    <row r="58" spans="2:8" ht="27.75" customHeight="1" x14ac:dyDescent="0.2">
      <c r="B58" s="68"/>
      <c r="C58" s="72"/>
      <c r="D58" s="72"/>
      <c r="E58" s="62" t="s">
        <v>74</v>
      </c>
      <c r="F58" s="19">
        <f>(+[1]GEST.REC.HUM.!N39+'[1]OTRAS ACTIV.'!N39)/1000</f>
        <v>86000</v>
      </c>
    </row>
    <row r="59" spans="2:8" ht="16.5" customHeight="1" x14ac:dyDescent="0.2">
      <c r="B59" s="73"/>
      <c r="C59" s="69"/>
      <c r="D59" s="69"/>
      <c r="E59" s="70" t="s">
        <v>75</v>
      </c>
      <c r="F59" s="71">
        <f>+F58</f>
        <v>86000</v>
      </c>
    </row>
    <row r="60" spans="2:8" ht="20.25" x14ac:dyDescent="0.3">
      <c r="B60" s="12"/>
      <c r="C60" s="74" t="s">
        <v>76</v>
      </c>
      <c r="D60" s="74"/>
      <c r="E60" s="13"/>
      <c r="F60" s="75">
        <f>+F15+F18+F19+F20+F21+F22+F31+F39+F42+F43+F44+F47+F49+F51+F53+F55+F57+F59</f>
        <v>22646666.3259468</v>
      </c>
    </row>
    <row r="61" spans="2:8" ht="20.25" x14ac:dyDescent="0.3">
      <c r="B61" s="12"/>
      <c r="C61" s="74" t="s">
        <v>77</v>
      </c>
      <c r="D61" s="74"/>
      <c r="E61" s="13"/>
      <c r="F61" s="75">
        <f>+[1]PRESUPUESTO!G242</f>
        <v>11505792.82375</v>
      </c>
    </row>
    <row r="62" spans="2:8" ht="21" thickBot="1" x14ac:dyDescent="0.35">
      <c r="B62" s="12"/>
      <c r="C62" s="76" t="s">
        <v>78</v>
      </c>
      <c r="D62" s="76"/>
      <c r="E62" s="77"/>
      <c r="F62" s="78">
        <f>+'[1]PTO + EC'!D174+'[1]PTO + EC'!D318</f>
        <v>227393.90700000001</v>
      </c>
      <c r="G62" s="79"/>
    </row>
    <row r="63" spans="2:8" ht="21.75" thickTop="1" thickBot="1" x14ac:dyDescent="0.35">
      <c r="B63" s="23"/>
      <c r="C63" s="80" t="s">
        <v>79</v>
      </c>
      <c r="D63" s="80"/>
      <c r="E63" s="81"/>
      <c r="F63" s="82">
        <f>SUM(F60:F62)</f>
        <v>34379853.056696795</v>
      </c>
      <c r="G63" s="83"/>
      <c r="H63" s="84"/>
    </row>
    <row r="64" spans="2:8" ht="15" thickBot="1" x14ac:dyDescent="0.25">
      <c r="B64" s="85"/>
      <c r="C64" s="86"/>
      <c r="D64" s="86"/>
      <c r="E64" s="86"/>
      <c r="F64" s="31"/>
    </row>
    <row r="65" spans="2:9" ht="21" thickBot="1" x14ac:dyDescent="0.35">
      <c r="B65" s="87"/>
      <c r="C65" s="88" t="s">
        <v>80</v>
      </c>
      <c r="D65" s="88"/>
      <c r="E65" s="89"/>
      <c r="F65" s="90">
        <f>+F11-F63</f>
        <v>5480766.8313032016</v>
      </c>
      <c r="G65" s="91"/>
      <c r="H65" s="91"/>
      <c r="I65" s="92"/>
    </row>
    <row r="66" spans="2:9" ht="15" thickBot="1" x14ac:dyDescent="0.25"/>
    <row r="67" spans="2:9" ht="18.75" thickBot="1" x14ac:dyDescent="0.3">
      <c r="B67" s="94" t="s">
        <v>81</v>
      </c>
      <c r="C67" s="95"/>
      <c r="D67" s="95"/>
      <c r="E67" s="95"/>
      <c r="F67" s="96">
        <f>IFERROR(F65/F11,"Sin datos")</f>
        <v>0.13749828393795707</v>
      </c>
    </row>
    <row r="68" spans="2:9" x14ac:dyDescent="0.2">
      <c r="F68" s="97"/>
    </row>
    <row r="69" spans="2:9" x14ac:dyDescent="0.2">
      <c r="F69" s="97"/>
    </row>
    <row r="111" spans="2:6" s="5" customFormat="1" ht="15" x14ac:dyDescent="0.2">
      <c r="B111" s="2"/>
      <c r="C111" s="98" t="s">
        <v>82</v>
      </c>
      <c r="D111" s="98">
        <v>20</v>
      </c>
      <c r="F111" s="93"/>
    </row>
    <row r="112" spans="2:6" s="5" customFormat="1" ht="15" x14ac:dyDescent="0.2">
      <c r="B112" s="2"/>
      <c r="C112" s="98" t="s">
        <v>83</v>
      </c>
      <c r="D112" s="98">
        <v>49</v>
      </c>
      <c r="F112" s="93"/>
    </row>
  </sheetData>
  <mergeCells count="35">
    <mergeCell ref="C60:E60"/>
    <mergeCell ref="C61:E61"/>
    <mergeCell ref="C62:E62"/>
    <mergeCell ref="C63:E63"/>
    <mergeCell ref="C65:E65"/>
    <mergeCell ref="B67:E67"/>
    <mergeCell ref="B48:B59"/>
    <mergeCell ref="C48:C49"/>
    <mergeCell ref="D48:D49"/>
    <mergeCell ref="C50:C51"/>
    <mergeCell ref="D50:D51"/>
    <mergeCell ref="C52:C59"/>
    <mergeCell ref="D52:D59"/>
    <mergeCell ref="B32:B47"/>
    <mergeCell ref="C32:C39"/>
    <mergeCell ref="D32:D39"/>
    <mergeCell ref="C40:C42"/>
    <mergeCell ref="D40:D42"/>
    <mergeCell ref="C43:C47"/>
    <mergeCell ref="D43:D47"/>
    <mergeCell ref="C10:E10"/>
    <mergeCell ref="C11:E11"/>
    <mergeCell ref="C13:E13"/>
    <mergeCell ref="B14:B31"/>
    <mergeCell ref="C14:C22"/>
    <mergeCell ref="D14:D18"/>
    <mergeCell ref="D19:D22"/>
    <mergeCell ref="C23:C31"/>
    <mergeCell ref="D23:D31"/>
    <mergeCell ref="B1:F2"/>
    <mergeCell ref="B3:F3"/>
    <mergeCell ref="F6:F7"/>
    <mergeCell ref="C7:E7"/>
    <mergeCell ref="C8:E8"/>
    <mergeCell ref="C9:E9"/>
  </mergeCells>
  <conditionalFormatting sqref="G65">
    <cfRule type="iconSet" priority="1">
      <iconSet iconSet="3Symbols2" showValue="0">
        <cfvo type="percent" val="0"/>
        <cfvo type="num" val="2"/>
        <cfvo type="num" val="3"/>
      </iconSe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112"/>
  <sheetViews>
    <sheetView showGridLines="0" zoomScaleNormal="100" workbookViewId="0">
      <selection activeCell="G18" sqref="G18"/>
    </sheetView>
  </sheetViews>
  <sheetFormatPr baseColWidth="10" defaultRowHeight="14.25" x14ac:dyDescent="0.2"/>
  <cols>
    <col min="1" max="1" width="1.28515625" style="2" customWidth="1"/>
    <col min="2" max="2" width="6" style="2" customWidth="1"/>
    <col min="3" max="3" width="28.28515625" style="5" customWidth="1"/>
    <col min="4" max="4" width="42.42578125" style="5" customWidth="1"/>
    <col min="5" max="5" width="60.28515625" style="5" customWidth="1"/>
    <col min="6" max="6" width="15.7109375" style="93" customWidth="1"/>
    <col min="7" max="7" width="14.5703125" style="2" bestFit="1" customWidth="1"/>
    <col min="8" max="16384" width="11.42578125" style="2"/>
  </cols>
  <sheetData>
    <row r="1" spans="2:8" ht="19.5" customHeight="1" x14ac:dyDescent="0.2">
      <c r="B1" s="1" t="s">
        <v>0</v>
      </c>
      <c r="C1" s="1"/>
      <c r="D1" s="1"/>
      <c r="E1" s="1"/>
      <c r="F1" s="1"/>
    </row>
    <row r="2" spans="2:8" ht="15" customHeight="1" x14ac:dyDescent="0.2">
      <c r="B2" s="1"/>
      <c r="C2" s="1"/>
      <c r="D2" s="1"/>
      <c r="E2" s="1"/>
      <c r="F2" s="1"/>
    </row>
    <row r="3" spans="2:8" ht="18" x14ac:dyDescent="0.25">
      <c r="B3" s="3" t="str">
        <f>+[2]PRESUPUESTO!B2</f>
        <v>ADMINISTRACION DE EMPRESAS</v>
      </c>
      <c r="C3" s="3"/>
      <c r="D3" s="3"/>
      <c r="E3" s="3"/>
      <c r="F3" s="3"/>
    </row>
    <row r="4" spans="2:8" x14ac:dyDescent="0.2">
      <c r="C4" s="4" t="s">
        <v>1</v>
      </c>
      <c r="F4" s="6"/>
    </row>
    <row r="5" spans="2:8" ht="15" thickBot="1" x14ac:dyDescent="0.25">
      <c r="F5" s="6"/>
    </row>
    <row r="6" spans="2:8" s="11" customFormat="1" ht="40.5" x14ac:dyDescent="0.3">
      <c r="B6" s="7"/>
      <c r="C6" s="8" t="s">
        <v>2</v>
      </c>
      <c r="D6" s="8" t="s">
        <v>3</v>
      </c>
      <c r="E6" s="9" t="s">
        <v>4</v>
      </c>
      <c r="F6" s="10" t="s">
        <v>5</v>
      </c>
    </row>
    <row r="7" spans="2:8" s="11" customFormat="1" ht="20.25" x14ac:dyDescent="0.3">
      <c r="B7" s="12"/>
      <c r="C7" s="13" t="s">
        <v>6</v>
      </c>
      <c r="D7" s="14"/>
      <c r="E7" s="14"/>
      <c r="F7" s="15"/>
    </row>
    <row r="8" spans="2:8" s="11" customFormat="1" ht="20.25" x14ac:dyDescent="0.3">
      <c r="B8" s="16"/>
      <c r="C8" s="17" t="s">
        <v>7</v>
      </c>
      <c r="D8" s="18"/>
      <c r="E8" s="18"/>
      <c r="F8" s="19">
        <f>+[2]PRESUPUESTO!G29</f>
        <v>5863501.0699999984</v>
      </c>
    </row>
    <row r="9" spans="2:8" s="11" customFormat="1" ht="20.25" x14ac:dyDescent="0.3">
      <c r="B9" s="16"/>
      <c r="C9" s="17" t="s">
        <v>8</v>
      </c>
      <c r="D9" s="18"/>
      <c r="E9" s="18"/>
      <c r="F9" s="19">
        <f>+[2]PRESUPUESTO!G283+[2]PRESUPUESTO!G288+[2]PRESUPUESTO!G301+[2]PRESUPUESTO!G302+[2]PRESUPUESTO!G299</f>
        <v>0</v>
      </c>
    </row>
    <row r="10" spans="2:8" s="11" customFormat="1" ht="21" thickBot="1" x14ac:dyDescent="0.35">
      <c r="B10" s="16"/>
      <c r="C10" s="20" t="s">
        <v>9</v>
      </c>
      <c r="D10" s="21"/>
      <c r="E10" s="21"/>
      <c r="F10" s="22">
        <f>'[2]PTO + EC'!D29+'[2]PTO + EC'!D275+[2]PRESUPUESTO!G287+[2]PRESUPUESTO!G279+[2]PRESUPUESTO!G278+[2]PRESUPUESTO!G282+[2]PRESUPUESTO!G293+[2]PRESUPUESTO!G294</f>
        <v>0</v>
      </c>
    </row>
    <row r="11" spans="2:8" s="11" customFormat="1" ht="21.75" thickTop="1" thickBot="1" x14ac:dyDescent="0.35">
      <c r="B11" s="23"/>
      <c r="C11" s="24" t="s">
        <v>10</v>
      </c>
      <c r="D11" s="25"/>
      <c r="E11" s="25"/>
      <c r="F11" s="26">
        <f>SUM(F8:F10)</f>
        <v>5863501.0699999984</v>
      </c>
      <c r="G11" s="27"/>
      <c r="H11" s="28"/>
    </row>
    <row r="12" spans="2:8" s="11" customFormat="1" ht="21" thickBot="1" x14ac:dyDescent="0.35">
      <c r="B12" s="29"/>
      <c r="C12" s="30"/>
      <c r="D12" s="30"/>
      <c r="E12" s="30"/>
      <c r="F12" s="31"/>
      <c r="G12" s="32"/>
    </row>
    <row r="13" spans="2:8" s="11" customFormat="1" ht="30.75" customHeight="1" x14ac:dyDescent="0.3">
      <c r="B13" s="7"/>
      <c r="C13" s="33" t="s">
        <v>11</v>
      </c>
      <c r="D13" s="34"/>
      <c r="E13" s="34"/>
      <c r="F13" s="35"/>
    </row>
    <row r="14" spans="2:8" s="11" customFormat="1" x14ac:dyDescent="0.2">
      <c r="B14" s="36" t="s">
        <v>12</v>
      </c>
      <c r="C14" s="37" t="s">
        <v>13</v>
      </c>
      <c r="D14" s="38" t="s">
        <v>14</v>
      </c>
      <c r="E14" s="39" t="s">
        <v>15</v>
      </c>
      <c r="F14" s="19"/>
    </row>
    <row r="15" spans="2:8" ht="30" customHeight="1" x14ac:dyDescent="0.2">
      <c r="B15" s="40"/>
      <c r="C15" s="41"/>
      <c r="D15" s="42"/>
      <c r="E15" s="43" t="s">
        <v>16</v>
      </c>
      <c r="F15" s="44">
        <f>+F14</f>
        <v>0</v>
      </c>
    </row>
    <row r="16" spans="2:8" x14ac:dyDescent="0.2">
      <c r="B16" s="40"/>
      <c r="C16" s="41"/>
      <c r="D16" s="42"/>
      <c r="E16" s="39" t="s">
        <v>15</v>
      </c>
      <c r="F16" s="19"/>
    </row>
    <row r="17" spans="2:6" x14ac:dyDescent="0.2">
      <c r="B17" s="40"/>
      <c r="C17" s="41"/>
      <c r="D17" s="42"/>
      <c r="E17" s="39" t="s">
        <v>17</v>
      </c>
      <c r="F17" s="19"/>
    </row>
    <row r="18" spans="2:6" ht="57" x14ac:dyDescent="0.2">
      <c r="B18" s="40"/>
      <c r="C18" s="41"/>
      <c r="D18" s="45"/>
      <c r="E18" s="43" t="s">
        <v>18</v>
      </c>
      <c r="F18" s="44">
        <f>+SUM(F16:F17)</f>
        <v>0</v>
      </c>
    </row>
    <row r="19" spans="2:6" ht="30" customHeight="1" x14ac:dyDescent="0.2">
      <c r="B19" s="40"/>
      <c r="C19" s="41"/>
      <c r="D19" s="46"/>
      <c r="E19" s="47" t="s">
        <v>19</v>
      </c>
      <c r="F19" s="44"/>
    </row>
    <row r="20" spans="2:6" ht="30" customHeight="1" x14ac:dyDescent="0.2">
      <c r="B20" s="40"/>
      <c r="C20" s="41"/>
      <c r="D20" s="46"/>
      <c r="E20" s="48" t="s">
        <v>20</v>
      </c>
      <c r="F20" s="44"/>
    </row>
    <row r="21" spans="2:6" ht="28.5" x14ac:dyDescent="0.2">
      <c r="B21" s="40"/>
      <c r="C21" s="41"/>
      <c r="D21" s="46"/>
      <c r="E21" s="43" t="s">
        <v>21</v>
      </c>
      <c r="F21" s="44"/>
    </row>
    <row r="22" spans="2:6" ht="30.75" customHeight="1" x14ac:dyDescent="0.2">
      <c r="B22" s="40"/>
      <c r="C22" s="41"/>
      <c r="D22" s="46"/>
      <c r="E22" s="49" t="s">
        <v>22</v>
      </c>
      <c r="F22" s="44"/>
    </row>
    <row r="23" spans="2:6" x14ac:dyDescent="0.2">
      <c r="B23" s="40"/>
      <c r="C23" s="37" t="s">
        <v>23</v>
      </c>
      <c r="D23" s="37" t="s">
        <v>24</v>
      </c>
      <c r="E23" s="50" t="s">
        <v>25</v>
      </c>
      <c r="F23" s="19">
        <f>([2]NOMINA!AO62+[2]NOMINA!AO79+[2]NOMINA!AO89)/1000</f>
        <v>1906678.0841388085</v>
      </c>
    </row>
    <row r="24" spans="2:6" x14ac:dyDescent="0.2">
      <c r="B24" s="40"/>
      <c r="C24" s="41"/>
      <c r="D24" s="41"/>
      <c r="E24" s="50" t="s">
        <v>26</v>
      </c>
      <c r="F24" s="19">
        <f>+[2]NOMINA!AO98/1000</f>
        <v>196727.432269463</v>
      </c>
    </row>
    <row r="25" spans="2:6" x14ac:dyDescent="0.2">
      <c r="B25" s="40"/>
      <c r="C25" s="41"/>
      <c r="D25" s="41"/>
      <c r="E25" s="50" t="s">
        <v>27</v>
      </c>
      <c r="F25" s="19">
        <f ca="1">+[2]PRESUPUESTO!G48+[2]PRESUPUESTO!G49+[2]PRESUPUESTO!G44-(([2]GEST.REC.HUM.!M32+'[2]OTRAS ACTIV.'!N32)/1000)</f>
        <v>17074.5</v>
      </c>
    </row>
    <row r="26" spans="2:6" x14ac:dyDescent="0.2">
      <c r="B26" s="40"/>
      <c r="C26" s="41"/>
      <c r="D26" s="41"/>
      <c r="E26" s="50" t="s">
        <v>28</v>
      </c>
      <c r="F26" s="19">
        <f ca="1">+[2]PRESUPUESTO!G73-(([2]GEST.REC.HUM.!M33+'[2]OTRAS ACTIV.'!N33)/1000)+'[2]PTO + EC'!D72</f>
        <v>3000</v>
      </c>
    </row>
    <row r="27" spans="2:6" x14ac:dyDescent="0.2">
      <c r="B27" s="40"/>
      <c r="C27" s="41"/>
      <c r="D27" s="41"/>
      <c r="E27" s="50" t="s">
        <v>29</v>
      </c>
      <c r="F27" s="19">
        <f>+[2]PRESUPUESTO!G76</f>
        <v>0</v>
      </c>
    </row>
    <row r="28" spans="2:6" x14ac:dyDescent="0.2">
      <c r="B28" s="40"/>
      <c r="C28" s="41"/>
      <c r="D28" s="41"/>
      <c r="E28" s="50" t="s">
        <v>30</v>
      </c>
      <c r="F28" s="19">
        <f>+[2]PRESUPUESTO!G45</f>
        <v>0</v>
      </c>
    </row>
    <row r="29" spans="2:6" x14ac:dyDescent="0.2">
      <c r="B29" s="40"/>
      <c r="C29" s="41"/>
      <c r="D29" s="41"/>
      <c r="E29" s="50" t="s">
        <v>31</v>
      </c>
      <c r="F29" s="19">
        <f ca="1">SUM([2]PRESUPUESTO!G140:G144)-(([2]GEST.REC.HUM.!M34+[2]GEST.REC.HUM.!M35+'[2]OTRAS ACTIV.'!N34+'[2]OTRAS ACTIV.'!N35)/1000)</f>
        <v>6400</v>
      </c>
    </row>
    <row r="30" spans="2:6" x14ac:dyDescent="0.2">
      <c r="B30" s="40"/>
      <c r="C30" s="41"/>
      <c r="D30" s="41"/>
      <c r="E30" s="50" t="s">
        <v>32</v>
      </c>
      <c r="F30" s="19">
        <f>+SUM(OTROS_GASTOS_NOMINA_PDI)</f>
        <v>530.71672500000011</v>
      </c>
    </row>
    <row r="31" spans="2:6" ht="48" customHeight="1" x14ac:dyDescent="0.2">
      <c r="B31" s="53"/>
      <c r="C31" s="54"/>
      <c r="D31" s="54"/>
      <c r="E31" s="47" t="s">
        <v>33</v>
      </c>
      <c r="F31" s="44">
        <f ca="1">SUM(F23:F30)</f>
        <v>2130410.7331332718</v>
      </c>
    </row>
    <row r="32" spans="2:6" x14ac:dyDescent="0.2">
      <c r="B32" s="55" t="s">
        <v>34</v>
      </c>
      <c r="C32" s="56" t="s">
        <v>35</v>
      </c>
      <c r="D32" s="56" t="s">
        <v>36</v>
      </c>
      <c r="E32" s="50" t="s">
        <v>37</v>
      </c>
      <c r="F32" s="19">
        <f ca="1">+[2]PRESUPUESTO!G334+[2]PRESUPUESTO!G335+SUM([2]PRESUPUESTO!G165:G168)+[2]PRESUPUESTO!G173</f>
        <v>7000</v>
      </c>
    </row>
    <row r="33" spans="2:6" x14ac:dyDescent="0.2">
      <c r="B33" s="57"/>
      <c r="C33" s="58"/>
      <c r="D33" s="58"/>
      <c r="E33" s="50" t="s">
        <v>38</v>
      </c>
      <c r="F33" s="19">
        <f ca="1">+[2]PRESUPUESTO!G113+[2]PRESUPUESTO!G146+[2]PRESUPUESTO!G169</f>
        <v>39003.15</v>
      </c>
    </row>
    <row r="34" spans="2:6" x14ac:dyDescent="0.2">
      <c r="B34" s="57"/>
      <c r="C34" s="58"/>
      <c r="D34" s="58"/>
      <c r="E34" s="50" t="s">
        <v>39</v>
      </c>
      <c r="F34" s="19">
        <f ca="1">+[2]PRESUPUESTO!G157</f>
        <v>0</v>
      </c>
    </row>
    <row r="35" spans="2:6" x14ac:dyDescent="0.2">
      <c r="B35" s="57"/>
      <c r="C35" s="58"/>
      <c r="D35" s="58"/>
      <c r="E35" s="50" t="s">
        <v>40</v>
      </c>
      <c r="F35" s="19">
        <f ca="1">+[2]PRESUPUESTO!G110+[2]PRESUPUESTO!G156</f>
        <v>10000</v>
      </c>
    </row>
    <row r="36" spans="2:6" x14ac:dyDescent="0.2">
      <c r="B36" s="57"/>
      <c r="C36" s="58"/>
      <c r="D36" s="58"/>
      <c r="E36" s="50" t="s">
        <v>41</v>
      </c>
      <c r="F36" s="19">
        <f>+[2]PRESUPUESTO!G108+[2]PRESUPUESTO!G158</f>
        <v>0</v>
      </c>
    </row>
    <row r="37" spans="2:6" x14ac:dyDescent="0.2">
      <c r="B37" s="57"/>
      <c r="C37" s="58"/>
      <c r="D37" s="58"/>
      <c r="E37" s="50" t="s">
        <v>42</v>
      </c>
      <c r="F37" s="19">
        <f ca="1">+[2]PRESUPUESTO!G170</f>
        <v>0</v>
      </c>
    </row>
    <row r="38" spans="2:6" x14ac:dyDescent="0.2">
      <c r="B38" s="57"/>
      <c r="C38" s="58"/>
      <c r="D38" s="58"/>
      <c r="E38" s="50" t="s">
        <v>43</v>
      </c>
      <c r="F38" s="19">
        <f ca="1">+SUM(OTROS_GASTOS_PDI)-(([2]GEST.REC.HUM.!M36+[2]GEST.REC.HUM.!M37+[2]GEST.REC.HUM.!M38+'[2]OTRAS ACTIV.'!N36+'[2]OTRAS ACTIV.'!N37+'[2]OTRAS ACTIV.'!N38)/1000)</f>
        <v>25429.983699999997</v>
      </c>
    </row>
    <row r="39" spans="2:6" ht="28.5" x14ac:dyDescent="0.2">
      <c r="B39" s="57"/>
      <c r="C39" s="59"/>
      <c r="D39" s="59"/>
      <c r="E39" s="60" t="s">
        <v>44</v>
      </c>
      <c r="F39" s="61">
        <f ca="1">SUM(F32:F38)</f>
        <v>81433.133700000006</v>
      </c>
    </row>
    <row r="40" spans="2:6" ht="15" customHeight="1" x14ac:dyDescent="0.2">
      <c r="B40" s="57"/>
      <c r="C40" s="56" t="s">
        <v>45</v>
      </c>
      <c r="D40" s="56" t="s">
        <v>46</v>
      </c>
      <c r="E40" s="62" t="s">
        <v>47</v>
      </c>
      <c r="F40" s="19">
        <f ca="1">SUM([2]PRESUPUESTO!G132:G138)</f>
        <v>0</v>
      </c>
    </row>
    <row r="41" spans="2:6" x14ac:dyDescent="0.2">
      <c r="B41" s="57"/>
      <c r="C41" s="58"/>
      <c r="D41" s="58"/>
      <c r="E41" s="62" t="s">
        <v>48</v>
      </c>
      <c r="F41" s="19">
        <f ca="1">+[2]PRESUPUESTO!G336</f>
        <v>5000</v>
      </c>
    </row>
    <row r="42" spans="2:6" ht="28.5" x14ac:dyDescent="0.2">
      <c r="B42" s="57"/>
      <c r="C42" s="59"/>
      <c r="D42" s="59"/>
      <c r="E42" s="63" t="s">
        <v>49</v>
      </c>
      <c r="F42" s="61">
        <f ca="1">SUM(F40:F41)</f>
        <v>5000</v>
      </c>
    </row>
    <row r="43" spans="2:6" ht="18.75" customHeight="1" x14ac:dyDescent="0.2">
      <c r="B43" s="57"/>
      <c r="C43" s="56" t="s">
        <v>50</v>
      </c>
      <c r="D43" s="56" t="s">
        <v>51</v>
      </c>
      <c r="E43" s="63" t="s">
        <v>52</v>
      </c>
      <c r="F43" s="61"/>
    </row>
    <row r="44" spans="2:6" ht="30.75" customHeight="1" x14ac:dyDescent="0.2">
      <c r="B44" s="57"/>
      <c r="C44" s="58"/>
      <c r="D44" s="58"/>
      <c r="E44" s="60" t="s">
        <v>53</v>
      </c>
      <c r="F44" s="61"/>
    </row>
    <row r="45" spans="2:6" x14ac:dyDescent="0.2">
      <c r="B45" s="57"/>
      <c r="C45" s="58"/>
      <c r="D45" s="58"/>
      <c r="E45" s="62" t="s">
        <v>54</v>
      </c>
      <c r="F45" s="19"/>
    </row>
    <row r="46" spans="2:6" x14ac:dyDescent="0.2">
      <c r="B46" s="57"/>
      <c r="C46" s="58"/>
      <c r="D46" s="58"/>
      <c r="E46" s="62" t="s">
        <v>55</v>
      </c>
      <c r="F46" s="19">
        <f>+[2]AFILIACIONES!E16/1000</f>
        <v>2500</v>
      </c>
    </row>
    <row r="47" spans="2:6" ht="18" customHeight="1" x14ac:dyDescent="0.2">
      <c r="B47" s="64"/>
      <c r="C47" s="59"/>
      <c r="D47" s="59"/>
      <c r="E47" s="60" t="s">
        <v>56</v>
      </c>
      <c r="F47" s="61">
        <f>SUM(F45:F46)</f>
        <v>2500</v>
      </c>
    </row>
    <row r="48" spans="2:6" ht="18" customHeight="1" x14ac:dyDescent="0.2">
      <c r="B48" s="65" t="s">
        <v>57</v>
      </c>
      <c r="C48" s="66" t="s">
        <v>58</v>
      </c>
      <c r="D48" s="66" t="s">
        <v>59</v>
      </c>
      <c r="E48" s="67" t="s">
        <v>60</v>
      </c>
      <c r="F48" s="19"/>
    </row>
    <row r="49" spans="2:8" ht="15" customHeight="1" x14ac:dyDescent="0.2">
      <c r="B49" s="68"/>
      <c r="C49" s="69"/>
      <c r="D49" s="69"/>
      <c r="E49" s="70" t="s">
        <v>61</v>
      </c>
      <c r="F49" s="71">
        <f>SUM(F48:F48)</f>
        <v>0</v>
      </c>
    </row>
    <row r="50" spans="2:8" ht="15" customHeight="1" x14ac:dyDescent="0.2">
      <c r="B50" s="68"/>
      <c r="C50" s="66" t="s">
        <v>62</v>
      </c>
      <c r="D50" s="66" t="s">
        <v>63</v>
      </c>
      <c r="E50" s="67" t="s">
        <v>64</v>
      </c>
      <c r="F50" s="19">
        <f>+[2]PRESUPUESTO!G161+[2]PRESUPUESTO!G117+[2]PRESUPUESTO!G160+[2]PRESUPUESTO!G95+[2]PRESUPUESTO!G323</f>
        <v>9111.5</v>
      </c>
    </row>
    <row r="51" spans="2:8" ht="28.5" x14ac:dyDescent="0.2">
      <c r="B51" s="68"/>
      <c r="C51" s="69"/>
      <c r="D51" s="69"/>
      <c r="E51" s="70" t="s">
        <v>65</v>
      </c>
      <c r="F51" s="71">
        <f>+F50</f>
        <v>9111.5</v>
      </c>
    </row>
    <row r="52" spans="2:8" ht="15" customHeight="1" x14ac:dyDescent="0.2">
      <c r="B52" s="68"/>
      <c r="C52" s="66" t="s">
        <v>66</v>
      </c>
      <c r="D52" s="66" t="s">
        <v>67</v>
      </c>
      <c r="E52" s="62" t="s">
        <v>68</v>
      </c>
      <c r="F52" s="19">
        <f>+[2]AFILIACIONES!E24/1000</f>
        <v>5000</v>
      </c>
    </row>
    <row r="53" spans="2:8" ht="28.5" customHeight="1" x14ac:dyDescent="0.2">
      <c r="B53" s="68"/>
      <c r="C53" s="72"/>
      <c r="D53" s="72"/>
      <c r="E53" s="70" t="s">
        <v>69</v>
      </c>
      <c r="F53" s="71">
        <f>+F52</f>
        <v>5000</v>
      </c>
    </row>
    <row r="54" spans="2:8" ht="17.25" customHeight="1" x14ac:dyDescent="0.2">
      <c r="B54" s="68"/>
      <c r="C54" s="72"/>
      <c r="D54" s="72"/>
      <c r="E54" s="62" t="s">
        <v>70</v>
      </c>
      <c r="F54" s="19"/>
    </row>
    <row r="55" spans="2:8" ht="16.5" customHeight="1" x14ac:dyDescent="0.2">
      <c r="B55" s="68"/>
      <c r="C55" s="72"/>
      <c r="D55" s="72"/>
      <c r="E55" s="70" t="s">
        <v>71</v>
      </c>
      <c r="F55" s="71">
        <f>+F54</f>
        <v>0</v>
      </c>
    </row>
    <row r="56" spans="2:8" ht="16.5" customHeight="1" x14ac:dyDescent="0.2">
      <c r="B56" s="68"/>
      <c r="C56" s="72"/>
      <c r="D56" s="72"/>
      <c r="E56" s="62" t="s">
        <v>72</v>
      </c>
      <c r="F56" s="19">
        <f>+[2]PRESUPUESTO!G322</f>
        <v>0</v>
      </c>
    </row>
    <row r="57" spans="2:8" ht="16.5" customHeight="1" x14ac:dyDescent="0.2">
      <c r="B57" s="68"/>
      <c r="C57" s="72"/>
      <c r="D57" s="72"/>
      <c r="E57" s="70" t="s">
        <v>73</v>
      </c>
      <c r="F57" s="71">
        <f>+F56</f>
        <v>0</v>
      </c>
    </row>
    <row r="58" spans="2:8" ht="27.75" customHeight="1" x14ac:dyDescent="0.2">
      <c r="B58" s="68"/>
      <c r="C58" s="72"/>
      <c r="D58" s="72"/>
      <c r="E58" s="62" t="s">
        <v>74</v>
      </c>
      <c r="F58" s="19">
        <f>(+[2]GEST.REC.HUM.!M39+'[2]OTRAS ACTIV.'!N39)/1000</f>
        <v>14300</v>
      </c>
    </row>
    <row r="59" spans="2:8" ht="16.5" customHeight="1" x14ac:dyDescent="0.2">
      <c r="B59" s="73"/>
      <c r="C59" s="69"/>
      <c r="D59" s="69"/>
      <c r="E59" s="70" t="s">
        <v>75</v>
      </c>
      <c r="F59" s="71">
        <f>+F58</f>
        <v>14300</v>
      </c>
    </row>
    <row r="60" spans="2:8" ht="20.25" x14ac:dyDescent="0.3">
      <c r="B60" s="12"/>
      <c r="C60" s="74" t="s">
        <v>76</v>
      </c>
      <c r="D60" s="74"/>
      <c r="E60" s="13"/>
      <c r="F60" s="75">
        <f ca="1">+F15+F18+F19+F20+F21+F22+F31+F39+F42+F43+F44+F47+F49+F51+F53+F55+F57+F59</f>
        <v>2247755.3668332719</v>
      </c>
    </row>
    <row r="61" spans="2:8" ht="20.25" x14ac:dyDescent="0.3">
      <c r="B61" s="12"/>
      <c r="C61" s="74" t="s">
        <v>77</v>
      </c>
      <c r="D61" s="74"/>
      <c r="E61" s="13"/>
      <c r="F61" s="75">
        <f>+[2]PRESUPUESTO!G250</f>
        <v>1932104.4849749999</v>
      </c>
    </row>
    <row r="62" spans="2:8" ht="21" thickBot="1" x14ac:dyDescent="0.35">
      <c r="B62" s="12"/>
      <c r="C62" s="76" t="s">
        <v>78</v>
      </c>
      <c r="D62" s="76"/>
      <c r="E62" s="77"/>
      <c r="F62" s="99">
        <f>+'[2]PTO + EC'!D174+'[2]PTO + EC'!D318</f>
        <v>0</v>
      </c>
    </row>
    <row r="63" spans="2:8" ht="21.75" thickTop="1" thickBot="1" x14ac:dyDescent="0.35">
      <c r="B63" s="23"/>
      <c r="C63" s="80" t="s">
        <v>79</v>
      </c>
      <c r="D63" s="80"/>
      <c r="E63" s="81"/>
      <c r="F63" s="82">
        <f ca="1">SUM(F60:F62)</f>
        <v>4179859.8518082718</v>
      </c>
      <c r="G63" s="83"/>
      <c r="H63" s="84"/>
    </row>
    <row r="64" spans="2:8" ht="15" thickBot="1" x14ac:dyDescent="0.25">
      <c r="B64" s="85"/>
      <c r="C64" s="86"/>
      <c r="D64" s="86"/>
      <c r="E64" s="86"/>
      <c r="F64" s="31"/>
    </row>
    <row r="65" spans="2:9" ht="21" thickBot="1" x14ac:dyDescent="0.35">
      <c r="B65" s="87"/>
      <c r="C65" s="88" t="s">
        <v>80</v>
      </c>
      <c r="D65" s="88"/>
      <c r="E65" s="89"/>
      <c r="F65" s="90">
        <f ca="1">+F11-F63</f>
        <v>1683641.2181917266</v>
      </c>
      <c r="G65" s="91"/>
      <c r="H65" s="91"/>
      <c r="I65" s="92"/>
    </row>
    <row r="66" spans="2:9" ht="15" thickBot="1" x14ac:dyDescent="0.25"/>
    <row r="67" spans="2:9" ht="18.75" thickBot="1" x14ac:dyDescent="0.3">
      <c r="B67" s="94" t="s">
        <v>81</v>
      </c>
      <c r="C67" s="95"/>
      <c r="D67" s="95"/>
      <c r="E67" s="95"/>
      <c r="F67" s="96">
        <f ca="1">IFERROR(F65/F11,"Sin datos")</f>
        <v>0.287139236113711</v>
      </c>
    </row>
    <row r="68" spans="2:9" x14ac:dyDescent="0.2">
      <c r="F68" s="97"/>
    </row>
    <row r="69" spans="2:9" x14ac:dyDescent="0.2">
      <c r="F69" s="97"/>
    </row>
    <row r="111" spans="2:6" s="5" customFormat="1" ht="15" x14ac:dyDescent="0.2">
      <c r="B111" s="2"/>
      <c r="C111" s="98" t="s">
        <v>82</v>
      </c>
      <c r="D111" s="98">
        <v>20</v>
      </c>
      <c r="F111" s="93"/>
    </row>
    <row r="112" spans="2:6" s="5" customFormat="1" ht="15" x14ac:dyDescent="0.2">
      <c r="B112" s="2"/>
      <c r="C112" s="98" t="s">
        <v>83</v>
      </c>
      <c r="D112" s="98">
        <v>49</v>
      </c>
      <c r="F112" s="93"/>
    </row>
  </sheetData>
  <mergeCells count="35">
    <mergeCell ref="C60:E60"/>
    <mergeCell ref="C61:E61"/>
    <mergeCell ref="C62:E62"/>
    <mergeCell ref="C63:E63"/>
    <mergeCell ref="C65:E65"/>
    <mergeCell ref="B67:E67"/>
    <mergeCell ref="B48:B59"/>
    <mergeCell ref="C48:C49"/>
    <mergeCell ref="D48:D49"/>
    <mergeCell ref="C50:C51"/>
    <mergeCell ref="D50:D51"/>
    <mergeCell ref="C52:C59"/>
    <mergeCell ref="D52:D59"/>
    <mergeCell ref="B32:B47"/>
    <mergeCell ref="C32:C39"/>
    <mergeCell ref="D32:D39"/>
    <mergeCell ref="C40:C42"/>
    <mergeCell ref="D40:D42"/>
    <mergeCell ref="C43:C47"/>
    <mergeCell ref="D43:D47"/>
    <mergeCell ref="C10:E10"/>
    <mergeCell ref="C11:E11"/>
    <mergeCell ref="C13:E13"/>
    <mergeCell ref="B14:B31"/>
    <mergeCell ref="C14:C22"/>
    <mergeCell ref="D14:D18"/>
    <mergeCell ref="D19:D22"/>
    <mergeCell ref="C23:C31"/>
    <mergeCell ref="D23:D31"/>
    <mergeCell ref="B1:F2"/>
    <mergeCell ref="B3:F3"/>
    <mergeCell ref="F6:F7"/>
    <mergeCell ref="C7:E7"/>
    <mergeCell ref="C8:E8"/>
    <mergeCell ref="C9:E9"/>
  </mergeCells>
  <conditionalFormatting sqref="G65">
    <cfRule type="iconSet" priority="1">
      <iconSet iconSet="3Symbols2" showValue="0">
        <cfvo type="percent" val="0"/>
        <cfvo type="num" val="2"/>
        <cfvo type="num" val="3"/>
      </iconSe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112"/>
  <sheetViews>
    <sheetView showGridLines="0" zoomScaleNormal="100" workbookViewId="0">
      <selection activeCell="H18" sqref="H18"/>
    </sheetView>
  </sheetViews>
  <sheetFormatPr baseColWidth="10" defaultColWidth="11.42578125" defaultRowHeight="14.25" x14ac:dyDescent="0.2"/>
  <cols>
    <col min="1" max="1" width="1.28515625" style="2" customWidth="1"/>
    <col min="2" max="2" width="6" style="2" customWidth="1"/>
    <col min="3" max="3" width="28.28515625" style="5" customWidth="1"/>
    <col min="4" max="4" width="42.42578125" style="5" customWidth="1"/>
    <col min="5" max="5" width="60.28515625" style="5" customWidth="1"/>
    <col min="6" max="6" width="15.7109375" style="93" customWidth="1"/>
    <col min="7" max="7" width="14.5703125" style="2" bestFit="1" customWidth="1"/>
    <col min="8" max="16384" width="11.42578125" style="2"/>
  </cols>
  <sheetData>
    <row r="1" spans="2:8" ht="19.5" customHeight="1" x14ac:dyDescent="0.2">
      <c r="B1" s="1" t="s">
        <v>0</v>
      </c>
      <c r="C1" s="1"/>
      <c r="D1" s="1"/>
      <c r="E1" s="1"/>
      <c r="F1" s="1"/>
    </row>
    <row r="2" spans="2:8" ht="15" customHeight="1" x14ac:dyDescent="0.2">
      <c r="B2" s="1"/>
      <c r="C2" s="1"/>
      <c r="D2" s="1"/>
      <c r="E2" s="1"/>
      <c r="F2" s="1"/>
    </row>
    <row r="3" spans="2:8" ht="18" x14ac:dyDescent="0.25">
      <c r="B3" s="3" t="str">
        <f>+[3]PRESUPUESTO!B2</f>
        <v>PSICOLOGIA DIURNO</v>
      </c>
      <c r="C3" s="3"/>
      <c r="D3" s="3"/>
      <c r="E3" s="3"/>
      <c r="F3" s="3"/>
    </row>
    <row r="4" spans="2:8" x14ac:dyDescent="0.2">
      <c r="C4" s="4" t="s">
        <v>1</v>
      </c>
      <c r="F4" s="6"/>
    </row>
    <row r="5" spans="2:8" ht="15" thickBot="1" x14ac:dyDescent="0.25">
      <c r="F5" s="6"/>
    </row>
    <row r="6" spans="2:8" s="11" customFormat="1" ht="40.5" x14ac:dyDescent="0.3">
      <c r="B6" s="7"/>
      <c r="C6" s="8" t="s">
        <v>2</v>
      </c>
      <c r="D6" s="8" t="s">
        <v>3</v>
      </c>
      <c r="E6" s="9" t="s">
        <v>4</v>
      </c>
      <c r="F6" s="10" t="s">
        <v>5</v>
      </c>
    </row>
    <row r="7" spans="2:8" s="11" customFormat="1" ht="20.25" x14ac:dyDescent="0.3">
      <c r="B7" s="12"/>
      <c r="C7" s="13" t="s">
        <v>6</v>
      </c>
      <c r="D7" s="14"/>
      <c r="E7" s="14"/>
      <c r="F7" s="15"/>
    </row>
    <row r="8" spans="2:8" s="11" customFormat="1" ht="20.25" x14ac:dyDescent="0.3">
      <c r="B8" s="16"/>
      <c r="C8" s="17" t="s">
        <v>7</v>
      </c>
      <c r="D8" s="18"/>
      <c r="E8" s="18"/>
      <c r="F8" s="19">
        <f>+[3]PRESUPUESTO!G29</f>
        <v>9131311.7999999989</v>
      </c>
    </row>
    <row r="9" spans="2:8" s="11" customFormat="1" ht="20.25" x14ac:dyDescent="0.3">
      <c r="B9" s="16"/>
      <c r="C9" s="17" t="s">
        <v>8</v>
      </c>
      <c r="D9" s="18"/>
      <c r="E9" s="18"/>
      <c r="F9" s="19">
        <f>+[3]PRESUPUESTO!G280+[3]PRESUPUESTO!G285+[3]PRESUPUESTO!G298+[3]PRESUPUESTO!G299+[3]PRESUPUESTO!G296</f>
        <v>0</v>
      </c>
    </row>
    <row r="10" spans="2:8" s="11" customFormat="1" ht="21" thickBot="1" x14ac:dyDescent="0.35">
      <c r="B10" s="16"/>
      <c r="C10" s="20" t="s">
        <v>9</v>
      </c>
      <c r="D10" s="21"/>
      <c r="E10" s="21"/>
      <c r="F10" s="22">
        <f>'[3]PTO + EC'!D29+'[3]PTO + EC'!D275+[3]PRESUPUESTO!G284+[3]PRESUPUESTO!G276+[3]PRESUPUESTO!G275+[3]PRESUPUESTO!G279+[3]PRESUPUESTO!G290+[3]PRESUPUESTO!G291</f>
        <v>90000</v>
      </c>
    </row>
    <row r="11" spans="2:8" s="11" customFormat="1" ht="21.75" thickTop="1" thickBot="1" x14ac:dyDescent="0.35">
      <c r="B11" s="23"/>
      <c r="C11" s="24" t="s">
        <v>10</v>
      </c>
      <c r="D11" s="25"/>
      <c r="E11" s="25"/>
      <c r="F11" s="26">
        <f>SUM(F8:F10)</f>
        <v>9221311.7999999989</v>
      </c>
      <c r="G11" s="27"/>
      <c r="H11" s="28"/>
    </row>
    <row r="12" spans="2:8" s="11" customFormat="1" ht="21" thickBot="1" x14ac:dyDescent="0.35">
      <c r="B12" s="29"/>
      <c r="C12" s="30"/>
      <c r="D12" s="30"/>
      <c r="E12" s="30"/>
      <c r="F12" s="31"/>
      <c r="G12" s="32"/>
    </row>
    <row r="13" spans="2:8" s="11" customFormat="1" ht="30.75" customHeight="1" x14ac:dyDescent="0.3">
      <c r="B13" s="7"/>
      <c r="C13" s="33" t="s">
        <v>11</v>
      </c>
      <c r="D13" s="34"/>
      <c r="E13" s="34"/>
      <c r="F13" s="35"/>
    </row>
    <row r="14" spans="2:8" s="11" customFormat="1" x14ac:dyDescent="0.2">
      <c r="B14" s="36" t="s">
        <v>12</v>
      </c>
      <c r="C14" s="37" t="s">
        <v>13</v>
      </c>
      <c r="D14" s="38" t="s">
        <v>14</v>
      </c>
      <c r="E14" s="39" t="s">
        <v>15</v>
      </c>
      <c r="F14" s="19"/>
    </row>
    <row r="15" spans="2:8" ht="30" customHeight="1" x14ac:dyDescent="0.2">
      <c r="B15" s="40"/>
      <c r="C15" s="41"/>
      <c r="D15" s="42"/>
      <c r="E15" s="43" t="s">
        <v>16</v>
      </c>
      <c r="F15" s="44">
        <f>+F14</f>
        <v>0</v>
      </c>
    </row>
    <row r="16" spans="2:8" x14ac:dyDescent="0.2">
      <c r="B16" s="40"/>
      <c r="C16" s="41"/>
      <c r="D16" s="42"/>
      <c r="E16" s="39" t="s">
        <v>15</v>
      </c>
      <c r="F16" s="19"/>
    </row>
    <row r="17" spans="2:6" x14ac:dyDescent="0.2">
      <c r="B17" s="40"/>
      <c r="C17" s="41"/>
      <c r="D17" s="42"/>
      <c r="E17" s="39" t="s">
        <v>17</v>
      </c>
      <c r="F17" s="19"/>
    </row>
    <row r="18" spans="2:6" ht="57" x14ac:dyDescent="0.2">
      <c r="B18" s="40"/>
      <c r="C18" s="41"/>
      <c r="D18" s="45"/>
      <c r="E18" s="43" t="s">
        <v>18</v>
      </c>
      <c r="F18" s="44">
        <f>+SUM(F16:F17)</f>
        <v>0</v>
      </c>
    </row>
    <row r="19" spans="2:6" ht="30" customHeight="1" x14ac:dyDescent="0.2">
      <c r="B19" s="40"/>
      <c r="C19" s="41"/>
      <c r="D19" s="46"/>
      <c r="E19" s="47" t="s">
        <v>19</v>
      </c>
      <c r="F19" s="44"/>
    </row>
    <row r="20" spans="2:6" ht="30" customHeight="1" x14ac:dyDescent="0.2">
      <c r="B20" s="40"/>
      <c r="C20" s="41"/>
      <c r="D20" s="46"/>
      <c r="E20" s="48" t="s">
        <v>20</v>
      </c>
      <c r="F20" s="44"/>
    </row>
    <row r="21" spans="2:6" ht="28.5" x14ac:dyDescent="0.2">
      <c r="B21" s="40"/>
      <c r="C21" s="41"/>
      <c r="D21" s="46"/>
      <c r="E21" s="43" t="s">
        <v>21</v>
      </c>
      <c r="F21" s="44"/>
    </row>
    <row r="22" spans="2:6" ht="30.75" customHeight="1" x14ac:dyDescent="0.2">
      <c r="B22" s="40"/>
      <c r="C22" s="41"/>
      <c r="D22" s="46"/>
      <c r="E22" s="49" t="s">
        <v>22</v>
      </c>
      <c r="F22" s="44"/>
    </row>
    <row r="23" spans="2:6" x14ac:dyDescent="0.2">
      <c r="B23" s="40"/>
      <c r="C23" s="37" t="s">
        <v>23</v>
      </c>
      <c r="D23" s="37" t="s">
        <v>24</v>
      </c>
      <c r="E23" s="50" t="s">
        <v>25</v>
      </c>
      <c r="F23" s="19">
        <f>([3]NOMINA!AO108+[3]NOMINA!AO116+[3]NOMINA!AO120)/1000</f>
        <v>4044759.2558745481</v>
      </c>
    </row>
    <row r="24" spans="2:6" x14ac:dyDescent="0.2">
      <c r="B24" s="40"/>
      <c r="C24" s="41"/>
      <c r="D24" s="41"/>
      <c r="E24" s="50" t="s">
        <v>26</v>
      </c>
      <c r="F24" s="19">
        <f>+[3]NOMINA!AO128/1000</f>
        <v>271243.37986346602</v>
      </c>
    </row>
    <row r="25" spans="2:6" x14ac:dyDescent="0.2">
      <c r="B25" s="40"/>
      <c r="C25" s="41"/>
      <c r="D25" s="41"/>
      <c r="E25" s="50" t="s">
        <v>27</v>
      </c>
      <c r="F25" s="19">
        <f>+[3]PRESUPUESTO!G48+[3]PRESUPUESTO!G49+[3]PRESUPUESTO!G44-(([3]GEST.REC.HUM.!N32+'[3]OTRAS ACTIV.'!N32)/1000)</f>
        <v>23780</v>
      </c>
    </row>
    <row r="26" spans="2:6" x14ac:dyDescent="0.2">
      <c r="B26" s="40"/>
      <c r="C26" s="41"/>
      <c r="D26" s="41"/>
      <c r="E26" s="50" t="s">
        <v>28</v>
      </c>
      <c r="F26" s="19">
        <f>+[3]PRESUPUESTO!G73-(([3]GEST.REC.HUM.!N33+'[3]OTRAS ACTIV.'!N33)/1000)+'[3]PTO + EC'!D72</f>
        <v>0</v>
      </c>
    </row>
    <row r="27" spans="2:6" x14ac:dyDescent="0.2">
      <c r="B27" s="40"/>
      <c r="C27" s="41"/>
      <c r="D27" s="41"/>
      <c r="E27" s="50" t="s">
        <v>29</v>
      </c>
      <c r="F27" s="19">
        <f>+[3]PRESUPUESTO!G76</f>
        <v>0</v>
      </c>
    </row>
    <row r="28" spans="2:6" x14ac:dyDescent="0.2">
      <c r="B28" s="40"/>
      <c r="C28" s="41"/>
      <c r="D28" s="41"/>
      <c r="E28" s="50" t="s">
        <v>30</v>
      </c>
      <c r="F28" s="19">
        <f>+[3]PRESUPUESTO!G45</f>
        <v>0</v>
      </c>
    </row>
    <row r="29" spans="2:6" x14ac:dyDescent="0.2">
      <c r="B29" s="40"/>
      <c r="C29" s="41"/>
      <c r="D29" s="41"/>
      <c r="E29" s="50" t="s">
        <v>31</v>
      </c>
      <c r="F29" s="19">
        <f>SUM([3]PRESUPUESTO!G140:G144)-(([3]GEST.REC.HUM.!N34+[3]GEST.REC.HUM.!N35+'[3]OTRAS ACTIV.'!N34+'[3]OTRAS ACTIV.'!N35)/1000)</f>
        <v>500</v>
      </c>
    </row>
    <row r="30" spans="2:6" x14ac:dyDescent="0.2">
      <c r="B30" s="40"/>
      <c r="C30" s="41"/>
      <c r="D30" s="41"/>
      <c r="E30" s="50" t="s">
        <v>32</v>
      </c>
      <c r="F30" s="19">
        <f>+SUM(OTROS_GASTOS_NOMINA_PDI)</f>
        <v>666.92745000000014</v>
      </c>
    </row>
    <row r="31" spans="2:6" ht="48" customHeight="1" x14ac:dyDescent="0.2">
      <c r="B31" s="53"/>
      <c r="C31" s="54"/>
      <c r="D31" s="54"/>
      <c r="E31" s="47" t="s">
        <v>33</v>
      </c>
      <c r="F31" s="44">
        <f>SUM(F23:F30)</f>
        <v>4340949.5631880146</v>
      </c>
    </row>
    <row r="32" spans="2:6" x14ac:dyDescent="0.2">
      <c r="B32" s="55" t="s">
        <v>34</v>
      </c>
      <c r="C32" s="56" t="s">
        <v>35</v>
      </c>
      <c r="D32" s="56" t="s">
        <v>36</v>
      </c>
      <c r="E32" s="50" t="s">
        <v>37</v>
      </c>
      <c r="F32" s="19">
        <f>+[3]PRESUPUESTO!G331+[3]PRESUPUESTO!G332+SUM([3]PRESUPUESTO!G165:G168)+[3]PRESUPUESTO!G173</f>
        <v>30000</v>
      </c>
    </row>
    <row r="33" spans="2:6" x14ac:dyDescent="0.2">
      <c r="B33" s="57"/>
      <c r="C33" s="58"/>
      <c r="D33" s="58"/>
      <c r="E33" s="50" t="s">
        <v>38</v>
      </c>
      <c r="F33" s="19">
        <f>+[3]PRESUPUESTO!G113+[3]PRESUPUESTO!G146+[3]PRESUPUESTO!G169</f>
        <v>128552.85</v>
      </c>
    </row>
    <row r="34" spans="2:6" x14ac:dyDescent="0.2">
      <c r="B34" s="57"/>
      <c r="C34" s="58"/>
      <c r="D34" s="58"/>
      <c r="E34" s="50" t="s">
        <v>39</v>
      </c>
      <c r="F34" s="19">
        <f>+[3]PRESUPUESTO!G157</f>
        <v>1217.5999999999999</v>
      </c>
    </row>
    <row r="35" spans="2:6" x14ac:dyDescent="0.2">
      <c r="B35" s="57"/>
      <c r="C35" s="58"/>
      <c r="D35" s="58"/>
      <c r="E35" s="50" t="s">
        <v>40</v>
      </c>
      <c r="F35" s="19">
        <f>+[3]PRESUPUESTO!G110+[3]PRESUPUESTO!G156</f>
        <v>14800</v>
      </c>
    </row>
    <row r="36" spans="2:6" x14ac:dyDescent="0.2">
      <c r="B36" s="57"/>
      <c r="C36" s="58"/>
      <c r="D36" s="58"/>
      <c r="E36" s="50" t="s">
        <v>41</v>
      </c>
      <c r="F36" s="19">
        <f>+[3]PRESUPUESTO!G108+[3]PRESUPUESTO!G158</f>
        <v>0</v>
      </c>
    </row>
    <row r="37" spans="2:6" x14ac:dyDescent="0.2">
      <c r="B37" s="57"/>
      <c r="C37" s="58"/>
      <c r="D37" s="58"/>
      <c r="E37" s="50" t="s">
        <v>42</v>
      </c>
      <c r="F37" s="19">
        <f>+[3]PRESUPUESTO!G170</f>
        <v>10708.95</v>
      </c>
    </row>
    <row r="38" spans="2:6" x14ac:dyDescent="0.2">
      <c r="B38" s="57"/>
      <c r="C38" s="58"/>
      <c r="D38" s="58"/>
      <c r="E38" s="50" t="s">
        <v>43</v>
      </c>
      <c r="F38" s="19">
        <f>+SUM(OTROS_GASTOS_PDI)-(([3]GEST.REC.HUM.!N36+[3]GEST.REC.HUM.!N37+[3]GEST.REC.HUM.!N38+'[3]OTRAS ACTIV.'!N36+'[3]OTRAS ACTIV.'!N37+'[3]OTRAS ACTIV.'!N38)/1000)</f>
        <v>12723.453000000001</v>
      </c>
    </row>
    <row r="39" spans="2:6" ht="28.5" x14ac:dyDescent="0.2">
      <c r="B39" s="57"/>
      <c r="C39" s="59"/>
      <c r="D39" s="59"/>
      <c r="E39" s="60" t="s">
        <v>44</v>
      </c>
      <c r="F39" s="61">
        <f>SUM(F32:F38)</f>
        <v>198002.85300000003</v>
      </c>
    </row>
    <row r="40" spans="2:6" ht="15" customHeight="1" x14ac:dyDescent="0.2">
      <c r="B40" s="57"/>
      <c r="C40" s="56" t="s">
        <v>45</v>
      </c>
      <c r="D40" s="56" t="s">
        <v>46</v>
      </c>
      <c r="E40" s="62" t="s">
        <v>47</v>
      </c>
      <c r="F40" s="19">
        <f>SUM([3]PRESUPUESTO!G132:G138)</f>
        <v>5000</v>
      </c>
    </row>
    <row r="41" spans="2:6" x14ac:dyDescent="0.2">
      <c r="B41" s="57"/>
      <c r="C41" s="58"/>
      <c r="D41" s="58"/>
      <c r="E41" s="62" t="s">
        <v>48</v>
      </c>
      <c r="F41" s="19">
        <f>+[3]PRESUPUESTO!G333</f>
        <v>48800</v>
      </c>
    </row>
    <row r="42" spans="2:6" ht="28.5" x14ac:dyDescent="0.2">
      <c r="B42" s="57"/>
      <c r="C42" s="59"/>
      <c r="D42" s="59"/>
      <c r="E42" s="63" t="s">
        <v>49</v>
      </c>
      <c r="F42" s="61">
        <f>SUM(F40:F41)</f>
        <v>53800</v>
      </c>
    </row>
    <row r="43" spans="2:6" ht="18.75" customHeight="1" x14ac:dyDescent="0.2">
      <c r="B43" s="57"/>
      <c r="C43" s="56" t="s">
        <v>50</v>
      </c>
      <c r="D43" s="56" t="s">
        <v>51</v>
      </c>
      <c r="E43" s="63" t="s">
        <v>52</v>
      </c>
      <c r="F43" s="61"/>
    </row>
    <row r="44" spans="2:6" ht="30.75" customHeight="1" x14ac:dyDescent="0.2">
      <c r="B44" s="57"/>
      <c r="C44" s="58"/>
      <c r="D44" s="58"/>
      <c r="E44" s="60" t="s">
        <v>53</v>
      </c>
      <c r="F44" s="61"/>
    </row>
    <row r="45" spans="2:6" x14ac:dyDescent="0.2">
      <c r="B45" s="57"/>
      <c r="C45" s="58"/>
      <c r="D45" s="58"/>
      <c r="E45" s="62" t="s">
        <v>54</v>
      </c>
      <c r="F45" s="19"/>
    </row>
    <row r="46" spans="2:6" x14ac:dyDescent="0.2">
      <c r="B46" s="57"/>
      <c r="C46" s="58"/>
      <c r="D46" s="58"/>
      <c r="E46" s="62" t="s">
        <v>55</v>
      </c>
      <c r="F46" s="19">
        <f>+[3]AFILIACIONES!E16/1000</f>
        <v>9000</v>
      </c>
    </row>
    <row r="47" spans="2:6" ht="18" customHeight="1" x14ac:dyDescent="0.2">
      <c r="B47" s="64"/>
      <c r="C47" s="59"/>
      <c r="D47" s="59"/>
      <c r="E47" s="60" t="s">
        <v>56</v>
      </c>
      <c r="F47" s="61">
        <f>SUM(F45:F46)</f>
        <v>9000</v>
      </c>
    </row>
    <row r="48" spans="2:6" ht="18" customHeight="1" x14ac:dyDescent="0.2">
      <c r="B48" s="65" t="s">
        <v>57</v>
      </c>
      <c r="C48" s="66" t="s">
        <v>58</v>
      </c>
      <c r="D48" s="66" t="s">
        <v>59</v>
      </c>
      <c r="E48" s="67" t="s">
        <v>60</v>
      </c>
      <c r="F48" s="19"/>
    </row>
    <row r="49" spans="2:8" ht="15" customHeight="1" x14ac:dyDescent="0.2">
      <c r="B49" s="68"/>
      <c r="C49" s="69"/>
      <c r="D49" s="69"/>
      <c r="E49" s="70" t="s">
        <v>61</v>
      </c>
      <c r="F49" s="71">
        <f>SUM(F48:F48)</f>
        <v>0</v>
      </c>
    </row>
    <row r="50" spans="2:8" ht="15" customHeight="1" x14ac:dyDescent="0.2">
      <c r="B50" s="68"/>
      <c r="C50" s="66" t="s">
        <v>62</v>
      </c>
      <c r="D50" s="66" t="s">
        <v>63</v>
      </c>
      <c r="E50" s="67" t="s">
        <v>64</v>
      </c>
      <c r="F50" s="19">
        <f>+[3]PRESUPUESTO!G161+[3]PRESUPUESTO!G117+[3]PRESUPUESTO!G160+[3]PRESUPUESTO!G95+[3]PRESUPUESTO!G320</f>
        <v>13942.708999999999</v>
      </c>
    </row>
    <row r="51" spans="2:8" ht="28.5" x14ac:dyDescent="0.2">
      <c r="B51" s="68"/>
      <c r="C51" s="69"/>
      <c r="D51" s="69"/>
      <c r="E51" s="70" t="s">
        <v>65</v>
      </c>
      <c r="F51" s="71">
        <f>+F50</f>
        <v>13942.708999999999</v>
      </c>
    </row>
    <row r="52" spans="2:8" ht="15" customHeight="1" x14ac:dyDescent="0.2">
      <c r="B52" s="68"/>
      <c r="C52" s="66" t="s">
        <v>66</v>
      </c>
      <c r="D52" s="66" t="s">
        <v>67</v>
      </c>
      <c r="E52" s="62" t="s">
        <v>68</v>
      </c>
      <c r="F52" s="19">
        <f>+[3]AFILIACIONES!E24/1000</f>
        <v>0</v>
      </c>
    </row>
    <row r="53" spans="2:8" ht="28.5" customHeight="1" x14ac:dyDescent="0.2">
      <c r="B53" s="68"/>
      <c r="C53" s="72"/>
      <c r="D53" s="72"/>
      <c r="E53" s="70" t="s">
        <v>69</v>
      </c>
      <c r="F53" s="71">
        <f>+F52</f>
        <v>0</v>
      </c>
    </row>
    <row r="54" spans="2:8" ht="17.25" customHeight="1" x14ac:dyDescent="0.2">
      <c r="B54" s="68"/>
      <c r="C54" s="72"/>
      <c r="D54" s="72"/>
      <c r="E54" s="62" t="s">
        <v>70</v>
      </c>
      <c r="F54" s="19"/>
    </row>
    <row r="55" spans="2:8" ht="16.5" customHeight="1" x14ac:dyDescent="0.2">
      <c r="B55" s="68"/>
      <c r="C55" s="72"/>
      <c r="D55" s="72"/>
      <c r="E55" s="70" t="s">
        <v>71</v>
      </c>
      <c r="F55" s="71">
        <f>+F54</f>
        <v>0</v>
      </c>
    </row>
    <row r="56" spans="2:8" ht="16.5" customHeight="1" x14ac:dyDescent="0.2">
      <c r="B56" s="68"/>
      <c r="C56" s="72"/>
      <c r="D56" s="72"/>
      <c r="E56" s="62" t="s">
        <v>72</v>
      </c>
      <c r="F56" s="19">
        <f>+[3]PRESUPUESTO!G319</f>
        <v>0</v>
      </c>
    </row>
    <row r="57" spans="2:8" ht="16.5" customHeight="1" x14ac:dyDescent="0.2">
      <c r="B57" s="68"/>
      <c r="C57" s="72"/>
      <c r="D57" s="72"/>
      <c r="E57" s="70" t="s">
        <v>73</v>
      </c>
      <c r="F57" s="71">
        <f>+F56</f>
        <v>0</v>
      </c>
    </row>
    <row r="58" spans="2:8" ht="27.75" customHeight="1" x14ac:dyDescent="0.2">
      <c r="B58" s="68"/>
      <c r="C58" s="72"/>
      <c r="D58" s="72"/>
      <c r="E58" s="62" t="s">
        <v>74</v>
      </c>
      <c r="F58" s="19">
        <f>(+[3]GEST.REC.HUM.!N39+'[3]OTRAS ACTIV.'!N39)/1000</f>
        <v>18000</v>
      </c>
    </row>
    <row r="59" spans="2:8" ht="16.5" customHeight="1" x14ac:dyDescent="0.2">
      <c r="B59" s="73"/>
      <c r="C59" s="69"/>
      <c r="D59" s="69"/>
      <c r="E59" s="70" t="s">
        <v>75</v>
      </c>
      <c r="F59" s="71">
        <f>+F58</f>
        <v>18000</v>
      </c>
    </row>
    <row r="60" spans="2:8" ht="20.25" x14ac:dyDescent="0.3">
      <c r="B60" s="12"/>
      <c r="C60" s="74" t="s">
        <v>76</v>
      </c>
      <c r="D60" s="74"/>
      <c r="E60" s="13"/>
      <c r="F60" s="75">
        <f>+F15+F18+F19+F20+F21+F22+F31+F39+F42+F43+F44+F47+F49+F51+F53+F55+F57+F59</f>
        <v>4633695.1251880145</v>
      </c>
    </row>
    <row r="61" spans="2:8" ht="20.25" x14ac:dyDescent="0.3">
      <c r="B61" s="12"/>
      <c r="C61" s="74" t="s">
        <v>77</v>
      </c>
      <c r="D61" s="74"/>
      <c r="E61" s="13"/>
      <c r="F61" s="75">
        <f>+[3]PRESUPUESTO!G247</f>
        <v>2644706.37335</v>
      </c>
    </row>
    <row r="62" spans="2:8" ht="21" thickBot="1" x14ac:dyDescent="0.35">
      <c r="B62" s="12"/>
      <c r="C62" s="76" t="s">
        <v>78</v>
      </c>
      <c r="D62" s="76"/>
      <c r="E62" s="77"/>
      <c r="F62" s="99">
        <f>+'[3]PTO + EC'!D174+'[3]PTO + EC'!D318</f>
        <v>33200</v>
      </c>
    </row>
    <row r="63" spans="2:8" ht="21.75" thickTop="1" thickBot="1" x14ac:dyDescent="0.35">
      <c r="B63" s="23"/>
      <c r="C63" s="80" t="s">
        <v>79</v>
      </c>
      <c r="D63" s="80"/>
      <c r="E63" s="81"/>
      <c r="F63" s="82">
        <f>SUM(F60:F62)</f>
        <v>7311601.4985380145</v>
      </c>
      <c r="G63" s="83"/>
      <c r="H63" s="84"/>
    </row>
    <row r="64" spans="2:8" ht="15" thickBot="1" x14ac:dyDescent="0.25">
      <c r="B64" s="85"/>
      <c r="C64" s="86"/>
      <c r="D64" s="86"/>
      <c r="E64" s="86"/>
      <c r="F64" s="31"/>
    </row>
    <row r="65" spans="2:9" ht="21" thickBot="1" x14ac:dyDescent="0.35">
      <c r="B65" s="87"/>
      <c r="C65" s="88" t="s">
        <v>80</v>
      </c>
      <c r="D65" s="88"/>
      <c r="E65" s="89"/>
      <c r="F65" s="90">
        <f>+F11-F63</f>
        <v>1909710.3014619844</v>
      </c>
      <c r="G65" s="91"/>
      <c r="H65" s="91"/>
      <c r="I65" s="92"/>
    </row>
    <row r="66" spans="2:9" ht="15" thickBot="1" x14ac:dyDescent="0.25"/>
    <row r="67" spans="2:9" ht="18.75" thickBot="1" x14ac:dyDescent="0.3">
      <c r="B67" s="94" t="s">
        <v>81</v>
      </c>
      <c r="C67" s="95"/>
      <c r="D67" s="95"/>
      <c r="E67" s="95"/>
      <c r="F67" s="96">
        <f>IFERROR(F65/F11,"Sin datos")</f>
        <v>0.20709746540204665</v>
      </c>
    </row>
    <row r="68" spans="2:9" x14ac:dyDescent="0.2">
      <c r="F68" s="97"/>
    </row>
    <row r="69" spans="2:9" x14ac:dyDescent="0.2">
      <c r="F69" s="97"/>
    </row>
    <row r="111" spans="2:6" s="5" customFormat="1" ht="15" x14ac:dyDescent="0.2">
      <c r="B111" s="2"/>
      <c r="C111" s="98" t="s">
        <v>82</v>
      </c>
      <c r="D111" s="98">
        <v>20</v>
      </c>
      <c r="F111" s="93"/>
    </row>
    <row r="112" spans="2:6" s="5" customFormat="1" ht="15" x14ac:dyDescent="0.2">
      <c r="B112" s="2"/>
      <c r="C112" s="98" t="s">
        <v>83</v>
      </c>
      <c r="D112" s="98">
        <v>49</v>
      </c>
      <c r="F112" s="93"/>
    </row>
  </sheetData>
  <mergeCells count="35">
    <mergeCell ref="C60:E60"/>
    <mergeCell ref="C61:E61"/>
    <mergeCell ref="C62:E62"/>
    <mergeCell ref="C63:E63"/>
    <mergeCell ref="C65:E65"/>
    <mergeCell ref="B67:E67"/>
    <mergeCell ref="B48:B59"/>
    <mergeCell ref="C48:C49"/>
    <mergeCell ref="D48:D49"/>
    <mergeCell ref="C50:C51"/>
    <mergeCell ref="D50:D51"/>
    <mergeCell ref="C52:C59"/>
    <mergeCell ref="D52:D59"/>
    <mergeCell ref="B32:B47"/>
    <mergeCell ref="C32:C39"/>
    <mergeCell ref="D32:D39"/>
    <mergeCell ref="C40:C42"/>
    <mergeCell ref="D40:D42"/>
    <mergeCell ref="C43:C47"/>
    <mergeCell ref="D43:D47"/>
    <mergeCell ref="C10:E10"/>
    <mergeCell ref="C11:E11"/>
    <mergeCell ref="C13:E13"/>
    <mergeCell ref="B14:B31"/>
    <mergeCell ref="C14:C22"/>
    <mergeCell ref="D14:D18"/>
    <mergeCell ref="D19:D22"/>
    <mergeCell ref="C23:C31"/>
    <mergeCell ref="D23:D31"/>
    <mergeCell ref="B1:F2"/>
    <mergeCell ref="B3:F3"/>
    <mergeCell ref="F6:F7"/>
    <mergeCell ref="C7:E7"/>
    <mergeCell ref="C8:E8"/>
    <mergeCell ref="C9:E9"/>
  </mergeCells>
  <conditionalFormatting sqref="G65">
    <cfRule type="iconSet" priority="1">
      <iconSet iconSet="3Symbols2" showValue="0">
        <cfvo type="percent" val="0"/>
        <cfvo type="num" val="2"/>
        <cfvo type="num" val="3"/>
      </iconSe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MEDICINA</vt:lpstr>
      <vt:lpstr>ADMON EMPRESAS</vt:lpstr>
      <vt:lpstr>PSICOLOGIA DIURNO</vt:lpstr>
      <vt:lpstr>'ADMON EMPRESAS'!Área_de_impresión</vt:lpstr>
      <vt:lpstr>MEDICINA!Área_de_impresión</vt:lpstr>
      <vt:lpstr>'PSICOLOGIA DIURNO'!Área_de_impresión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Orlando Castaño Garzon</dc:creator>
  <cp:lastModifiedBy>Jorge Orlando Castaño Garzon</cp:lastModifiedBy>
  <dcterms:created xsi:type="dcterms:W3CDTF">2019-01-21T23:19:38Z</dcterms:created>
  <dcterms:modified xsi:type="dcterms:W3CDTF">2019-01-21T23:22:52Z</dcterms:modified>
</cp:coreProperties>
</file>