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escritorio\POSICION DE TESORERIA\2018\DICIEMBRE\"/>
    </mc:Choice>
  </mc:AlternateContent>
  <bookViews>
    <workbookView xWindow="0" yWindow="0" windowWidth="24000" windowHeight="9735"/>
  </bookViews>
  <sheets>
    <sheet name="SALDOS DIARIOS DE REPORTES" sheetId="6" r:id="rId1"/>
    <sheet name="MOVIMIENTOS POR CUENTA" sheetId="9" r:id="rId2"/>
    <sheet name="CUPOS POR EMISOR" sheetId="7" r:id="rId3"/>
    <sheet name="VALOR FONDOS" sheetId="13" r:id="rId4"/>
    <sheet name="IPC" sheetId="11" r:id="rId5"/>
    <sheet name="DTF" sheetId="12" r:id="rId6"/>
  </sheets>
  <externalReferences>
    <externalReference r:id="rId7"/>
  </externalReferences>
  <definedNames>
    <definedName name="_xlnm._FilterDatabase" localSheetId="0" hidden="1">'SALDOS DIARIOS DE REPORTES'!$A$54:$O$71</definedName>
  </definedNames>
  <calcPr calcId="152511"/>
</workbook>
</file>

<file path=xl/calcChain.xml><?xml version="1.0" encoding="utf-8"?>
<calcChain xmlns="http://schemas.openxmlformats.org/spreadsheetml/2006/main">
  <c r="C23" i="6" l="1"/>
  <c r="B87" i="6"/>
  <c r="B93" i="6"/>
  <c r="B89" i="6"/>
  <c r="B85" i="6"/>
  <c r="B86" i="6"/>
  <c r="B88" i="6"/>
  <c r="C31" i="6" l="1"/>
  <c r="J24" i="9" l="1"/>
  <c r="J19" i="9"/>
  <c r="J28" i="9"/>
  <c r="C29" i="6"/>
  <c r="C30" i="6"/>
  <c r="C32" i="6"/>
  <c r="C26" i="6"/>
  <c r="C34" i="6"/>
  <c r="C33" i="6"/>
  <c r="C43" i="6"/>
  <c r="C22" i="6" l="1"/>
  <c r="C25" i="6"/>
  <c r="C44" i="6"/>
  <c r="F76" i="6" l="1"/>
  <c r="L25" i="9"/>
  <c r="E25" i="9"/>
  <c r="D25" i="9"/>
  <c r="G25" i="9" l="1"/>
  <c r="N25" i="9" s="1"/>
  <c r="H34" i="6"/>
  <c r="I34" i="6"/>
  <c r="F34" i="6"/>
  <c r="E34" i="6"/>
  <c r="J34" i="6" l="1"/>
  <c r="L15" i="9" l="1"/>
  <c r="E15" i="9"/>
  <c r="D15" i="9"/>
  <c r="C15" i="9"/>
  <c r="A15" i="9"/>
  <c r="I22" i="6"/>
  <c r="I21" i="6"/>
  <c r="H22" i="6"/>
  <c r="F22" i="6"/>
  <c r="E22" i="6"/>
  <c r="G15" i="9" l="1"/>
  <c r="N15" i="9" s="1"/>
  <c r="O15" i="9" s="1"/>
  <c r="J22" i="6"/>
  <c r="F15" i="9"/>
  <c r="D7" i="7" l="1"/>
  <c r="E23" i="6"/>
  <c r="H23" i="6"/>
  <c r="I23" i="6"/>
  <c r="J23" i="6" l="1"/>
  <c r="F23" i="6"/>
  <c r="D59" i="6" l="1"/>
  <c r="H7" i="13" l="1"/>
  <c r="H8" i="13"/>
  <c r="K56" i="6"/>
  <c r="I65" i="6"/>
  <c r="K65" i="6"/>
  <c r="K64" i="6"/>
  <c r="M65" i="6"/>
  <c r="G65" i="6"/>
  <c r="E65" i="6"/>
  <c r="K20" i="9" l="1"/>
  <c r="J20" i="9"/>
  <c r="I20" i="9"/>
  <c r="H20" i="9"/>
  <c r="G76" i="6" l="1"/>
  <c r="E76" i="6"/>
  <c r="E24" i="9" l="1"/>
  <c r="D24" i="9"/>
  <c r="I33" i="6"/>
  <c r="H33" i="6"/>
  <c r="J33" i="6" l="1"/>
  <c r="G24" i="9"/>
  <c r="E33" i="6"/>
  <c r="F33" i="6"/>
  <c r="D11" i="7" l="1"/>
  <c r="M60" i="6"/>
  <c r="K60" i="6"/>
  <c r="G60" i="6"/>
  <c r="D21" i="7" l="1"/>
  <c r="E59" i="6"/>
  <c r="M59" i="6"/>
  <c r="K59" i="6"/>
  <c r="G59" i="6"/>
  <c r="D9" i="7" l="1"/>
  <c r="K58" i="6" l="1"/>
  <c r="M58" i="6"/>
  <c r="G58" i="6"/>
  <c r="C50" i="6" l="1"/>
  <c r="D55" i="6" l="1"/>
  <c r="L18" i="9" l="1"/>
  <c r="E18" i="9"/>
  <c r="D18" i="9"/>
  <c r="C18" i="9"/>
  <c r="I25" i="6"/>
  <c r="H25" i="6"/>
  <c r="F25" i="6"/>
  <c r="G18" i="9" s="1"/>
  <c r="E25" i="6"/>
  <c r="F18" i="9" s="1"/>
  <c r="N18" i="9" l="1"/>
  <c r="O18" i="9" s="1"/>
  <c r="J25" i="6"/>
  <c r="L19" i="9" l="1"/>
  <c r="E19" i="9"/>
  <c r="C19" i="9"/>
  <c r="D19" i="9" l="1"/>
  <c r="F19" i="9" l="1"/>
  <c r="G19" i="9"/>
  <c r="N19" i="9" s="1"/>
  <c r="O19" i="9" s="1"/>
  <c r="I26" i="6"/>
  <c r="H26" i="6"/>
  <c r="J26" i="6" l="1"/>
  <c r="E26" i="6"/>
  <c r="F26" i="6"/>
  <c r="K76" i="6" l="1"/>
  <c r="E64" i="6" l="1"/>
  <c r="M64" i="6"/>
  <c r="G64" i="6"/>
  <c r="M70" i="6" l="1"/>
  <c r="M69" i="6"/>
  <c r="M68" i="6"/>
  <c r="M67" i="6"/>
  <c r="M66" i="6"/>
  <c r="M63" i="6"/>
  <c r="M62" i="6"/>
  <c r="M61" i="6"/>
  <c r="M57" i="6"/>
  <c r="M56" i="6"/>
  <c r="M55" i="6"/>
  <c r="M71" i="6" l="1"/>
  <c r="F8" i="13"/>
  <c r="E28" i="9" l="1"/>
  <c r="D28" i="9"/>
  <c r="G28" i="9" l="1"/>
  <c r="F28" i="9"/>
  <c r="L28" i="9" l="1"/>
  <c r="N28" i="9" s="1"/>
  <c r="L12" i="9"/>
  <c r="L13" i="9"/>
  <c r="L14" i="9"/>
  <c r="L16" i="9"/>
  <c r="L17" i="9"/>
  <c r="L20" i="9" l="1"/>
  <c r="H31" i="6"/>
  <c r="E31" i="6"/>
  <c r="I31" i="6"/>
  <c r="F31" i="6"/>
  <c r="J31" i="6" l="1"/>
  <c r="J57" i="6" l="1"/>
  <c r="K57" i="6" s="1"/>
  <c r="G57" i="6"/>
  <c r="D14" i="7" l="1"/>
  <c r="D6" i="7"/>
  <c r="I71" i="6"/>
  <c r="F71" i="6"/>
  <c r="J70" i="6"/>
  <c r="K70" i="6" s="1"/>
  <c r="G70" i="6"/>
  <c r="N60" i="6" l="1"/>
  <c r="N65" i="6"/>
  <c r="N58" i="6"/>
  <c r="N59" i="6"/>
  <c r="N57" i="6"/>
  <c r="N64" i="6"/>
  <c r="D10" i="7"/>
  <c r="E35" i="6" l="1"/>
  <c r="N70" i="6" l="1"/>
  <c r="J69" i="6"/>
  <c r="K69" i="6" s="1"/>
  <c r="G69" i="6"/>
  <c r="N63" i="6" l="1"/>
  <c r="N61" i="6"/>
  <c r="N69" i="6"/>
  <c r="N56" i="6"/>
  <c r="N68" i="6"/>
  <c r="N55" i="6"/>
  <c r="N67" i="6"/>
  <c r="N66" i="6"/>
  <c r="N62" i="6"/>
  <c r="N71" i="6" l="1"/>
  <c r="J68" i="6"/>
  <c r="K68" i="6" s="1"/>
  <c r="E68" i="6" l="1"/>
  <c r="G68" i="6"/>
  <c r="E8" i="13" l="1"/>
  <c r="G8" i="13" s="1"/>
  <c r="E7" i="13"/>
  <c r="D36" i="7" l="1"/>
  <c r="D8" i="7"/>
  <c r="D12" i="7"/>
  <c r="G55" i="6" l="1"/>
  <c r="E55" i="6"/>
  <c r="K55" i="6"/>
  <c r="E29" i="6" l="1"/>
  <c r="E30" i="6"/>
  <c r="F30" i="6" l="1"/>
  <c r="F29" i="6"/>
  <c r="B97" i="6" l="1"/>
  <c r="F77" i="6"/>
  <c r="E14" i="6" l="1"/>
  <c r="F14" i="6"/>
  <c r="E22" i="9" l="1"/>
  <c r="D22" i="9"/>
  <c r="E17" i="9"/>
  <c r="D17" i="9"/>
  <c r="E12" i="7"/>
  <c r="F9" i="7"/>
  <c r="F8" i="7"/>
  <c r="F11" i="6"/>
  <c r="K66" i="6"/>
  <c r="K61" i="6"/>
  <c r="G66" i="6"/>
  <c r="E66" i="6"/>
  <c r="E61" i="6"/>
  <c r="G61" i="6"/>
  <c r="L6" i="9"/>
  <c r="E17" i="7"/>
  <c r="K63" i="6"/>
  <c r="G63" i="6"/>
  <c r="B7" i="13"/>
  <c r="C7" i="13"/>
  <c r="D7" i="13"/>
  <c r="I8" i="13"/>
  <c r="E42" i="7"/>
  <c r="F21" i="7"/>
  <c r="F6" i="7"/>
  <c r="E11" i="7"/>
  <c r="D23" i="9"/>
  <c r="E23" i="9"/>
  <c r="E44" i="6"/>
  <c r="F32" i="6"/>
  <c r="E42" i="6"/>
  <c r="K62" i="6"/>
  <c r="G67" i="6"/>
  <c r="G62" i="6"/>
  <c r="D93" i="6"/>
  <c r="D89" i="6"/>
  <c r="D87" i="6"/>
  <c r="E16" i="7"/>
  <c r="L76" i="6"/>
  <c r="E36" i="7"/>
  <c r="E35" i="7"/>
  <c r="E34" i="7"/>
  <c r="E33" i="7"/>
  <c r="E32" i="7"/>
  <c r="E31" i="7"/>
  <c r="E30" i="7"/>
  <c r="E22" i="7"/>
  <c r="E19" i="7"/>
  <c r="E18" i="7"/>
  <c r="E15" i="7"/>
  <c r="E14" i="7"/>
  <c r="E13" i="7"/>
  <c r="E10" i="7"/>
  <c r="E20" i="7"/>
  <c r="E43" i="7"/>
  <c r="D95" i="6"/>
  <c r="D94" i="6"/>
  <c r="D92" i="6"/>
  <c r="D91" i="6"/>
  <c r="D90" i="6"/>
  <c r="J10" i="9"/>
  <c r="J30" i="9"/>
  <c r="K10" i="9"/>
  <c r="I10" i="9"/>
  <c r="H10" i="9"/>
  <c r="L9" i="9"/>
  <c r="L8" i="9"/>
  <c r="L7" i="9"/>
  <c r="L5" i="9"/>
  <c r="L4" i="9"/>
  <c r="F42" i="6"/>
  <c r="I42" i="6"/>
  <c r="D45" i="6"/>
  <c r="D85" i="6"/>
  <c r="E24" i="6"/>
  <c r="D27" i="6"/>
  <c r="C27" i="6"/>
  <c r="H29" i="6"/>
  <c r="I44" i="6"/>
  <c r="H44" i="6"/>
  <c r="I43" i="6"/>
  <c r="H43" i="6"/>
  <c r="I35" i="6"/>
  <c r="I32" i="6"/>
  <c r="I30" i="6"/>
  <c r="I29" i="6"/>
  <c r="I24" i="6"/>
  <c r="I20" i="6"/>
  <c r="I19" i="6"/>
  <c r="I16" i="6"/>
  <c r="I14" i="6"/>
  <c r="H14" i="6"/>
  <c r="I13" i="6"/>
  <c r="I12" i="6"/>
  <c r="I11" i="6"/>
  <c r="H35" i="6"/>
  <c r="H24" i="6"/>
  <c r="H21" i="6"/>
  <c r="H20" i="6"/>
  <c r="H19" i="6"/>
  <c r="H16" i="6"/>
  <c r="H13" i="6"/>
  <c r="H12" i="6"/>
  <c r="H11" i="6"/>
  <c r="F12" i="6"/>
  <c r="F13" i="6"/>
  <c r="F16" i="6"/>
  <c r="D17" i="6"/>
  <c r="C17" i="6"/>
  <c r="F43" i="7"/>
  <c r="F34" i="7"/>
  <c r="F31" i="7"/>
  <c r="F48" i="7"/>
  <c r="D36" i="6"/>
  <c r="F44" i="6"/>
  <c r="F43" i="6"/>
  <c r="E43" i="6"/>
  <c r="E26" i="9"/>
  <c r="D26" i="9"/>
  <c r="E16" i="9"/>
  <c r="E14" i="9"/>
  <c r="D14" i="9"/>
  <c r="E13" i="9"/>
  <c r="E12" i="9"/>
  <c r="D12" i="9"/>
  <c r="F19" i="6"/>
  <c r="F10" i="7"/>
  <c r="F13" i="7"/>
  <c r="F14" i="7"/>
  <c r="F15" i="7"/>
  <c r="F16" i="7"/>
  <c r="F18" i="7"/>
  <c r="F19" i="7"/>
  <c r="F20" i="7"/>
  <c r="F22" i="7"/>
  <c r="F30" i="7"/>
  <c r="F32" i="7"/>
  <c r="F33" i="7"/>
  <c r="F35" i="7"/>
  <c r="F36" i="7"/>
  <c r="D37" i="7"/>
  <c r="F37" i="7" s="1"/>
  <c r="D4" i="9"/>
  <c r="E4" i="9"/>
  <c r="D5" i="9"/>
  <c r="E5" i="9"/>
  <c r="D6" i="9"/>
  <c r="E6" i="9"/>
  <c r="D7" i="9"/>
  <c r="E7" i="9"/>
  <c r="D8" i="9"/>
  <c r="E8" i="9"/>
  <c r="D9" i="9"/>
  <c r="E9" i="9"/>
  <c r="D13" i="9"/>
  <c r="D16" i="9"/>
  <c r="D27" i="9"/>
  <c r="E27" i="9"/>
  <c r="E11" i="6"/>
  <c r="E12" i="6"/>
  <c r="E13" i="6"/>
  <c r="E16" i="6"/>
  <c r="E19" i="6"/>
  <c r="E20" i="6"/>
  <c r="F20" i="6"/>
  <c r="E21" i="6"/>
  <c r="F21" i="6"/>
  <c r="F24" i="6"/>
  <c r="E32" i="6"/>
  <c r="F35" i="6"/>
  <c r="C37" i="7"/>
  <c r="C23" i="7"/>
  <c r="C45" i="6"/>
  <c r="H30" i="6"/>
  <c r="H42" i="6"/>
  <c r="H32" i="6"/>
  <c r="C36" i="6"/>
  <c r="D29" i="9" l="1"/>
  <c r="E29" i="9"/>
  <c r="G7" i="13"/>
  <c r="I7" i="13" s="1"/>
  <c r="G71" i="6"/>
  <c r="K71" i="6"/>
  <c r="G22" i="9"/>
  <c r="H22" i="9" s="1"/>
  <c r="G14" i="9"/>
  <c r="N14" i="9" s="1"/>
  <c r="O14" i="9" s="1"/>
  <c r="F17" i="7"/>
  <c r="I76" i="6"/>
  <c r="E9" i="7"/>
  <c r="E8" i="7"/>
  <c r="J21" i="6"/>
  <c r="F16" i="9"/>
  <c r="F42" i="7"/>
  <c r="F12" i="9"/>
  <c r="F4" i="9"/>
  <c r="G26" i="9"/>
  <c r="H26" i="9" s="1"/>
  <c r="G6" i="9"/>
  <c r="J11" i="6"/>
  <c r="J43" i="6"/>
  <c r="J16" i="6"/>
  <c r="D88" i="6"/>
  <c r="E6" i="7"/>
  <c r="D23" i="7"/>
  <c r="F23" i="7" s="1"/>
  <c r="F12" i="7"/>
  <c r="D52" i="7"/>
  <c r="F11" i="7"/>
  <c r="F45" i="6"/>
  <c r="J42" i="6"/>
  <c r="J32" i="6"/>
  <c r="E21" i="7"/>
  <c r="E7" i="7"/>
  <c r="F7" i="7"/>
  <c r="F27" i="6"/>
  <c r="G16" i="9"/>
  <c r="N16" i="9" s="1"/>
  <c r="O16" i="9" s="1"/>
  <c r="J24" i="6"/>
  <c r="E17" i="6"/>
  <c r="J32" i="9"/>
  <c r="G12" i="9"/>
  <c r="D20" i="9"/>
  <c r="G9" i="9"/>
  <c r="N9" i="9" s="1"/>
  <c r="O9" i="9" s="1"/>
  <c r="J30" i="6"/>
  <c r="F6" i="9"/>
  <c r="J13" i="6"/>
  <c r="H17" i="6"/>
  <c r="D10" i="9"/>
  <c r="G5" i="9"/>
  <c r="L77" i="6"/>
  <c r="I45" i="6"/>
  <c r="J44" i="6"/>
  <c r="G27" i="9"/>
  <c r="H27" i="9" s="1"/>
  <c r="I36" i="6"/>
  <c r="F22" i="9"/>
  <c r="G23" i="9"/>
  <c r="H23" i="9" s="1"/>
  <c r="J20" i="6"/>
  <c r="E27" i="6"/>
  <c r="G13" i="9"/>
  <c r="N13" i="9" s="1"/>
  <c r="O13" i="9" s="1"/>
  <c r="E20" i="9"/>
  <c r="I27" i="6"/>
  <c r="F5" i="9"/>
  <c r="G4" i="9"/>
  <c r="N4" i="9" s="1"/>
  <c r="O4" i="9" s="1"/>
  <c r="D86" i="6"/>
  <c r="L10" i="9"/>
  <c r="F26" i="9"/>
  <c r="G17" i="9"/>
  <c r="N17" i="9" s="1"/>
  <c r="O17" i="9" s="1"/>
  <c r="F17" i="9"/>
  <c r="F17" i="6"/>
  <c r="J14" i="6"/>
  <c r="F7" i="9"/>
  <c r="E10" i="9"/>
  <c r="D37" i="6"/>
  <c r="G7" i="9"/>
  <c r="N7" i="9" s="1"/>
  <c r="O7" i="9" s="1"/>
  <c r="F13" i="9"/>
  <c r="H27" i="6"/>
  <c r="C37" i="6"/>
  <c r="C47" i="6" s="1"/>
  <c r="J12" i="6"/>
  <c r="H45" i="6"/>
  <c r="F27" i="9"/>
  <c r="J35" i="6"/>
  <c r="F36" i="6"/>
  <c r="H36" i="6"/>
  <c r="E45" i="6"/>
  <c r="E36" i="6"/>
  <c r="J29" i="6"/>
  <c r="J19" i="6"/>
  <c r="F14" i="9"/>
  <c r="G8" i="9"/>
  <c r="N8" i="9" s="1"/>
  <c r="F9" i="9"/>
  <c r="I17" i="6"/>
  <c r="C97" i="6"/>
  <c r="G13" i="6"/>
  <c r="N5" i="9" l="1"/>
  <c r="O5" i="9" s="1"/>
  <c r="N6" i="9"/>
  <c r="O6" i="9" s="1"/>
  <c r="F29" i="9"/>
  <c r="L22" i="9"/>
  <c r="N22" i="9" s="1"/>
  <c r="I77" i="6"/>
  <c r="H77" i="6"/>
  <c r="L27" i="9"/>
  <c r="N27" i="9" s="1"/>
  <c r="D51" i="7"/>
  <c r="D53" i="7" s="1"/>
  <c r="L26" i="9"/>
  <c r="N26" i="9" s="1"/>
  <c r="L23" i="9"/>
  <c r="N23" i="9" s="1"/>
  <c r="C79" i="6"/>
  <c r="D97" i="6"/>
  <c r="J45" i="6"/>
  <c r="G17" i="6"/>
  <c r="G20" i="9"/>
  <c r="F20" i="9"/>
  <c r="N12" i="9"/>
  <c r="O12" i="9" s="1"/>
  <c r="J27" i="6"/>
  <c r="F10" i="9"/>
  <c r="H37" i="6"/>
  <c r="E37" i="6"/>
  <c r="G29" i="9"/>
  <c r="D30" i="9"/>
  <c r="E30" i="9"/>
  <c r="F37" i="6"/>
  <c r="J36" i="6"/>
  <c r="J17" i="6"/>
  <c r="I37" i="6"/>
  <c r="G10" i="9"/>
  <c r="J37" i="6" l="1"/>
  <c r="G30" i="9"/>
  <c r="G31" i="9" s="1"/>
  <c r="F30" i="9"/>
  <c r="K77" i="6"/>
  <c r="G77" i="6" l="1"/>
  <c r="L24" i="9"/>
  <c r="N24" i="9" s="1"/>
</calcChain>
</file>

<file path=xl/comments1.xml><?xml version="1.0" encoding="utf-8"?>
<comments xmlns="http://schemas.openxmlformats.org/spreadsheetml/2006/main">
  <authors>
    <author>Alicia Vera Naranjo</author>
  </authors>
  <commentList>
    <comment ref="A56" authorId="0" shapeId="0">
      <text>
        <r>
          <rPr>
            <b/>
            <sz val="9"/>
            <color indexed="81"/>
            <rFont val="Tahoma"/>
            <family val="2"/>
          </rPr>
          <t>Alicia Vera Naranjo:</t>
        </r>
        <r>
          <rPr>
            <sz val="9"/>
            <color indexed="81"/>
            <rFont val="Tahoma"/>
            <family val="2"/>
          </rPr>
          <t xml:space="preserve">
Reeinversion CDT SENA</t>
        </r>
      </text>
    </comment>
  </commentList>
</comments>
</file>

<file path=xl/sharedStrings.xml><?xml version="1.0" encoding="utf-8"?>
<sst xmlns="http://schemas.openxmlformats.org/spreadsheetml/2006/main" count="420" uniqueCount="231">
  <si>
    <t>4511-69999625</t>
  </si>
  <si>
    <t xml:space="preserve">Cecilia Medina Roa </t>
  </si>
  <si>
    <t>131-10057- 0</t>
  </si>
  <si>
    <t>017-00532- 3</t>
  </si>
  <si>
    <t>200-1344545- 2</t>
  </si>
  <si>
    <t>131-11037- 1</t>
  </si>
  <si>
    <t>017-01155- 9</t>
  </si>
  <si>
    <t>Constanza Peralta</t>
  </si>
  <si>
    <t>200-9945563-3</t>
  </si>
  <si>
    <t>4511-0003070-4</t>
  </si>
  <si>
    <t xml:space="preserve">Banco De Bogota  Miami </t>
  </si>
  <si>
    <t xml:space="preserve">Banco De Bogota          </t>
  </si>
  <si>
    <t xml:space="preserve">Helm Bank </t>
  </si>
  <si>
    <t xml:space="preserve">Bancolombia - Recaudos </t>
  </si>
  <si>
    <t>Banco Davivienda</t>
  </si>
  <si>
    <t xml:space="preserve">Banco De Bogota </t>
  </si>
  <si>
    <t>Entidad</t>
  </si>
  <si>
    <t>Contacto</t>
  </si>
  <si>
    <t>No. Cuenta</t>
  </si>
  <si>
    <t>Saldo Hoy</t>
  </si>
  <si>
    <t>Saldo Ayer</t>
  </si>
  <si>
    <t>Cheque Girados</t>
  </si>
  <si>
    <t>Disponible Hoy</t>
  </si>
  <si>
    <t>Disponible Ayer</t>
  </si>
  <si>
    <t xml:space="preserve">Helm Bank          </t>
  </si>
  <si>
    <t>Bancolombia</t>
  </si>
  <si>
    <t>49924  US$</t>
  </si>
  <si>
    <t>Total Cuentas Corrientes</t>
  </si>
  <si>
    <t xml:space="preserve">Total Cuentas de Ahorro </t>
  </si>
  <si>
    <t>Cuentas Corrientes</t>
  </si>
  <si>
    <t xml:space="preserve">Cuentas de Ahorro </t>
  </si>
  <si>
    <t>Encargos Fiduciarios/Carteras Colectivas</t>
  </si>
  <si>
    <t>Rentabilidad</t>
  </si>
  <si>
    <t>Helm Fiduciaria</t>
  </si>
  <si>
    <t>EF No.0191</t>
  </si>
  <si>
    <t>Total Carteras Colectivas</t>
  </si>
  <si>
    <t>Total Bancos</t>
  </si>
  <si>
    <t>Emisor</t>
  </si>
  <si>
    <t>Nominal</t>
  </si>
  <si>
    <t>Plazo</t>
  </si>
  <si>
    <t>Banco de Bogotá</t>
  </si>
  <si>
    <t>Davivienda</t>
  </si>
  <si>
    <t>Helmbank</t>
  </si>
  <si>
    <t>Leasing Bancolombia</t>
  </si>
  <si>
    <t>Banco de Bogota</t>
  </si>
  <si>
    <t>Concepto</t>
  </si>
  <si>
    <t>Total Concepto</t>
  </si>
  <si>
    <t>Nicolás Vanegas Iregui</t>
  </si>
  <si>
    <t>Clase de activo</t>
  </si>
  <si>
    <t>Variación %</t>
  </si>
  <si>
    <t>Uso</t>
  </si>
  <si>
    <t>% Uso</t>
  </si>
  <si>
    <t>Popular</t>
  </si>
  <si>
    <t>Occidente</t>
  </si>
  <si>
    <t>Fallabela</t>
  </si>
  <si>
    <t>AV Villas</t>
  </si>
  <si>
    <t>Citibank</t>
  </si>
  <si>
    <t>Finandina</t>
  </si>
  <si>
    <t>Sudameris</t>
  </si>
  <si>
    <t>BBVA</t>
  </si>
  <si>
    <t>Banco Agrario</t>
  </si>
  <si>
    <t>BCSC</t>
  </si>
  <si>
    <t>Colpatria</t>
  </si>
  <si>
    <t>Pichincha</t>
  </si>
  <si>
    <t>AAA</t>
  </si>
  <si>
    <t>AA+</t>
  </si>
  <si>
    <t>Calificación</t>
  </si>
  <si>
    <t>Asignación</t>
  </si>
  <si>
    <t>Corficolombiana</t>
  </si>
  <si>
    <t>Tuya</t>
  </si>
  <si>
    <t>BNP Paribas</t>
  </si>
  <si>
    <t>Factoring Bancolombia</t>
  </si>
  <si>
    <t>Leasing Corficolombiana</t>
  </si>
  <si>
    <t>BANCOS</t>
  </si>
  <si>
    <t xml:space="preserve">CORPORACIONES Y CIAS DE FINANCIAMIENTO </t>
  </si>
  <si>
    <t>Total</t>
  </si>
  <si>
    <t>UNIVERSIDAD EL BOSQUE</t>
  </si>
  <si>
    <t>SALDOS EN BANCOS</t>
  </si>
  <si>
    <t>Helm Comisionista</t>
  </si>
  <si>
    <t>DEPARTAMENTO DE TESORERÍA</t>
  </si>
  <si>
    <t>VICERRECTORÍA ADMINISTRATIVA</t>
  </si>
  <si>
    <t>Paula C Ochoa</t>
  </si>
  <si>
    <t>Variación COP</t>
  </si>
  <si>
    <t>Pagos</t>
  </si>
  <si>
    <t>Observaciones</t>
  </si>
  <si>
    <t>Comisiones</t>
  </si>
  <si>
    <t>Mov. Neto</t>
  </si>
  <si>
    <t>Ingresos</t>
  </si>
  <si>
    <t>CONVENIOS SALUD</t>
  </si>
  <si>
    <t>HONORARIOS</t>
  </si>
  <si>
    <t>NOMINA</t>
  </si>
  <si>
    <t>REEMBOLSO</t>
  </si>
  <si>
    <t xml:space="preserve">OTROS GASTOS </t>
  </si>
  <si>
    <t>INSTITUCIONAL</t>
  </si>
  <si>
    <t>LIQUIDACIONES</t>
  </si>
  <si>
    <t>PREDIOS</t>
  </si>
  <si>
    <t>Transferencias</t>
  </si>
  <si>
    <t>Banco Santander Negocios</t>
  </si>
  <si>
    <t>José Mauricio Díaz S.</t>
  </si>
  <si>
    <t>100-00097-5</t>
  </si>
  <si>
    <t>100-00053-9</t>
  </si>
  <si>
    <t>Casa de Bolsa</t>
  </si>
  <si>
    <t>Juanita Olarte</t>
  </si>
  <si>
    <t>Carteras Colectivas/Encargos Fiduciarios</t>
  </si>
  <si>
    <t>Corredores Asociados</t>
  </si>
  <si>
    <t>Banco Santander</t>
  </si>
  <si>
    <t>Luis Hernando Montañez</t>
  </si>
  <si>
    <t>Diferencia</t>
  </si>
  <si>
    <t>INFRAESTRUCTURA</t>
  </si>
  <si>
    <t>Banco Corpbanca</t>
  </si>
  <si>
    <t>Tasa Facial</t>
  </si>
  <si>
    <t>Promedios</t>
  </si>
  <si>
    <t>Neto</t>
  </si>
  <si>
    <t>INVERSIONES</t>
  </si>
  <si>
    <t>Acciones y Valores S.A</t>
  </si>
  <si>
    <t>Total Recursos Findeter</t>
  </si>
  <si>
    <t>Banco Bogota Proyecto Hspital Cta Ahorros</t>
  </si>
  <si>
    <t>HOSPITAL UNIVERSITARIO</t>
  </si>
  <si>
    <t>899-00666-2</t>
  </si>
  <si>
    <t xml:space="preserve">Cuentas Findeter Proyecto Bosque Compensar </t>
  </si>
  <si>
    <t xml:space="preserve">Banco Finandina </t>
  </si>
  <si>
    <t>PA Findeter U Bosque FiduBogota</t>
  </si>
  <si>
    <t>Fiducuairia Bogota FA</t>
  </si>
  <si>
    <t>Interes</t>
  </si>
  <si>
    <t>Accival</t>
  </si>
  <si>
    <t>Fonval</t>
  </si>
  <si>
    <t>Credicorp Capital</t>
  </si>
  <si>
    <t>Promedio Mes</t>
  </si>
  <si>
    <t xml:space="preserve">Participacion </t>
  </si>
  <si>
    <t>Avianca</t>
  </si>
  <si>
    <t xml:space="preserve">Fecha de Emision </t>
  </si>
  <si>
    <t>Fecha Vencimiento</t>
  </si>
  <si>
    <t>Fecha Compra</t>
  </si>
  <si>
    <t xml:space="preserve">TIR </t>
  </si>
  <si>
    <t>Portafolio</t>
  </si>
  <si>
    <t>Compra</t>
  </si>
  <si>
    <t>Spread Compra</t>
  </si>
  <si>
    <t>Dias al Vto</t>
  </si>
  <si>
    <t>Fondo Corto Plazo</t>
  </si>
  <si>
    <t xml:space="preserve"> Bonos </t>
  </si>
  <si>
    <t>Fondo Sostenibilidad</t>
  </si>
  <si>
    <t>Fondo Misional</t>
  </si>
  <si>
    <t>Total Inversiones</t>
  </si>
  <si>
    <t>Total Liquidez</t>
  </si>
  <si>
    <t>Total Liquidez + Inversiones</t>
  </si>
  <si>
    <t>Ministerio de Hacienda</t>
  </si>
  <si>
    <t>SECTOR REAL</t>
  </si>
  <si>
    <t>CDT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</si>
  <si>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</si>
  <si>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</si>
  <si>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</si>
  <si>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</si>
  <si>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</si>
  <si>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</si>
  <si>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</si>
  <si>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</si>
  <si>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</si>
  <si>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</si>
  <si>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</si>
  <si>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</si>
  <si>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Tasa de interés - efectiva anual</t>
  </si>
  <si>
    <t>Vigencia desde</t>
  </si>
  <si>
    <t>Vigencia hasta</t>
  </si>
  <si>
    <t>DTF</t>
  </si>
  <si>
    <t>CDT 180</t>
  </si>
  <si>
    <t>CDT 360</t>
  </si>
  <si>
    <t>TCC</t>
  </si>
  <si>
    <t>Admon</t>
  </si>
  <si>
    <t>GOBIERNO NACIONAL</t>
  </si>
  <si>
    <t>FINDETER</t>
  </si>
  <si>
    <t>INVERSIONES POR FONDO EN COP</t>
  </si>
  <si>
    <t>INVERSIONES POR FONDO EN USD</t>
  </si>
  <si>
    <t>Banco Colpatria</t>
  </si>
  <si>
    <t xml:space="preserve">IPC 12 meses </t>
  </si>
  <si>
    <t>TD</t>
  </si>
  <si>
    <t>COP</t>
  </si>
  <si>
    <t>AA</t>
  </si>
  <si>
    <t>Liquidez -11511-</t>
  </si>
  <si>
    <t>Rafael Bernal</t>
  </si>
  <si>
    <t>Saldo</t>
  </si>
  <si>
    <t>Recuersos Findeter</t>
  </si>
  <si>
    <t>Itau</t>
  </si>
  <si>
    <t>Itau Comisionista</t>
  </si>
  <si>
    <t>Itau Fiduciaria</t>
  </si>
  <si>
    <t>Bonos</t>
  </si>
  <si>
    <t>Año 2014</t>
  </si>
  <si>
    <t>Año 2015</t>
  </si>
  <si>
    <t>Año 2016</t>
  </si>
  <si>
    <t xml:space="preserve">Acuerdo No.11838 2013 </t>
  </si>
  <si>
    <t>Año 2017</t>
  </si>
  <si>
    <t>Ingresos Operacionales</t>
  </si>
  <si>
    <t>Activos</t>
  </si>
  <si>
    <t>Variación</t>
  </si>
  <si>
    <t>Bancoldex</t>
  </si>
  <si>
    <t>Banco Popular</t>
  </si>
  <si>
    <t>IPC + 2,72%</t>
  </si>
  <si>
    <t>Banco Av Villas</t>
  </si>
  <si>
    <t xml:space="preserve">*** CDT Respaldo Findeter </t>
  </si>
  <si>
    <t>Credifondo</t>
  </si>
  <si>
    <t>DTF + 1,50%</t>
  </si>
  <si>
    <t>Banco Occidente</t>
  </si>
  <si>
    <t>IPC + 3,90%</t>
  </si>
  <si>
    <t>Banco BBVA</t>
  </si>
  <si>
    <t>IPC + 3,95%</t>
  </si>
  <si>
    <t xml:space="preserve">Fondo de Corto Plazo </t>
  </si>
  <si>
    <t xml:space="preserve">Banco de Bogota Miami </t>
  </si>
  <si>
    <t>IPC +6,50%</t>
  </si>
  <si>
    <t>ED. ACADEMICO</t>
  </si>
  <si>
    <t>Año 2018</t>
  </si>
  <si>
    <t>Credicorp</t>
  </si>
  <si>
    <t>Luis Fernando Bernal</t>
  </si>
  <si>
    <t xml:space="preserve">Diana Aranguren </t>
  </si>
  <si>
    <t xml:space="preserve">Carolina </t>
  </si>
  <si>
    <t>Jho Triviño</t>
  </si>
  <si>
    <t>IPC + 3,19%</t>
  </si>
  <si>
    <t>Banco de Occidente</t>
  </si>
  <si>
    <t>Maria Helena Valencia</t>
  </si>
  <si>
    <t xml:space="preserve">Itau </t>
  </si>
  <si>
    <t xml:space="preserve"> </t>
  </si>
  <si>
    <t>IBR + 1,20%</t>
  </si>
  <si>
    <t>IBR</t>
  </si>
  <si>
    <t>Banco Pichincha</t>
  </si>
  <si>
    <t>Johanna Vargas</t>
  </si>
  <si>
    <t>Largo Plazo</t>
  </si>
  <si>
    <t>Traslado 2,000,000 Colpatria</t>
  </si>
  <si>
    <t>Traslado 3,000,000 Colpatria</t>
  </si>
  <si>
    <t>Traslado Itau credifondo</t>
  </si>
  <si>
    <t>Traslado Credicorp</t>
  </si>
  <si>
    <t>Traslado Bogota Cte</t>
  </si>
  <si>
    <t>Traslado Itau Cte</t>
  </si>
  <si>
    <t>Pago nómina -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</si>
</sst>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 * #,##0_ ;_ * \-#,##0_ ;_ * &quot;-&quot;??_ ;_ @_ "/>
    <numFmt numFmtId="167" formatCode="_ [$€-2]\ * #,##0.00_ ;_ [$€-2]\ * \-#,##0.00_ ;_ [$€-2]\ * &quot;-&quot;??_ "/>
    <numFmt numFmtId="168" formatCode="0.0%"/>
    <numFmt numFmtId="169" formatCode="0.000%"/>
    <numFmt numFmtId="170" formatCode="[$USD]\ #,##0"/>
    <numFmt numFmtId="171" formatCode="_ &quot;$&quot;\ * #,##0.00000_ ;_ &quot;$&quot;\ * \-#,##0.00000_ ;_ &quot;$&quot;\ * &quot;-&quot;??_ ;_ @_ "/>
    <numFmt numFmtId="172" formatCode="_ * #,##0.0000_ ;_ * \-#,##0.0000_ ;_ * &quot;-&quot;??_ ;_ @_ "/>
    <numFmt numFmtId="173" formatCode="_(* #,##0_);_(* \(#,##0\);_(* &quot;-&quot;??_);_(@_)"/>
    <numFmt numFmtId="174" formatCode="dd\-mm\-yy;@"/>
    <numFmt numFmtId="175" formatCode="_ * #,##0.0000000_ ;_ * \-#,##0.0000000_ ;_ * &quot;-&quot;??_ ;_ @_ "/>
    <numFmt numFmtId="176" formatCode="_-* #,##0.00\ _P_t_a_-;\-* #,##0.00\ _P_t_a_-;_-* &quot;-&quot;??\ _P_t_a_-;_-@_-"/>
    <numFmt numFmtId="177" formatCode="_-* #,##0.00\ &quot;Pta&quot;_-;\-* #,##0.00\ &quot;Pta&quot;_-;_-* &quot;-&quot;??\ &quot;Pta&quot;_-;_-@_-"/>
  </numFmts>
  <fonts count="7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Verdana"/>
      <family val="2"/>
    </font>
    <font>
      <b/>
      <sz val="12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8"/>
      <color theme="3"/>
      <name val="Cambria"/>
      <family val="2"/>
      <scheme val="major"/>
    </font>
    <font>
      <b/>
      <sz val="30"/>
      <name val="Calibri Light"/>
      <family val="2"/>
    </font>
    <font>
      <sz val="30"/>
      <name val="Calibri Light"/>
      <family val="2"/>
    </font>
    <font>
      <b/>
      <sz val="35"/>
      <name val="Calibri Light"/>
      <family val="2"/>
    </font>
    <font>
      <sz val="35"/>
      <name val="Calibri Light"/>
      <family val="2"/>
    </font>
    <font>
      <b/>
      <sz val="35"/>
      <color theme="1"/>
      <name val="Calibri Light"/>
      <family val="2"/>
    </font>
    <font>
      <sz val="35"/>
      <color rgb="FFFF0000"/>
      <name val="Calibri Light"/>
      <family val="2"/>
    </font>
    <font>
      <sz val="35"/>
      <color theme="1"/>
      <name val="Calibri Light"/>
      <family val="2"/>
    </font>
    <font>
      <b/>
      <u val="singleAccounting"/>
      <sz val="35"/>
      <name val="Calibri Light"/>
      <family val="2"/>
    </font>
    <font>
      <b/>
      <sz val="30"/>
      <color rgb="FFFF0000"/>
      <name val="Calibri Light"/>
      <family val="2"/>
    </font>
    <font>
      <b/>
      <sz val="30"/>
      <color theme="1"/>
      <name val="Calibri Light"/>
      <family val="2"/>
    </font>
    <font>
      <b/>
      <sz val="30"/>
      <color rgb="FF00B050"/>
      <name val="Calibri Light"/>
      <family val="2"/>
    </font>
    <font>
      <sz val="30"/>
      <color rgb="FF00B050"/>
      <name val="Calibri Light"/>
      <family val="2"/>
    </font>
    <font>
      <b/>
      <sz val="30"/>
      <color theme="1" tint="0.14999847407452621"/>
      <name val="Calibri Light"/>
      <family val="2"/>
    </font>
    <font>
      <sz val="30"/>
      <color theme="1"/>
      <name val="Calibri Light"/>
      <family val="2"/>
    </font>
    <font>
      <b/>
      <u/>
      <sz val="36"/>
      <color rgb="FF00B050"/>
      <name val="Calibri Light"/>
      <family val="2"/>
    </font>
    <font>
      <sz val="11"/>
      <color rgb="FFFF0000"/>
      <name val="Verdana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strike/>
      <sz val="8"/>
      <color theme="1"/>
      <name val="Arial"/>
      <family val="2"/>
    </font>
    <font>
      <sz val="30"/>
      <color theme="1" tint="0.14999847407452621"/>
      <name val="Calibri Light"/>
      <family val="2"/>
    </font>
    <font>
      <b/>
      <sz val="26"/>
      <color theme="1" tint="0.14999847407452621"/>
      <name val="Calibri Light"/>
      <family val="2"/>
    </font>
    <font>
      <sz val="26"/>
      <name val="Calibri Light"/>
      <family val="2"/>
    </font>
    <font>
      <b/>
      <sz val="36"/>
      <name val="Calibri Light"/>
      <family val="2"/>
    </font>
    <font>
      <sz val="24"/>
      <name val="Calibri Light"/>
      <family val="2"/>
    </font>
    <font>
      <sz val="30"/>
      <color rgb="FFFF0000"/>
      <name val="Calibri Light"/>
      <family val="2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1"/>
      <color theme="10"/>
      <name val="Calibri"/>
      <family val="2"/>
      <scheme val="minor"/>
    </font>
    <font>
      <sz val="12"/>
      <name val="Calibri Light"/>
      <family val="2"/>
    </font>
    <font>
      <b/>
      <sz val="12"/>
      <name val="Calibri Light"/>
      <family val="2"/>
    </font>
    <font>
      <b/>
      <u/>
      <sz val="12"/>
      <name val="Calibr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 val="singleAccounting"/>
      <sz val="30"/>
      <name val="Calibri Light"/>
      <family val="2"/>
    </font>
    <font>
      <b/>
      <u/>
      <sz val="30"/>
      <color rgb="FF00B050"/>
      <name val="Calibri Light"/>
      <family val="2"/>
    </font>
    <font>
      <b/>
      <u/>
      <sz val="36"/>
      <color rgb="FFFF0000"/>
      <name val="Calibri Light"/>
      <family val="2"/>
    </font>
  </fonts>
  <fills count="6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9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medium">
        <color rgb="FFCCCCCC"/>
      </right>
      <top/>
      <bottom/>
      <diagonal/>
    </border>
    <border>
      <left style="thin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BBBBBB"/>
      </right>
      <top style="thin">
        <color rgb="FF000000"/>
      </top>
      <bottom style="thin">
        <color rgb="FF000000"/>
      </bottom>
      <diagonal/>
    </border>
    <border>
      <left style="medium">
        <color rgb="FFBBBBBB"/>
      </left>
      <right/>
      <top style="thin">
        <color rgb="FF000000"/>
      </top>
      <bottom style="medium">
        <color rgb="FFBBBBBB"/>
      </bottom>
      <diagonal/>
    </border>
    <border>
      <left/>
      <right/>
      <top style="thin">
        <color rgb="FF000000"/>
      </top>
      <bottom style="medium">
        <color rgb="FFBBBBBB"/>
      </bottom>
      <diagonal/>
    </border>
    <border>
      <left/>
      <right style="thin">
        <color rgb="FF000000"/>
      </right>
      <top style="thin">
        <color rgb="FF000000"/>
      </top>
      <bottom style="medium">
        <color rgb="FFBBBBBB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BBBBBB"/>
      </left>
      <right/>
      <top/>
      <bottom style="medium">
        <color rgb="FFBBBBBB"/>
      </bottom>
      <diagonal/>
    </border>
    <border>
      <left style="medium">
        <color rgb="FFBBBBBB"/>
      </left>
      <right style="thin">
        <color rgb="FF000000"/>
      </right>
      <top/>
      <bottom style="medium">
        <color rgb="FFBBBBBB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54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1" fillId="21" borderId="37" applyNumberFormat="0" applyAlignment="0" applyProtection="0"/>
    <xf numFmtId="0" fontId="12" fillId="22" borderId="38" applyNumberFormat="0" applyAlignment="0" applyProtection="0"/>
    <xf numFmtId="0" fontId="13" fillId="0" borderId="39" applyNumberFormat="0" applyFill="0" applyAlignment="0" applyProtection="0"/>
    <xf numFmtId="0" fontId="14" fillId="0" borderId="0" applyNumberFormat="0" applyFill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15" fillId="29" borderId="37" applyNumberFormat="0" applyAlignment="0" applyProtection="0"/>
    <xf numFmtId="167" fontId="5" fillId="0" borderId="0" applyFont="0" applyFill="0" applyBorder="0" applyAlignment="0" applyProtection="0"/>
    <xf numFmtId="0" fontId="16" fillId="30" borderId="0" applyNumberFormat="0" applyBorder="0" applyAlignment="0" applyProtection="0"/>
    <xf numFmtId="165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7" fillId="31" borderId="0" applyNumberFormat="0" applyBorder="0" applyAlignment="0" applyProtection="0"/>
    <xf numFmtId="0" fontId="8" fillId="0" borderId="0"/>
    <xf numFmtId="0" fontId="8" fillId="32" borderId="40" applyNumberFormat="0" applyFont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8" fillId="21" borderId="41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42" applyNumberFormat="0" applyFill="0" applyAlignment="0" applyProtection="0"/>
    <xf numFmtId="0" fontId="14" fillId="0" borderId="43" applyNumberFormat="0" applyFill="0" applyAlignment="0" applyProtection="0"/>
    <xf numFmtId="0" fontId="23" fillId="0" borderId="44" applyNumberFormat="0" applyFill="0" applyAlignment="0" applyProtection="0"/>
    <xf numFmtId="0" fontId="5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5" fillId="0" borderId="0"/>
    <xf numFmtId="0" fontId="4" fillId="32" borderId="40" applyNumberFormat="0" applyFont="0" applyAlignment="0" applyProtection="0"/>
    <xf numFmtId="9" fontId="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52" fillId="0" borderId="77" applyNumberFormat="0" applyFill="0" applyAlignment="0" applyProtection="0"/>
    <xf numFmtId="0" fontId="3" fillId="0" borderId="0"/>
    <xf numFmtId="0" fontId="53" fillId="42" borderId="0" applyNumberFormat="0" applyBorder="0" applyAlignment="0" applyProtection="0"/>
    <xf numFmtId="0" fontId="53" fillId="42" borderId="0" applyNumberFormat="0" applyBorder="0" applyAlignment="0" applyProtection="0"/>
    <xf numFmtId="0" fontId="53" fillId="43" borderId="0" applyNumberFormat="0" applyBorder="0" applyAlignment="0" applyProtection="0"/>
    <xf numFmtId="0" fontId="53" fillId="43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5" borderId="0" applyNumberFormat="0" applyBorder="0" applyAlignment="0" applyProtection="0"/>
    <xf numFmtId="0" fontId="53" fillId="45" borderId="0" applyNumberFormat="0" applyBorder="0" applyAlignment="0" applyProtection="0"/>
    <xf numFmtId="0" fontId="53" fillId="46" borderId="0" applyNumberFormat="0" applyBorder="0" applyAlignment="0" applyProtection="0"/>
    <xf numFmtId="0" fontId="53" fillId="46" borderId="0" applyNumberFormat="0" applyBorder="0" applyAlignment="0" applyProtection="0"/>
    <xf numFmtId="0" fontId="53" fillId="47" borderId="0" applyNumberFormat="0" applyBorder="0" applyAlignment="0" applyProtection="0"/>
    <xf numFmtId="0" fontId="53" fillId="4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49" borderId="0" applyNumberFormat="0" applyBorder="0" applyAlignment="0" applyProtection="0"/>
    <xf numFmtId="0" fontId="53" fillId="49" borderId="0" applyNumberFormat="0" applyBorder="0" applyAlignment="0" applyProtection="0"/>
    <xf numFmtId="0" fontId="53" fillId="50" borderId="0" applyNumberFormat="0" applyBorder="0" applyAlignment="0" applyProtection="0"/>
    <xf numFmtId="0" fontId="53" fillId="50" borderId="0" applyNumberFormat="0" applyBorder="0" applyAlignment="0" applyProtection="0"/>
    <xf numFmtId="0" fontId="53" fillId="45" borderId="0" applyNumberFormat="0" applyBorder="0" applyAlignment="0" applyProtection="0"/>
    <xf numFmtId="0" fontId="53" fillId="45" borderId="0" applyNumberFormat="0" applyBorder="0" applyAlignment="0" applyProtection="0"/>
    <xf numFmtId="0" fontId="53" fillId="48" borderId="0" applyNumberFormat="0" applyBorder="0" applyAlignment="0" applyProtection="0"/>
    <xf numFmtId="0" fontId="53" fillId="48" borderId="0" applyNumberFormat="0" applyBorder="0" applyAlignment="0" applyProtection="0"/>
    <xf numFmtId="0" fontId="53" fillId="51" borderId="0" applyNumberFormat="0" applyBorder="0" applyAlignment="0" applyProtection="0"/>
    <xf numFmtId="0" fontId="53" fillId="5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54" fillId="52" borderId="0" applyNumberFormat="0" applyBorder="0" applyAlignment="0" applyProtection="0"/>
    <xf numFmtId="0" fontId="54" fillId="49" borderId="0" applyNumberFormat="0" applyBorder="0" applyAlignment="0" applyProtection="0"/>
    <xf numFmtId="0" fontId="54" fillId="50" borderId="0" applyNumberFormat="0" applyBorder="0" applyAlignment="0" applyProtection="0"/>
    <xf numFmtId="0" fontId="54" fillId="53" borderId="0" applyNumberFormat="0" applyBorder="0" applyAlignment="0" applyProtection="0"/>
    <xf numFmtId="0" fontId="54" fillId="54" borderId="0" applyNumberFormat="0" applyBorder="0" applyAlignment="0" applyProtection="0"/>
    <xf numFmtId="0" fontId="54" fillId="55" borderId="0" applyNumberFormat="0" applyBorder="0" applyAlignment="0" applyProtection="0"/>
    <xf numFmtId="0" fontId="54" fillId="56" borderId="0" applyNumberFormat="0" applyBorder="0" applyAlignment="0" applyProtection="0"/>
    <xf numFmtId="0" fontId="54" fillId="57" borderId="0" applyNumberFormat="0" applyBorder="0" applyAlignment="0" applyProtection="0"/>
    <xf numFmtId="0" fontId="54" fillId="58" borderId="0" applyNumberFormat="0" applyBorder="0" applyAlignment="0" applyProtection="0"/>
    <xf numFmtId="0" fontId="54" fillId="53" borderId="0" applyNumberFormat="0" applyBorder="0" applyAlignment="0" applyProtection="0"/>
    <xf numFmtId="0" fontId="54" fillId="54" borderId="0" applyNumberFormat="0" applyBorder="0" applyAlignment="0" applyProtection="0"/>
    <xf numFmtId="0" fontId="54" fillId="59" borderId="0" applyNumberFormat="0" applyBorder="0" applyAlignment="0" applyProtection="0"/>
    <xf numFmtId="0" fontId="60" fillId="43" borderId="0" applyNumberFormat="0" applyBorder="0" applyAlignment="0" applyProtection="0"/>
    <xf numFmtId="0" fontId="56" fillId="60" borderId="78" applyNumberFormat="0" applyAlignment="0" applyProtection="0"/>
    <xf numFmtId="0" fontId="57" fillId="61" borderId="79" applyNumberFormat="0" applyAlignment="0" applyProtection="0"/>
    <xf numFmtId="0" fontId="64" fillId="0" borderId="0" applyNumberFormat="0" applyFill="0" applyBorder="0" applyAlignment="0" applyProtection="0"/>
    <xf numFmtId="0" fontId="55" fillId="44" borderId="0" applyNumberFormat="0" applyBorder="0" applyAlignment="0" applyProtection="0"/>
    <xf numFmtId="0" fontId="68" fillId="0" borderId="81" applyNumberFormat="0" applyFill="0" applyAlignment="0" applyProtection="0"/>
    <xf numFmtId="0" fontId="69" fillId="0" borderId="82" applyNumberFormat="0" applyFill="0" applyAlignment="0" applyProtection="0"/>
    <xf numFmtId="0" fontId="66" fillId="0" borderId="83" applyNumberFormat="0" applyFill="0" applyAlignment="0" applyProtection="0"/>
    <xf numFmtId="0" fontId="66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59" fillId="47" borderId="78" applyNumberFormat="0" applyAlignment="0" applyProtection="0"/>
    <xf numFmtId="0" fontId="58" fillId="0" borderId="80" applyNumberFormat="0" applyFill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61" fillId="62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3" fillId="32" borderId="40" applyNumberFormat="0" applyFont="0" applyAlignment="0" applyProtection="0"/>
    <xf numFmtId="0" fontId="53" fillId="63" borderId="84" applyNumberFormat="0" applyFont="0" applyAlignment="0" applyProtection="0"/>
    <xf numFmtId="0" fontId="53" fillId="63" borderId="84" applyNumberFormat="0" applyFont="0" applyAlignment="0" applyProtection="0"/>
    <xf numFmtId="0" fontId="62" fillId="60" borderId="85" applyNumberFormat="0" applyAlignment="0" applyProtection="0"/>
    <xf numFmtId="9" fontId="3" fillId="0" borderId="0" applyFont="0" applyFill="0" applyBorder="0" applyAlignment="0" applyProtection="0"/>
    <xf numFmtId="0" fontId="67" fillId="0" borderId="0" applyNumberFormat="0" applyFill="0" applyBorder="0" applyAlignment="0" applyProtection="0"/>
    <xf numFmtId="0" fontId="65" fillId="0" borderId="86" applyNumberFormat="0" applyFill="0" applyAlignment="0" applyProtection="0"/>
    <xf numFmtId="0" fontId="63" fillId="0" borderId="0" applyNumberFormat="0" applyFill="0" applyBorder="0" applyAlignment="0" applyProtection="0"/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" fillId="0" borderId="0"/>
    <xf numFmtId="0" fontId="1" fillId="0" borderId="0"/>
  </cellStyleXfs>
  <cellXfs count="564">
    <xf numFmtId="0" fontId="0" fillId="0" borderId="0" xfId="0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166" fontId="6" fillId="0" borderId="0" xfId="33" applyNumberFormat="1" applyFont="1" applyBorder="1"/>
    <xf numFmtId="0" fontId="7" fillId="0" borderId="0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1" xfId="0" applyFont="1" applyBorder="1"/>
    <xf numFmtId="0" fontId="6" fillId="0" borderId="12" xfId="0" applyFont="1" applyBorder="1"/>
    <xf numFmtId="0" fontId="6" fillId="0" borderId="14" xfId="0" applyFont="1" applyBorder="1"/>
    <xf numFmtId="0" fontId="6" fillId="0" borderId="15" xfId="0" applyFont="1" applyBorder="1"/>
    <xf numFmtId="166" fontId="6" fillId="0" borderId="11" xfId="0" applyNumberFormat="1" applyFont="1" applyBorder="1"/>
    <xf numFmtId="168" fontId="6" fillId="0" borderId="8" xfId="40" applyNumberFormat="1" applyFont="1" applyBorder="1"/>
    <xf numFmtId="0" fontId="24" fillId="35" borderId="18" xfId="0" applyFont="1" applyFill="1" applyBorder="1" applyAlignment="1">
      <alignment horizontal="center" vertical="center"/>
    </xf>
    <xf numFmtId="168" fontId="6" fillId="0" borderId="19" xfId="40" applyNumberFormat="1" applyFont="1" applyBorder="1"/>
    <xf numFmtId="10" fontId="6" fillId="0" borderId="11" xfId="40" applyNumberFormat="1" applyFont="1" applyBorder="1"/>
    <xf numFmtId="10" fontId="6" fillId="0" borderId="12" xfId="40" applyNumberFormat="1" applyFont="1" applyBorder="1"/>
    <xf numFmtId="0" fontId="6" fillId="0" borderId="19" xfId="0" applyFont="1" applyBorder="1"/>
    <xf numFmtId="166" fontId="6" fillId="0" borderId="19" xfId="0" applyNumberFormat="1" applyFont="1" applyBorder="1"/>
    <xf numFmtId="166" fontId="6" fillId="0" borderId="12" xfId="0" applyNumberFormat="1" applyFont="1" applyBorder="1"/>
    <xf numFmtId="0" fontId="24" fillId="35" borderId="20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0" fontId="27" fillId="0" borderId="0" xfId="0" applyFont="1" applyAlignment="1">
      <alignment vertical="center"/>
    </xf>
    <xf numFmtId="166" fontId="27" fillId="33" borderId="0" xfId="33" applyNumberFormat="1" applyFont="1" applyFill="1" applyAlignment="1">
      <alignment horizontal="center" vertical="center"/>
    </xf>
    <xf numFmtId="0" fontId="27" fillId="33" borderId="0" xfId="0" applyFont="1" applyFill="1" applyAlignment="1">
      <alignment horizontal="center" vertical="center"/>
    </xf>
    <xf numFmtId="166" fontId="27" fillId="0" borderId="0" xfId="0" applyNumberFormat="1" applyFont="1" applyAlignment="1">
      <alignment vertical="center"/>
    </xf>
    <xf numFmtId="10" fontId="27" fillId="33" borderId="0" xfId="40" applyNumberFormat="1" applyFont="1" applyFill="1" applyBorder="1" applyAlignment="1">
      <alignment horizontal="center" vertical="center"/>
    </xf>
    <xf numFmtId="43" fontId="27" fillId="0" borderId="0" xfId="0" applyNumberFormat="1" applyFont="1" applyAlignment="1">
      <alignment vertical="center"/>
    </xf>
    <xf numFmtId="10" fontId="27" fillId="33" borderId="0" xfId="0" applyNumberFormat="1" applyFont="1" applyFill="1" applyAlignment="1">
      <alignment horizontal="center" vertical="center"/>
    </xf>
    <xf numFmtId="165" fontId="27" fillId="0" borderId="0" xfId="33" applyFont="1" applyAlignment="1">
      <alignment vertical="center"/>
    </xf>
    <xf numFmtId="0" fontId="26" fillId="0" borderId="0" xfId="0" applyFont="1" applyAlignment="1">
      <alignment vertical="center"/>
    </xf>
    <xf numFmtId="10" fontId="27" fillId="0" borderId="0" xfId="40" applyNumberFormat="1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center"/>
    </xf>
    <xf numFmtId="166" fontId="29" fillId="33" borderId="0" xfId="33" applyNumberFormat="1" applyFont="1" applyFill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166" fontId="29" fillId="0" borderId="0" xfId="0" applyNumberFormat="1" applyFont="1" applyAlignment="1">
      <alignment vertical="center"/>
    </xf>
    <xf numFmtId="0" fontId="28" fillId="33" borderId="0" xfId="0" applyFont="1" applyFill="1" applyBorder="1" applyAlignment="1">
      <alignment horizontal="center" vertical="center"/>
    </xf>
    <xf numFmtId="0" fontId="30" fillId="34" borderId="3" xfId="0" applyFont="1" applyFill="1" applyBorder="1" applyAlignment="1">
      <alignment horizontal="center" vertical="center"/>
    </xf>
    <xf numFmtId="166" fontId="29" fillId="0" borderId="10" xfId="33" applyNumberFormat="1" applyFont="1" applyFill="1" applyBorder="1" applyAlignment="1">
      <alignment horizontal="center" vertical="center"/>
    </xf>
    <xf numFmtId="0" fontId="29" fillId="0" borderId="0" xfId="0" applyFont="1" applyFill="1" applyAlignment="1">
      <alignment vertical="center"/>
    </xf>
    <xf numFmtId="166" fontId="29" fillId="0" borderId="11" xfId="33" applyNumberFormat="1" applyFont="1" applyFill="1" applyBorder="1" applyAlignment="1">
      <alignment horizontal="center" vertical="center"/>
    </xf>
    <xf numFmtId="10" fontId="29" fillId="33" borderId="11" xfId="40" applyNumberFormat="1" applyFont="1" applyFill="1" applyBorder="1" applyAlignment="1">
      <alignment horizontal="center" vertical="center"/>
    </xf>
    <xf numFmtId="166" fontId="29" fillId="0" borderId="12" xfId="33" applyNumberFormat="1" applyFont="1" applyFill="1" applyBorder="1" applyAlignment="1">
      <alignment horizontal="center" vertical="center"/>
    </xf>
    <xf numFmtId="166" fontId="28" fillId="0" borderId="27" xfId="33" applyNumberFormat="1" applyFont="1" applyFill="1" applyBorder="1" applyAlignment="1">
      <alignment horizontal="center" vertical="center"/>
    </xf>
    <xf numFmtId="10" fontId="28" fillId="33" borderId="27" xfId="40" applyNumberFormat="1" applyFont="1" applyFill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9" fillId="0" borderId="13" xfId="0" applyFont="1" applyBorder="1" applyAlignment="1">
      <alignment vertical="center"/>
    </xf>
    <xf numFmtId="0" fontId="29" fillId="0" borderId="10" xfId="0" applyFont="1" applyBorder="1" applyAlignment="1">
      <alignment horizontal="center" vertical="center"/>
    </xf>
    <xf numFmtId="0" fontId="29" fillId="0" borderId="14" xfId="0" applyFont="1" applyBorder="1" applyAlignment="1">
      <alignment vertical="center"/>
    </xf>
    <xf numFmtId="0" fontId="29" fillId="0" borderId="11" xfId="0" applyFont="1" applyBorder="1" applyAlignment="1">
      <alignment horizontal="center" vertical="center"/>
    </xf>
    <xf numFmtId="0" fontId="29" fillId="0" borderId="15" xfId="0" applyFont="1" applyBorder="1" applyAlignment="1">
      <alignment vertical="center"/>
    </xf>
    <xf numFmtId="0" fontId="29" fillId="0" borderId="12" xfId="0" applyFont="1" applyBorder="1" applyAlignment="1">
      <alignment horizontal="center" vertical="center"/>
    </xf>
    <xf numFmtId="43" fontId="29" fillId="0" borderId="0" xfId="0" applyNumberFormat="1" applyFont="1" applyAlignment="1">
      <alignment vertical="center"/>
    </xf>
    <xf numFmtId="14" fontId="28" fillId="0" borderId="0" xfId="0" applyNumberFormat="1" applyFont="1" applyAlignment="1">
      <alignment vertical="center"/>
    </xf>
    <xf numFmtId="14" fontId="28" fillId="0" borderId="0" xfId="0" applyNumberFormat="1" applyFont="1" applyAlignment="1">
      <alignment horizontal="right" vertical="center"/>
    </xf>
    <xf numFmtId="166" fontId="29" fillId="0" borderId="0" xfId="0" applyNumberFormat="1" applyFont="1" applyBorder="1" applyAlignment="1">
      <alignment horizontal="center" vertical="center"/>
    </xf>
    <xf numFmtId="165" fontId="28" fillId="0" borderId="0" xfId="33" applyFont="1" applyAlignment="1">
      <alignment vertical="center"/>
    </xf>
    <xf numFmtId="10" fontId="29" fillId="33" borderId="0" xfId="40" applyNumberFormat="1" applyFont="1" applyFill="1" applyBorder="1" applyAlignment="1">
      <alignment horizontal="center" vertical="center"/>
    </xf>
    <xf numFmtId="166" fontId="29" fillId="0" borderId="23" xfId="33" applyNumberFormat="1" applyFont="1" applyFill="1" applyBorder="1" applyAlignment="1">
      <alignment horizontal="center" vertical="center"/>
    </xf>
    <xf numFmtId="0" fontId="30" fillId="34" borderId="5" xfId="0" applyFont="1" applyFill="1" applyBorder="1" applyAlignment="1">
      <alignment horizontal="center" vertical="center"/>
    </xf>
    <xf numFmtId="165" fontId="29" fillId="0" borderId="0" xfId="33" applyFont="1" applyAlignment="1">
      <alignment vertical="center"/>
    </xf>
    <xf numFmtId="165" fontId="29" fillId="0" borderId="0" xfId="33" applyFont="1" applyAlignment="1">
      <alignment horizontal="center" vertical="center"/>
    </xf>
    <xf numFmtId="0" fontId="28" fillId="34" borderId="5" xfId="0" applyFont="1" applyFill="1" applyBorder="1" applyAlignment="1">
      <alignment horizontal="center" vertical="center"/>
    </xf>
    <xf numFmtId="0" fontId="29" fillId="0" borderId="16" xfId="0" applyFont="1" applyFill="1" applyBorder="1" applyAlignment="1">
      <alignment horizontal="center" vertical="center"/>
    </xf>
    <xf numFmtId="170" fontId="29" fillId="0" borderId="10" xfId="33" applyNumberFormat="1" applyFont="1" applyFill="1" applyBorder="1" applyAlignment="1">
      <alignment horizontal="right" vertical="center"/>
    </xf>
    <xf numFmtId="170" fontId="29" fillId="33" borderId="10" xfId="33" applyNumberFormat="1" applyFont="1" applyFill="1" applyBorder="1" applyAlignment="1">
      <alignment horizontal="right" vertical="center"/>
    </xf>
    <xf numFmtId="0" fontId="29" fillId="0" borderId="8" xfId="0" applyFont="1" applyBorder="1" applyAlignment="1">
      <alignment horizontal="center" vertical="center"/>
    </xf>
    <xf numFmtId="166" fontId="29" fillId="33" borderId="11" xfId="40" applyNumberFormat="1" applyFont="1" applyFill="1" applyBorder="1" applyAlignment="1">
      <alignment horizontal="center" vertical="center"/>
    </xf>
    <xf numFmtId="166" fontId="29" fillId="0" borderId="11" xfId="33" applyNumberFormat="1" applyFont="1" applyFill="1" applyBorder="1" applyAlignment="1">
      <alignment vertical="center"/>
    </xf>
    <xf numFmtId="171" fontId="32" fillId="33" borderId="8" xfId="35" applyNumberFormat="1" applyFont="1" applyFill="1" applyBorder="1" applyAlignment="1">
      <alignment horizontal="left" vertical="center"/>
    </xf>
    <xf numFmtId="165" fontId="31" fillId="0" borderId="0" xfId="33" applyFont="1" applyAlignment="1">
      <alignment horizontal="center" vertical="center"/>
    </xf>
    <xf numFmtId="0" fontId="29" fillId="0" borderId="14" xfId="0" applyFont="1" applyFill="1" applyBorder="1" applyAlignment="1">
      <alignment vertical="center"/>
    </xf>
    <xf numFmtId="0" fontId="29" fillId="0" borderId="11" xfId="0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/>
    </xf>
    <xf numFmtId="165" fontId="31" fillId="0" borderId="0" xfId="33" applyFont="1" applyFill="1" applyAlignment="1">
      <alignment horizontal="center" vertical="center"/>
    </xf>
    <xf numFmtId="165" fontId="29" fillId="0" borderId="0" xfId="33" applyFont="1" applyFill="1" applyAlignment="1">
      <alignment vertical="center"/>
    </xf>
    <xf numFmtId="0" fontId="29" fillId="0" borderId="28" xfId="0" applyFont="1" applyBorder="1" applyAlignment="1">
      <alignment vertical="center"/>
    </xf>
    <xf numFmtId="0" fontId="29" fillId="0" borderId="23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10" fontId="29" fillId="33" borderId="12" xfId="40" applyNumberFormat="1" applyFont="1" applyFill="1" applyBorder="1" applyAlignment="1">
      <alignment horizontal="center" vertical="center"/>
    </xf>
    <xf numFmtId="166" fontId="29" fillId="0" borderId="12" xfId="33" applyNumberFormat="1" applyFont="1" applyFill="1" applyBorder="1" applyAlignment="1">
      <alignment horizontal="right" vertical="center"/>
    </xf>
    <xf numFmtId="0" fontId="31" fillId="0" borderId="0" xfId="0" applyFont="1" applyAlignment="1">
      <alignment vertical="center"/>
    </xf>
    <xf numFmtId="166" fontId="29" fillId="33" borderId="12" xfId="33" applyNumberFormat="1" applyFont="1" applyFill="1" applyBorder="1" applyAlignment="1">
      <alignment horizontal="right" vertical="center"/>
    </xf>
    <xf numFmtId="166" fontId="28" fillId="33" borderId="27" xfId="40" applyNumberFormat="1" applyFont="1" applyFill="1" applyBorder="1" applyAlignment="1">
      <alignment horizontal="center" vertical="center"/>
    </xf>
    <xf numFmtId="166" fontId="28" fillId="0" borderId="27" xfId="33" applyNumberFormat="1" applyFont="1" applyBorder="1" applyAlignment="1">
      <alignment vertical="center"/>
    </xf>
    <xf numFmtId="0" fontId="28" fillId="0" borderId="26" xfId="0" applyFont="1" applyBorder="1" applyAlignment="1">
      <alignment vertical="center"/>
    </xf>
    <xf numFmtId="165" fontId="28" fillId="0" borderId="0" xfId="33" applyFont="1" applyAlignment="1">
      <alignment horizontal="center" vertical="center"/>
    </xf>
    <xf numFmtId="0" fontId="28" fillId="0" borderId="0" xfId="0" applyFont="1" applyBorder="1" applyAlignment="1">
      <alignment vertical="center"/>
    </xf>
    <xf numFmtId="166" fontId="33" fillId="33" borderId="0" xfId="40" applyNumberFormat="1" applyFont="1" applyFill="1" applyBorder="1" applyAlignment="1">
      <alignment horizontal="center" vertical="center"/>
    </xf>
    <xf numFmtId="165" fontId="29" fillId="0" borderId="0" xfId="33" applyFont="1" applyFill="1" applyAlignment="1">
      <alignment horizontal="center" vertical="center"/>
    </xf>
    <xf numFmtId="166" fontId="29" fillId="0" borderId="0" xfId="0" applyNumberFormat="1" applyFont="1" applyFill="1" applyAlignment="1">
      <alignment vertical="center"/>
    </xf>
    <xf numFmtId="0" fontId="28" fillId="0" borderId="0" xfId="0" applyFont="1" applyFill="1" applyAlignment="1">
      <alignment horizontal="right" vertical="center"/>
    </xf>
    <xf numFmtId="166" fontId="29" fillId="0" borderId="0" xfId="0" applyNumberFormat="1" applyFont="1" applyAlignment="1">
      <alignment horizontal="center" vertical="center"/>
    </xf>
    <xf numFmtId="166" fontId="29" fillId="0" borderId="0" xfId="33" applyNumberFormat="1" applyFont="1" applyFill="1" applyAlignment="1">
      <alignment horizontal="left" vertical="top"/>
    </xf>
    <xf numFmtId="165" fontId="29" fillId="0" borderId="0" xfId="33" applyFont="1" applyFill="1" applyAlignment="1">
      <alignment horizontal="left" vertical="center"/>
    </xf>
    <xf numFmtId="164" fontId="31" fillId="0" borderId="0" xfId="35" applyFont="1" applyAlignment="1">
      <alignment vertical="center"/>
    </xf>
    <xf numFmtId="166" fontId="28" fillId="0" borderId="0" xfId="0" applyNumberFormat="1" applyFont="1" applyFill="1" applyAlignment="1">
      <alignment horizontal="right" vertical="center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35" fillId="34" borderId="3" xfId="0" applyFont="1" applyFill="1" applyBorder="1" applyAlignment="1">
      <alignment horizontal="center" vertical="center"/>
    </xf>
    <xf numFmtId="166" fontId="27" fillId="0" borderId="10" xfId="33" applyNumberFormat="1" applyFont="1" applyFill="1" applyBorder="1" applyAlignment="1">
      <alignment horizontal="center" vertical="center"/>
    </xf>
    <xf numFmtId="0" fontId="27" fillId="0" borderId="0" xfId="0" applyFont="1" applyFill="1" applyAlignment="1">
      <alignment vertical="center"/>
    </xf>
    <xf numFmtId="166" fontId="27" fillId="0" borderId="11" xfId="33" applyNumberFormat="1" applyFont="1" applyFill="1" applyBorder="1" applyAlignment="1">
      <alignment horizontal="center" vertical="center"/>
    </xf>
    <xf numFmtId="3" fontId="26" fillId="0" borderId="49" xfId="33" applyNumberFormat="1" applyFont="1" applyFill="1" applyBorder="1" applyAlignment="1">
      <alignment horizontal="center" vertical="center"/>
    </xf>
    <xf numFmtId="3" fontId="27" fillId="0" borderId="8" xfId="0" applyNumberFormat="1" applyFont="1" applyFill="1" applyBorder="1" applyAlignment="1">
      <alignment horizontal="center" vertical="center"/>
    </xf>
    <xf numFmtId="3" fontId="27" fillId="0" borderId="49" xfId="33" applyNumberFormat="1" applyFont="1" applyFill="1" applyBorder="1" applyAlignment="1">
      <alignment horizontal="center" vertical="center"/>
    </xf>
    <xf numFmtId="166" fontId="27" fillId="0" borderId="12" xfId="33" applyNumberFormat="1" applyFont="1" applyFill="1" applyBorder="1" applyAlignment="1">
      <alignment horizontal="center" vertical="center"/>
    </xf>
    <xf numFmtId="3" fontId="27" fillId="0" borderId="50" xfId="33" applyNumberFormat="1" applyFont="1" applyFill="1" applyBorder="1" applyAlignment="1">
      <alignment horizontal="center" vertical="center"/>
    </xf>
    <xf numFmtId="166" fontId="26" fillId="0" borderId="18" xfId="33" applyNumberFormat="1" applyFont="1" applyFill="1" applyBorder="1" applyAlignment="1">
      <alignment horizontal="center" vertical="center"/>
    </xf>
    <xf numFmtId="166" fontId="26" fillId="0" borderId="27" xfId="33" applyNumberFormat="1" applyFont="1" applyFill="1" applyBorder="1" applyAlignment="1">
      <alignment horizontal="center" vertical="center"/>
    </xf>
    <xf numFmtId="166" fontId="27" fillId="0" borderId="13" xfId="33" applyNumberFormat="1" applyFont="1" applyFill="1" applyBorder="1" applyAlignment="1">
      <alignment horizontal="center" vertical="center"/>
    </xf>
    <xf numFmtId="3" fontId="27" fillId="0" borderId="11" xfId="33" applyNumberFormat="1" applyFont="1" applyFill="1" applyBorder="1" applyAlignment="1">
      <alignment horizontal="center" vertical="center"/>
    </xf>
    <xf numFmtId="166" fontId="27" fillId="0" borderId="14" xfId="33" applyNumberFormat="1" applyFont="1" applyFill="1" applyBorder="1" applyAlignment="1">
      <alignment horizontal="center" vertical="center"/>
    </xf>
    <xf numFmtId="3" fontId="27" fillId="0" borderId="12" xfId="33" applyNumberFormat="1" applyFont="1" applyFill="1" applyBorder="1" applyAlignment="1">
      <alignment horizontal="center" vertical="center"/>
    </xf>
    <xf numFmtId="166" fontId="27" fillId="0" borderId="15" xfId="33" applyNumberFormat="1" applyFont="1" applyFill="1" applyBorder="1" applyAlignment="1">
      <alignment horizontal="center" vertical="center"/>
    </xf>
    <xf numFmtId="3" fontId="26" fillId="0" borderId="45" xfId="33" applyNumberFormat="1" applyFont="1" applyFill="1" applyBorder="1" applyAlignment="1">
      <alignment horizontal="center" vertical="center"/>
    </xf>
    <xf numFmtId="166" fontId="26" fillId="0" borderId="25" xfId="33" applyNumberFormat="1" applyFont="1" applyFill="1" applyBorder="1" applyAlignment="1">
      <alignment horizontal="center" vertical="center"/>
    </xf>
    <xf numFmtId="10" fontId="27" fillId="33" borderId="27" xfId="0" applyNumberFormat="1" applyFont="1" applyFill="1" applyBorder="1" applyAlignment="1">
      <alignment horizontal="center" vertical="center"/>
    </xf>
    <xf numFmtId="10" fontId="26" fillId="0" borderId="0" xfId="0" applyNumberFormat="1" applyFont="1" applyFill="1" applyAlignment="1">
      <alignment vertical="center"/>
    </xf>
    <xf numFmtId="10" fontId="27" fillId="0" borderId="27" xfId="0" applyNumberFormat="1" applyFont="1" applyFill="1" applyBorder="1" applyAlignment="1">
      <alignment horizontal="center" vertical="center"/>
    </xf>
    <xf numFmtId="0" fontId="26" fillId="0" borderId="0" xfId="0" applyFont="1" applyFill="1" applyAlignment="1">
      <alignment vertical="center"/>
    </xf>
    <xf numFmtId="166" fontId="26" fillId="35" borderId="18" xfId="33" applyNumberFormat="1" applyFont="1" applyFill="1" applyBorder="1" applyAlignment="1">
      <alignment horizontal="center" vertical="center"/>
    </xf>
    <xf numFmtId="0" fontId="27" fillId="0" borderId="18" xfId="0" applyFont="1" applyBorder="1" applyAlignment="1">
      <alignment vertical="center"/>
    </xf>
    <xf numFmtId="14" fontId="26" fillId="0" borderId="0" xfId="0" applyNumberFormat="1" applyFont="1" applyAlignment="1">
      <alignment vertical="center"/>
    </xf>
    <xf numFmtId="14" fontId="26" fillId="0" borderId="0" xfId="0" applyNumberFormat="1" applyFont="1" applyAlignment="1">
      <alignment horizontal="right" vertical="center"/>
    </xf>
    <xf numFmtId="166" fontId="26" fillId="0" borderId="0" xfId="0" applyNumberFormat="1" applyFont="1" applyBorder="1" applyAlignment="1">
      <alignment vertical="center"/>
    </xf>
    <xf numFmtId="166" fontId="27" fillId="0" borderId="0" xfId="0" applyNumberFormat="1" applyFont="1" applyBorder="1" applyAlignment="1">
      <alignment horizontal="center" vertical="center"/>
    </xf>
    <xf numFmtId="166" fontId="27" fillId="33" borderId="0" xfId="40" applyNumberFormat="1" applyFont="1" applyFill="1" applyBorder="1" applyAlignment="1">
      <alignment horizontal="center" vertical="center"/>
    </xf>
    <xf numFmtId="3" fontId="26" fillId="0" borderId="0" xfId="33" applyNumberFormat="1" applyFont="1" applyFill="1" applyBorder="1" applyAlignment="1">
      <alignment horizontal="center" vertical="center"/>
    </xf>
    <xf numFmtId="165" fontId="26" fillId="0" borderId="0" xfId="33" applyFont="1" applyAlignment="1">
      <alignment vertical="center"/>
    </xf>
    <xf numFmtId="9" fontId="27" fillId="0" borderId="0" xfId="40" applyFont="1" applyAlignment="1">
      <alignment vertical="center"/>
    </xf>
    <xf numFmtId="165" fontId="27" fillId="33" borderId="0" xfId="0" applyNumberFormat="1" applyFont="1" applyFill="1" applyAlignment="1">
      <alignment horizontal="center" vertical="center"/>
    </xf>
    <xf numFmtId="166" fontId="26" fillId="35" borderId="27" xfId="33" applyNumberFormat="1" applyFont="1" applyFill="1" applyBorder="1" applyAlignment="1">
      <alignment horizontal="center" vertical="center"/>
    </xf>
    <xf numFmtId="10" fontId="26" fillId="0" borderId="0" xfId="40" applyNumberFormat="1" applyFont="1" applyAlignment="1">
      <alignment horizontal="center" vertical="center"/>
    </xf>
    <xf numFmtId="172" fontId="27" fillId="0" borderId="0" xfId="0" applyNumberFormat="1" applyFont="1" applyAlignment="1">
      <alignment vertical="center"/>
    </xf>
    <xf numFmtId="0" fontId="26" fillId="0" borderId="0" xfId="0" applyFont="1" applyBorder="1" applyAlignment="1">
      <alignment horizontal="right" vertical="center"/>
    </xf>
    <xf numFmtId="14" fontId="26" fillId="33" borderId="0" xfId="0" applyNumberFormat="1" applyFont="1" applyFill="1" applyBorder="1" applyAlignment="1">
      <alignment horizontal="center" vertical="center"/>
    </xf>
    <xf numFmtId="0" fontId="35" fillId="34" borderId="4" xfId="0" applyFont="1" applyFill="1" applyBorder="1" applyAlignment="1">
      <alignment horizontal="center" vertical="center"/>
    </xf>
    <xf numFmtId="0" fontId="35" fillId="34" borderId="5" xfId="0" applyFont="1" applyFill="1" applyBorder="1" applyAlignment="1">
      <alignment horizontal="center" vertical="center"/>
    </xf>
    <xf numFmtId="166" fontId="27" fillId="0" borderId="6" xfId="33" applyNumberFormat="1" applyFont="1" applyFill="1" applyBorder="1" applyAlignment="1">
      <alignment vertical="center"/>
    </xf>
    <xf numFmtId="3" fontId="27" fillId="0" borderId="6" xfId="33" applyNumberFormat="1" applyFont="1" applyFill="1" applyBorder="1" applyAlignment="1">
      <alignment vertical="center"/>
    </xf>
    <xf numFmtId="166" fontId="27" fillId="0" borderId="48" xfId="33" applyNumberFormat="1" applyFont="1" applyFill="1" applyBorder="1" applyAlignment="1">
      <alignment vertical="center"/>
    </xf>
    <xf numFmtId="3" fontId="27" fillId="0" borderId="48" xfId="33" applyNumberFormat="1" applyFont="1" applyFill="1" applyBorder="1" applyAlignment="1">
      <alignment vertical="center"/>
    </xf>
    <xf numFmtId="3" fontId="27" fillId="0" borderId="0" xfId="0" applyNumberFormat="1" applyFont="1" applyAlignment="1">
      <alignment horizontal="center" vertical="center"/>
    </xf>
    <xf numFmtId="10" fontId="27" fillId="0" borderId="6" xfId="40" applyNumberFormat="1" applyFont="1" applyFill="1" applyBorder="1" applyAlignment="1">
      <alignment horizontal="right" vertical="center"/>
    </xf>
    <xf numFmtId="10" fontId="27" fillId="0" borderId="6" xfId="40" applyNumberFormat="1" applyFont="1" applyBorder="1" applyAlignment="1">
      <alignment horizontal="center" vertical="center"/>
    </xf>
    <xf numFmtId="0" fontId="27" fillId="33" borderId="6" xfId="0" applyFont="1" applyFill="1" applyBorder="1" applyAlignment="1">
      <alignment horizontal="center" vertical="center"/>
    </xf>
    <xf numFmtId="169" fontId="26" fillId="35" borderId="27" xfId="40" applyNumberFormat="1" applyFont="1" applyFill="1" applyBorder="1" applyAlignment="1">
      <alignment horizontal="center" vertical="center"/>
    </xf>
    <xf numFmtId="171" fontId="32" fillId="33" borderId="17" xfId="35" applyNumberFormat="1" applyFont="1" applyFill="1" applyBorder="1" applyAlignment="1">
      <alignment horizontal="left" vertical="center"/>
    </xf>
    <xf numFmtId="0" fontId="27" fillId="0" borderId="18" xfId="0" applyFont="1" applyFill="1" applyBorder="1" applyAlignment="1">
      <alignment vertical="center"/>
    </xf>
    <xf numFmtId="10" fontId="40" fillId="0" borderId="0" xfId="40" applyNumberFormat="1" applyFont="1" applyAlignment="1">
      <alignment vertical="center"/>
    </xf>
    <xf numFmtId="166" fontId="6" fillId="0" borderId="11" xfId="33" applyNumberFormat="1" applyFont="1" applyBorder="1"/>
    <xf numFmtId="166" fontId="7" fillId="35" borderId="12" xfId="33" applyNumberFormat="1" applyFont="1" applyFill="1" applyBorder="1"/>
    <xf numFmtId="166" fontId="24" fillId="35" borderId="18" xfId="33" applyNumberFormat="1" applyFont="1" applyFill="1" applyBorder="1" applyAlignment="1">
      <alignment horizontal="center" vertical="center"/>
    </xf>
    <xf numFmtId="166" fontId="6" fillId="0" borderId="19" xfId="33" applyNumberFormat="1" applyFont="1" applyBorder="1"/>
    <xf numFmtId="166" fontId="6" fillId="0" borderId="12" xfId="33" applyNumberFormat="1" applyFont="1" applyBorder="1"/>
    <xf numFmtId="0" fontId="24" fillId="35" borderId="52" xfId="0" applyFont="1" applyFill="1" applyBorder="1" applyAlignment="1">
      <alignment horizontal="center" vertical="center"/>
    </xf>
    <xf numFmtId="0" fontId="24" fillId="35" borderId="35" xfId="0" applyFont="1" applyFill="1" applyBorder="1" applyAlignment="1">
      <alignment horizontal="center" vertical="center"/>
    </xf>
    <xf numFmtId="166" fontId="24" fillId="35" borderId="52" xfId="33" applyNumberFormat="1" applyFont="1" applyFill="1" applyBorder="1" applyAlignment="1">
      <alignment horizontal="center" vertical="center"/>
    </xf>
    <xf numFmtId="0" fontId="24" fillId="35" borderId="36" xfId="0" applyFont="1" applyFill="1" applyBorder="1" applyAlignment="1">
      <alignment horizontal="center" vertical="center"/>
    </xf>
    <xf numFmtId="166" fontId="7" fillId="35" borderId="27" xfId="0" applyNumberFormat="1" applyFont="1" applyFill="1" applyBorder="1"/>
    <xf numFmtId="166" fontId="7" fillId="35" borderId="27" xfId="33" applyNumberFormat="1" applyFont="1" applyFill="1" applyBorder="1"/>
    <xf numFmtId="10" fontId="7" fillId="35" borderId="26" xfId="40" applyNumberFormat="1" applyFont="1" applyFill="1" applyBorder="1"/>
    <xf numFmtId="0" fontId="6" fillId="0" borderId="10" xfId="0" applyFont="1" applyBorder="1" applyAlignment="1">
      <alignment horizontal="center"/>
    </xf>
    <xf numFmtId="0" fontId="6" fillId="0" borderId="13" xfId="0" applyFont="1" applyBorder="1"/>
    <xf numFmtId="166" fontId="6" fillId="0" borderId="10" xfId="0" applyNumberFormat="1" applyFont="1" applyBorder="1"/>
    <xf numFmtId="168" fontId="6" fillId="33" borderId="16" xfId="40" applyNumberFormat="1" applyFont="1" applyFill="1" applyBorder="1"/>
    <xf numFmtId="168" fontId="6" fillId="0" borderId="17" xfId="40" applyNumberFormat="1" applyFont="1" applyBorder="1"/>
    <xf numFmtId="10" fontId="7" fillId="35" borderId="27" xfId="40" applyNumberFormat="1" applyFont="1" applyFill="1" applyBorder="1"/>
    <xf numFmtId="10" fontId="26" fillId="0" borderId="0" xfId="40" applyNumberFormat="1" applyFont="1" applyBorder="1" applyAlignment="1">
      <alignment vertical="center"/>
    </xf>
    <xf numFmtId="166" fontId="6" fillId="0" borderId="0" xfId="0" applyNumberFormat="1" applyFont="1" applyBorder="1"/>
    <xf numFmtId="3" fontId="27" fillId="0" borderId="16" xfId="33" applyNumberFormat="1" applyFont="1" applyFill="1" applyBorder="1" applyAlignment="1">
      <alignment horizontal="center" vertical="center"/>
    </xf>
    <xf numFmtId="3" fontId="27" fillId="0" borderId="8" xfId="33" applyNumberFormat="1" applyFont="1" applyFill="1" applyBorder="1" applyAlignment="1">
      <alignment horizontal="center" vertical="center"/>
    </xf>
    <xf numFmtId="166" fontId="41" fillId="0" borderId="0" xfId="33" applyNumberFormat="1" applyFont="1" applyBorder="1"/>
    <xf numFmtId="0" fontId="42" fillId="38" borderId="55" xfId="0" applyFont="1" applyFill="1" applyBorder="1" applyAlignment="1">
      <alignment horizontal="left" vertical="center" wrapText="1"/>
    </xf>
    <xf numFmtId="0" fontId="43" fillId="39" borderId="56" xfId="0" applyFont="1" applyFill="1" applyBorder="1" applyAlignment="1">
      <alignment horizontal="right" wrapText="1"/>
    </xf>
    <xf numFmtId="10" fontId="43" fillId="39" borderId="56" xfId="0" applyNumberFormat="1" applyFont="1" applyFill="1" applyBorder="1" applyAlignment="1">
      <alignment horizontal="right" wrapText="1"/>
    </xf>
    <xf numFmtId="10" fontId="43" fillId="39" borderId="57" xfId="0" applyNumberFormat="1" applyFont="1" applyFill="1" applyBorder="1" applyAlignment="1">
      <alignment horizontal="right" wrapText="1"/>
    </xf>
    <xf numFmtId="0" fontId="42" fillId="38" borderId="60" xfId="0" applyFont="1" applyFill="1" applyBorder="1" applyAlignment="1">
      <alignment horizontal="right" vertical="center" wrapText="1"/>
    </xf>
    <xf numFmtId="0" fontId="42" fillId="38" borderId="61" xfId="0" applyFont="1" applyFill="1" applyBorder="1" applyAlignment="1">
      <alignment horizontal="left" vertical="center" wrapText="1"/>
    </xf>
    <xf numFmtId="0" fontId="43" fillId="39" borderId="62" xfId="0" applyFont="1" applyFill="1" applyBorder="1" applyAlignment="1">
      <alignment horizontal="right" wrapText="1"/>
    </xf>
    <xf numFmtId="10" fontId="43" fillId="39" borderId="62" xfId="0" applyNumberFormat="1" applyFont="1" applyFill="1" applyBorder="1" applyAlignment="1">
      <alignment horizontal="right" wrapText="1"/>
    </xf>
    <xf numFmtId="10" fontId="43" fillId="39" borderId="63" xfId="0" applyNumberFormat="1" applyFont="1" applyFill="1" applyBorder="1" applyAlignment="1">
      <alignment horizontal="right" wrapText="1"/>
    </xf>
    <xf numFmtId="0" fontId="43" fillId="0" borderId="0" xfId="0" applyFont="1"/>
    <xf numFmtId="0" fontId="44" fillId="39" borderId="69" xfId="0" applyFont="1" applyFill="1" applyBorder="1" applyAlignment="1">
      <alignment horizontal="center" wrapText="1"/>
    </xf>
    <xf numFmtId="0" fontId="44" fillId="39" borderId="56" xfId="0" applyFont="1" applyFill="1" applyBorder="1" applyAlignment="1">
      <alignment horizontal="center" wrapText="1"/>
    </xf>
    <xf numFmtId="0" fontId="44" fillId="38" borderId="70" xfId="0" applyFont="1" applyFill="1" applyBorder="1" applyAlignment="1">
      <alignment horizontal="center" vertical="center" wrapText="1"/>
    </xf>
    <xf numFmtId="0" fontId="44" fillId="38" borderId="71" xfId="0" applyFont="1" applyFill="1" applyBorder="1" applyAlignment="1">
      <alignment horizontal="center" vertical="center" wrapText="1"/>
    </xf>
    <xf numFmtId="14" fontId="42" fillId="38" borderId="59" xfId="0" applyNumberFormat="1" applyFont="1" applyFill="1" applyBorder="1" applyAlignment="1">
      <alignment horizontal="left" vertical="center" wrapText="1"/>
    </xf>
    <xf numFmtId="14" fontId="42" fillId="38" borderId="55" xfId="0" applyNumberFormat="1" applyFont="1" applyFill="1" applyBorder="1" applyAlignment="1">
      <alignment horizontal="left" vertical="center" wrapText="1"/>
    </xf>
    <xf numFmtId="0" fontId="45" fillId="39" borderId="57" xfId="0" applyFont="1" applyFill="1" applyBorder="1" applyAlignment="1">
      <alignment horizontal="right" wrapText="1"/>
    </xf>
    <xf numFmtId="0" fontId="42" fillId="40" borderId="55" xfId="0" applyFont="1" applyFill="1" applyBorder="1" applyAlignment="1">
      <alignment horizontal="left" vertical="center" wrapText="1"/>
    </xf>
    <xf numFmtId="0" fontId="43" fillId="40" borderId="56" xfId="0" applyFont="1" applyFill="1" applyBorder="1" applyAlignment="1">
      <alignment horizontal="right" wrapText="1"/>
    </xf>
    <xf numFmtId="10" fontId="43" fillId="40" borderId="56" xfId="0" applyNumberFormat="1" applyFont="1" applyFill="1" applyBorder="1" applyAlignment="1">
      <alignment horizontal="right" wrapText="1"/>
    </xf>
    <xf numFmtId="10" fontId="43" fillId="40" borderId="57" xfId="0" applyNumberFormat="1" applyFont="1" applyFill="1" applyBorder="1" applyAlignment="1">
      <alignment horizontal="right" wrapText="1"/>
    </xf>
    <xf numFmtId="0" fontId="27" fillId="33" borderId="0" xfId="0" applyFont="1" applyFill="1" applyBorder="1" applyAlignment="1">
      <alignment horizontal="center" vertical="center"/>
    </xf>
    <xf numFmtId="10" fontId="27" fillId="33" borderId="46" xfId="0" applyNumberFormat="1" applyFont="1" applyFill="1" applyBorder="1" applyAlignment="1">
      <alignment horizontal="center" vertical="center"/>
    </xf>
    <xf numFmtId="165" fontId="27" fillId="33" borderId="0" xfId="33" applyFont="1" applyFill="1" applyBorder="1" applyAlignment="1">
      <alignment horizontal="center" vertical="center"/>
    </xf>
    <xf numFmtId="0" fontId="27" fillId="0" borderId="27" xfId="0" applyFont="1" applyBorder="1" applyAlignment="1">
      <alignment vertical="center"/>
    </xf>
    <xf numFmtId="166" fontId="27" fillId="0" borderId="0" xfId="33" applyNumberFormat="1" applyFont="1" applyAlignment="1">
      <alignment horizontal="center" vertical="center"/>
    </xf>
    <xf numFmtId="166" fontId="26" fillId="33" borderId="0" xfId="33" applyNumberFormat="1" applyFont="1" applyFill="1" applyBorder="1" applyAlignment="1">
      <alignment horizontal="center" vertical="center"/>
    </xf>
    <xf numFmtId="166" fontId="35" fillId="34" borderId="3" xfId="33" applyNumberFormat="1" applyFont="1" applyFill="1" applyBorder="1" applyAlignment="1">
      <alignment horizontal="center" vertical="center"/>
    </xf>
    <xf numFmtId="166" fontId="27" fillId="33" borderId="0" xfId="33" applyNumberFormat="1" applyFont="1" applyFill="1" applyBorder="1" applyAlignment="1">
      <alignment horizontal="center" vertical="center"/>
    </xf>
    <xf numFmtId="166" fontId="27" fillId="0" borderId="0" xfId="33" applyNumberFormat="1" applyFont="1" applyAlignment="1">
      <alignment vertical="center"/>
    </xf>
    <xf numFmtId="169" fontId="27" fillId="0" borderId="0" xfId="40" applyNumberFormat="1" applyFont="1" applyBorder="1" applyAlignment="1">
      <alignment horizontal="center" vertical="center"/>
    </xf>
    <xf numFmtId="10" fontId="27" fillId="0" borderId="0" xfId="40" applyNumberFormat="1" applyFont="1" applyBorder="1" applyAlignment="1">
      <alignment horizontal="center" vertical="center"/>
    </xf>
    <xf numFmtId="173" fontId="27" fillId="0" borderId="0" xfId="0" applyNumberFormat="1" applyFont="1" applyBorder="1" applyAlignment="1">
      <alignment vertical="center"/>
    </xf>
    <xf numFmtId="10" fontId="27" fillId="0" borderId="0" xfId="40" applyNumberFormat="1" applyFont="1" applyBorder="1" applyAlignment="1">
      <alignment vertical="center"/>
    </xf>
    <xf numFmtId="165" fontId="27" fillId="0" borderId="0" xfId="33" applyFont="1" applyBorder="1" applyAlignment="1">
      <alignment vertical="center"/>
    </xf>
    <xf numFmtId="10" fontId="27" fillId="0" borderId="0" xfId="40" applyNumberFormat="1" applyFont="1" applyBorder="1" applyAlignment="1">
      <alignment horizontal="left" vertical="center"/>
    </xf>
    <xf numFmtId="174" fontId="27" fillId="0" borderId="0" xfId="0" applyNumberFormat="1" applyFont="1" applyBorder="1" applyAlignment="1">
      <alignment horizontal="center" vertical="center"/>
    </xf>
    <xf numFmtId="170" fontId="26" fillId="35" borderId="27" xfId="33" applyNumberFormat="1" applyFont="1" applyFill="1" applyBorder="1" applyAlignment="1">
      <alignment horizontal="center" vertical="center"/>
    </xf>
    <xf numFmtId="165" fontId="27" fillId="0" borderId="0" xfId="33" applyFont="1" applyFill="1" applyBorder="1" applyAlignment="1">
      <alignment horizontal="right" vertical="center"/>
    </xf>
    <xf numFmtId="166" fontId="26" fillId="33" borderId="0" xfId="0" applyNumberFormat="1" applyFont="1" applyFill="1" applyBorder="1" applyAlignment="1">
      <alignment horizontal="center" vertical="center"/>
    </xf>
    <xf numFmtId="0" fontId="42" fillId="41" borderId="55" xfId="0" applyFont="1" applyFill="1" applyBorder="1" applyAlignment="1">
      <alignment horizontal="left" vertical="center" wrapText="1"/>
    </xf>
    <xf numFmtId="0" fontId="43" fillId="41" borderId="56" xfId="0" applyFont="1" applyFill="1" applyBorder="1" applyAlignment="1">
      <alignment horizontal="right" wrapText="1"/>
    </xf>
    <xf numFmtId="10" fontId="43" fillId="41" borderId="56" xfId="0" applyNumberFormat="1" applyFont="1" applyFill="1" applyBorder="1" applyAlignment="1">
      <alignment horizontal="right" wrapText="1"/>
    </xf>
    <xf numFmtId="10" fontId="43" fillId="41" borderId="57" xfId="0" applyNumberFormat="1" applyFont="1" applyFill="1" applyBorder="1" applyAlignment="1">
      <alignment horizontal="right" wrapText="1"/>
    </xf>
    <xf numFmtId="14" fontId="42" fillId="40" borderId="59" xfId="0" applyNumberFormat="1" applyFont="1" applyFill="1" applyBorder="1" applyAlignment="1">
      <alignment horizontal="left" vertical="center" wrapText="1"/>
    </xf>
    <xf numFmtId="14" fontId="42" fillId="40" borderId="55" xfId="0" applyNumberFormat="1" applyFont="1" applyFill="1" applyBorder="1" applyAlignment="1">
      <alignment horizontal="left" vertical="center" wrapText="1"/>
    </xf>
    <xf numFmtId="165" fontId="27" fillId="0" borderId="31" xfId="33" applyFont="1" applyBorder="1" applyAlignment="1">
      <alignment vertical="center"/>
    </xf>
    <xf numFmtId="170" fontId="27" fillId="33" borderId="0" xfId="33" applyNumberFormat="1" applyFont="1" applyFill="1" applyBorder="1" applyAlignment="1">
      <alignment horizontal="center" vertical="center"/>
    </xf>
    <xf numFmtId="10" fontId="48" fillId="0" borderId="0" xfId="40" applyNumberFormat="1" applyFont="1" applyFill="1" applyBorder="1" applyAlignment="1">
      <alignment horizontal="right" vertical="center"/>
    </xf>
    <xf numFmtId="0" fontId="49" fillId="0" borderId="4" xfId="0" applyFont="1" applyBorder="1" applyAlignment="1">
      <alignment vertical="center"/>
    </xf>
    <xf numFmtId="166" fontId="49" fillId="0" borderId="3" xfId="33" applyNumberFormat="1" applyFont="1" applyFill="1" applyBorder="1" applyAlignment="1">
      <alignment vertical="center"/>
    </xf>
    <xf numFmtId="166" fontId="49" fillId="0" borderId="5" xfId="33" applyNumberFormat="1" applyFont="1" applyBorder="1" applyAlignment="1">
      <alignment vertical="center"/>
    </xf>
    <xf numFmtId="10" fontId="26" fillId="35" borderId="27" xfId="40" applyNumberFormat="1" applyFont="1" applyFill="1" applyBorder="1" applyAlignment="1">
      <alignment horizontal="center" vertical="center"/>
    </xf>
    <xf numFmtId="168" fontId="6" fillId="0" borderId="11" xfId="40" applyNumberFormat="1" applyFont="1" applyBorder="1"/>
    <xf numFmtId="0" fontId="27" fillId="0" borderId="10" xfId="0" applyFont="1" applyFill="1" applyBorder="1" applyAlignment="1">
      <alignment horizontal="center" vertical="center"/>
    </xf>
    <xf numFmtId="10" fontId="34" fillId="0" borderId="0" xfId="0" applyNumberFormat="1" applyFont="1" applyFill="1" applyBorder="1" applyAlignment="1">
      <alignment vertical="center"/>
    </xf>
    <xf numFmtId="165" fontId="27" fillId="0" borderId="0" xfId="33" applyFont="1" applyFill="1" applyAlignment="1">
      <alignment vertical="center"/>
    </xf>
    <xf numFmtId="0" fontId="29" fillId="0" borderId="10" xfId="0" applyFont="1" applyFill="1" applyBorder="1" applyAlignment="1">
      <alignment horizontal="center" vertical="center"/>
    </xf>
    <xf numFmtId="10" fontId="29" fillId="0" borderId="10" xfId="40" applyNumberFormat="1" applyFont="1" applyFill="1" applyBorder="1" applyAlignment="1">
      <alignment horizontal="center" vertical="center"/>
    </xf>
    <xf numFmtId="3" fontId="27" fillId="0" borderId="0" xfId="0" applyNumberFormat="1" applyFont="1" applyAlignment="1">
      <alignment vertical="center"/>
    </xf>
    <xf numFmtId="166" fontId="27" fillId="0" borderId="19" xfId="33" applyNumberFormat="1" applyFont="1" applyFill="1" applyBorder="1" applyAlignment="1">
      <alignment horizontal="center" vertical="center"/>
    </xf>
    <xf numFmtId="3" fontId="27" fillId="0" borderId="19" xfId="33" applyNumberFormat="1" applyFont="1" applyFill="1" applyBorder="1" applyAlignment="1">
      <alignment horizontal="center" vertical="center"/>
    </xf>
    <xf numFmtId="10" fontId="27" fillId="0" borderId="19" xfId="0" applyNumberFormat="1" applyFont="1" applyFill="1" applyBorder="1" applyAlignment="1">
      <alignment horizontal="center" vertical="center"/>
    </xf>
    <xf numFmtId="0" fontId="35" fillId="34" borderId="20" xfId="0" applyFont="1" applyFill="1" applyBorder="1" applyAlignment="1">
      <alignment horizontal="center" vertical="center"/>
    </xf>
    <xf numFmtId="0" fontId="35" fillId="34" borderId="18" xfId="0" applyFont="1" applyFill="1" applyBorder="1" applyAlignment="1">
      <alignment horizontal="center" vertical="center"/>
    </xf>
    <xf numFmtId="0" fontId="35" fillId="34" borderId="30" xfId="0" applyFont="1" applyFill="1" applyBorder="1" applyAlignment="1">
      <alignment horizontal="center" vertical="center"/>
    </xf>
    <xf numFmtId="166" fontId="35" fillId="34" borderId="18" xfId="33" applyNumberFormat="1" applyFont="1" applyFill="1" applyBorder="1" applyAlignment="1">
      <alignment horizontal="center" vertical="center"/>
    </xf>
    <xf numFmtId="165" fontId="27" fillId="0" borderId="0" xfId="33" applyFont="1" applyBorder="1" applyAlignment="1">
      <alignment horizontal="center" vertical="center"/>
    </xf>
    <xf numFmtId="0" fontId="27" fillId="0" borderId="14" xfId="0" applyFont="1" applyFill="1" applyBorder="1" applyAlignment="1">
      <alignment vertical="center"/>
    </xf>
    <xf numFmtId="0" fontId="27" fillId="0" borderId="11" xfId="0" applyFont="1" applyFill="1" applyBorder="1" applyAlignment="1">
      <alignment horizontal="center" vertical="center"/>
    </xf>
    <xf numFmtId="165" fontId="6" fillId="0" borderId="0" xfId="33" applyFont="1" applyBorder="1"/>
    <xf numFmtId="175" fontId="27" fillId="0" borderId="0" xfId="0" applyNumberFormat="1" applyFont="1" applyAlignment="1">
      <alignment vertical="center"/>
    </xf>
    <xf numFmtId="166" fontId="28" fillId="33" borderId="12" xfId="40" applyNumberFormat="1" applyFont="1" applyFill="1" applyBorder="1" applyAlignment="1">
      <alignment horizontal="center" vertical="center"/>
    </xf>
    <xf numFmtId="171" fontId="32" fillId="0" borderId="8" xfId="35" applyNumberFormat="1" applyFont="1" applyFill="1" applyBorder="1" applyAlignment="1">
      <alignment horizontal="left" vertical="center"/>
    </xf>
    <xf numFmtId="166" fontId="29" fillId="0" borderId="12" xfId="33" applyNumberFormat="1" applyFont="1" applyFill="1" applyBorder="1" applyAlignment="1">
      <alignment vertical="center"/>
    </xf>
    <xf numFmtId="10" fontId="29" fillId="33" borderId="13" xfId="40" applyNumberFormat="1" applyFont="1" applyFill="1" applyBorder="1" applyAlignment="1">
      <alignment horizontal="center" vertical="center"/>
    </xf>
    <xf numFmtId="10" fontId="29" fillId="33" borderId="14" xfId="40" applyNumberFormat="1" applyFont="1" applyFill="1" applyBorder="1" applyAlignment="1">
      <alignment horizontal="center" vertical="center"/>
    </xf>
    <xf numFmtId="10" fontId="29" fillId="0" borderId="14" xfId="40" applyNumberFormat="1" applyFont="1" applyFill="1" applyBorder="1" applyAlignment="1">
      <alignment horizontal="center" vertical="center"/>
    </xf>
    <xf numFmtId="10" fontId="29" fillId="33" borderId="28" xfId="40" applyNumberFormat="1" applyFont="1" applyFill="1" applyBorder="1" applyAlignment="1">
      <alignment horizontal="center" vertical="center"/>
    </xf>
    <xf numFmtId="10" fontId="29" fillId="33" borderId="15" xfId="40" applyNumberFormat="1" applyFont="1" applyFill="1" applyBorder="1" applyAlignment="1">
      <alignment horizontal="center" vertical="center"/>
    </xf>
    <xf numFmtId="10" fontId="28" fillId="33" borderId="32" xfId="40" applyNumberFormat="1" applyFont="1" applyFill="1" applyBorder="1" applyAlignment="1">
      <alignment horizontal="center" vertical="center"/>
    </xf>
    <xf numFmtId="166" fontId="29" fillId="0" borderId="14" xfId="33" applyNumberFormat="1" applyFont="1" applyFill="1" applyBorder="1" applyAlignment="1">
      <alignment vertical="center"/>
    </xf>
    <xf numFmtId="171" fontId="32" fillId="33" borderId="16" xfId="35" applyNumberFormat="1" applyFont="1" applyFill="1" applyBorder="1" applyAlignment="1">
      <alignment horizontal="left" vertical="center"/>
    </xf>
    <xf numFmtId="0" fontId="29" fillId="0" borderId="8" xfId="0" applyFont="1" applyBorder="1" applyAlignment="1">
      <alignment vertical="center"/>
    </xf>
    <xf numFmtId="171" fontId="32" fillId="0" borderId="17" xfId="35" applyNumberFormat="1" applyFont="1" applyFill="1" applyBorder="1" applyAlignment="1">
      <alignment horizontal="left" vertical="center"/>
    </xf>
    <xf numFmtId="0" fontId="29" fillId="0" borderId="11" xfId="0" applyFont="1" applyFill="1" applyBorder="1" applyAlignment="1">
      <alignment vertical="center"/>
    </xf>
    <xf numFmtId="166" fontId="29" fillId="0" borderId="13" xfId="33" applyNumberFormat="1" applyFont="1" applyFill="1" applyBorder="1" applyAlignment="1">
      <alignment vertical="center"/>
    </xf>
    <xf numFmtId="166" fontId="36" fillId="0" borderId="11" xfId="33" applyNumberFormat="1" applyFont="1" applyFill="1" applyBorder="1" applyAlignment="1">
      <alignment horizontal="center" vertical="center"/>
    </xf>
    <xf numFmtId="171" fontId="32" fillId="33" borderId="11" xfId="35" applyNumberFormat="1" applyFont="1" applyFill="1" applyBorder="1" applyAlignment="1">
      <alignment horizontal="left" vertical="center"/>
    </xf>
    <xf numFmtId="10" fontId="27" fillId="0" borderId="51" xfId="40" applyNumberFormat="1" applyFont="1" applyFill="1" applyBorder="1" applyAlignment="1">
      <alignment horizontal="right" vertical="center"/>
    </xf>
    <xf numFmtId="166" fontId="7" fillId="35" borderId="26" xfId="33" applyNumberFormat="1" applyFont="1" applyFill="1" applyBorder="1"/>
    <xf numFmtId="166" fontId="7" fillId="35" borderId="0" xfId="33" applyNumberFormat="1" applyFont="1" applyFill="1" applyBorder="1"/>
    <xf numFmtId="166" fontId="6" fillId="0" borderId="13" xfId="33" applyNumberFormat="1" applyFont="1" applyBorder="1"/>
    <xf numFmtId="166" fontId="6" fillId="0" borderId="14" xfId="33" applyNumberFormat="1" applyFont="1" applyBorder="1"/>
    <xf numFmtId="166" fontId="6" fillId="0" borderId="15" xfId="33" applyNumberFormat="1" applyFont="1" applyBorder="1"/>
    <xf numFmtId="166" fontId="24" fillId="35" borderId="35" xfId="33" applyNumberFormat="1" applyFont="1" applyFill="1" applyBorder="1" applyAlignment="1">
      <alignment horizontal="center" vertical="center"/>
    </xf>
    <xf numFmtId="10" fontId="36" fillId="0" borderId="11" xfId="40" applyNumberFormat="1" applyFont="1" applyFill="1" applyBorder="1" applyAlignment="1">
      <alignment horizontal="center" vertical="center"/>
    </xf>
    <xf numFmtId="10" fontId="36" fillId="0" borderId="12" xfId="0" applyNumberFormat="1" applyFont="1" applyFill="1" applyBorder="1" applyAlignment="1">
      <alignment horizontal="center" vertical="center"/>
    </xf>
    <xf numFmtId="3" fontId="36" fillId="0" borderId="27" xfId="33" applyNumberFormat="1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vertical="center"/>
    </xf>
    <xf numFmtId="0" fontId="27" fillId="0" borderId="15" xfId="0" applyFont="1" applyFill="1" applyBorder="1" applyAlignment="1">
      <alignment vertical="center"/>
    </xf>
    <xf numFmtId="0" fontId="27" fillId="0" borderId="12" xfId="0" applyFont="1" applyFill="1" applyBorder="1" applyAlignment="1">
      <alignment horizontal="center" vertical="center"/>
    </xf>
    <xf numFmtId="1" fontId="27" fillId="0" borderId="12" xfId="0" applyNumberFormat="1" applyFont="1" applyFill="1" applyBorder="1" applyAlignment="1">
      <alignment horizontal="center" vertical="center"/>
    </xf>
    <xf numFmtId="10" fontId="27" fillId="0" borderId="51" xfId="40" applyNumberFormat="1" applyFont="1" applyFill="1" applyBorder="1" applyAlignment="1">
      <alignment horizontal="left" vertical="center"/>
    </xf>
    <xf numFmtId="174" fontId="27" fillId="0" borderId="51" xfId="0" applyNumberFormat="1" applyFont="1" applyFill="1" applyBorder="1" applyAlignment="1">
      <alignment horizontal="center" vertical="center"/>
    </xf>
    <xf numFmtId="166" fontId="27" fillId="0" borderId="51" xfId="33" applyNumberFormat="1" applyFont="1" applyFill="1" applyBorder="1" applyAlignment="1">
      <alignment horizontal="center" vertical="center"/>
    </xf>
    <xf numFmtId="169" fontId="27" fillId="0" borderId="51" xfId="40" applyNumberFormat="1" applyFont="1" applyFill="1" applyBorder="1" applyAlignment="1">
      <alignment horizontal="center" vertical="center"/>
    </xf>
    <xf numFmtId="10" fontId="27" fillId="0" borderId="51" xfId="40" applyNumberFormat="1" applyFont="1" applyFill="1" applyBorder="1" applyAlignment="1">
      <alignment horizontal="center" vertical="center"/>
    </xf>
    <xf numFmtId="0" fontId="27" fillId="0" borderId="51" xfId="0" applyFont="1" applyFill="1" applyBorder="1" applyAlignment="1">
      <alignment horizontal="center" vertical="center"/>
    </xf>
    <xf numFmtId="173" fontId="27" fillId="0" borderId="51" xfId="0" applyNumberFormat="1" applyFont="1" applyFill="1" applyBorder="1" applyAlignment="1">
      <alignment vertical="center"/>
    </xf>
    <xf numFmtId="10" fontId="27" fillId="0" borderId="51" xfId="40" applyNumberFormat="1" applyFont="1" applyFill="1" applyBorder="1" applyAlignment="1">
      <alignment vertical="center"/>
    </xf>
    <xf numFmtId="10" fontId="27" fillId="0" borderId="53" xfId="40" applyNumberFormat="1" applyFont="1" applyFill="1" applyBorder="1" applyAlignment="1">
      <alignment vertical="center"/>
    </xf>
    <xf numFmtId="10" fontId="27" fillId="0" borderId="0" xfId="0" applyNumberFormat="1" applyFont="1" applyFill="1" applyAlignment="1">
      <alignment vertical="center"/>
    </xf>
    <xf numFmtId="1" fontId="27" fillId="0" borderId="11" xfId="0" applyNumberFormat="1" applyFont="1" applyFill="1" applyBorder="1" applyAlignment="1">
      <alignment horizontal="center" vertical="center"/>
    </xf>
    <xf numFmtId="0" fontId="27" fillId="0" borderId="21" xfId="0" applyFont="1" applyFill="1" applyBorder="1" applyAlignment="1">
      <alignment vertical="center"/>
    </xf>
    <xf numFmtId="10" fontId="39" fillId="0" borderId="11" xfId="40" applyNumberFormat="1" applyFont="1" applyFill="1" applyBorder="1" applyAlignment="1">
      <alignment horizontal="center" vertical="center"/>
    </xf>
    <xf numFmtId="10" fontId="27" fillId="0" borderId="11" xfId="40" applyNumberFormat="1" applyFont="1" applyFill="1" applyBorder="1" applyAlignment="1">
      <alignment horizontal="center" vertical="center"/>
    </xf>
    <xf numFmtId="10" fontId="27" fillId="0" borderId="11" xfId="0" applyNumberFormat="1" applyFont="1" applyFill="1" applyBorder="1" applyAlignment="1">
      <alignment horizontal="center" vertical="center"/>
    </xf>
    <xf numFmtId="10" fontId="27" fillId="0" borderId="10" xfId="0" applyNumberFormat="1" applyFont="1" applyFill="1" applyBorder="1" applyAlignment="1">
      <alignment horizontal="center" vertical="center"/>
    </xf>
    <xf numFmtId="10" fontId="27" fillId="0" borderId="8" xfId="0" applyNumberFormat="1" applyFont="1" applyFill="1" applyBorder="1" applyAlignment="1">
      <alignment horizontal="center" vertical="center"/>
    </xf>
    <xf numFmtId="10" fontId="34" fillId="0" borderId="8" xfId="0" applyNumberFormat="1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vertical="center"/>
    </xf>
    <xf numFmtId="166" fontId="27" fillId="0" borderId="7" xfId="33" applyNumberFormat="1" applyFont="1" applyFill="1" applyBorder="1" applyAlignment="1">
      <alignment vertical="center"/>
    </xf>
    <xf numFmtId="0" fontId="27" fillId="0" borderId="47" xfId="0" applyFont="1" applyFill="1" applyBorder="1" applyAlignment="1">
      <alignment vertical="center"/>
    </xf>
    <xf numFmtId="14" fontId="27" fillId="0" borderId="0" xfId="0" applyNumberFormat="1" applyFont="1" applyFill="1" applyAlignment="1">
      <alignment horizontal="center" vertical="center"/>
    </xf>
    <xf numFmtId="166" fontId="27" fillId="0" borderId="0" xfId="33" applyNumberFormat="1" applyFont="1" applyFill="1" applyAlignment="1">
      <alignment vertical="center"/>
    </xf>
    <xf numFmtId="0" fontId="26" fillId="0" borderId="0" xfId="0" applyFont="1" applyFill="1" applyBorder="1" applyAlignment="1">
      <alignment vertical="center"/>
    </xf>
    <xf numFmtId="0" fontId="27" fillId="0" borderId="0" xfId="0" applyFont="1" applyFill="1" applyBorder="1" applyAlignment="1">
      <alignment vertical="center"/>
    </xf>
    <xf numFmtId="10" fontId="27" fillId="0" borderId="0" xfId="0" applyNumberFormat="1" applyFont="1" applyFill="1" applyAlignment="1">
      <alignment horizontal="center" vertical="center"/>
    </xf>
    <xf numFmtId="166" fontId="27" fillId="0" borderId="0" xfId="33" applyNumberFormat="1" applyFont="1" applyFill="1" applyAlignment="1">
      <alignment horizontal="center" vertical="center"/>
    </xf>
    <xf numFmtId="166" fontId="26" fillId="0" borderId="0" xfId="33" applyNumberFormat="1" applyFont="1" applyFill="1" applyBorder="1" applyAlignment="1">
      <alignment vertical="center"/>
    </xf>
    <xf numFmtId="3" fontId="27" fillId="0" borderId="17" xfId="33" applyNumberFormat="1" applyFont="1" applyFill="1" applyBorder="1" applyAlignment="1">
      <alignment horizontal="center" vertical="center"/>
    </xf>
    <xf numFmtId="10" fontId="27" fillId="0" borderId="12" xfId="0" applyNumberFormat="1" applyFont="1" applyFill="1" applyBorder="1" applyAlignment="1">
      <alignment horizontal="center" vertical="center"/>
    </xf>
    <xf numFmtId="166" fontId="37" fillId="0" borderId="11" xfId="33" applyNumberFormat="1" applyFont="1" applyFill="1" applyBorder="1" applyAlignment="1">
      <alignment horizontal="center" vertical="center"/>
    </xf>
    <xf numFmtId="165" fontId="26" fillId="33" borderId="0" xfId="33" applyFont="1" applyFill="1" applyBorder="1" applyAlignment="1">
      <alignment horizontal="center" vertical="center"/>
    </xf>
    <xf numFmtId="165" fontId="26" fillId="35" borderId="27" xfId="33" applyFont="1" applyFill="1" applyBorder="1" applyAlignment="1">
      <alignment horizontal="center" vertical="center"/>
    </xf>
    <xf numFmtId="166" fontId="35" fillId="0" borderId="27" xfId="33" applyNumberFormat="1" applyFont="1" applyFill="1" applyBorder="1" applyAlignment="1">
      <alignment horizontal="center" vertical="center"/>
    </xf>
    <xf numFmtId="10" fontId="34" fillId="0" borderId="16" xfId="0" applyNumberFormat="1" applyFont="1" applyFill="1" applyBorder="1" applyAlignment="1">
      <alignment horizontal="center" vertical="center"/>
    </xf>
    <xf numFmtId="166" fontId="37" fillId="0" borderId="0" xfId="0" applyNumberFormat="1" applyFont="1" applyBorder="1" applyAlignment="1">
      <alignment horizontal="center" vertical="center"/>
    </xf>
    <xf numFmtId="166" fontId="51" fillId="0" borderId="0" xfId="0" applyNumberFormat="1" applyFont="1" applyBorder="1" applyAlignment="1">
      <alignment horizontal="center" vertical="center"/>
    </xf>
    <xf numFmtId="166" fontId="51" fillId="33" borderId="0" xfId="33" applyNumberFormat="1" applyFont="1" applyFill="1" applyBorder="1" applyAlignment="1">
      <alignment horizontal="center" vertical="center"/>
    </xf>
    <xf numFmtId="10" fontId="36" fillId="33" borderId="27" xfId="40" applyNumberFormat="1" applyFont="1" applyFill="1" applyBorder="1" applyAlignment="1">
      <alignment horizontal="center" vertical="center"/>
    </xf>
    <xf numFmtId="10" fontId="37" fillId="33" borderId="27" xfId="40" applyNumberFormat="1" applyFont="1" applyFill="1" applyBorder="1" applyAlignment="1">
      <alignment horizontal="center" vertical="center"/>
    </xf>
    <xf numFmtId="166" fontId="35" fillId="0" borderId="46" xfId="33" applyNumberFormat="1" applyFont="1" applyFill="1" applyBorder="1" applyAlignment="1">
      <alignment horizontal="center" vertical="center"/>
    </xf>
    <xf numFmtId="10" fontId="34" fillId="0" borderId="19" xfId="0" applyNumberFormat="1" applyFont="1" applyFill="1" applyBorder="1" applyAlignment="1">
      <alignment horizontal="center" vertical="center"/>
    </xf>
    <xf numFmtId="0" fontId="71" fillId="0" borderId="0" xfId="0" applyFont="1"/>
    <xf numFmtId="0" fontId="71" fillId="0" borderId="0" xfId="0" applyFont="1" applyAlignment="1">
      <alignment horizontal="center"/>
    </xf>
    <xf numFmtId="166" fontId="71" fillId="0" borderId="51" xfId="33" applyNumberFormat="1" applyFont="1" applyBorder="1" applyAlignment="1">
      <alignment horizontal="center"/>
    </xf>
    <xf numFmtId="166" fontId="71" fillId="0" borderId="51" xfId="33" applyNumberFormat="1" applyFont="1" applyBorder="1"/>
    <xf numFmtId="166" fontId="71" fillId="0" borderId="53" xfId="0" applyNumberFormat="1" applyFont="1" applyBorder="1"/>
    <xf numFmtId="3" fontId="71" fillId="0" borderId="75" xfId="0" applyNumberFormat="1" applyFont="1" applyBorder="1" applyAlignment="1">
      <alignment horizontal="center"/>
    </xf>
    <xf numFmtId="166" fontId="71" fillId="0" borderId="75" xfId="33" applyNumberFormat="1" applyFont="1" applyBorder="1"/>
    <xf numFmtId="166" fontId="71" fillId="0" borderId="76" xfId="0" applyNumberFormat="1" applyFont="1" applyBorder="1"/>
    <xf numFmtId="0" fontId="71" fillId="0" borderId="0" xfId="0" applyFont="1" applyBorder="1"/>
    <xf numFmtId="0" fontId="71" fillId="0" borderId="0" xfId="0" applyFont="1" applyBorder="1" applyAlignment="1">
      <alignment horizontal="center"/>
    </xf>
    <xf numFmtId="0" fontId="71" fillId="0" borderId="10" xfId="0" applyFont="1" applyBorder="1"/>
    <xf numFmtId="0" fontId="71" fillId="0" borderId="11" xfId="0" applyFont="1" applyBorder="1"/>
    <xf numFmtId="0" fontId="71" fillId="0" borderId="12" xfId="0" applyFont="1" applyBorder="1"/>
    <xf numFmtId="0" fontId="73" fillId="0" borderId="4" xfId="0" applyFont="1" applyBorder="1" applyAlignment="1">
      <alignment horizontal="center"/>
    </xf>
    <xf numFmtId="0" fontId="73" fillId="0" borderId="3" xfId="0" applyFont="1" applyBorder="1" applyAlignment="1">
      <alignment horizontal="center"/>
    </xf>
    <xf numFmtId="166" fontId="71" fillId="0" borderId="72" xfId="33" applyNumberFormat="1" applyFont="1" applyBorder="1" applyAlignment="1">
      <alignment horizontal="center"/>
    </xf>
    <xf numFmtId="166" fontId="71" fillId="0" borderId="73" xfId="33" applyNumberFormat="1" applyFont="1" applyBorder="1" applyAlignment="1">
      <alignment horizontal="center"/>
    </xf>
    <xf numFmtId="0" fontId="71" fillId="0" borderId="73" xfId="0" applyFont="1" applyBorder="1"/>
    <xf numFmtId="0" fontId="71" fillId="0" borderId="74" xfId="0" applyFont="1" applyBorder="1"/>
    <xf numFmtId="166" fontId="71" fillId="0" borderId="2" xfId="33" applyNumberFormat="1" applyFont="1" applyBorder="1" applyAlignment="1">
      <alignment horizontal="center"/>
    </xf>
    <xf numFmtId="3" fontId="71" fillId="0" borderId="9" xfId="0" applyNumberFormat="1" applyFont="1" applyBorder="1" applyAlignment="1">
      <alignment horizontal="center"/>
    </xf>
    <xf numFmtId="3" fontId="27" fillId="0" borderId="87" xfId="33" applyNumberFormat="1" applyFont="1" applyFill="1" applyBorder="1" applyAlignment="1">
      <alignment horizontal="center" vertical="center"/>
    </xf>
    <xf numFmtId="3" fontId="26" fillId="0" borderId="46" xfId="33" applyNumberFormat="1" applyFont="1" applyFill="1" applyBorder="1" applyAlignment="1">
      <alignment horizontal="center" vertical="center"/>
    </xf>
    <xf numFmtId="0" fontId="71" fillId="64" borderId="73" xfId="0" applyFont="1" applyFill="1" applyBorder="1" applyAlignment="1">
      <alignment horizontal="center"/>
    </xf>
    <xf numFmtId="166" fontId="71" fillId="64" borderId="51" xfId="0" applyNumberFormat="1" applyFont="1" applyFill="1" applyBorder="1" applyAlignment="1">
      <alignment horizontal="center"/>
    </xf>
    <xf numFmtId="166" fontId="71" fillId="64" borderId="75" xfId="0" applyNumberFormat="1" applyFont="1" applyFill="1" applyBorder="1" applyAlignment="1">
      <alignment horizontal="center"/>
    </xf>
    <xf numFmtId="0" fontId="73" fillId="64" borderId="88" xfId="0" applyFont="1" applyFill="1" applyBorder="1" applyAlignment="1">
      <alignment horizontal="center"/>
    </xf>
    <xf numFmtId="0" fontId="73" fillId="0" borderId="30" xfId="0" applyFont="1" applyBorder="1"/>
    <xf numFmtId="0" fontId="73" fillId="0" borderId="18" xfId="0" applyFont="1" applyBorder="1" applyAlignment="1">
      <alignment horizontal="center"/>
    </xf>
    <xf numFmtId="165" fontId="27" fillId="33" borderId="0" xfId="33" applyNumberFormat="1" applyFont="1" applyFill="1" applyBorder="1" applyAlignment="1">
      <alignment horizontal="center" vertical="center"/>
    </xf>
    <xf numFmtId="10" fontId="36" fillId="0" borderId="14" xfId="40" applyNumberFormat="1" applyFont="1" applyFill="1" applyBorder="1" applyAlignment="1">
      <alignment horizontal="center" vertical="center"/>
    </xf>
    <xf numFmtId="166" fontId="27" fillId="0" borderId="53" xfId="33" applyNumberFormat="1" applyFont="1" applyFill="1" applyBorder="1" applyAlignment="1">
      <alignment vertical="center"/>
    </xf>
    <xf numFmtId="10" fontId="47" fillId="37" borderId="3" xfId="40" applyNumberFormat="1" applyFont="1" applyFill="1" applyBorder="1" applyAlignment="1">
      <alignment horizontal="center" vertical="center"/>
    </xf>
    <xf numFmtId="174" fontId="47" fillId="37" borderId="3" xfId="0" applyNumberFormat="1" applyFont="1" applyFill="1" applyBorder="1" applyAlignment="1">
      <alignment horizontal="center" vertical="center"/>
    </xf>
    <xf numFmtId="174" fontId="38" fillId="37" borderId="3" xfId="0" applyNumberFormat="1" applyFont="1" applyFill="1" applyBorder="1" applyAlignment="1">
      <alignment horizontal="center" vertical="center"/>
    </xf>
    <xf numFmtId="166" fontId="47" fillId="37" borderId="3" xfId="33" applyNumberFormat="1" applyFont="1" applyFill="1" applyBorder="1" applyAlignment="1">
      <alignment horizontal="center" vertical="center"/>
    </xf>
    <xf numFmtId="166" fontId="38" fillId="37" borderId="3" xfId="33" applyNumberFormat="1" applyFont="1" applyFill="1" applyBorder="1" applyAlignment="1">
      <alignment horizontal="center" vertical="center"/>
    </xf>
    <xf numFmtId="9" fontId="47" fillId="37" borderId="3" xfId="40" applyFont="1" applyFill="1" applyBorder="1" applyAlignment="1">
      <alignment horizontal="center" vertical="center"/>
    </xf>
    <xf numFmtId="10" fontId="38" fillId="37" borderId="3" xfId="40" applyNumberFormat="1" applyFont="1" applyFill="1" applyBorder="1" applyAlignment="1">
      <alignment horizontal="center" vertical="center"/>
    </xf>
    <xf numFmtId="0" fontId="38" fillId="37" borderId="3" xfId="0" applyFont="1" applyFill="1" applyBorder="1" applyAlignment="1">
      <alignment horizontal="center" vertical="center"/>
    </xf>
    <xf numFmtId="10" fontId="38" fillId="37" borderId="5" xfId="40" applyNumberFormat="1" applyFont="1" applyFill="1" applyBorder="1" applyAlignment="1">
      <alignment horizontal="center" vertical="center"/>
    </xf>
    <xf numFmtId="165" fontId="38" fillId="37" borderId="4" xfId="33" applyFont="1" applyFill="1" applyBorder="1" applyAlignment="1">
      <alignment horizontal="center" vertical="center"/>
    </xf>
    <xf numFmtId="43" fontId="38" fillId="37" borderId="3" xfId="0" applyNumberFormat="1" applyFont="1" applyFill="1" applyBorder="1" applyAlignment="1">
      <alignment horizontal="center" vertical="center"/>
    </xf>
    <xf numFmtId="3" fontId="37" fillId="0" borderId="10" xfId="33" applyNumberFormat="1" applyFont="1" applyFill="1" applyBorder="1" applyAlignment="1">
      <alignment horizontal="center" vertical="center"/>
    </xf>
    <xf numFmtId="165" fontId="27" fillId="0" borderId="2" xfId="33" applyFont="1" applyFill="1" applyBorder="1" applyAlignment="1">
      <alignment vertical="center"/>
    </xf>
    <xf numFmtId="166" fontId="26" fillId="35" borderId="26" xfId="33" applyNumberFormat="1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33" borderId="0" xfId="0" applyFont="1" applyFill="1" applyBorder="1" applyAlignment="1">
      <alignment horizontal="center" vertical="center"/>
    </xf>
    <xf numFmtId="166" fontId="27" fillId="0" borderId="89" xfId="33" applyNumberFormat="1" applyFont="1" applyFill="1" applyBorder="1" applyAlignment="1">
      <alignment vertical="center"/>
    </xf>
    <xf numFmtId="166" fontId="27" fillId="0" borderId="51" xfId="33" applyNumberFormat="1" applyFont="1" applyFill="1" applyBorder="1" applyAlignment="1">
      <alignment vertical="center"/>
    </xf>
    <xf numFmtId="3" fontId="27" fillId="0" borderId="51" xfId="33" applyNumberFormat="1" applyFont="1" applyFill="1" applyBorder="1" applyAlignment="1">
      <alignment vertical="center"/>
    </xf>
    <xf numFmtId="0" fontId="27" fillId="0" borderId="2" xfId="0" applyFont="1" applyFill="1" applyBorder="1" applyAlignment="1">
      <alignment vertical="center"/>
    </xf>
    <xf numFmtId="170" fontId="29" fillId="34" borderId="10" xfId="33" applyNumberFormat="1" applyFont="1" applyFill="1" applyBorder="1" applyAlignment="1">
      <alignment horizontal="right" vertical="center"/>
    </xf>
    <xf numFmtId="166" fontId="29" fillId="34" borderId="10" xfId="33" applyNumberFormat="1" applyFont="1" applyFill="1" applyBorder="1" applyAlignment="1">
      <alignment horizontal="right" vertical="center"/>
    </xf>
    <xf numFmtId="166" fontId="29" fillId="34" borderId="11" xfId="33" applyNumberFormat="1" applyFont="1" applyFill="1" applyBorder="1" applyAlignment="1">
      <alignment vertical="center"/>
    </xf>
    <xf numFmtId="166" fontId="29" fillId="34" borderId="11" xfId="33" applyNumberFormat="1" applyFont="1" applyFill="1" applyBorder="1" applyAlignment="1">
      <alignment horizontal="right" vertical="center"/>
    </xf>
    <xf numFmtId="0" fontId="29" fillId="34" borderId="11" xfId="0" applyFont="1" applyFill="1" applyBorder="1" applyAlignment="1">
      <alignment vertical="center"/>
    </xf>
    <xf numFmtId="166" fontId="29" fillId="34" borderId="12" xfId="33" applyNumberFormat="1" applyFont="1" applyFill="1" applyBorder="1" applyAlignment="1">
      <alignment vertical="center"/>
    </xf>
    <xf numFmtId="1" fontId="29" fillId="34" borderId="12" xfId="0" applyNumberFormat="1" applyFont="1" applyFill="1" applyBorder="1" applyAlignment="1">
      <alignment vertical="center"/>
    </xf>
    <xf numFmtId="0" fontId="29" fillId="34" borderId="12" xfId="0" applyFont="1" applyFill="1" applyBorder="1" applyAlignment="1">
      <alignment vertical="center"/>
    </xf>
    <xf numFmtId="166" fontId="29" fillId="34" borderId="12" xfId="33" applyNumberFormat="1" applyFont="1" applyFill="1" applyBorder="1" applyAlignment="1">
      <alignment horizontal="right" vertical="center"/>
    </xf>
    <xf numFmtId="166" fontId="29" fillId="34" borderId="10" xfId="40" applyNumberFormat="1" applyFont="1" applyFill="1" applyBorder="1" applyAlignment="1">
      <alignment horizontal="center" vertical="center"/>
    </xf>
    <xf numFmtId="166" fontId="29" fillId="34" borderId="13" xfId="33" applyNumberFormat="1" applyFont="1" applyFill="1" applyBorder="1" applyAlignment="1">
      <alignment horizontal="right" vertical="center"/>
    </xf>
    <xf numFmtId="166" fontId="29" fillId="34" borderId="11" xfId="40" applyNumberFormat="1" applyFont="1" applyFill="1" applyBorder="1" applyAlignment="1">
      <alignment horizontal="center" vertical="center"/>
    </xf>
    <xf numFmtId="166" fontId="29" fillId="34" borderId="8" xfId="33" applyNumberFormat="1" applyFont="1" applyFill="1" applyBorder="1" applyAlignment="1">
      <alignment horizontal="right" vertical="center"/>
    </xf>
    <xf numFmtId="166" fontId="32" fillId="34" borderId="11" xfId="33" applyNumberFormat="1" applyFont="1" applyFill="1" applyBorder="1" applyAlignment="1">
      <alignment vertical="center"/>
    </xf>
    <xf numFmtId="166" fontId="29" fillId="34" borderId="14" xfId="33" applyNumberFormat="1" applyFont="1" applyFill="1" applyBorder="1" applyAlignment="1">
      <alignment horizontal="right" vertical="center"/>
    </xf>
    <xf numFmtId="171" fontId="32" fillId="33" borderId="10" xfId="35" applyNumberFormat="1" applyFont="1" applyFill="1" applyBorder="1" applyAlignment="1">
      <alignment horizontal="left" vertical="center"/>
    </xf>
    <xf numFmtId="171" fontId="32" fillId="0" borderId="11" xfId="35" applyNumberFormat="1" applyFont="1" applyFill="1" applyBorder="1" applyAlignment="1">
      <alignment horizontal="left" vertical="center"/>
    </xf>
    <xf numFmtId="3" fontId="51" fillId="0" borderId="11" xfId="0" applyNumberFormat="1" applyFont="1" applyFill="1" applyBorder="1" applyAlignment="1">
      <alignment horizontal="center" vertical="center"/>
    </xf>
    <xf numFmtId="165" fontId="34" fillId="0" borderId="0" xfId="33" applyFont="1" applyFill="1" applyBorder="1" applyAlignment="1">
      <alignment vertical="center"/>
    </xf>
    <xf numFmtId="166" fontId="29" fillId="34" borderId="28" xfId="33" applyNumberFormat="1" applyFont="1" applyFill="1" applyBorder="1" applyAlignment="1">
      <alignment horizontal="right" vertical="center"/>
    </xf>
    <xf numFmtId="166" fontId="29" fillId="34" borderId="23" xfId="33" applyNumberFormat="1" applyFont="1" applyFill="1" applyBorder="1" applyAlignment="1">
      <alignment horizontal="right" vertical="center"/>
    </xf>
    <xf numFmtId="166" fontId="29" fillId="34" borderId="22" xfId="33" applyNumberFormat="1" applyFont="1" applyFill="1" applyBorder="1" applyAlignment="1">
      <alignment horizontal="right" vertical="center"/>
    </xf>
    <xf numFmtId="171" fontId="32" fillId="33" borderId="23" xfId="35" applyNumberFormat="1" applyFont="1" applyFill="1" applyBorder="1" applyAlignment="1">
      <alignment horizontal="left" vertical="center"/>
    </xf>
    <xf numFmtId="166" fontId="26" fillId="0" borderId="0" xfId="40" applyNumberFormat="1" applyFont="1" applyBorder="1" applyAlignment="1">
      <alignment vertical="center"/>
    </xf>
    <xf numFmtId="166" fontId="39" fillId="0" borderId="8" xfId="33" applyNumberFormat="1" applyFont="1" applyFill="1" applyBorder="1" applyAlignment="1">
      <alignment horizontal="center" vertical="center"/>
    </xf>
    <xf numFmtId="166" fontId="39" fillId="0" borderId="16" xfId="33" applyNumberFormat="1" applyFont="1" applyFill="1" applyBorder="1" applyAlignment="1">
      <alignment horizontal="center" vertical="center"/>
    </xf>
    <xf numFmtId="3" fontId="37" fillId="0" borderId="17" xfId="0" applyNumberFormat="1" applyFont="1" applyFill="1" applyBorder="1" applyAlignment="1">
      <alignment horizontal="center" vertical="center"/>
    </xf>
    <xf numFmtId="166" fontId="39" fillId="0" borderId="15" xfId="33" applyNumberFormat="1" applyFont="1" applyFill="1" applyBorder="1" applyAlignment="1">
      <alignment horizontal="center" vertical="center"/>
    </xf>
    <xf numFmtId="0" fontId="50" fillId="0" borderId="4" xfId="0" applyFont="1" applyFill="1" applyBorder="1" applyAlignment="1">
      <alignment horizontal="center" vertical="center"/>
    </xf>
    <xf numFmtId="0" fontId="48" fillId="0" borderId="3" xfId="0" applyFont="1" applyFill="1" applyBorder="1" applyAlignment="1">
      <alignment horizontal="center" vertical="center"/>
    </xf>
    <xf numFmtId="174" fontId="27" fillId="0" borderId="3" xfId="0" applyNumberFormat="1" applyFont="1" applyFill="1" applyBorder="1" applyAlignment="1">
      <alignment horizontal="center" vertical="center"/>
    </xf>
    <xf numFmtId="170" fontId="27" fillId="0" borderId="3" xfId="33" applyNumberFormat="1" applyFont="1" applyFill="1" applyBorder="1" applyAlignment="1">
      <alignment horizontal="center" vertical="center"/>
    </xf>
    <xf numFmtId="166" fontId="27" fillId="0" borderId="3" xfId="33" applyNumberFormat="1" applyFont="1" applyFill="1" applyBorder="1" applyAlignment="1">
      <alignment horizontal="center" vertical="center"/>
    </xf>
    <xf numFmtId="10" fontId="27" fillId="0" borderId="3" xfId="40" applyNumberFormat="1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/>
    </xf>
    <xf numFmtId="173" fontId="27" fillId="0" borderId="3" xfId="0" applyNumberFormat="1" applyFont="1" applyFill="1" applyBorder="1" applyAlignment="1">
      <alignment vertical="center"/>
    </xf>
    <xf numFmtId="166" fontId="27" fillId="0" borderId="5" xfId="33" applyNumberFormat="1" applyFont="1" applyFill="1" applyBorder="1" applyAlignment="1">
      <alignment vertical="center"/>
    </xf>
    <xf numFmtId="165" fontId="38" fillId="37" borderId="90" xfId="33" applyFont="1" applyFill="1" applyBorder="1" applyAlignment="1">
      <alignment vertical="center"/>
    </xf>
    <xf numFmtId="10" fontId="47" fillId="37" borderId="91" xfId="40" applyNumberFormat="1" applyFont="1" applyFill="1" applyBorder="1" applyAlignment="1">
      <alignment horizontal="center" vertical="center"/>
    </xf>
    <xf numFmtId="174" fontId="47" fillId="37" borderId="91" xfId="0" applyNumberFormat="1" applyFont="1" applyFill="1" applyBorder="1" applyAlignment="1">
      <alignment horizontal="center" vertical="center"/>
    </xf>
    <xf numFmtId="174" fontId="38" fillId="37" borderId="91" xfId="0" applyNumberFormat="1" applyFont="1" applyFill="1" applyBorder="1" applyAlignment="1">
      <alignment horizontal="center" vertical="center"/>
    </xf>
    <xf numFmtId="166" fontId="47" fillId="37" borderId="91" xfId="33" applyNumberFormat="1" applyFont="1" applyFill="1" applyBorder="1" applyAlignment="1">
      <alignment horizontal="center" vertical="center"/>
    </xf>
    <xf numFmtId="166" fontId="38" fillId="37" borderId="91" xfId="33" applyNumberFormat="1" applyFont="1" applyFill="1" applyBorder="1" applyAlignment="1">
      <alignment horizontal="center" vertical="center"/>
    </xf>
    <xf numFmtId="9" fontId="47" fillId="37" borderId="91" xfId="40" applyFont="1" applyFill="1" applyBorder="1" applyAlignment="1">
      <alignment horizontal="right" vertical="center"/>
    </xf>
    <xf numFmtId="169" fontId="38" fillId="37" borderId="91" xfId="40" applyNumberFormat="1" applyFont="1" applyFill="1" applyBorder="1" applyAlignment="1">
      <alignment horizontal="center" vertical="center"/>
    </xf>
    <xf numFmtId="10" fontId="38" fillId="37" borderId="91" xfId="40" applyNumberFormat="1" applyFont="1" applyFill="1" applyBorder="1" applyAlignment="1">
      <alignment horizontal="center" vertical="center"/>
    </xf>
    <xf numFmtId="10" fontId="46" fillId="37" borderId="91" xfId="40" applyNumberFormat="1" applyFont="1" applyFill="1" applyBorder="1" applyAlignment="1">
      <alignment horizontal="center" vertical="center"/>
    </xf>
    <xf numFmtId="0" fontId="38" fillId="37" borderId="91" xfId="0" applyFont="1" applyFill="1" applyBorder="1" applyAlignment="1">
      <alignment horizontal="center" vertical="center"/>
    </xf>
    <xf numFmtId="43" fontId="38" fillId="37" borderId="91" xfId="0" applyNumberFormat="1" applyFont="1" applyFill="1" applyBorder="1" applyAlignment="1">
      <alignment vertical="center"/>
    </xf>
    <xf numFmtId="10" fontId="38" fillId="37" borderId="91" xfId="40" applyNumberFormat="1" applyFont="1" applyFill="1" applyBorder="1" applyAlignment="1">
      <alignment vertical="center"/>
    </xf>
    <xf numFmtId="10" fontId="38" fillId="37" borderId="92" xfId="40" applyNumberFormat="1" applyFont="1" applyFill="1" applyBorder="1" applyAlignment="1">
      <alignment vertical="center"/>
    </xf>
    <xf numFmtId="165" fontId="27" fillId="0" borderId="9" xfId="33" applyFont="1" applyFill="1" applyBorder="1" applyAlignment="1">
      <alignment vertical="center"/>
    </xf>
    <xf numFmtId="10" fontId="27" fillId="0" borderId="75" xfId="40" applyNumberFormat="1" applyFont="1" applyFill="1" applyBorder="1" applyAlignment="1">
      <alignment horizontal="left" vertical="center"/>
    </xf>
    <xf numFmtId="174" fontId="27" fillId="0" borderId="75" xfId="0" applyNumberFormat="1" applyFont="1" applyFill="1" applyBorder="1" applyAlignment="1">
      <alignment horizontal="center" vertical="center"/>
    </xf>
    <xf numFmtId="166" fontId="27" fillId="0" borderId="75" xfId="33" applyNumberFormat="1" applyFont="1" applyFill="1" applyBorder="1" applyAlignment="1">
      <alignment horizontal="center" vertical="center"/>
    </xf>
    <xf numFmtId="10" fontId="27" fillId="0" borderId="75" xfId="40" applyNumberFormat="1" applyFont="1" applyFill="1" applyBorder="1" applyAlignment="1">
      <alignment horizontal="right" vertical="center"/>
    </xf>
    <xf numFmtId="169" fontId="27" fillId="0" borderId="75" xfId="40" applyNumberFormat="1" applyFont="1" applyFill="1" applyBorder="1" applyAlignment="1">
      <alignment horizontal="center" vertical="center"/>
    </xf>
    <xf numFmtId="10" fontId="27" fillId="0" borderId="75" xfId="40" applyNumberFormat="1" applyFont="1" applyFill="1" applyBorder="1" applyAlignment="1">
      <alignment horizontal="center" vertical="center"/>
    </xf>
    <xf numFmtId="0" fontId="27" fillId="0" borderId="75" xfId="0" applyFont="1" applyFill="1" applyBorder="1" applyAlignment="1">
      <alignment horizontal="center" vertical="center"/>
    </xf>
    <xf numFmtId="173" fontId="27" fillId="0" borderId="75" xfId="0" applyNumberFormat="1" applyFont="1" applyFill="1" applyBorder="1" applyAlignment="1">
      <alignment vertical="center"/>
    </xf>
    <xf numFmtId="10" fontId="27" fillId="0" borderId="75" xfId="40" applyNumberFormat="1" applyFont="1" applyFill="1" applyBorder="1" applyAlignment="1">
      <alignment vertical="center"/>
    </xf>
    <xf numFmtId="10" fontId="27" fillId="0" borderId="76" xfId="40" applyNumberFormat="1" applyFont="1" applyFill="1" applyBorder="1" applyAlignment="1">
      <alignment vertical="center"/>
    </xf>
    <xf numFmtId="3" fontId="37" fillId="0" borderId="12" xfId="0" applyNumberFormat="1" applyFont="1" applyFill="1" applyBorder="1" applyAlignment="1">
      <alignment horizontal="center" vertical="center"/>
    </xf>
    <xf numFmtId="10" fontId="34" fillId="0" borderId="17" xfId="0" applyNumberFormat="1" applyFont="1" applyFill="1" applyBorder="1" applyAlignment="1">
      <alignment horizontal="center" vertical="center"/>
    </xf>
    <xf numFmtId="10" fontId="36" fillId="0" borderId="10" xfId="40" applyNumberFormat="1" applyFont="1" applyFill="1" applyBorder="1" applyAlignment="1">
      <alignment horizontal="center" vertical="center"/>
    </xf>
    <xf numFmtId="166" fontId="36" fillId="0" borderId="10" xfId="33" applyNumberFormat="1" applyFont="1" applyFill="1" applyBorder="1" applyAlignment="1">
      <alignment horizontal="center" vertical="center"/>
    </xf>
    <xf numFmtId="166" fontId="28" fillId="33" borderId="32" xfId="40" applyNumberFormat="1" applyFont="1" applyFill="1" applyBorder="1" applyAlignment="1">
      <alignment horizontal="center" vertical="center"/>
    </xf>
    <xf numFmtId="166" fontId="29" fillId="0" borderId="15" xfId="33" applyNumberFormat="1" applyFont="1" applyFill="1" applyBorder="1" applyAlignment="1">
      <alignment vertical="center"/>
    </xf>
    <xf numFmtId="166" fontId="32" fillId="34" borderId="12" xfId="33" applyNumberFormat="1" applyFont="1" applyFill="1" applyBorder="1" applyAlignment="1">
      <alignment vertical="center"/>
    </xf>
    <xf numFmtId="166" fontId="29" fillId="34" borderId="15" xfId="33" applyNumberFormat="1" applyFont="1" applyFill="1" applyBorder="1" applyAlignment="1">
      <alignment horizontal="right" vertical="center"/>
    </xf>
    <xf numFmtId="166" fontId="29" fillId="34" borderId="17" xfId="33" applyNumberFormat="1" applyFont="1" applyFill="1" applyBorder="1" applyAlignment="1">
      <alignment horizontal="right" vertical="center"/>
    </xf>
    <xf numFmtId="171" fontId="32" fillId="33" borderId="12" xfId="35" applyNumberFormat="1" applyFont="1" applyFill="1" applyBorder="1" applyAlignment="1">
      <alignment horizontal="left" vertical="center"/>
    </xf>
    <xf numFmtId="0" fontId="27" fillId="0" borderId="10" xfId="0" applyFont="1" applyFill="1" applyBorder="1" applyAlignment="1">
      <alignment vertical="center"/>
    </xf>
    <xf numFmtId="0" fontId="27" fillId="0" borderId="11" xfId="0" applyFont="1" applyFill="1" applyBorder="1" applyAlignment="1">
      <alignment vertical="center"/>
    </xf>
    <xf numFmtId="0" fontId="27" fillId="0" borderId="12" xfId="0" applyFont="1" applyFill="1" applyBorder="1" applyAlignment="1">
      <alignment vertical="center"/>
    </xf>
    <xf numFmtId="166" fontId="34" fillId="0" borderId="11" xfId="33" applyNumberFormat="1" applyFont="1" applyFill="1" applyBorder="1" applyAlignment="1">
      <alignment horizontal="center" vertical="center"/>
    </xf>
    <xf numFmtId="10" fontId="39" fillId="0" borderId="19" xfId="40" applyNumberFormat="1" applyFont="1" applyFill="1" applyBorder="1" applyAlignment="1">
      <alignment horizontal="center" vertical="center"/>
    </xf>
    <xf numFmtId="166" fontId="39" fillId="0" borderId="19" xfId="33" applyNumberFormat="1" applyFont="1" applyFill="1" applyBorder="1" applyAlignment="1">
      <alignment horizontal="center" vertical="center"/>
    </xf>
    <xf numFmtId="10" fontId="34" fillId="0" borderId="14" xfId="40" applyNumberFormat="1" applyFont="1" applyFill="1" applyBorder="1" applyAlignment="1">
      <alignment horizontal="center" vertical="center"/>
    </xf>
    <xf numFmtId="165" fontId="76" fillId="0" borderId="2" xfId="33" applyFont="1" applyFill="1" applyBorder="1" applyAlignment="1">
      <alignment vertical="center"/>
    </xf>
    <xf numFmtId="10" fontId="76" fillId="0" borderId="51" xfId="40" applyNumberFormat="1" applyFont="1" applyFill="1" applyBorder="1" applyAlignment="1">
      <alignment horizontal="left" vertical="center"/>
    </xf>
    <xf numFmtId="174" fontId="76" fillId="0" borderId="51" xfId="0" applyNumberFormat="1" applyFont="1" applyFill="1" applyBorder="1" applyAlignment="1">
      <alignment horizontal="center" vertical="center"/>
    </xf>
    <xf numFmtId="166" fontId="76" fillId="0" borderId="51" xfId="33" applyNumberFormat="1" applyFont="1" applyFill="1" applyBorder="1" applyAlignment="1">
      <alignment horizontal="center" vertical="center"/>
    </xf>
    <xf numFmtId="10" fontId="76" fillId="0" borderId="51" xfId="40" applyNumberFormat="1" applyFont="1" applyFill="1" applyBorder="1" applyAlignment="1">
      <alignment horizontal="right" vertical="center"/>
    </xf>
    <xf numFmtId="169" fontId="76" fillId="0" borderId="51" xfId="40" applyNumberFormat="1" applyFont="1" applyFill="1" applyBorder="1" applyAlignment="1">
      <alignment horizontal="center" vertical="center"/>
    </xf>
    <xf numFmtId="10" fontId="76" fillId="0" borderId="51" xfId="40" applyNumberFormat="1" applyFont="1" applyFill="1" applyBorder="1" applyAlignment="1">
      <alignment horizontal="center" vertical="center"/>
    </xf>
    <xf numFmtId="0" fontId="76" fillId="0" borderId="51" xfId="0" applyFont="1" applyFill="1" applyBorder="1" applyAlignment="1">
      <alignment horizontal="center" vertical="center"/>
    </xf>
    <xf numFmtId="10" fontId="76" fillId="0" borderId="51" xfId="40" applyNumberFormat="1" applyFont="1" applyFill="1" applyBorder="1" applyAlignment="1">
      <alignment vertical="center"/>
    </xf>
    <xf numFmtId="10" fontId="76" fillId="0" borderId="53" xfId="40" applyNumberFormat="1" applyFont="1" applyFill="1" applyBorder="1" applyAlignment="1">
      <alignment vertical="center"/>
    </xf>
    <xf numFmtId="10" fontId="76" fillId="0" borderId="0" xfId="0" applyNumberFormat="1" applyFont="1" applyFill="1" applyAlignment="1">
      <alignment vertical="center"/>
    </xf>
    <xf numFmtId="0" fontId="76" fillId="0" borderId="0" xfId="0" applyFont="1" applyFill="1" applyAlignment="1">
      <alignment vertical="center"/>
    </xf>
    <xf numFmtId="10" fontId="34" fillId="33" borderId="32" xfId="40" applyNumberFormat="1" applyFont="1" applyFill="1" applyBorder="1" applyAlignment="1">
      <alignment horizontal="center" vertical="center"/>
    </xf>
    <xf numFmtId="166" fontId="34" fillId="33" borderId="27" xfId="33" applyNumberFormat="1" applyFont="1" applyFill="1" applyBorder="1" applyAlignment="1">
      <alignment horizontal="center" vertical="center"/>
    </xf>
    <xf numFmtId="166" fontId="36" fillId="0" borderId="12" xfId="33" applyNumberFormat="1" applyFont="1" applyFill="1" applyBorder="1" applyAlignment="1">
      <alignment horizontal="center" vertical="center"/>
    </xf>
    <xf numFmtId="10" fontId="36" fillId="0" borderId="12" xfId="40" applyNumberFormat="1" applyFont="1" applyFill="1" applyBorder="1" applyAlignment="1">
      <alignment horizontal="center" vertical="center"/>
    </xf>
    <xf numFmtId="10" fontId="77" fillId="35" borderId="27" xfId="40" applyNumberFormat="1" applyFont="1" applyFill="1" applyBorder="1" applyAlignment="1">
      <alignment horizontal="center" vertical="center"/>
    </xf>
    <xf numFmtId="166" fontId="77" fillId="35" borderId="27" xfId="33" applyNumberFormat="1" applyFont="1" applyFill="1" applyBorder="1" applyAlignment="1">
      <alignment horizontal="center" vertical="center"/>
    </xf>
    <xf numFmtId="165" fontId="27" fillId="0" borderId="0" xfId="0" applyNumberFormat="1" applyFont="1" applyFill="1" applyAlignment="1">
      <alignment vertical="center"/>
    </xf>
    <xf numFmtId="166" fontId="27" fillId="0" borderId="0" xfId="0" applyNumberFormat="1" applyFont="1" applyFill="1" applyAlignment="1">
      <alignment vertical="center"/>
    </xf>
    <xf numFmtId="10" fontId="78" fillId="0" borderId="0" xfId="40" applyNumberFormat="1" applyFont="1" applyAlignment="1">
      <alignment vertical="center"/>
    </xf>
    <xf numFmtId="0" fontId="29" fillId="0" borderId="13" xfId="0" applyFont="1" applyFill="1" applyBorder="1" applyAlignment="1">
      <alignment vertical="center"/>
    </xf>
    <xf numFmtId="10" fontId="34" fillId="33" borderId="27" xfId="40" applyNumberFormat="1" applyFont="1" applyFill="1" applyBorder="1" applyAlignment="1">
      <alignment horizontal="center" vertical="center"/>
    </xf>
    <xf numFmtId="166" fontId="35" fillId="0" borderId="11" xfId="33" applyNumberFormat="1" applyFont="1" applyFill="1" applyBorder="1" applyAlignment="1">
      <alignment horizontal="center" vertical="center"/>
    </xf>
    <xf numFmtId="10" fontId="36" fillId="33" borderId="32" xfId="40" applyNumberFormat="1" applyFont="1" applyFill="1" applyBorder="1" applyAlignment="1">
      <alignment horizontal="center" vertical="center"/>
    </xf>
    <xf numFmtId="166" fontId="36" fillId="33" borderId="27" xfId="33" applyNumberFormat="1" applyFont="1" applyFill="1" applyBorder="1" applyAlignment="1">
      <alignment horizontal="center" vertical="center"/>
    </xf>
    <xf numFmtId="165" fontId="27" fillId="0" borderId="17" xfId="33" applyFont="1" applyFill="1" applyBorder="1" applyAlignment="1">
      <alignment horizontal="center" vertical="center"/>
    </xf>
    <xf numFmtId="166" fontId="26" fillId="0" borderId="0" xfId="0" applyNumberFormat="1" applyFont="1" applyAlignment="1">
      <alignment vertical="center"/>
    </xf>
    <xf numFmtId="0" fontId="27" fillId="0" borderId="23" xfId="0" applyFont="1" applyFill="1" applyBorder="1" applyAlignment="1">
      <alignment horizontal="center" vertical="center"/>
    </xf>
    <xf numFmtId="166" fontId="27" fillId="0" borderId="28" xfId="33" applyNumberFormat="1" applyFont="1" applyFill="1" applyBorder="1" applyAlignment="1">
      <alignment horizontal="center" vertical="center"/>
    </xf>
    <xf numFmtId="3" fontId="27" fillId="0" borderId="22" xfId="33" applyNumberFormat="1" applyFont="1" applyFill="1" applyBorder="1" applyAlignment="1">
      <alignment horizontal="center" vertical="center"/>
    </xf>
    <xf numFmtId="10" fontId="27" fillId="0" borderId="23" xfId="0" applyNumberFormat="1" applyFont="1" applyFill="1" applyBorder="1" applyAlignment="1">
      <alignment horizontal="center" vertical="center"/>
    </xf>
    <xf numFmtId="166" fontId="34" fillId="0" borderId="8" xfId="33" applyNumberFormat="1" applyFont="1" applyFill="1" applyBorder="1" applyAlignment="1">
      <alignment horizontal="center" vertical="center"/>
    </xf>
    <xf numFmtId="10" fontId="34" fillId="0" borderId="11" xfId="40" applyNumberFormat="1" applyFont="1" applyFill="1" applyBorder="1" applyAlignment="1">
      <alignment horizontal="center" vertical="center"/>
    </xf>
    <xf numFmtId="3" fontId="37" fillId="0" borderId="11" xfId="0" applyNumberFormat="1" applyFont="1" applyFill="1" applyBorder="1" applyAlignment="1">
      <alignment horizontal="center" vertical="center"/>
    </xf>
    <xf numFmtId="3" fontId="27" fillId="0" borderId="11" xfId="0" applyNumberFormat="1" applyFont="1" applyFill="1" applyBorder="1" applyAlignment="1">
      <alignment horizontal="center" vertical="center"/>
    </xf>
    <xf numFmtId="10" fontId="34" fillId="0" borderId="11" xfId="0" applyNumberFormat="1" applyFont="1" applyFill="1" applyBorder="1" applyAlignment="1">
      <alignment horizontal="center" vertical="center"/>
    </xf>
    <xf numFmtId="10" fontId="26" fillId="0" borderId="12" xfId="40" applyNumberFormat="1" applyFont="1" applyFill="1" applyBorder="1" applyAlignment="1">
      <alignment horizontal="center" vertical="center"/>
    </xf>
    <xf numFmtId="166" fontId="26" fillId="0" borderId="17" xfId="33" applyNumberFormat="1" applyFont="1" applyFill="1" applyBorder="1" applyAlignment="1">
      <alignment horizontal="center" vertical="center"/>
    </xf>
    <xf numFmtId="10" fontId="36" fillId="0" borderId="13" xfId="40" applyNumberFormat="1" applyFont="1" applyFill="1" applyBorder="1" applyAlignment="1">
      <alignment horizontal="center" vertical="center"/>
    </xf>
    <xf numFmtId="10" fontId="36" fillId="0" borderId="15" xfId="40" applyNumberFormat="1" applyFont="1" applyFill="1" applyBorder="1" applyAlignment="1">
      <alignment horizontal="center" vertical="center"/>
    </xf>
    <xf numFmtId="10" fontId="34" fillId="0" borderId="10" xfId="40" applyNumberFormat="1" applyFont="1" applyFill="1" applyBorder="1" applyAlignment="1">
      <alignment horizontal="center" vertical="center"/>
    </xf>
    <xf numFmtId="166" fontId="34" fillId="0" borderId="16" xfId="33" applyNumberFormat="1" applyFont="1" applyFill="1" applyBorder="1" applyAlignment="1">
      <alignment horizontal="center" vertical="center"/>
    </xf>
    <xf numFmtId="166" fontId="26" fillId="0" borderId="12" xfId="33" applyNumberFormat="1" applyFont="1" applyFill="1" applyBorder="1" applyAlignment="1">
      <alignment horizontal="center" vertical="center"/>
    </xf>
    <xf numFmtId="3" fontId="36" fillId="0" borderId="12" xfId="33" applyNumberFormat="1" applyFont="1" applyFill="1" applyBorder="1" applyAlignment="1">
      <alignment horizontal="center" vertical="center"/>
    </xf>
    <xf numFmtId="166" fontId="36" fillId="0" borderId="8" xfId="33" applyNumberFormat="1" applyFont="1" applyFill="1" applyBorder="1" applyAlignment="1">
      <alignment horizontal="center" vertical="center"/>
    </xf>
    <xf numFmtId="166" fontId="36" fillId="33" borderId="26" xfId="33" applyNumberFormat="1" applyFont="1" applyFill="1" applyBorder="1" applyAlignment="1">
      <alignment horizontal="center" vertical="center"/>
    </xf>
    <xf numFmtId="10" fontId="77" fillId="35" borderId="18" xfId="40" applyNumberFormat="1" applyFont="1" applyFill="1" applyBorder="1" applyAlignment="1">
      <alignment horizontal="center" vertical="center"/>
    </xf>
    <xf numFmtId="166" fontId="77" fillId="35" borderId="18" xfId="33" applyNumberFormat="1" applyFont="1" applyFill="1" applyBorder="1" applyAlignment="1">
      <alignment horizontal="center" vertical="center"/>
    </xf>
    <xf numFmtId="10" fontId="34" fillId="33" borderId="12" xfId="4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32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20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14" fontId="26" fillId="0" borderId="0" xfId="0" applyNumberFormat="1" applyFont="1" applyFill="1" applyBorder="1" applyAlignment="1">
      <alignment horizontal="center" vertical="center"/>
    </xf>
    <xf numFmtId="166" fontId="27" fillId="0" borderId="34" xfId="0" applyNumberFormat="1" applyFont="1" applyBorder="1" applyAlignment="1">
      <alignment horizontal="right" vertical="center"/>
    </xf>
    <xf numFmtId="0" fontId="35" fillId="35" borderId="20" xfId="0" applyFont="1" applyFill="1" applyBorder="1" applyAlignment="1">
      <alignment horizontal="center" vertical="center"/>
    </xf>
    <xf numFmtId="0" fontId="35" fillId="35" borderId="33" xfId="0" applyFont="1" applyFill="1" applyBorder="1" applyAlignment="1">
      <alignment horizontal="center" vertical="center"/>
    </xf>
    <xf numFmtId="0" fontId="35" fillId="35" borderId="34" xfId="0" applyFont="1" applyFill="1" applyBorder="1" applyAlignment="1">
      <alignment horizontal="center" vertical="center"/>
    </xf>
    <xf numFmtId="0" fontId="35" fillId="35" borderId="30" xfId="0" applyFont="1" applyFill="1" applyBorder="1" applyAlignment="1">
      <alignment horizontal="center" vertical="center"/>
    </xf>
    <xf numFmtId="0" fontId="26" fillId="35" borderId="35" xfId="0" applyFont="1" applyFill="1" applyBorder="1" applyAlignment="1">
      <alignment horizontal="center" vertical="center"/>
    </xf>
    <xf numFmtId="0" fontId="26" fillId="35" borderId="34" xfId="0" applyFont="1" applyFill="1" applyBorder="1" applyAlignment="1">
      <alignment horizontal="center" vertical="center"/>
    </xf>
    <xf numFmtId="0" fontId="26" fillId="35" borderId="36" xfId="0" applyFont="1" applyFill="1" applyBorder="1" applyAlignment="1">
      <alignment horizontal="center" vertical="center"/>
    </xf>
    <xf numFmtId="0" fontId="26" fillId="35" borderId="20" xfId="0" applyFont="1" applyFill="1" applyBorder="1" applyAlignment="1">
      <alignment horizontal="center" vertical="center"/>
    </xf>
    <xf numFmtId="0" fontId="26" fillId="35" borderId="3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33" borderId="0" xfId="0" applyFont="1" applyFill="1" applyBorder="1" applyAlignment="1">
      <alignment horizontal="center" vertical="center"/>
    </xf>
    <xf numFmtId="166" fontId="26" fillId="35" borderId="32" xfId="33" applyNumberFormat="1" applyFont="1" applyFill="1" applyBorder="1" applyAlignment="1">
      <alignment horizontal="center" vertical="center"/>
    </xf>
    <xf numFmtId="166" fontId="26" fillId="35" borderId="46" xfId="33" applyNumberFormat="1" applyFont="1" applyFill="1" applyBorder="1" applyAlignment="1">
      <alignment horizontal="center" vertical="center"/>
    </xf>
    <xf numFmtId="166" fontId="26" fillId="35" borderId="26" xfId="33" applyNumberFormat="1" applyFont="1" applyFill="1" applyBorder="1" applyAlignment="1">
      <alignment horizontal="center" vertical="center"/>
    </xf>
    <xf numFmtId="0" fontId="35" fillId="35" borderId="35" xfId="0" applyFont="1" applyFill="1" applyBorder="1" applyAlignment="1">
      <alignment horizontal="center" vertical="center"/>
    </xf>
    <xf numFmtId="0" fontId="35" fillId="35" borderId="36" xfId="0" applyFont="1" applyFill="1" applyBorder="1" applyAlignment="1">
      <alignment horizontal="center" vertical="center"/>
    </xf>
    <xf numFmtId="0" fontId="30" fillId="35" borderId="20" xfId="0" applyFont="1" applyFill="1" applyBorder="1" applyAlignment="1">
      <alignment horizontal="center" vertical="center"/>
    </xf>
    <xf numFmtId="0" fontId="30" fillId="35" borderId="33" xfId="0" applyFont="1" applyFill="1" applyBorder="1" applyAlignment="1">
      <alignment horizontal="center" vertical="center"/>
    </xf>
    <xf numFmtId="0" fontId="30" fillId="35" borderId="30" xfId="0" applyFont="1" applyFill="1" applyBorder="1" applyAlignment="1">
      <alignment horizontal="center" vertical="center"/>
    </xf>
    <xf numFmtId="0" fontId="30" fillId="35" borderId="35" xfId="0" applyFont="1" applyFill="1" applyBorder="1" applyAlignment="1">
      <alignment horizontal="center" vertical="center"/>
    </xf>
    <xf numFmtId="0" fontId="30" fillId="35" borderId="34" xfId="0" applyFont="1" applyFill="1" applyBorder="1" applyAlignment="1">
      <alignment horizontal="center" vertical="center"/>
    </xf>
    <xf numFmtId="0" fontId="30" fillId="35" borderId="36" xfId="0" applyFont="1" applyFill="1" applyBorder="1" applyAlignment="1">
      <alignment horizontal="center" vertical="center"/>
    </xf>
    <xf numFmtId="0" fontId="28" fillId="0" borderId="32" xfId="0" applyFont="1" applyBorder="1" applyAlignment="1">
      <alignment horizontal="left" vertical="center"/>
    </xf>
    <xf numFmtId="0" fontId="28" fillId="0" borderId="46" xfId="0" applyFont="1" applyBorder="1" applyAlignment="1">
      <alignment horizontal="left" vertical="center"/>
    </xf>
    <xf numFmtId="0" fontId="28" fillId="0" borderId="26" xfId="0" applyFont="1" applyBorder="1" applyAlignment="1">
      <alignment horizontal="left" vertical="center"/>
    </xf>
    <xf numFmtId="0" fontId="7" fillId="36" borderId="0" xfId="0" applyFont="1" applyFill="1" applyBorder="1" applyAlignment="1">
      <alignment horizontal="center"/>
    </xf>
    <xf numFmtId="0" fontId="7" fillId="35" borderId="29" xfId="0" applyFont="1" applyFill="1" applyBorder="1" applyAlignment="1">
      <alignment horizontal="left"/>
    </xf>
    <xf numFmtId="0" fontId="7" fillId="35" borderId="24" xfId="0" applyFont="1" applyFill="1" applyBorder="1" applyAlignment="1">
      <alignment horizontal="left"/>
    </xf>
    <xf numFmtId="0" fontId="72" fillId="0" borderId="0" xfId="0" applyFont="1" applyAlignment="1">
      <alignment horizontal="center"/>
    </xf>
    <xf numFmtId="0" fontId="42" fillId="38" borderId="54" xfId="0" applyFont="1" applyFill="1" applyBorder="1" applyAlignment="1">
      <alignment horizontal="right" vertical="center" wrapText="1"/>
    </xf>
    <xf numFmtId="0" fontId="42" fillId="38" borderId="58" xfId="0" applyFont="1" applyFill="1" applyBorder="1" applyAlignment="1">
      <alignment horizontal="right" vertical="center" wrapText="1"/>
    </xf>
    <xf numFmtId="0" fontId="42" fillId="38" borderId="59" xfId="0" applyFont="1" applyFill="1" applyBorder="1" applyAlignment="1">
      <alignment horizontal="right" vertical="center" wrapText="1"/>
    </xf>
    <xf numFmtId="0" fontId="43" fillId="39" borderId="64" xfId="0" applyFont="1" applyFill="1" applyBorder="1" applyAlignment="1">
      <alignment wrapText="1"/>
    </xf>
    <xf numFmtId="0" fontId="43" fillId="39" borderId="65" xfId="0" applyFont="1" applyFill="1" applyBorder="1" applyAlignment="1">
      <alignment wrapText="1"/>
    </xf>
    <xf numFmtId="0" fontId="44" fillId="38" borderId="66" xfId="0" applyFont="1" applyFill="1" applyBorder="1" applyAlignment="1">
      <alignment horizontal="center" vertical="top" wrapText="1"/>
    </xf>
    <xf numFmtId="0" fontId="44" fillId="38" borderId="67" xfId="0" applyFont="1" applyFill="1" applyBorder="1" applyAlignment="1">
      <alignment horizontal="center" vertical="top" wrapText="1"/>
    </xf>
    <xf numFmtId="0" fontId="44" fillId="38" borderId="68" xfId="0" applyFont="1" applyFill="1" applyBorder="1" applyAlignment="1">
      <alignment horizontal="center" vertical="top" wrapText="1"/>
    </xf>
    <xf numFmtId="166" fontId="27" fillId="65" borderId="10" xfId="33" applyNumberFormat="1" applyFont="1" applyFill="1" applyBorder="1" applyAlignment="1">
      <alignment horizontal="center" vertical="center"/>
    </xf>
    <xf numFmtId="166" fontId="27" fillId="65" borderId="11" xfId="33" applyNumberFormat="1" applyFont="1" applyFill="1" applyBorder="1" applyAlignment="1">
      <alignment horizontal="center" vertical="center"/>
    </xf>
    <xf numFmtId="3" fontId="51" fillId="65" borderId="8" xfId="0" applyNumberFormat="1" applyFont="1" applyFill="1" applyBorder="1" applyAlignment="1">
      <alignment horizontal="center" vertical="center"/>
    </xf>
    <xf numFmtId="3" fontId="37" fillId="65" borderId="8" xfId="0" applyNumberFormat="1" applyFont="1" applyFill="1" applyBorder="1" applyAlignment="1">
      <alignment horizontal="center" vertical="center"/>
    </xf>
    <xf numFmtId="166" fontId="27" fillId="65" borderId="15" xfId="33" applyNumberFormat="1" applyFont="1" applyFill="1" applyBorder="1" applyAlignment="1">
      <alignment horizontal="center" vertical="center"/>
    </xf>
    <xf numFmtId="3" fontId="37" fillId="65" borderId="10" xfId="0" applyNumberFormat="1" applyFont="1" applyFill="1" applyBorder="1" applyAlignment="1">
      <alignment horizontal="center" vertical="center"/>
    </xf>
    <xf numFmtId="3" fontId="37" fillId="65" borderId="11" xfId="0" applyNumberFormat="1" applyFont="1" applyFill="1" applyBorder="1" applyAlignment="1">
      <alignment horizontal="center" vertical="center"/>
    </xf>
    <xf numFmtId="166" fontId="27" fillId="65" borderId="12" xfId="33" applyNumberFormat="1" applyFont="1" applyFill="1" applyBorder="1" applyAlignment="1">
      <alignment horizontal="center" vertical="center"/>
    </xf>
    <xf numFmtId="164" fontId="36" fillId="65" borderId="16" xfId="35" applyFont="1" applyFill="1" applyBorder="1" applyAlignment="1">
      <alignment horizontal="right" vertical="center"/>
    </xf>
    <xf numFmtId="10" fontId="36" fillId="65" borderId="11" xfId="0" applyNumberFormat="1" applyFont="1" applyFill="1" applyBorder="1" applyAlignment="1">
      <alignment horizontal="center" vertical="center"/>
    </xf>
    <xf numFmtId="10" fontId="36" fillId="65" borderId="23" xfId="0" applyNumberFormat="1" applyFont="1" applyFill="1" applyBorder="1" applyAlignment="1">
      <alignment horizontal="center" vertical="center"/>
    </xf>
    <xf numFmtId="10" fontId="36" fillId="65" borderId="12" xfId="0" applyNumberFormat="1" applyFont="1" applyFill="1" applyBorder="1" applyAlignment="1">
      <alignment horizontal="center" vertical="center"/>
    </xf>
    <xf numFmtId="166" fontId="27" fillId="65" borderId="23" xfId="33" applyNumberFormat="1" applyFont="1" applyFill="1" applyBorder="1" applyAlignment="1">
      <alignment horizontal="center" vertical="center"/>
    </xf>
    <xf numFmtId="166" fontId="27" fillId="65" borderId="28" xfId="33" applyNumberFormat="1" applyFont="1" applyFill="1" applyBorder="1" applyAlignment="1">
      <alignment horizontal="center" vertical="center"/>
    </xf>
    <xf numFmtId="10" fontId="36" fillId="65" borderId="10" xfId="0" applyNumberFormat="1" applyFont="1" applyFill="1" applyBorder="1" applyAlignment="1">
      <alignment horizontal="center" vertical="center"/>
    </xf>
  </cellXfs>
  <cellStyles count="154">
    <cellStyle name="20% - Accent1" xfId="72"/>
    <cellStyle name="20% - Accent1 2" xfId="73"/>
    <cellStyle name="20% - Accent2" xfId="74"/>
    <cellStyle name="20% - Accent2 2" xfId="75"/>
    <cellStyle name="20% - Accent3" xfId="76"/>
    <cellStyle name="20% - Accent3 2" xfId="77"/>
    <cellStyle name="20% - Accent4" xfId="78"/>
    <cellStyle name="20% - Accent4 2" xfId="79"/>
    <cellStyle name="20% - Accent5" xfId="80"/>
    <cellStyle name="20% - Accent5 2" xfId="81"/>
    <cellStyle name="20% - Accent6" xfId="82"/>
    <cellStyle name="20% - Accent6 2" xfId="83"/>
    <cellStyle name="20% - Énfasis1" xfId="1" builtinId="30" customBuiltin="1"/>
    <cellStyle name="20% - Énfasis1 2" xfId="51"/>
    <cellStyle name="20% - Énfasis1 3" xfId="84"/>
    <cellStyle name="20% - Énfasis2" xfId="2" builtinId="34" customBuiltin="1"/>
    <cellStyle name="20% - Énfasis2 2" xfId="52"/>
    <cellStyle name="20% - Énfasis2 3" xfId="85"/>
    <cellStyle name="20% - Énfasis3" xfId="3" builtinId="38" customBuiltin="1"/>
    <cellStyle name="20% - Énfasis3 2" xfId="53"/>
    <cellStyle name="20% - Énfasis3 3" xfId="86"/>
    <cellStyle name="20% - Énfasis4" xfId="4" builtinId="42" customBuiltin="1"/>
    <cellStyle name="20% - Énfasis4 2" xfId="54"/>
    <cellStyle name="20% - Énfasis4 3" xfId="87"/>
    <cellStyle name="20% - Énfasis5" xfId="5" builtinId="46" customBuiltin="1"/>
    <cellStyle name="20% - Énfasis5 2" xfId="55"/>
    <cellStyle name="20% - Énfasis5 3" xfId="88"/>
    <cellStyle name="20% - Énfasis6" xfId="6" builtinId="50" customBuiltin="1"/>
    <cellStyle name="20% - Énfasis6 2" xfId="56"/>
    <cellStyle name="20% - Énfasis6 3" xfId="89"/>
    <cellStyle name="40% - Accent1" xfId="90"/>
    <cellStyle name="40% - Accent1 2" xfId="91"/>
    <cellStyle name="40% - Accent2" xfId="92"/>
    <cellStyle name="40% - Accent2 2" xfId="93"/>
    <cellStyle name="40% - Accent3" xfId="94"/>
    <cellStyle name="40% - Accent3 2" xfId="95"/>
    <cellStyle name="40% - Accent4" xfId="96"/>
    <cellStyle name="40% - Accent4 2" xfId="97"/>
    <cellStyle name="40% - Accent5" xfId="98"/>
    <cellStyle name="40% - Accent5 2" xfId="99"/>
    <cellStyle name="40% - Accent6" xfId="100"/>
    <cellStyle name="40% - Accent6 2" xfId="101"/>
    <cellStyle name="40% - Énfasis1" xfId="7" builtinId="31" customBuiltin="1"/>
    <cellStyle name="40% - Énfasis1 2" xfId="57"/>
    <cellStyle name="40% - Énfasis1 3" xfId="102"/>
    <cellStyle name="40% - Énfasis2" xfId="8" builtinId="35" customBuiltin="1"/>
    <cellStyle name="40% - Énfasis2 2" xfId="58"/>
    <cellStyle name="40% - Énfasis2 3" xfId="103"/>
    <cellStyle name="40% - Énfasis3" xfId="9" builtinId="39" customBuiltin="1"/>
    <cellStyle name="40% - Énfasis3 2" xfId="59"/>
    <cellStyle name="40% - Énfasis3 3" xfId="104"/>
    <cellStyle name="40% - Énfasis4" xfId="10" builtinId="43" customBuiltin="1"/>
    <cellStyle name="40% - Énfasis4 2" xfId="60"/>
    <cellStyle name="40% - Énfasis4 3" xfId="105"/>
    <cellStyle name="40% - Énfasis5" xfId="11" builtinId="47" customBuiltin="1"/>
    <cellStyle name="40% - Énfasis5 2" xfId="61"/>
    <cellStyle name="40% - Énfasis5 3" xfId="106"/>
    <cellStyle name="40% - Énfasis6" xfId="12" builtinId="51" customBuiltin="1"/>
    <cellStyle name="40% - Énfasis6 2" xfId="62"/>
    <cellStyle name="40% - Énfasis6 3" xfId="107"/>
    <cellStyle name="60% - Accent1" xfId="108"/>
    <cellStyle name="60% - Accent2" xfId="109"/>
    <cellStyle name="60% - Accent3" xfId="110"/>
    <cellStyle name="60% - Accent4" xfId="111"/>
    <cellStyle name="60% - Accent5" xfId="112"/>
    <cellStyle name="60% - Accent6" xfId="113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Accent1" xfId="114"/>
    <cellStyle name="Accent2" xfId="115"/>
    <cellStyle name="Accent3" xfId="116"/>
    <cellStyle name="Accent4" xfId="117"/>
    <cellStyle name="Accent5" xfId="118"/>
    <cellStyle name="Accent6" xfId="119"/>
    <cellStyle name="Bad" xfId="120"/>
    <cellStyle name="Buena" xfId="19" builtinId="26" customBuiltin="1"/>
    <cellStyle name="Calculation" xfId="121"/>
    <cellStyle name="Cálculo" xfId="20" builtinId="22" customBuiltin="1"/>
    <cellStyle name="Celda de comprobación" xfId="21" builtinId="23" customBuiltin="1"/>
    <cellStyle name="Celda vinculada" xfId="22" builtinId="24" customBuiltin="1"/>
    <cellStyle name="Check Cell" xfId="122"/>
    <cellStyle name="Encabezado 1" xfId="70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uro" xfId="31"/>
    <cellStyle name="Explanatory Text" xfId="123"/>
    <cellStyle name="Good" xfId="124"/>
    <cellStyle name="Heading 1" xfId="125"/>
    <cellStyle name="Heading 2" xfId="126"/>
    <cellStyle name="Heading 3" xfId="127"/>
    <cellStyle name="Heading 4" xfId="128"/>
    <cellStyle name="Hipervínculo 2" xfId="129"/>
    <cellStyle name="Incorrecto" xfId="32" builtinId="27" customBuiltin="1"/>
    <cellStyle name="Input" xfId="130"/>
    <cellStyle name="Linked Cell" xfId="131"/>
    <cellStyle name="Millares" xfId="33" builtinId="3"/>
    <cellStyle name="Millares 2" xfId="34"/>
    <cellStyle name="Millares 2 2" xfId="64"/>
    <cellStyle name="Millares 2 3" xfId="133"/>
    <cellStyle name="Millares 2 4" xfId="151"/>
    <cellStyle name="Millares 3" xfId="63"/>
    <cellStyle name="Millares 4" xfId="132"/>
    <cellStyle name="Millares 5" xfId="148"/>
    <cellStyle name="Moneda" xfId="35" builtinId="4"/>
    <cellStyle name="Moneda 2" xfId="36"/>
    <cellStyle name="Moneda 2 2" xfId="135"/>
    <cellStyle name="Moneda 2 3" xfId="150"/>
    <cellStyle name="Moneda 3" xfId="65"/>
    <cellStyle name="Moneda 4" xfId="134"/>
    <cellStyle name="Moneda 5" xfId="149"/>
    <cellStyle name="Neutral" xfId="37" builtinId="28" customBuiltin="1"/>
    <cellStyle name="Neutral 2" xfId="136"/>
    <cellStyle name="Normal" xfId="0" builtinId="0"/>
    <cellStyle name="Normal 2" xfId="38"/>
    <cellStyle name="Normal 2 2" xfId="66"/>
    <cellStyle name="Normal 2 3" xfId="138"/>
    <cellStyle name="Normal 2 4" xfId="137"/>
    <cellStyle name="Normal 2 5" xfId="152"/>
    <cellStyle name="Normal 2 6" xfId="153"/>
    <cellStyle name="Normal 3" xfId="49"/>
    <cellStyle name="Normal 3 2" xfId="139"/>
    <cellStyle name="Normal 4" xfId="50"/>
    <cellStyle name="Normal 5" xfId="71"/>
    <cellStyle name="Notas 2" xfId="39"/>
    <cellStyle name="Notas 3" xfId="67"/>
    <cellStyle name="Notas 4" xfId="140"/>
    <cellStyle name="Note" xfId="141"/>
    <cellStyle name="Note 2" xfId="142"/>
    <cellStyle name="Output" xfId="143"/>
    <cellStyle name="Porcentaje" xfId="40" builtinId="5"/>
    <cellStyle name="Porcentaje 2" xfId="41"/>
    <cellStyle name="Porcentaje 3" xfId="68"/>
    <cellStyle name="Porcentaje 4" xfId="144"/>
    <cellStyle name="Salida" xfId="42" builtinId="21" customBuiltin="1"/>
    <cellStyle name="Texto de advertencia" xfId="43" builtinId="11" customBuiltin="1"/>
    <cellStyle name="Texto explicativo" xfId="44" builtinId="53" customBuiltin="1"/>
    <cellStyle name="Title" xfId="145"/>
    <cellStyle name="Título" xfId="45" builtinId="15" customBuiltin="1"/>
    <cellStyle name="Título 2" xfId="46" builtinId="17" customBuiltin="1"/>
    <cellStyle name="Título 3" xfId="47" builtinId="18" customBuiltin="1"/>
    <cellStyle name="Título 4" xfId="69"/>
    <cellStyle name="Total" xfId="48" builtinId="25" customBuiltin="1"/>
    <cellStyle name="Total 2" xfId="146"/>
    <cellStyle name="Warning Text" xfId="147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  <dxf>
      <font>
        <b/>
        <i val="0"/>
        <color theme="6" tint="-0.24994659260841701"/>
      </font>
    </dxf>
  </dxfs>
  <tableStyles count="0" defaultTableStyle="TableStyleMedium9" defaultPivotStyle="PivotStyleLight16"/>
  <colors>
    <mruColors>
      <color rgb="FF00FF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eraalicia_backup\Vera%20Alicia\veraalicia\Documents\Cheques%20Girados%20y%20Cobrados%20A&#241;o%202018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mBank"/>
      <sheetName val="CobroHelm"/>
      <sheetName val="Consolidado"/>
    </sheetNames>
    <sheetDataSet>
      <sheetData sheetId="0" refreshError="1"/>
      <sheetData sheetId="1" refreshError="1"/>
      <sheetData sheetId="2">
        <row r="4">
          <cell r="C4">
            <v>59162.14</v>
          </cell>
        </row>
        <row r="5">
          <cell r="C5">
            <v>700</v>
          </cell>
        </row>
        <row r="7">
          <cell r="C7">
            <v>27216.93</v>
          </cell>
        </row>
        <row r="8">
          <cell r="C8">
            <v>81802.135999999999</v>
          </cell>
        </row>
        <row r="9">
          <cell r="C9">
            <v>51282.432000000001</v>
          </cell>
        </row>
        <row r="10">
          <cell r="C10">
            <v>175161.83100000001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105"/>
  <sheetViews>
    <sheetView showGridLines="0" tabSelected="1" topLeftCell="A2" zoomScale="30" zoomScaleNormal="30" workbookViewId="0">
      <selection activeCell="C23" sqref="C23"/>
    </sheetView>
  </sheetViews>
  <sheetFormatPr baseColWidth="10" defaultColWidth="11.42578125" defaultRowHeight="20.100000000000001" customHeight="1" x14ac:dyDescent="0.2"/>
  <cols>
    <col min="1" max="1" width="112.7109375" style="22" customWidth="1"/>
    <col min="2" max="2" width="61.28515625" style="22" customWidth="1"/>
    <col min="3" max="3" width="64.140625" style="22" customWidth="1"/>
    <col min="4" max="4" width="60.140625" style="369" customWidth="1"/>
    <col min="5" max="5" width="54.140625" style="100" customWidth="1"/>
    <col min="6" max="6" width="58.7109375" style="23" customWidth="1"/>
    <col min="7" max="7" width="49.42578125" style="23" customWidth="1"/>
    <col min="8" max="8" width="44.42578125" style="101" customWidth="1"/>
    <col min="9" max="9" width="46.5703125" style="369" customWidth="1"/>
    <col min="10" max="10" width="47" style="369" customWidth="1"/>
    <col min="11" max="11" width="48.7109375" style="24" customWidth="1"/>
    <col min="12" max="12" width="47.28515625" style="24" customWidth="1"/>
    <col min="13" max="13" width="58.28515625" style="22" customWidth="1"/>
    <col min="14" max="14" width="47" style="22" bestFit="1" customWidth="1"/>
    <col min="15" max="15" width="32.28515625" style="29" bestFit="1" customWidth="1"/>
    <col min="16" max="16" width="26.5703125" style="22" bestFit="1" customWidth="1"/>
    <col min="17" max="17" width="41.5703125" style="22" bestFit="1" customWidth="1"/>
    <col min="18" max="18" width="17.28515625" style="22" bestFit="1" customWidth="1"/>
    <col min="19" max="16384" width="11.42578125" style="22"/>
  </cols>
  <sheetData>
    <row r="1" spans="1:15" ht="48" customHeight="1" x14ac:dyDescent="0.2">
      <c r="A1" s="520" t="s">
        <v>76</v>
      </c>
      <c r="B1" s="520"/>
      <c r="C1" s="520"/>
      <c r="D1" s="520"/>
      <c r="E1" s="520"/>
      <c r="F1" s="520"/>
      <c r="G1" s="520"/>
      <c r="H1" s="520"/>
      <c r="I1" s="520"/>
      <c r="J1" s="520"/>
      <c r="K1" s="520"/>
      <c r="L1" s="520"/>
    </row>
    <row r="2" spans="1:15" ht="20.100000000000001" customHeight="1" x14ac:dyDescent="0.2">
      <c r="D2" s="22"/>
      <c r="E2" s="22"/>
      <c r="F2" s="202"/>
      <c r="G2" s="369"/>
      <c r="H2" s="100"/>
      <c r="I2" s="23"/>
      <c r="J2" s="101"/>
      <c r="K2" s="369"/>
    </row>
    <row r="3" spans="1:15" ht="34.5" customHeight="1" x14ac:dyDescent="0.2">
      <c r="A3" s="520" t="s">
        <v>80</v>
      </c>
      <c r="B3" s="520"/>
      <c r="C3" s="520"/>
      <c r="D3" s="520"/>
      <c r="E3" s="520"/>
      <c r="F3" s="520"/>
      <c r="G3" s="520"/>
      <c r="H3" s="520"/>
      <c r="I3" s="520"/>
      <c r="J3" s="520"/>
      <c r="K3" s="520"/>
      <c r="L3" s="520"/>
    </row>
    <row r="4" spans="1:15" ht="20.100000000000001" customHeight="1" x14ac:dyDescent="0.2">
      <c r="A4" s="368"/>
      <c r="B4" s="521"/>
      <c r="C4" s="521"/>
      <c r="D4" s="521"/>
      <c r="E4" s="521"/>
      <c r="F4" s="521"/>
      <c r="G4" s="521"/>
      <c r="H4" s="521"/>
      <c r="I4" s="521"/>
      <c r="J4" s="521"/>
      <c r="K4" s="521"/>
      <c r="L4" s="521"/>
    </row>
    <row r="5" spans="1:15" ht="30" customHeight="1" x14ac:dyDescent="0.2">
      <c r="A5" s="504" t="s">
        <v>79</v>
      </c>
      <c r="B5" s="504"/>
      <c r="C5" s="504"/>
      <c r="D5" s="504"/>
      <c r="E5" s="504"/>
      <c r="F5" s="504"/>
      <c r="G5" s="504"/>
      <c r="H5" s="504"/>
      <c r="I5" s="504"/>
      <c r="J5" s="504"/>
      <c r="K5" s="504"/>
      <c r="L5" s="504"/>
    </row>
    <row r="6" spans="1:15" ht="20.100000000000001" customHeight="1" x14ac:dyDescent="0.2">
      <c r="A6" s="522"/>
      <c r="B6" s="522"/>
      <c r="C6" s="522"/>
      <c r="D6" s="522"/>
      <c r="E6" s="522"/>
      <c r="F6" s="522"/>
      <c r="G6" s="522"/>
      <c r="H6" s="522"/>
      <c r="I6" s="522"/>
      <c r="J6" s="522"/>
      <c r="K6" s="522"/>
      <c r="L6" s="522"/>
    </row>
    <row r="7" spans="1:15" ht="54" customHeight="1" x14ac:dyDescent="0.2">
      <c r="A7" s="504" t="s">
        <v>77</v>
      </c>
      <c r="B7" s="504"/>
      <c r="C7" s="504"/>
      <c r="D7" s="504"/>
      <c r="E7" s="504"/>
      <c r="F7" s="504"/>
      <c r="G7" s="504"/>
      <c r="H7" s="504"/>
      <c r="I7" s="504"/>
      <c r="J7" s="504"/>
      <c r="K7" s="504"/>
      <c r="L7" s="504"/>
    </row>
    <row r="8" spans="1:15" ht="46.5" customHeight="1" thickBot="1" x14ac:dyDescent="0.25">
      <c r="A8" s="509">
        <v>43452</v>
      </c>
      <c r="B8" s="504"/>
      <c r="C8" s="504"/>
      <c r="D8" s="504"/>
      <c r="E8" s="504"/>
      <c r="F8" s="504"/>
      <c r="G8" s="504"/>
      <c r="H8" s="504"/>
      <c r="I8" s="504"/>
      <c r="J8" s="504"/>
      <c r="K8" s="504"/>
      <c r="L8" s="504"/>
      <c r="M8" s="248"/>
    </row>
    <row r="9" spans="1:15" ht="39.75" thickBot="1" x14ac:dyDescent="0.25">
      <c r="A9" s="102" t="s">
        <v>16</v>
      </c>
      <c r="B9" s="102" t="s">
        <v>18</v>
      </c>
      <c r="C9" s="102" t="s">
        <v>19</v>
      </c>
      <c r="D9" s="102" t="s">
        <v>20</v>
      </c>
      <c r="E9" s="102" t="s">
        <v>49</v>
      </c>
      <c r="F9" s="204" t="s">
        <v>82</v>
      </c>
      <c r="G9" s="102" t="s">
        <v>21</v>
      </c>
      <c r="H9" s="102" t="s">
        <v>22</v>
      </c>
      <c r="I9" s="102" t="s">
        <v>23</v>
      </c>
      <c r="J9" s="102" t="s">
        <v>49</v>
      </c>
      <c r="K9" s="102" t="s">
        <v>127</v>
      </c>
      <c r="L9" s="102" t="s">
        <v>32</v>
      </c>
    </row>
    <row r="10" spans="1:15" ht="39.75" thickBot="1" x14ac:dyDescent="0.25">
      <c r="A10" s="511" t="s">
        <v>29</v>
      </c>
      <c r="B10" s="512"/>
      <c r="C10" s="512"/>
      <c r="D10" s="512"/>
      <c r="E10" s="513"/>
      <c r="F10" s="512"/>
      <c r="G10" s="512"/>
      <c r="H10" s="512"/>
      <c r="I10" s="512"/>
      <c r="J10" s="513"/>
      <c r="K10" s="512"/>
      <c r="L10" s="514"/>
    </row>
    <row r="11" spans="1:15" s="104" customFormat="1" ht="36" customHeight="1" x14ac:dyDescent="0.2">
      <c r="A11" s="276" t="s">
        <v>10</v>
      </c>
      <c r="B11" s="231" t="s">
        <v>218</v>
      </c>
      <c r="C11" s="549">
        <v>420045.22</v>
      </c>
      <c r="D11" s="113">
        <v>417785.22</v>
      </c>
      <c r="E11" s="495">
        <f>C11/D11-1</f>
        <v>5.409478104562826E-3</v>
      </c>
      <c r="F11" s="496">
        <f>+C11-D11</f>
        <v>2260</v>
      </c>
      <c r="G11" s="343"/>
      <c r="H11" s="103">
        <f t="shared" ref="H11:H14" si="0">+C11</f>
        <v>420045.22</v>
      </c>
      <c r="I11" s="113">
        <f>+D11</f>
        <v>417785.22</v>
      </c>
      <c r="J11" s="495">
        <f>+H11/I11-1</f>
        <v>5.409478104562826E-3</v>
      </c>
      <c r="K11" s="400"/>
      <c r="L11" s="557">
        <v>3216.55</v>
      </c>
      <c r="M11" s="393"/>
      <c r="N11" s="472"/>
      <c r="O11" s="233"/>
    </row>
    <row r="12" spans="1:15" s="104" customFormat="1" ht="36" customHeight="1" x14ac:dyDescent="0.2">
      <c r="A12" s="245" t="s">
        <v>11</v>
      </c>
      <c r="B12" s="246" t="s">
        <v>2</v>
      </c>
      <c r="C12" s="550">
        <v>1414374.5215900003</v>
      </c>
      <c r="D12" s="115">
        <v>1051652.6219000015</v>
      </c>
      <c r="E12" s="487">
        <f>C12/D12-1</f>
        <v>0.34490657098793287</v>
      </c>
      <c r="F12" s="486">
        <f>+C12-D12</f>
        <v>362721.89968999871</v>
      </c>
      <c r="G12" s="106"/>
      <c r="H12" s="105">
        <f t="shared" si="0"/>
        <v>1414374.5215900003</v>
      </c>
      <c r="I12" s="115">
        <f>+D12</f>
        <v>1051652.6219000015</v>
      </c>
      <c r="J12" s="487">
        <f>H12/I12-1</f>
        <v>0.34490657098793287</v>
      </c>
      <c r="K12" s="551">
        <v>1370302.8565983283</v>
      </c>
      <c r="L12" s="107"/>
      <c r="M12" s="232"/>
      <c r="N12" s="473"/>
      <c r="O12" s="233"/>
    </row>
    <row r="13" spans="1:15" s="104" customFormat="1" ht="36" customHeight="1" x14ac:dyDescent="0.2">
      <c r="A13" s="245" t="s">
        <v>181</v>
      </c>
      <c r="B13" s="246" t="s">
        <v>3</v>
      </c>
      <c r="C13" s="550">
        <v>1954728.5047600002</v>
      </c>
      <c r="D13" s="115">
        <v>2149757.8907600003</v>
      </c>
      <c r="E13" s="487">
        <f>C13/D13-1</f>
        <v>-9.072155838490803E-2</v>
      </c>
      <c r="F13" s="486">
        <f>+C13-D13</f>
        <v>-195029.38600000017</v>
      </c>
      <c r="G13" s="106">
        <f>+B97</f>
        <v>395325.46899999998</v>
      </c>
      <c r="H13" s="105">
        <f>+C13</f>
        <v>1954728.5047600002</v>
      </c>
      <c r="I13" s="115">
        <f>+D13</f>
        <v>2149757.8907600003</v>
      </c>
      <c r="J13" s="487">
        <f>(+I13/H13-1)*-1</f>
        <v>-9.9773132445288404E-2</v>
      </c>
      <c r="K13" s="551">
        <v>2354569.8158208509</v>
      </c>
      <c r="L13" s="107">
        <v>1500000</v>
      </c>
      <c r="M13" s="232"/>
      <c r="O13" s="233"/>
    </row>
    <row r="14" spans="1:15" s="104" customFormat="1" ht="36" customHeight="1" x14ac:dyDescent="0.2">
      <c r="A14" s="245" t="s">
        <v>13</v>
      </c>
      <c r="B14" s="246" t="s">
        <v>4</v>
      </c>
      <c r="C14" s="550">
        <v>2010933.3508199998</v>
      </c>
      <c r="D14" s="115">
        <v>2328060.9218199998</v>
      </c>
      <c r="E14" s="273">
        <f>+C14/D14-1</f>
        <v>-0.13621961866533983</v>
      </c>
      <c r="F14" s="499">
        <f>+C14-D14</f>
        <v>-317127.571</v>
      </c>
      <c r="G14" s="108"/>
      <c r="H14" s="105">
        <f t="shared" si="0"/>
        <v>2010933.3508199998</v>
      </c>
      <c r="I14" s="115">
        <f>+D14</f>
        <v>2328060.9218199998</v>
      </c>
      <c r="J14" s="273">
        <f>+H14/I14-1</f>
        <v>-0.13621961866533983</v>
      </c>
      <c r="K14" s="552">
        <v>1720531.2766016442</v>
      </c>
      <c r="L14" s="107">
        <v>1500000</v>
      </c>
      <c r="M14" s="232"/>
      <c r="O14" s="233"/>
    </row>
    <row r="15" spans="1:15" s="104" customFormat="1" ht="36" customHeight="1" x14ac:dyDescent="0.2">
      <c r="A15" s="245" t="s">
        <v>97</v>
      </c>
      <c r="B15" s="246" t="s">
        <v>99</v>
      </c>
      <c r="C15" s="105"/>
      <c r="D15" s="115"/>
      <c r="E15" s="292">
        <v>0</v>
      </c>
      <c r="F15" s="399">
        <v>0</v>
      </c>
      <c r="G15" s="108"/>
      <c r="H15" s="105">
        <v>0</v>
      </c>
      <c r="I15" s="115"/>
      <c r="J15" s="293"/>
      <c r="K15" s="296"/>
      <c r="L15" s="296"/>
      <c r="M15" s="232"/>
      <c r="O15" s="233"/>
    </row>
    <row r="16" spans="1:15" s="104" customFormat="1" ht="36" customHeight="1" thickBot="1" x14ac:dyDescent="0.25">
      <c r="A16" s="277" t="s">
        <v>14</v>
      </c>
      <c r="B16" s="278" t="s">
        <v>0</v>
      </c>
      <c r="C16" s="553">
        <v>9978.9498799999947</v>
      </c>
      <c r="D16" s="117">
        <v>9978.9498799999947</v>
      </c>
      <c r="E16" s="491">
        <f>C16/D16-1</f>
        <v>0</v>
      </c>
      <c r="F16" s="492">
        <f>+C16-D16</f>
        <v>0</v>
      </c>
      <c r="G16" s="110"/>
      <c r="H16" s="109">
        <f>+C16</f>
        <v>9978.9498799999947</v>
      </c>
      <c r="I16" s="402">
        <f>+D16</f>
        <v>9978.9498799999947</v>
      </c>
      <c r="J16" s="469">
        <f>+H16/I16-1</f>
        <v>0</v>
      </c>
      <c r="K16" s="401"/>
      <c r="L16" s="480"/>
      <c r="M16" s="232"/>
      <c r="O16" s="233"/>
    </row>
    <row r="17" spans="1:15" s="30" customFormat="1" ht="33.75" customHeight="1" thickBot="1" x14ac:dyDescent="0.25">
      <c r="A17" s="507" t="s">
        <v>27</v>
      </c>
      <c r="B17" s="508"/>
      <c r="C17" s="320">
        <f>SUM(C12:C16)+((C11*L11)/1000)</f>
        <v>6741111.7794410009</v>
      </c>
      <c r="D17" s="313">
        <f>SUM(D12:D16)+((D11*L11)/1000)</f>
        <v>6883277.433751002</v>
      </c>
      <c r="E17" s="318">
        <f>(C17/D17)-1</f>
        <v>-2.0653773682419829E-2</v>
      </c>
      <c r="F17" s="500">
        <f>+C17-D17</f>
        <v>-142165.65431000106</v>
      </c>
      <c r="G17" s="344">
        <f>SUM(G12:G16)</f>
        <v>395325.46899999998</v>
      </c>
      <c r="H17" s="313">
        <f>SUM(H12:H16)</f>
        <v>5390015.3270500004</v>
      </c>
      <c r="I17" s="313">
        <f>SUM(I12:I16)</f>
        <v>5539450.3843600024</v>
      </c>
      <c r="J17" s="476">
        <f>+H17/I17-1</f>
        <v>-2.6976513361671173E-2</v>
      </c>
      <c r="K17" s="319"/>
      <c r="L17" s="318"/>
      <c r="M17" s="481"/>
      <c r="O17" s="132"/>
    </row>
    <row r="18" spans="1:15" ht="39.75" thickBot="1" x14ac:dyDescent="0.25">
      <c r="A18" s="515" t="s">
        <v>30</v>
      </c>
      <c r="B18" s="516"/>
      <c r="C18" s="516"/>
      <c r="D18" s="516"/>
      <c r="E18" s="516"/>
      <c r="F18" s="516"/>
      <c r="G18" s="516"/>
      <c r="H18" s="516"/>
      <c r="I18" s="516"/>
      <c r="J18" s="516"/>
      <c r="K18" s="516"/>
      <c r="L18" s="517"/>
    </row>
    <row r="19" spans="1:15" s="104" customFormat="1" ht="36" customHeight="1" x14ac:dyDescent="0.2">
      <c r="A19" s="447" t="s">
        <v>15</v>
      </c>
      <c r="B19" s="231" t="s">
        <v>5</v>
      </c>
      <c r="C19" s="549">
        <v>8256098.4301300012</v>
      </c>
      <c r="D19" s="103">
        <v>11382978.838130001</v>
      </c>
      <c r="E19" s="439">
        <f>C19/D19-1</f>
        <v>-0.27469790223326851</v>
      </c>
      <c r="F19" s="440">
        <f>+C19-D19</f>
        <v>-3126880.4079999998</v>
      </c>
      <c r="G19" s="365"/>
      <c r="H19" s="103">
        <f>+C19</f>
        <v>8256098.4301300012</v>
      </c>
      <c r="I19" s="103">
        <f>+D19</f>
        <v>11382978.838130001</v>
      </c>
      <c r="J19" s="439">
        <f>H19/I19-1</f>
        <v>-0.27469790223326851</v>
      </c>
      <c r="K19" s="554">
        <v>7283422.2991640856</v>
      </c>
      <c r="L19" s="314">
        <v>4.2000000000000003E-2</v>
      </c>
      <c r="M19" s="393"/>
      <c r="O19" s="233"/>
    </row>
    <row r="20" spans="1:15" s="104" customFormat="1" ht="36" customHeight="1" x14ac:dyDescent="0.2">
      <c r="A20" s="448" t="s">
        <v>181</v>
      </c>
      <c r="B20" s="246" t="s">
        <v>6</v>
      </c>
      <c r="C20" s="550">
        <v>5527769.2782299994</v>
      </c>
      <c r="D20" s="105">
        <v>6460041.5985600017</v>
      </c>
      <c r="E20" s="273">
        <f t="shared" ref="E20:E25" si="1">C20/D20-1</f>
        <v>-0.14431367137601925</v>
      </c>
      <c r="F20" s="264">
        <f t="shared" ref="F20:F25" si="2">+C20-D20</f>
        <v>-932272.32033000235</v>
      </c>
      <c r="G20" s="114"/>
      <c r="H20" s="105">
        <f t="shared" ref="H20:H25" si="3">+C20</f>
        <v>5527769.2782299994</v>
      </c>
      <c r="I20" s="105">
        <f t="shared" ref="I20:I26" si="4">+D20</f>
        <v>6460041.5985600017</v>
      </c>
      <c r="J20" s="273">
        <f>H20/I20-1</f>
        <v>-0.14431367137601925</v>
      </c>
      <c r="K20" s="555">
        <v>4102236.1407070234</v>
      </c>
      <c r="L20" s="297">
        <v>4.3999999999999997E-2</v>
      </c>
      <c r="M20" s="393"/>
      <c r="O20" s="233"/>
    </row>
    <row r="21" spans="1:15" s="104" customFormat="1" ht="36" customHeight="1" x14ac:dyDescent="0.2">
      <c r="A21" s="448" t="s">
        <v>25</v>
      </c>
      <c r="B21" s="246" t="s">
        <v>8</v>
      </c>
      <c r="C21" s="550">
        <v>305.92884999999995</v>
      </c>
      <c r="D21" s="105">
        <v>305.92884999999995</v>
      </c>
      <c r="E21" s="292">
        <f t="shared" si="1"/>
        <v>0</v>
      </c>
      <c r="F21" s="477">
        <f t="shared" si="2"/>
        <v>0</v>
      </c>
      <c r="G21" s="114"/>
      <c r="H21" s="105">
        <f t="shared" si="3"/>
        <v>305.92884999999995</v>
      </c>
      <c r="I21" s="105">
        <f t="shared" si="4"/>
        <v>305.92884999999995</v>
      </c>
      <c r="J21" s="292">
        <f>H21/I21-1</f>
        <v>0</v>
      </c>
      <c r="K21" s="489"/>
      <c r="L21" s="296">
        <v>0</v>
      </c>
      <c r="M21" s="393"/>
      <c r="O21" s="233"/>
    </row>
    <row r="22" spans="1:15" s="104" customFormat="1" ht="36" customHeight="1" x14ac:dyDescent="0.2">
      <c r="A22" s="448" t="s">
        <v>221</v>
      </c>
      <c r="B22" s="246">
        <v>410846011</v>
      </c>
      <c r="C22" s="105">
        <f>224006102.04/1000</f>
        <v>224006.10204</v>
      </c>
      <c r="D22" s="105">
        <v>224006.10204</v>
      </c>
      <c r="E22" s="273">
        <f t="shared" si="1"/>
        <v>0</v>
      </c>
      <c r="F22" s="264">
        <f t="shared" si="2"/>
        <v>0</v>
      </c>
      <c r="G22" s="114"/>
      <c r="H22" s="105">
        <f t="shared" si="3"/>
        <v>224006.10204</v>
      </c>
      <c r="I22" s="105">
        <f t="shared" si="4"/>
        <v>224006.10204</v>
      </c>
      <c r="J22" s="273">
        <f>H22/I22-1</f>
        <v>0</v>
      </c>
      <c r="K22" s="489"/>
      <c r="L22" s="296">
        <v>0.01</v>
      </c>
      <c r="M22" s="393"/>
      <c r="O22" s="233"/>
    </row>
    <row r="23" spans="1:15" s="104" customFormat="1" ht="36" customHeight="1" x14ac:dyDescent="0.2">
      <c r="A23" s="448" t="s">
        <v>97</v>
      </c>
      <c r="B23" s="246" t="s">
        <v>100</v>
      </c>
      <c r="C23" s="550">
        <f>4462513.35/1000</f>
        <v>4462.5133499999993</v>
      </c>
      <c r="D23" s="105">
        <v>4460.8315000000002</v>
      </c>
      <c r="E23" s="273">
        <f t="shared" si="1"/>
        <v>3.7702612169931982E-4</v>
      </c>
      <c r="F23" s="264">
        <f t="shared" si="2"/>
        <v>1.6818499999990308</v>
      </c>
      <c r="G23" s="114"/>
      <c r="H23" s="105">
        <f t="shared" si="3"/>
        <v>4462.5133499999993</v>
      </c>
      <c r="I23" s="105">
        <f t="shared" si="4"/>
        <v>4460.8315000000002</v>
      </c>
      <c r="J23" s="273">
        <f>H23/I23-1</f>
        <v>3.7702612169931982E-4</v>
      </c>
      <c r="K23" s="488"/>
      <c r="L23" s="297">
        <v>3.5000000000000003E-2</v>
      </c>
      <c r="M23" s="393"/>
      <c r="O23" s="233"/>
    </row>
    <row r="24" spans="1:15" s="104" customFormat="1" ht="36" customHeight="1" x14ac:dyDescent="0.2">
      <c r="A24" s="448" t="s">
        <v>14</v>
      </c>
      <c r="B24" s="246" t="s">
        <v>9</v>
      </c>
      <c r="C24" s="550">
        <v>2275834.0053699999</v>
      </c>
      <c r="D24" s="105">
        <v>2322863.56837</v>
      </c>
      <c r="E24" s="273">
        <f t="shared" si="1"/>
        <v>-2.0246373330053857E-2</v>
      </c>
      <c r="F24" s="264">
        <f t="shared" si="2"/>
        <v>-47029.563000000082</v>
      </c>
      <c r="G24" s="114"/>
      <c r="H24" s="105">
        <f t="shared" si="3"/>
        <v>2275834.0053699999</v>
      </c>
      <c r="I24" s="105">
        <f t="shared" si="4"/>
        <v>2322863.56837</v>
      </c>
      <c r="J24" s="273">
        <f>+H24/I24-1</f>
        <v>-2.0246373330053857E-2</v>
      </c>
      <c r="K24" s="555">
        <v>1509643.7622483815</v>
      </c>
      <c r="L24" s="296">
        <v>0</v>
      </c>
      <c r="M24" s="393"/>
      <c r="O24" s="233"/>
    </row>
    <row r="25" spans="1:15" s="104" customFormat="1" ht="36" customHeight="1" x14ac:dyDescent="0.2">
      <c r="A25" s="448" t="s">
        <v>215</v>
      </c>
      <c r="B25" s="246">
        <v>267869220</v>
      </c>
      <c r="C25" s="105">
        <f>85271507.97/1000</f>
        <v>85271.507970000006</v>
      </c>
      <c r="D25" s="105">
        <v>85271.507970000006</v>
      </c>
      <c r="E25" s="273">
        <f t="shared" si="1"/>
        <v>0</v>
      </c>
      <c r="F25" s="264">
        <f t="shared" si="2"/>
        <v>0</v>
      </c>
      <c r="G25" s="114"/>
      <c r="H25" s="105">
        <f t="shared" si="3"/>
        <v>85271.507970000006</v>
      </c>
      <c r="I25" s="105">
        <f t="shared" si="4"/>
        <v>85271.507970000006</v>
      </c>
      <c r="J25" s="273">
        <f>+H25/I25-1</f>
        <v>0</v>
      </c>
      <c r="K25" s="392"/>
      <c r="L25" s="297">
        <v>4.1500000000000002E-2</v>
      </c>
      <c r="M25" s="393"/>
      <c r="O25" s="233"/>
    </row>
    <row r="26" spans="1:15" s="104" customFormat="1" ht="36" customHeight="1" thickBot="1" x14ac:dyDescent="0.25">
      <c r="A26" s="449" t="s">
        <v>172</v>
      </c>
      <c r="B26" s="278">
        <v>4312011913</v>
      </c>
      <c r="C26" s="556">
        <f>10474818836.73/1000</f>
        <v>10474818.83673</v>
      </c>
      <c r="D26" s="109">
        <v>5474818.8367299996</v>
      </c>
      <c r="E26" s="491">
        <f t="shared" ref="E26" si="5">C26/D26-1</f>
        <v>0.9132722285631647</v>
      </c>
      <c r="F26" s="497">
        <f t="shared" ref="F26" si="6">+C26-D26</f>
        <v>5000000</v>
      </c>
      <c r="G26" s="498"/>
      <c r="H26" s="109">
        <f t="shared" ref="H26" si="7">+C26</f>
        <v>10474818.83673</v>
      </c>
      <c r="I26" s="109">
        <f t="shared" si="4"/>
        <v>5474818.8367299996</v>
      </c>
      <c r="J26" s="491">
        <f>+H26/I26-1</f>
        <v>0.9132722285631647</v>
      </c>
      <c r="K26" s="437"/>
      <c r="L26" s="438">
        <v>5.1999999999999998E-2</v>
      </c>
      <c r="M26" s="393"/>
      <c r="O26" s="233"/>
    </row>
    <row r="27" spans="1:15" s="30" customFormat="1" ht="33.75" customHeight="1" thickBot="1" x14ac:dyDescent="0.25">
      <c r="A27" s="505" t="s">
        <v>28</v>
      </c>
      <c r="B27" s="506"/>
      <c r="C27" s="112">
        <f>SUM(C19:C26)</f>
        <v>26848566.602670003</v>
      </c>
      <c r="D27" s="112">
        <f>SUM(D19:D26)</f>
        <v>25954747.212150004</v>
      </c>
      <c r="E27" s="478">
        <f>(C27/D27)-1</f>
        <v>3.4437607240558332E-2</v>
      </c>
      <c r="F27" s="479">
        <f>SUM(F19:F24)</f>
        <v>-4106180.6094800024</v>
      </c>
      <c r="G27" s="118"/>
      <c r="H27" s="119">
        <f>SUM(H19:H26)</f>
        <v>26848566.602670003</v>
      </c>
      <c r="I27" s="119">
        <f>SUM(I19:I26)</f>
        <v>25954747.212150004</v>
      </c>
      <c r="J27" s="318">
        <f>H27/I27-1</f>
        <v>3.4437607240558332E-2</v>
      </c>
      <c r="K27" s="199"/>
      <c r="L27" s="120"/>
      <c r="M27" s="132"/>
      <c r="O27" s="132"/>
    </row>
    <row r="28" spans="1:15" ht="36" customHeight="1" thickBot="1" x14ac:dyDescent="0.25">
      <c r="A28" s="511" t="s">
        <v>103</v>
      </c>
      <c r="B28" s="512"/>
      <c r="C28" s="512"/>
      <c r="D28" s="512"/>
      <c r="E28" s="512"/>
      <c r="F28" s="512"/>
      <c r="G28" s="512"/>
      <c r="H28" s="512"/>
      <c r="I28" s="512"/>
      <c r="J28" s="512"/>
      <c r="K28" s="512"/>
      <c r="L28" s="514"/>
    </row>
    <row r="29" spans="1:15" s="104" customFormat="1" ht="36" customHeight="1" x14ac:dyDescent="0.2">
      <c r="A29" s="276" t="s">
        <v>114</v>
      </c>
      <c r="B29" s="231" t="s">
        <v>124</v>
      </c>
      <c r="C29" s="549">
        <f>45347712/1000</f>
        <v>45347.712</v>
      </c>
      <c r="D29" s="113">
        <v>45340.985999999997</v>
      </c>
      <c r="E29" s="493">
        <f t="shared" ref="E29:E35" si="8">+C29/D29-1</f>
        <v>1.4834260551821465E-4</v>
      </c>
      <c r="F29" s="440">
        <f t="shared" ref="F29:F35" si="9">+C29-D29</f>
        <v>6.7260000000023865</v>
      </c>
      <c r="G29" s="174"/>
      <c r="H29" s="103">
        <f t="shared" ref="H29:I35" si="10">+C29*0.99</f>
        <v>44894.234879999996</v>
      </c>
      <c r="I29" s="103">
        <f t="shared" si="10"/>
        <v>44887.576139999997</v>
      </c>
      <c r="J29" s="439">
        <f t="shared" ref="J29:J35" si="11">+(H29/I29)-1</f>
        <v>1.4834260551799261E-4</v>
      </c>
      <c r="K29" s="295"/>
      <c r="L29" s="563">
        <v>2.9899999999999999E-2</v>
      </c>
      <c r="M29" s="121"/>
      <c r="O29" s="233"/>
    </row>
    <row r="30" spans="1:15" s="104" customFormat="1" ht="36" customHeight="1" x14ac:dyDescent="0.2">
      <c r="A30" s="245" t="s">
        <v>104</v>
      </c>
      <c r="B30" s="246" t="s">
        <v>123</v>
      </c>
      <c r="C30" s="550">
        <f>151525487.03/1000</f>
        <v>151525.48702999999</v>
      </c>
      <c r="D30" s="115">
        <v>151512.19925000001</v>
      </c>
      <c r="E30" s="352">
        <f t="shared" si="8"/>
        <v>8.7701056850519876E-5</v>
      </c>
      <c r="F30" s="264">
        <f t="shared" si="9"/>
        <v>13.287779999984195</v>
      </c>
      <c r="G30" s="175"/>
      <c r="H30" s="105">
        <f t="shared" si="10"/>
        <v>150010.23215969998</v>
      </c>
      <c r="I30" s="105">
        <f t="shared" si="10"/>
        <v>149997.0772575</v>
      </c>
      <c r="J30" s="273">
        <f t="shared" si="11"/>
        <v>8.7701056850519876E-5</v>
      </c>
      <c r="K30" s="294"/>
      <c r="L30" s="558">
        <v>2.64E-2</v>
      </c>
      <c r="O30" s="233"/>
    </row>
    <row r="31" spans="1:15" s="104" customFormat="1" ht="36" customHeight="1" x14ac:dyDescent="0.2">
      <c r="A31" s="245" t="s">
        <v>126</v>
      </c>
      <c r="B31" s="246" t="s">
        <v>125</v>
      </c>
      <c r="C31" s="550">
        <f>1515034623.19/1000</f>
        <v>1515034.62319</v>
      </c>
      <c r="D31" s="115">
        <v>2514611.52862</v>
      </c>
      <c r="E31" s="453">
        <f t="shared" si="8"/>
        <v>-0.39750748537232727</v>
      </c>
      <c r="F31" s="450">
        <f t="shared" si="9"/>
        <v>-999576.90543000004</v>
      </c>
      <c r="G31" s="175"/>
      <c r="H31" s="105">
        <f t="shared" si="10"/>
        <v>1499884.2769581</v>
      </c>
      <c r="I31" s="105">
        <f t="shared" si="10"/>
        <v>2489465.4133338002</v>
      </c>
      <c r="J31" s="487">
        <f t="shared" si="11"/>
        <v>-0.39750748537232727</v>
      </c>
      <c r="K31" s="294"/>
      <c r="L31" s="558">
        <v>3.1399999999999997E-2</v>
      </c>
      <c r="O31" s="233"/>
    </row>
    <row r="32" spans="1:15" s="104" customFormat="1" ht="36" customHeight="1" x14ac:dyDescent="0.2">
      <c r="A32" s="245" t="s">
        <v>101</v>
      </c>
      <c r="B32" s="246" t="s">
        <v>177</v>
      </c>
      <c r="C32" s="550">
        <f>541642780.05/1000</f>
        <v>541642.78004999994</v>
      </c>
      <c r="D32" s="115">
        <v>541510.23375000001</v>
      </c>
      <c r="E32" s="352">
        <f t="shared" si="8"/>
        <v>2.447715513740345E-4</v>
      </c>
      <c r="F32" s="264">
        <f t="shared" si="9"/>
        <v>132.54629999992903</v>
      </c>
      <c r="G32" s="175"/>
      <c r="H32" s="105">
        <f t="shared" si="10"/>
        <v>536226.35224949999</v>
      </c>
      <c r="I32" s="105">
        <f t="shared" si="10"/>
        <v>536095.13141250005</v>
      </c>
      <c r="J32" s="273">
        <f t="shared" si="11"/>
        <v>2.447715513740345E-4</v>
      </c>
      <c r="K32" s="310"/>
      <c r="L32" s="490">
        <v>2.7779999999999999E-2</v>
      </c>
      <c r="O32" s="233"/>
    </row>
    <row r="33" spans="1:15" s="104" customFormat="1" ht="36" customHeight="1" x14ac:dyDescent="0.2">
      <c r="A33" s="245" t="s">
        <v>182</v>
      </c>
      <c r="B33" s="246" t="s">
        <v>198</v>
      </c>
      <c r="C33" s="561">
        <f>4262194877.96/1000</f>
        <v>4262194.8779600002</v>
      </c>
      <c r="D33" s="115">
        <v>6260766.0123100001</v>
      </c>
      <c r="E33" s="453">
        <f t="shared" ref="E33" si="12">+C33/D33-1</f>
        <v>-0.31922150267561245</v>
      </c>
      <c r="F33" s="450">
        <f t="shared" ref="F33" si="13">+C33-D33</f>
        <v>-1998571.1343499999</v>
      </c>
      <c r="G33" s="175"/>
      <c r="H33" s="105">
        <f t="shared" ref="H33" si="14">+C33*0.99</f>
        <v>4219572.9291804004</v>
      </c>
      <c r="I33" s="105">
        <f t="shared" ref="I33" si="15">+D33*0.99</f>
        <v>6198158.3521868996</v>
      </c>
      <c r="J33" s="487">
        <f t="shared" ref="J33" si="16">+(H33/I33)-1</f>
        <v>-0.31922150267561233</v>
      </c>
      <c r="K33" s="294"/>
      <c r="L33" s="558">
        <v>2.8299999999999999E-2</v>
      </c>
      <c r="O33" s="233"/>
    </row>
    <row r="34" spans="1:15" s="104" customFormat="1" ht="36" customHeight="1" x14ac:dyDescent="0.2">
      <c r="A34" s="245" t="s">
        <v>182</v>
      </c>
      <c r="B34" s="482" t="s">
        <v>223</v>
      </c>
      <c r="C34" s="562">
        <f>400267006.59/1000</f>
        <v>400267.00658999995</v>
      </c>
      <c r="D34" s="483">
        <v>399999.84155000001</v>
      </c>
      <c r="E34" s="352">
        <f>+C34/D34-1</f>
        <v>6.6791286457679178E-4</v>
      </c>
      <c r="F34" s="264">
        <f>+C34-D34</f>
        <v>267.16503999993438</v>
      </c>
      <c r="G34" s="484"/>
      <c r="H34" s="105">
        <f>+C34*0.99</f>
        <v>396264.33652409993</v>
      </c>
      <c r="I34" s="105">
        <f t="shared" ref="I34" si="17">+D34*0.99</f>
        <v>395999.84313450003</v>
      </c>
      <c r="J34" s="273">
        <f t="shared" si="11"/>
        <v>6.6791286457679178E-4</v>
      </c>
      <c r="K34" s="485"/>
      <c r="L34" s="559">
        <v>7.1999999999999995E-2</v>
      </c>
      <c r="O34" s="233"/>
    </row>
    <row r="35" spans="1:15" s="104" customFormat="1" ht="36" customHeight="1" thickBot="1" x14ac:dyDescent="0.25">
      <c r="A35" s="277" t="s">
        <v>183</v>
      </c>
      <c r="B35" s="278" t="s">
        <v>34</v>
      </c>
      <c r="C35" s="556">
        <v>69252.160629999998</v>
      </c>
      <c r="D35" s="117">
        <v>69236.359129999997</v>
      </c>
      <c r="E35" s="494">
        <f t="shared" si="8"/>
        <v>2.2822546128309362E-4</v>
      </c>
      <c r="F35" s="468">
        <f t="shared" si="9"/>
        <v>15.801500000001397</v>
      </c>
      <c r="G35" s="308"/>
      <c r="H35" s="109">
        <f t="shared" si="10"/>
        <v>68559.639023700001</v>
      </c>
      <c r="I35" s="109">
        <f t="shared" si="10"/>
        <v>68543.995538699994</v>
      </c>
      <c r="J35" s="469">
        <f t="shared" si="11"/>
        <v>2.2822546128309362E-4</v>
      </c>
      <c r="K35" s="309"/>
      <c r="L35" s="560">
        <v>3.1300000000000001E-2</v>
      </c>
      <c r="O35" s="233"/>
    </row>
    <row r="36" spans="1:15" s="30" customFormat="1" ht="33.75" customHeight="1" thickBot="1" x14ac:dyDescent="0.25">
      <c r="A36" s="507" t="s">
        <v>35</v>
      </c>
      <c r="B36" s="508"/>
      <c r="C36" s="112">
        <f>SUM(C29:C35)</f>
        <v>6985264.64745</v>
      </c>
      <c r="D36" s="112">
        <f>SUM(D29:D35)</f>
        <v>9982977.1606100015</v>
      </c>
      <c r="E36" s="466">
        <f>SUM(E29:E35)</f>
        <v>-0.71535203450833706</v>
      </c>
      <c r="F36" s="467">
        <f>SUM(F29:F35)</f>
        <v>-2997712.5131600001</v>
      </c>
      <c r="G36" s="275"/>
      <c r="H36" s="313">
        <f>SUM(H29:H35)</f>
        <v>6915412.0009755008</v>
      </c>
      <c r="I36" s="313">
        <f>SUM(I29:I35)</f>
        <v>9883147.3890039008</v>
      </c>
      <c r="J36" s="503">
        <f>+(H36/I36)-1</f>
        <v>-0.30028241725205229</v>
      </c>
      <c r="K36" s="120"/>
      <c r="L36" s="122"/>
      <c r="N36" s="123"/>
      <c r="O36" s="132"/>
    </row>
    <row r="37" spans="1:15" ht="40.5" customHeight="1" thickBot="1" x14ac:dyDescent="0.25">
      <c r="A37" s="518" t="s">
        <v>36</v>
      </c>
      <c r="B37" s="519"/>
      <c r="C37" s="124">
        <f>+C17+C27+C36</f>
        <v>40574943.029561006</v>
      </c>
      <c r="D37" s="124">
        <f>+D17+D27+D36</f>
        <v>42821001.806511007</v>
      </c>
      <c r="E37" s="501">
        <f>+C37/D37-1</f>
        <v>-5.2452270666131007E-2</v>
      </c>
      <c r="F37" s="502">
        <f>+C37-D37</f>
        <v>-2246058.7769500017</v>
      </c>
      <c r="G37" s="111"/>
      <c r="H37" s="111">
        <f>+H17+H27+H36</f>
        <v>39153993.930695504</v>
      </c>
      <c r="I37" s="111">
        <f>+I17+I27+I36</f>
        <v>41377344.985513911</v>
      </c>
      <c r="J37" s="501">
        <f>+(H37/I37)-1</f>
        <v>-5.373353596265773E-2</v>
      </c>
      <c r="K37" s="125"/>
      <c r="L37" s="125"/>
      <c r="M37" s="27"/>
    </row>
    <row r="38" spans="1:15" ht="40.5" customHeight="1" x14ac:dyDescent="0.2">
      <c r="A38" s="126"/>
      <c r="B38" s="127"/>
      <c r="C38" s="128"/>
      <c r="D38" s="129"/>
      <c r="E38" s="316"/>
      <c r="F38" s="317"/>
      <c r="G38" s="130"/>
      <c r="H38" s="131"/>
      <c r="I38" s="510"/>
      <c r="J38" s="510"/>
      <c r="K38" s="510"/>
      <c r="L38" s="510"/>
      <c r="M38" s="27"/>
    </row>
    <row r="39" spans="1:15" ht="40.5" customHeight="1" thickBot="1" x14ac:dyDescent="0.25">
      <c r="A39" s="132"/>
      <c r="B39" s="132"/>
      <c r="C39" s="128"/>
      <c r="D39" s="133"/>
      <c r="E39" s="129"/>
      <c r="F39" s="205"/>
      <c r="G39" s="26"/>
      <c r="H39" s="131"/>
      <c r="I39" s="129"/>
      <c r="J39" s="129"/>
      <c r="K39" s="200"/>
      <c r="L39" s="134"/>
      <c r="M39" s="27"/>
    </row>
    <row r="40" spans="1:15" ht="40.5" customHeight="1" thickBot="1" x14ac:dyDescent="0.25">
      <c r="A40" s="511" t="s">
        <v>119</v>
      </c>
      <c r="B40" s="512"/>
      <c r="C40" s="512"/>
      <c r="D40" s="512"/>
      <c r="E40" s="512"/>
      <c r="F40" s="512"/>
      <c r="G40" s="512"/>
      <c r="H40" s="512"/>
      <c r="I40" s="512"/>
      <c r="J40" s="512"/>
      <c r="K40" s="512"/>
      <c r="L40" s="514"/>
      <c r="M40" s="27"/>
    </row>
    <row r="41" spans="1:15" ht="40.5" customHeight="1" thickBot="1" x14ac:dyDescent="0.25">
      <c r="A41" s="240" t="s">
        <v>16</v>
      </c>
      <c r="B41" s="241" t="s">
        <v>18</v>
      </c>
      <c r="C41" s="241" t="s">
        <v>19</v>
      </c>
      <c r="D41" s="242" t="s">
        <v>20</v>
      </c>
      <c r="E41" s="241" t="s">
        <v>49</v>
      </c>
      <c r="F41" s="243" t="s">
        <v>82</v>
      </c>
      <c r="G41" s="241" t="s">
        <v>21</v>
      </c>
      <c r="H41" s="241" t="s">
        <v>22</v>
      </c>
      <c r="I41" s="241" t="s">
        <v>23</v>
      </c>
      <c r="J41" s="241" t="s">
        <v>49</v>
      </c>
      <c r="K41" s="241" t="s">
        <v>111</v>
      </c>
      <c r="L41" s="241" t="s">
        <v>32</v>
      </c>
      <c r="M41" s="27"/>
    </row>
    <row r="42" spans="1:15" s="104" customFormat="1" ht="36" customHeight="1" x14ac:dyDescent="0.2">
      <c r="A42" s="291" t="s">
        <v>116</v>
      </c>
      <c r="B42" s="231" t="s">
        <v>118</v>
      </c>
      <c r="C42" s="103">
        <v>242956.06899999999</v>
      </c>
      <c r="D42" s="237">
        <v>242956.06899999999</v>
      </c>
      <c r="E42" s="451">
        <f>+((C42/D42)-1)</f>
        <v>0</v>
      </c>
      <c r="F42" s="452">
        <f>+C42-D42</f>
        <v>0</v>
      </c>
      <c r="G42" s="238"/>
      <c r="H42" s="237">
        <f>+C42</f>
        <v>242956.06899999999</v>
      </c>
      <c r="I42" s="237">
        <f>+D42</f>
        <v>242956.06899999999</v>
      </c>
      <c r="J42" s="451">
        <f>H42/I42-1</f>
        <v>0</v>
      </c>
      <c r="K42" s="239"/>
      <c r="L42" s="321">
        <v>4.2000000000000003E-2</v>
      </c>
      <c r="M42" s="123" t="s">
        <v>180</v>
      </c>
      <c r="O42" s="233"/>
    </row>
    <row r="43" spans="1:15" s="104" customFormat="1" ht="36" customHeight="1" x14ac:dyDescent="0.2">
      <c r="A43" s="245" t="s">
        <v>122</v>
      </c>
      <c r="B43" s="290">
        <v>6000200125368</v>
      </c>
      <c r="C43" s="550">
        <f>192959563.58/1000</f>
        <v>192959.56358000002</v>
      </c>
      <c r="D43" s="105">
        <v>192929.95478</v>
      </c>
      <c r="E43" s="487">
        <f>+C43/D43-1</f>
        <v>1.5346916985370385E-4</v>
      </c>
      <c r="F43" s="450">
        <f>+C43-D43</f>
        <v>29.608800000016345</v>
      </c>
      <c r="G43" s="114"/>
      <c r="H43" s="105">
        <f t="shared" ref="H43" si="18">+C43</f>
        <v>192959.56358000002</v>
      </c>
      <c r="I43" s="105">
        <f>+D43</f>
        <v>192929.95478</v>
      </c>
      <c r="J43" s="487">
        <f>+H43/I43-1</f>
        <v>1.5346916985370385E-4</v>
      </c>
      <c r="K43" s="294"/>
      <c r="L43" s="558">
        <v>2.8899999999999999E-2</v>
      </c>
      <c r="O43" s="233"/>
    </row>
    <row r="44" spans="1:15" s="104" customFormat="1" ht="36" customHeight="1" thickBot="1" x14ac:dyDescent="0.25">
      <c r="A44" s="277" t="s">
        <v>121</v>
      </c>
      <c r="B44" s="279">
        <v>6000200128295</v>
      </c>
      <c r="C44" s="109">
        <f>7293130884.62/1000</f>
        <v>7293130.8846199997</v>
      </c>
      <c r="D44" s="109">
        <v>7293130.8846199997</v>
      </c>
      <c r="E44" s="469">
        <f>+C44/D44-1</f>
        <v>0</v>
      </c>
      <c r="F44" s="468">
        <f>+C44-D44</f>
        <v>0</v>
      </c>
      <c r="G44" s="116"/>
      <c r="H44" s="109">
        <f>+C44</f>
        <v>7293130.8846199997</v>
      </c>
      <c r="I44" s="109">
        <f>+D44</f>
        <v>7293130.8846199997</v>
      </c>
      <c r="J44" s="469">
        <f>+H44/I44-1</f>
        <v>0</v>
      </c>
      <c r="K44" s="274"/>
      <c r="L44" s="558">
        <v>2.2599999999999999E-2</v>
      </c>
      <c r="O44" s="233"/>
    </row>
    <row r="45" spans="1:15" ht="40.5" customHeight="1" thickBot="1" x14ac:dyDescent="0.25">
      <c r="A45" s="518" t="s">
        <v>115</v>
      </c>
      <c r="B45" s="519"/>
      <c r="C45" s="135">
        <f>SUM(C42:C44)</f>
        <v>7729046.5171999997</v>
      </c>
      <c r="D45" s="367">
        <f>+D42+D43+D44</f>
        <v>7729016.9084000001</v>
      </c>
      <c r="E45" s="470">
        <f>+C45/D45-1</f>
        <v>3.8308623657723473E-6</v>
      </c>
      <c r="F45" s="471">
        <f>+C45-D45</f>
        <v>29.608799999579787</v>
      </c>
      <c r="G45" s="135"/>
      <c r="H45" s="135">
        <f>SUM(H42:H44)</f>
        <v>7729046.5171999997</v>
      </c>
      <c r="I45" s="135">
        <f>SUM(I42:I44)</f>
        <v>7729016.9084000001</v>
      </c>
      <c r="J45" s="470">
        <f>+H45/I45-1</f>
        <v>3.8308623657723473E-6</v>
      </c>
      <c r="K45" s="201"/>
      <c r="L45" s="152"/>
      <c r="M45" s="27"/>
    </row>
    <row r="46" spans="1:15" ht="40.5" customHeight="1" thickBot="1" x14ac:dyDescent="0.25">
      <c r="A46" s="132"/>
      <c r="B46" s="132"/>
      <c r="C46" s="128"/>
      <c r="D46" s="25"/>
      <c r="E46" s="129"/>
      <c r="F46" s="205"/>
      <c r="G46" s="26"/>
      <c r="H46" s="131"/>
      <c r="I46" s="129"/>
      <c r="J46" s="315"/>
      <c r="K46" s="26"/>
      <c r="M46" s="27"/>
    </row>
    <row r="47" spans="1:15" ht="40.5" customHeight="1" thickBot="1" x14ac:dyDescent="0.25">
      <c r="A47" s="518" t="s">
        <v>143</v>
      </c>
      <c r="B47" s="519"/>
      <c r="C47" s="124">
        <f>+C45+C37</f>
        <v>48303989.546761006</v>
      </c>
      <c r="D47" s="25"/>
      <c r="E47" s="129"/>
      <c r="F47" s="351"/>
      <c r="G47" s="26"/>
      <c r="H47" s="131"/>
      <c r="I47" s="129"/>
      <c r="J47" s="129"/>
      <c r="K47" s="26"/>
      <c r="M47" s="27"/>
    </row>
    <row r="48" spans="1:15" ht="40.5" customHeight="1" x14ac:dyDescent="0.2">
      <c r="A48" s="132"/>
      <c r="B48" s="132"/>
      <c r="C48" s="128"/>
      <c r="D48" s="25"/>
      <c r="E48" s="129"/>
      <c r="F48" s="205"/>
      <c r="G48" s="26"/>
      <c r="H48" s="131"/>
      <c r="I48" s="129"/>
      <c r="J48" s="129"/>
      <c r="K48" s="26"/>
      <c r="M48" s="27"/>
    </row>
    <row r="49" spans="1:16" ht="40.5" customHeight="1" x14ac:dyDescent="0.2">
      <c r="A49" s="132" t="s">
        <v>163</v>
      </c>
      <c r="B49" s="153">
        <v>4.5400000000000003E-2</v>
      </c>
      <c r="C49" s="398"/>
      <c r="D49" s="25"/>
      <c r="E49" s="129"/>
      <c r="F49" s="205"/>
      <c r="G49" s="26"/>
      <c r="H49" s="131"/>
      <c r="I49" s="129"/>
      <c r="J49" s="129"/>
      <c r="K49" s="26"/>
      <c r="M49" s="27"/>
    </row>
    <row r="50" spans="1:16" ht="40.5" customHeight="1" x14ac:dyDescent="0.2">
      <c r="A50" s="132" t="s">
        <v>173</v>
      </c>
      <c r="B50" s="474">
        <v>3.27E-2</v>
      </c>
      <c r="C50" s="172">
        <f>+(1+B50)*(B49+1)-1</f>
        <v>7.9584580000000127E-2</v>
      </c>
      <c r="D50" s="29"/>
      <c r="E50" s="129"/>
      <c r="F50" s="205"/>
      <c r="G50" s="26"/>
      <c r="H50" s="131"/>
      <c r="I50" s="129"/>
      <c r="J50" s="129"/>
      <c r="K50" s="26"/>
      <c r="M50" s="27"/>
    </row>
    <row r="51" spans="1:16" ht="40.5" customHeight="1" x14ac:dyDescent="0.2">
      <c r="A51" s="132" t="s">
        <v>220</v>
      </c>
      <c r="B51" s="153">
        <v>4.1119999999999997E-2</v>
      </c>
      <c r="C51" s="172"/>
      <c r="D51" s="29"/>
      <c r="E51" s="129"/>
      <c r="F51" s="205"/>
      <c r="G51" s="26"/>
      <c r="H51" s="131"/>
      <c r="I51" s="129"/>
      <c r="J51" s="129"/>
      <c r="K51" s="26"/>
      <c r="M51" s="27"/>
    </row>
    <row r="52" spans="1:16" ht="40.5" customHeight="1" thickBot="1" x14ac:dyDescent="0.25">
      <c r="A52" s="132"/>
      <c r="B52" s="153"/>
      <c r="C52" s="172"/>
      <c r="D52" s="31"/>
      <c r="E52" s="129"/>
      <c r="F52" s="205"/>
      <c r="G52" s="26"/>
      <c r="H52" s="131"/>
      <c r="I52" s="129"/>
      <c r="J52" s="129"/>
      <c r="K52" s="26"/>
      <c r="M52" s="27"/>
    </row>
    <row r="53" spans="1:16" ht="40.5" customHeight="1" thickBot="1" x14ac:dyDescent="0.25">
      <c r="A53" s="526" t="s">
        <v>170</v>
      </c>
      <c r="B53" s="513"/>
      <c r="C53" s="513"/>
      <c r="D53" s="513"/>
      <c r="E53" s="513"/>
      <c r="F53" s="513"/>
      <c r="G53" s="513"/>
      <c r="H53" s="513"/>
      <c r="I53" s="513"/>
      <c r="J53" s="513"/>
      <c r="K53" s="513"/>
      <c r="L53" s="513"/>
      <c r="M53" s="513"/>
      <c r="N53" s="513"/>
      <c r="O53" s="527"/>
    </row>
    <row r="54" spans="1:16" ht="40.5" customHeight="1" x14ac:dyDescent="0.2">
      <c r="A54" s="412" t="s">
        <v>134</v>
      </c>
      <c r="B54" s="413" t="s">
        <v>37</v>
      </c>
      <c r="C54" s="414" t="s">
        <v>130</v>
      </c>
      <c r="D54" s="414" t="s">
        <v>131</v>
      </c>
      <c r="E54" s="415" t="s">
        <v>132</v>
      </c>
      <c r="F54" s="416" t="s">
        <v>38</v>
      </c>
      <c r="G54" s="417" t="s">
        <v>39</v>
      </c>
      <c r="H54" s="418" t="s">
        <v>110</v>
      </c>
      <c r="I54" s="419" t="s">
        <v>135</v>
      </c>
      <c r="J54" s="420" t="s">
        <v>136</v>
      </c>
      <c r="K54" s="421" t="s">
        <v>133</v>
      </c>
      <c r="L54" s="422" t="s">
        <v>48</v>
      </c>
      <c r="M54" s="423" t="s">
        <v>137</v>
      </c>
      <c r="N54" s="424" t="s">
        <v>128</v>
      </c>
      <c r="O54" s="425" t="s">
        <v>167</v>
      </c>
    </row>
    <row r="55" spans="1:16" s="465" customFormat="1" ht="43.5" x14ac:dyDescent="0.2">
      <c r="A55" s="454" t="s">
        <v>138</v>
      </c>
      <c r="B55" s="455" t="s">
        <v>44</v>
      </c>
      <c r="C55" s="456">
        <v>43311</v>
      </c>
      <c r="D55" s="456">
        <f>+C55+180</f>
        <v>43491</v>
      </c>
      <c r="E55" s="456">
        <f>+C55</f>
        <v>43311</v>
      </c>
      <c r="F55" s="457">
        <v>15000000</v>
      </c>
      <c r="G55" s="457">
        <f t="shared" ref="G55" si="19">+D55-C55</f>
        <v>180</v>
      </c>
      <c r="H55" s="458">
        <v>0.05</v>
      </c>
      <c r="I55" s="459">
        <v>0.05</v>
      </c>
      <c r="J55" s="460">
        <v>0</v>
      </c>
      <c r="K55" s="460">
        <f t="shared" ref="K55" si="20">+H55</f>
        <v>0.05</v>
      </c>
      <c r="L55" s="461" t="s">
        <v>147</v>
      </c>
      <c r="M55" s="286">
        <f t="shared" ref="M55:M70" si="21">+D55-$A$8</f>
        <v>39</v>
      </c>
      <c r="N55" s="462">
        <f t="shared" ref="N55:N70" si="22">+F55/$F$71</f>
        <v>0.46583850931677018</v>
      </c>
      <c r="O55" s="463" t="s">
        <v>217</v>
      </c>
      <c r="P55" s="464"/>
    </row>
    <row r="56" spans="1:16" s="104" customFormat="1" ht="39" x14ac:dyDescent="0.2">
      <c r="A56" s="366" t="s">
        <v>138</v>
      </c>
      <c r="B56" s="280" t="s">
        <v>196</v>
      </c>
      <c r="C56" s="281">
        <v>42746</v>
      </c>
      <c r="D56" s="281">
        <v>43476</v>
      </c>
      <c r="E56" s="281">
        <v>43027</v>
      </c>
      <c r="F56" s="282">
        <v>1000000</v>
      </c>
      <c r="G56" s="282">
        <v>730</v>
      </c>
      <c r="H56" s="266">
        <v>7.4899999999999994E-2</v>
      </c>
      <c r="I56" s="283">
        <v>6.1499999999999999E-2</v>
      </c>
      <c r="J56" s="284">
        <v>0</v>
      </c>
      <c r="K56" s="284">
        <f>+H56</f>
        <v>7.4899999999999994E-2</v>
      </c>
      <c r="L56" s="285" t="s">
        <v>147</v>
      </c>
      <c r="M56" s="286">
        <f t="shared" si="21"/>
        <v>24</v>
      </c>
      <c r="N56" s="287">
        <f t="shared" si="22"/>
        <v>3.1055900621118012E-2</v>
      </c>
      <c r="O56" s="288" t="s">
        <v>217</v>
      </c>
      <c r="P56" s="289"/>
    </row>
    <row r="57" spans="1:16" s="104" customFormat="1" ht="39" x14ac:dyDescent="0.2">
      <c r="A57" s="366" t="s">
        <v>138</v>
      </c>
      <c r="B57" s="280" t="s">
        <v>109</v>
      </c>
      <c r="C57" s="281">
        <v>39902</v>
      </c>
      <c r="D57" s="281">
        <v>43554</v>
      </c>
      <c r="E57" s="281">
        <v>43208</v>
      </c>
      <c r="F57" s="282">
        <v>500000</v>
      </c>
      <c r="G57" s="282">
        <f t="shared" ref="G57" si="23">+D57-C57</f>
        <v>3652</v>
      </c>
      <c r="H57" s="266" t="s">
        <v>206</v>
      </c>
      <c r="I57" s="283">
        <v>5.5710000000000003E-2</v>
      </c>
      <c r="J57" s="284">
        <f>+((1+I57)/(1+B50)-1)</f>
        <v>2.2281398276362996E-2</v>
      </c>
      <c r="K57" s="284">
        <f>+((1+J57)*(1+$B$50))-1</f>
        <v>5.5709999999999926E-2</v>
      </c>
      <c r="L57" s="285" t="s">
        <v>139</v>
      </c>
      <c r="M57" s="286">
        <f t="shared" si="21"/>
        <v>102</v>
      </c>
      <c r="N57" s="287">
        <f t="shared" si="22"/>
        <v>1.5527950310559006E-2</v>
      </c>
      <c r="O57" s="288" t="s">
        <v>217</v>
      </c>
    </row>
    <row r="58" spans="1:16" s="104" customFormat="1" ht="39" x14ac:dyDescent="0.2">
      <c r="A58" s="366" t="s">
        <v>138</v>
      </c>
      <c r="B58" s="280" t="s">
        <v>25</v>
      </c>
      <c r="C58" s="281">
        <v>39876</v>
      </c>
      <c r="D58" s="281">
        <v>43528</v>
      </c>
      <c r="E58" s="281">
        <v>43327</v>
      </c>
      <c r="F58" s="282">
        <v>3000000</v>
      </c>
      <c r="G58" s="282">
        <f t="shared" ref="G58" si="24">+D58-C58</f>
        <v>3652</v>
      </c>
      <c r="H58" s="266">
        <v>0.107</v>
      </c>
      <c r="I58" s="283">
        <v>4.9000000000000002E-2</v>
      </c>
      <c r="J58" s="284">
        <v>0</v>
      </c>
      <c r="K58" s="284">
        <f>+H58</f>
        <v>0.107</v>
      </c>
      <c r="L58" s="285" t="s">
        <v>139</v>
      </c>
      <c r="M58" s="286">
        <f t="shared" ref="M58" si="25">+D58-$A$8</f>
        <v>76</v>
      </c>
      <c r="N58" s="287">
        <f t="shared" si="22"/>
        <v>9.3167701863354033E-2</v>
      </c>
      <c r="O58" s="288" t="s">
        <v>217</v>
      </c>
    </row>
    <row r="59" spans="1:16" s="104" customFormat="1" ht="39" x14ac:dyDescent="0.2">
      <c r="A59" s="366" t="s">
        <v>138</v>
      </c>
      <c r="B59" s="280" t="s">
        <v>120</v>
      </c>
      <c r="C59" s="281">
        <v>43437</v>
      </c>
      <c r="D59" s="281">
        <f>+C59+93</f>
        <v>43530</v>
      </c>
      <c r="E59" s="281">
        <f>+C59</f>
        <v>43437</v>
      </c>
      <c r="F59" s="282">
        <v>2000000</v>
      </c>
      <c r="G59" s="282">
        <f t="shared" ref="G59" si="26">+D59-C59</f>
        <v>93</v>
      </c>
      <c r="H59" s="266">
        <v>5.8000000000000003E-2</v>
      </c>
      <c r="I59" s="283">
        <v>0</v>
      </c>
      <c r="J59" s="284">
        <v>0</v>
      </c>
      <c r="K59" s="284">
        <f>+H59</f>
        <v>5.8000000000000003E-2</v>
      </c>
      <c r="L59" s="285" t="s">
        <v>147</v>
      </c>
      <c r="M59" s="286">
        <f t="shared" ref="M59" si="27">+D59-$A$8</f>
        <v>78</v>
      </c>
      <c r="N59" s="287">
        <f t="shared" si="22"/>
        <v>6.2111801242236024E-2</v>
      </c>
      <c r="O59" s="288" t="s">
        <v>217</v>
      </c>
    </row>
    <row r="60" spans="1:16" s="104" customFormat="1" ht="39" x14ac:dyDescent="0.2">
      <c r="A60" s="366" t="s">
        <v>138</v>
      </c>
      <c r="B60" s="280" t="s">
        <v>14</v>
      </c>
      <c r="C60" s="281">
        <v>43017</v>
      </c>
      <c r="D60" s="281">
        <v>43747</v>
      </c>
      <c r="E60" s="281">
        <v>43341</v>
      </c>
      <c r="F60" s="282">
        <v>2000000</v>
      </c>
      <c r="G60" s="282">
        <f t="shared" ref="G60" si="28">+D60-C60</f>
        <v>730</v>
      </c>
      <c r="H60" s="266">
        <v>6.2509999999999996E-2</v>
      </c>
      <c r="I60" s="283">
        <v>5.2299999999999999E-2</v>
      </c>
      <c r="J60" s="284">
        <v>0</v>
      </c>
      <c r="K60" s="284">
        <f>+H60</f>
        <v>6.2509999999999996E-2</v>
      </c>
      <c r="L60" s="285" t="s">
        <v>147</v>
      </c>
      <c r="M60" s="286">
        <f t="shared" ref="M60" si="29">+D60-$A$8</f>
        <v>295</v>
      </c>
      <c r="N60" s="287">
        <f t="shared" si="22"/>
        <v>6.2111801242236024E-2</v>
      </c>
      <c r="O60" s="288" t="s">
        <v>217</v>
      </c>
    </row>
    <row r="61" spans="1:16" s="104" customFormat="1" ht="39" x14ac:dyDescent="0.2">
      <c r="A61" s="366" t="s">
        <v>141</v>
      </c>
      <c r="B61" s="280" t="s">
        <v>194</v>
      </c>
      <c r="C61" s="281">
        <v>42990</v>
      </c>
      <c r="D61" s="281">
        <v>43720</v>
      </c>
      <c r="E61" s="281">
        <f>+C61</f>
        <v>42990</v>
      </c>
      <c r="F61" s="282">
        <v>500000</v>
      </c>
      <c r="G61" s="282">
        <f t="shared" ref="G61:G67" si="30">+D61-C61</f>
        <v>730</v>
      </c>
      <c r="H61" s="266" t="s">
        <v>195</v>
      </c>
      <c r="I61" s="283">
        <v>6.6952639999999786E-2</v>
      </c>
      <c r="J61" s="284">
        <v>2.7199999999999998E-2</v>
      </c>
      <c r="K61" s="284">
        <f>+((1+J61)*(1+$B$50))-1</f>
        <v>6.078943999999975E-2</v>
      </c>
      <c r="L61" s="285" t="s">
        <v>184</v>
      </c>
      <c r="M61" s="286">
        <f t="shared" si="21"/>
        <v>268</v>
      </c>
      <c r="N61" s="287">
        <f t="shared" si="22"/>
        <v>1.5527950310559006E-2</v>
      </c>
      <c r="O61" s="288" t="s">
        <v>217</v>
      </c>
      <c r="P61" s="289"/>
    </row>
    <row r="62" spans="1:16" s="104" customFormat="1" ht="39" x14ac:dyDescent="0.2">
      <c r="A62" s="366" t="s">
        <v>141</v>
      </c>
      <c r="B62" s="280" t="s">
        <v>14</v>
      </c>
      <c r="C62" s="281">
        <v>42796</v>
      </c>
      <c r="D62" s="281">
        <v>44622</v>
      </c>
      <c r="E62" s="281">
        <v>42879</v>
      </c>
      <c r="F62" s="282">
        <v>600000</v>
      </c>
      <c r="G62" s="282">
        <f t="shared" si="30"/>
        <v>1826</v>
      </c>
      <c r="H62" s="266">
        <v>7.1556999999999996E-2</v>
      </c>
      <c r="I62" s="283">
        <v>6.5699999999999995E-2</v>
      </c>
      <c r="J62" s="284">
        <v>0</v>
      </c>
      <c r="K62" s="284">
        <f>+H62</f>
        <v>7.1556999999999996E-2</v>
      </c>
      <c r="L62" s="285" t="s">
        <v>147</v>
      </c>
      <c r="M62" s="286">
        <f t="shared" si="21"/>
        <v>1170</v>
      </c>
      <c r="N62" s="287">
        <f t="shared" si="22"/>
        <v>1.8633540372670808E-2</v>
      </c>
      <c r="O62" s="288" t="s">
        <v>217</v>
      </c>
      <c r="P62" s="289"/>
    </row>
    <row r="63" spans="1:16" s="104" customFormat="1" ht="39" x14ac:dyDescent="0.2">
      <c r="A63" s="366" t="s">
        <v>141</v>
      </c>
      <c r="B63" s="280" t="s">
        <v>193</v>
      </c>
      <c r="C63" s="281">
        <v>42956</v>
      </c>
      <c r="D63" s="281">
        <v>44782</v>
      </c>
      <c r="E63" s="281">
        <v>42956</v>
      </c>
      <c r="F63" s="282">
        <v>500000</v>
      </c>
      <c r="G63" s="282">
        <f t="shared" si="30"/>
        <v>1826</v>
      </c>
      <c r="H63" s="266">
        <v>7.0999999999999994E-2</v>
      </c>
      <c r="I63" s="283">
        <v>7.0999999999999994E-2</v>
      </c>
      <c r="J63" s="284">
        <v>0</v>
      </c>
      <c r="K63" s="284">
        <f>+H63</f>
        <v>7.0999999999999994E-2</v>
      </c>
      <c r="L63" s="285" t="s">
        <v>184</v>
      </c>
      <c r="M63" s="286">
        <f t="shared" si="21"/>
        <v>1330</v>
      </c>
      <c r="N63" s="287">
        <f t="shared" si="22"/>
        <v>1.5527950310559006E-2</v>
      </c>
      <c r="O63" s="288" t="s">
        <v>217</v>
      </c>
      <c r="P63" s="289"/>
    </row>
    <row r="64" spans="1:16" s="104" customFormat="1" ht="39" x14ac:dyDescent="0.2">
      <c r="A64" s="366" t="s">
        <v>141</v>
      </c>
      <c r="B64" s="280" t="s">
        <v>109</v>
      </c>
      <c r="C64" s="281">
        <v>43272</v>
      </c>
      <c r="D64" s="281">
        <v>45098</v>
      </c>
      <c r="E64" s="281">
        <f>+C64</f>
        <v>43272</v>
      </c>
      <c r="F64" s="282">
        <v>700000</v>
      </c>
      <c r="G64" s="282">
        <f t="shared" ref="G64" si="31">+D64-C64</f>
        <v>1826</v>
      </c>
      <c r="H64" s="266" t="s">
        <v>214</v>
      </c>
      <c r="I64" s="283">
        <v>7.9100000000000004E-2</v>
      </c>
      <c r="J64" s="284">
        <v>3.1899999999999998E-2</v>
      </c>
      <c r="K64" s="284">
        <f>+((1+J64)*(1+$B$50))-1</f>
        <v>6.5643129999999994E-2</v>
      </c>
      <c r="L64" s="285" t="s">
        <v>184</v>
      </c>
      <c r="M64" s="286">
        <f t="shared" ref="M64" si="32">+D64-$A$8</f>
        <v>1646</v>
      </c>
      <c r="N64" s="287">
        <f t="shared" si="22"/>
        <v>2.1739130434782608E-2</v>
      </c>
      <c r="O64" s="288" t="s">
        <v>217</v>
      </c>
      <c r="P64" s="289"/>
    </row>
    <row r="65" spans="1:16" s="104" customFormat="1" ht="39" x14ac:dyDescent="0.2">
      <c r="A65" s="366" t="s">
        <v>141</v>
      </c>
      <c r="B65" s="280" t="s">
        <v>109</v>
      </c>
      <c r="C65" s="281">
        <v>43426</v>
      </c>
      <c r="D65" s="281">
        <v>44338</v>
      </c>
      <c r="E65" s="281">
        <f>+C65</f>
        <v>43426</v>
      </c>
      <c r="F65" s="282">
        <v>500000</v>
      </c>
      <c r="G65" s="282">
        <f t="shared" ref="G65" si="33">+D65-C65</f>
        <v>912</v>
      </c>
      <c r="H65" s="266" t="s">
        <v>219</v>
      </c>
      <c r="I65" s="283">
        <f>+((1+B51)*(1+J65))-1</f>
        <v>5.3613440000000123E-2</v>
      </c>
      <c r="J65" s="284">
        <v>1.2E-2</v>
      </c>
      <c r="K65" s="284">
        <f>+((1+J65)*(1+$B$51))-1</f>
        <v>5.3613440000000123E-2</v>
      </c>
      <c r="L65" s="285" t="s">
        <v>184</v>
      </c>
      <c r="M65" s="286">
        <f t="shared" ref="M65" si="34">+D65-$A$8</f>
        <v>886</v>
      </c>
      <c r="N65" s="287">
        <f t="shared" ref="N65" si="35">+F65/$F$71</f>
        <v>1.5527950310559006E-2</v>
      </c>
      <c r="O65" s="288" t="s">
        <v>217</v>
      </c>
      <c r="P65" s="289"/>
    </row>
    <row r="66" spans="1:16" s="104" customFormat="1" ht="39" x14ac:dyDescent="0.2">
      <c r="A66" s="366" t="s">
        <v>140</v>
      </c>
      <c r="B66" s="280" t="s">
        <v>194</v>
      </c>
      <c r="C66" s="281">
        <v>42990</v>
      </c>
      <c r="D66" s="281">
        <v>43720</v>
      </c>
      <c r="E66" s="281">
        <f>+C66</f>
        <v>42990</v>
      </c>
      <c r="F66" s="282">
        <v>500000</v>
      </c>
      <c r="G66" s="282">
        <f t="shared" si="30"/>
        <v>730</v>
      </c>
      <c r="H66" s="266" t="s">
        <v>195</v>
      </c>
      <c r="I66" s="283">
        <v>6.6952639999999786E-2</v>
      </c>
      <c r="J66" s="284">
        <v>2.7199999999999998E-2</v>
      </c>
      <c r="K66" s="284">
        <f>+((1+J66)*(1+$B$50))-1</f>
        <v>6.078943999999975E-2</v>
      </c>
      <c r="L66" s="285" t="s">
        <v>184</v>
      </c>
      <c r="M66" s="286">
        <f t="shared" si="21"/>
        <v>268</v>
      </c>
      <c r="N66" s="287">
        <f t="shared" si="22"/>
        <v>1.5527950310559006E-2</v>
      </c>
      <c r="O66" s="288" t="s">
        <v>217</v>
      </c>
    </row>
    <row r="67" spans="1:16" s="104" customFormat="1" ht="39" x14ac:dyDescent="0.2">
      <c r="A67" s="366" t="s">
        <v>140</v>
      </c>
      <c r="B67" s="280" t="s">
        <v>14</v>
      </c>
      <c r="C67" s="281">
        <v>42796</v>
      </c>
      <c r="D67" s="281">
        <v>44622</v>
      </c>
      <c r="E67" s="281">
        <v>42879</v>
      </c>
      <c r="F67" s="282">
        <v>2400000</v>
      </c>
      <c r="G67" s="282">
        <f t="shared" si="30"/>
        <v>1826</v>
      </c>
      <c r="H67" s="266">
        <v>7.1556999999999996E-2</v>
      </c>
      <c r="I67" s="283">
        <v>6.5699999999999995E-2</v>
      </c>
      <c r="J67" s="284">
        <v>0</v>
      </c>
      <c r="K67" s="284">
        <v>7.1556999999999996E-2</v>
      </c>
      <c r="L67" s="285" t="s">
        <v>147</v>
      </c>
      <c r="M67" s="286">
        <f t="shared" si="21"/>
        <v>1170</v>
      </c>
      <c r="N67" s="287">
        <f t="shared" si="22"/>
        <v>7.4534161490683232E-2</v>
      </c>
      <c r="O67" s="288" t="s">
        <v>217</v>
      </c>
    </row>
    <row r="68" spans="1:16" s="104" customFormat="1" ht="39" x14ac:dyDescent="0.2">
      <c r="A68" s="366" t="s">
        <v>140</v>
      </c>
      <c r="B68" s="280" t="s">
        <v>120</v>
      </c>
      <c r="C68" s="281">
        <v>43168</v>
      </c>
      <c r="D68" s="281">
        <v>43899</v>
      </c>
      <c r="E68" s="281">
        <f>+C68</f>
        <v>43168</v>
      </c>
      <c r="F68" s="282">
        <v>1000000</v>
      </c>
      <c r="G68" s="282">
        <f t="shared" ref="G68" si="36">+D68-C68</f>
        <v>731</v>
      </c>
      <c r="H68" s="266" t="s">
        <v>199</v>
      </c>
      <c r="I68" s="283">
        <v>6.6960000000000006E-2</v>
      </c>
      <c r="J68" s="284">
        <f>+((1+I68)/(1+5.1%)-1)</f>
        <v>1.5185537583253916E-2</v>
      </c>
      <c r="K68" s="284">
        <f>+((1+J68)*(1+$B$49))-1</f>
        <v>6.1274960989533778E-2</v>
      </c>
      <c r="L68" s="285" t="s">
        <v>147</v>
      </c>
      <c r="M68" s="286">
        <f t="shared" si="21"/>
        <v>447</v>
      </c>
      <c r="N68" s="287">
        <f t="shared" si="22"/>
        <v>3.1055900621118012E-2</v>
      </c>
      <c r="O68" s="288" t="s">
        <v>217</v>
      </c>
    </row>
    <row r="69" spans="1:16" s="104" customFormat="1" ht="39" x14ac:dyDescent="0.2">
      <c r="A69" s="366" t="s">
        <v>140</v>
      </c>
      <c r="B69" s="280" t="s">
        <v>200</v>
      </c>
      <c r="C69" s="281">
        <v>42578</v>
      </c>
      <c r="D69" s="281">
        <v>45865</v>
      </c>
      <c r="E69" s="281">
        <v>43175</v>
      </c>
      <c r="F69" s="282">
        <v>1000000</v>
      </c>
      <c r="G69" s="282">
        <f t="shared" ref="G69" si="37">+D69-C69</f>
        <v>3287</v>
      </c>
      <c r="H69" s="266" t="s">
        <v>201</v>
      </c>
      <c r="I69" s="283">
        <v>6.6470000000000001E-2</v>
      </c>
      <c r="J69" s="284">
        <f>+((1+I69)/(1+4.99%)-1)</f>
        <v>1.5782455471949675E-2</v>
      </c>
      <c r="K69" s="284">
        <f>+((1+J69)*(1+$B$50))-1</f>
        <v>4.8998541765882475E-2</v>
      </c>
      <c r="L69" s="285" t="s">
        <v>147</v>
      </c>
      <c r="M69" s="286">
        <f t="shared" si="21"/>
        <v>2413</v>
      </c>
      <c r="N69" s="287">
        <f t="shared" si="22"/>
        <v>3.1055900621118012E-2</v>
      </c>
      <c r="O69" s="288" t="s">
        <v>217</v>
      </c>
    </row>
    <row r="70" spans="1:16" s="104" customFormat="1" ht="39.75" thickBot="1" x14ac:dyDescent="0.25">
      <c r="A70" s="426" t="s">
        <v>140</v>
      </c>
      <c r="B70" s="427" t="s">
        <v>202</v>
      </c>
      <c r="C70" s="428">
        <v>41089</v>
      </c>
      <c r="D70" s="428">
        <v>44741</v>
      </c>
      <c r="E70" s="428">
        <v>43182</v>
      </c>
      <c r="F70" s="429">
        <v>1000000</v>
      </c>
      <c r="G70" s="429">
        <f t="shared" ref="G70" si="38">+D70-C70</f>
        <v>3652</v>
      </c>
      <c r="H70" s="430" t="s">
        <v>203</v>
      </c>
      <c r="I70" s="431">
        <v>6.3780000000000003E-2</v>
      </c>
      <c r="J70" s="432">
        <f>+((1+I70)/(1+4.99%)-1)</f>
        <v>1.3220306695875594E-2</v>
      </c>
      <c r="K70" s="432">
        <f>+((1+J70)*(1+$B$50))-1</f>
        <v>4.6352610724830656E-2</v>
      </c>
      <c r="L70" s="433" t="s">
        <v>147</v>
      </c>
      <c r="M70" s="434">
        <f t="shared" si="21"/>
        <v>1289</v>
      </c>
      <c r="N70" s="435">
        <f t="shared" si="22"/>
        <v>3.1055900621118012E-2</v>
      </c>
      <c r="O70" s="436" t="s">
        <v>217</v>
      </c>
    </row>
    <row r="71" spans="1:16" ht="39.75" thickBot="1" x14ac:dyDescent="0.25">
      <c r="A71" s="523" t="s">
        <v>142</v>
      </c>
      <c r="B71" s="524"/>
      <c r="C71" s="524"/>
      <c r="D71" s="524"/>
      <c r="E71" s="525"/>
      <c r="F71" s="135">
        <f>SUM(F55:F70)</f>
        <v>32200000</v>
      </c>
      <c r="G71" s="135">
        <f>+AVERAGE(G55:G70)</f>
        <v>1648.9375</v>
      </c>
      <c r="H71" s="147"/>
      <c r="I71" s="150">
        <f>+AVERAGE(I55:I70)</f>
        <v>5.8421169999999981E-2</v>
      </c>
      <c r="J71" s="148"/>
      <c r="K71" s="150">
        <f>+SUMPRODUCT(K55:K70,N55:N70)</f>
        <v>6.0717964735411384E-2</v>
      </c>
      <c r="L71" s="149"/>
      <c r="M71" s="312">
        <f>+AVERAGE(M55:M70)</f>
        <v>718.8125</v>
      </c>
      <c r="N71" s="229">
        <f>SUM(N55:N70)</f>
        <v>0.99999999999999978</v>
      </c>
    </row>
    <row r="72" spans="1:16" ht="42" customHeight="1" x14ac:dyDescent="0.2">
      <c r="A72" s="132"/>
      <c r="B72" s="136"/>
      <c r="C72" s="128"/>
      <c r="D72" s="137"/>
      <c r="E72" s="129"/>
      <c r="F72" s="205"/>
      <c r="G72" s="26"/>
      <c r="H72" s="131"/>
      <c r="I72" s="129"/>
      <c r="J72" s="129"/>
      <c r="K72" s="26"/>
      <c r="M72" s="27"/>
    </row>
    <row r="73" spans="1:16" ht="53.25" customHeight="1" thickBot="1" x14ac:dyDescent="0.25">
      <c r="A73" s="138"/>
      <c r="B73" s="138"/>
      <c r="C73" s="216"/>
      <c r="D73" s="216"/>
      <c r="E73" s="311"/>
      <c r="F73" s="203"/>
      <c r="G73" s="203"/>
      <c r="H73" s="216"/>
      <c r="I73" s="370"/>
      <c r="J73" s="370"/>
      <c r="K73" s="198"/>
      <c r="L73" s="28"/>
    </row>
    <row r="74" spans="1:16" ht="39.75" thickBot="1" x14ac:dyDescent="0.25">
      <c r="A74" s="511" t="s">
        <v>171</v>
      </c>
      <c r="B74" s="512"/>
      <c r="C74" s="512"/>
      <c r="D74" s="512"/>
      <c r="E74" s="512"/>
      <c r="F74" s="512"/>
      <c r="G74" s="512"/>
      <c r="H74" s="512"/>
      <c r="I74" s="512"/>
      <c r="J74" s="512"/>
      <c r="K74" s="512"/>
      <c r="L74" s="514"/>
      <c r="O74" s="22"/>
    </row>
    <row r="75" spans="1:16" ht="39.75" thickBot="1" x14ac:dyDescent="0.25">
      <c r="A75" s="363" t="s">
        <v>134</v>
      </c>
      <c r="B75" s="354" t="s">
        <v>37</v>
      </c>
      <c r="C75" s="355" t="s">
        <v>130</v>
      </c>
      <c r="D75" s="355" t="s">
        <v>131</v>
      </c>
      <c r="E75" s="356" t="s">
        <v>132</v>
      </c>
      <c r="F75" s="357" t="s">
        <v>38</v>
      </c>
      <c r="G75" s="358" t="s">
        <v>39</v>
      </c>
      <c r="H75" s="359" t="s">
        <v>110</v>
      </c>
      <c r="I75" s="360" t="s">
        <v>128</v>
      </c>
      <c r="J75" s="361" t="s">
        <v>48</v>
      </c>
      <c r="K75" s="364" t="s">
        <v>137</v>
      </c>
      <c r="L75" s="362" t="s">
        <v>175</v>
      </c>
      <c r="O75" s="22"/>
    </row>
    <row r="76" spans="1:16" s="104" customFormat="1" ht="39.75" thickBot="1" x14ac:dyDescent="0.25">
      <c r="A76" s="403" t="s">
        <v>204</v>
      </c>
      <c r="B76" s="404" t="s">
        <v>205</v>
      </c>
      <c r="C76" s="405">
        <v>43284</v>
      </c>
      <c r="D76" s="405">
        <v>43464</v>
      </c>
      <c r="E76" s="405">
        <f>+C76</f>
        <v>43284</v>
      </c>
      <c r="F76" s="406">
        <f>652875.13-250000</f>
        <v>402875.13</v>
      </c>
      <c r="G76" s="407">
        <f>+D76-C76</f>
        <v>180</v>
      </c>
      <c r="H76" s="408">
        <v>1.7500000000000002E-2</v>
      </c>
      <c r="I76" s="408">
        <f>+F76/$F$77</f>
        <v>1</v>
      </c>
      <c r="J76" s="409" t="s">
        <v>174</v>
      </c>
      <c r="K76" s="410">
        <f>+D76-A8</f>
        <v>12</v>
      </c>
      <c r="L76" s="411">
        <f>+(F76*$L$11)/1000</f>
        <v>1295867.9994015</v>
      </c>
    </row>
    <row r="77" spans="1:16" ht="39.75" thickBot="1" x14ac:dyDescent="0.25">
      <c r="A77" s="223"/>
      <c r="B77" s="212"/>
      <c r="C77" s="213"/>
      <c r="D77" s="213"/>
      <c r="E77" s="213"/>
      <c r="F77" s="214">
        <f>SUM(F76:F76)</f>
        <v>402875.13</v>
      </c>
      <c r="G77" s="135">
        <f>+AVERAGE(G76:G76)</f>
        <v>180</v>
      </c>
      <c r="H77" s="229">
        <f>+SUMPRODUCT(H76:H76,I76:I76)</f>
        <v>1.7500000000000002E-2</v>
      </c>
      <c r="I77" s="150">
        <f>SUM(I76:I76)</f>
        <v>1</v>
      </c>
      <c r="K77" s="135">
        <f>+AVERAGE(K76:K76)</f>
        <v>12</v>
      </c>
      <c r="L77" s="135">
        <f>SUM(L76:L76)</f>
        <v>1295867.9994015</v>
      </c>
      <c r="O77" s="22"/>
    </row>
    <row r="78" spans="1:16" ht="39.75" thickBot="1" x14ac:dyDescent="0.25">
      <c r="A78" s="223"/>
      <c r="B78" s="212"/>
      <c r="C78" s="213"/>
      <c r="D78" s="213"/>
      <c r="E78" s="213"/>
      <c r="F78" s="224"/>
      <c r="G78" s="205"/>
      <c r="H78" s="225"/>
      <c r="I78" s="207"/>
      <c r="J78" s="208"/>
      <c r="K78" s="26"/>
      <c r="L78" s="198"/>
      <c r="O78" s="22"/>
    </row>
    <row r="79" spans="1:16" ht="39.75" thickBot="1" x14ac:dyDescent="0.25">
      <c r="A79" s="518" t="s">
        <v>144</v>
      </c>
      <c r="B79" s="519"/>
      <c r="C79" s="124">
        <f>+F71+C47+L77</f>
        <v>81799857.546162501</v>
      </c>
      <c r="D79" s="244"/>
      <c r="E79" s="244"/>
      <c r="F79" s="224"/>
      <c r="G79" s="205"/>
      <c r="H79" s="225"/>
      <c r="I79" s="207"/>
      <c r="J79" s="208"/>
      <c r="K79" s="26"/>
      <c r="L79" s="198"/>
      <c r="M79" s="209"/>
      <c r="N79" s="210"/>
      <c r="O79" s="210"/>
    </row>
    <row r="80" spans="1:16" ht="20.100000000000001" customHeight="1" x14ac:dyDescent="0.2">
      <c r="D80" s="370"/>
      <c r="E80" s="370"/>
      <c r="F80" s="203"/>
      <c r="G80" s="203"/>
      <c r="H80" s="216"/>
      <c r="I80" s="370"/>
      <c r="J80" s="370"/>
      <c r="K80" s="198"/>
      <c r="L80" s="28"/>
    </row>
    <row r="81" spans="1:15" ht="52.5" customHeight="1" x14ac:dyDescent="0.2">
      <c r="A81" s="138"/>
      <c r="B81" s="138"/>
      <c r="C81" s="216"/>
      <c r="D81" s="370"/>
      <c r="E81" s="370"/>
      <c r="F81" s="203"/>
      <c r="G81" s="139"/>
      <c r="H81" s="370"/>
      <c r="I81" s="370"/>
      <c r="J81" s="370"/>
      <c r="K81" s="198"/>
      <c r="L81" s="28"/>
    </row>
    <row r="82" spans="1:15" ht="30" customHeight="1" x14ac:dyDescent="0.2">
      <c r="A82" s="138"/>
      <c r="B82" s="138"/>
      <c r="C82" s="370"/>
      <c r="D82" s="370"/>
      <c r="E82" s="370"/>
      <c r="F82" s="203"/>
      <c r="G82" s="139"/>
      <c r="H82" s="370"/>
      <c r="I82" s="370"/>
      <c r="J82" s="370"/>
      <c r="K82" s="198"/>
      <c r="L82" s="28"/>
    </row>
    <row r="83" spans="1:15" ht="50.1" customHeight="1" thickBot="1" x14ac:dyDescent="0.25">
      <c r="A83" s="211"/>
      <c r="B83" s="212"/>
      <c r="C83" s="213"/>
      <c r="D83" s="213"/>
      <c r="E83" s="213"/>
      <c r="F83" s="205"/>
      <c r="G83" s="26"/>
      <c r="H83" s="215"/>
      <c r="I83" s="208"/>
      <c r="J83" s="208"/>
      <c r="K83" s="26"/>
      <c r="L83" s="198"/>
      <c r="M83" s="209"/>
      <c r="N83" s="210"/>
      <c r="O83" s="210"/>
    </row>
    <row r="84" spans="1:15" ht="50.1" customHeight="1" thickBot="1" x14ac:dyDescent="0.25">
      <c r="A84" s="140" t="s">
        <v>45</v>
      </c>
      <c r="B84" s="102" t="s">
        <v>42</v>
      </c>
      <c r="C84" s="102" t="s">
        <v>44</v>
      </c>
      <c r="D84" s="141" t="s">
        <v>46</v>
      </c>
      <c r="F84" s="206"/>
      <c r="G84" s="26"/>
      <c r="H84" s="215"/>
      <c r="I84" s="208"/>
      <c r="J84" s="208"/>
      <c r="K84" s="26"/>
      <c r="L84" s="198"/>
    </row>
    <row r="85" spans="1:15" s="104" customFormat="1" ht="50.1" customHeight="1" x14ac:dyDescent="0.2">
      <c r="A85" s="298" t="s">
        <v>88</v>
      </c>
      <c r="B85" s="142">
        <f>[1]Consolidado!$C$10</f>
        <v>175161.83100000001</v>
      </c>
      <c r="C85" s="143"/>
      <c r="D85" s="299">
        <f>SUM(B85:C85)</f>
        <v>175161.83100000001</v>
      </c>
      <c r="E85" s="301"/>
      <c r="F85" s="302"/>
      <c r="G85" s="303"/>
      <c r="H85" s="303"/>
      <c r="I85" s="303"/>
      <c r="J85" s="303"/>
      <c r="K85" s="304"/>
      <c r="L85" s="305"/>
      <c r="O85" s="233"/>
    </row>
    <row r="86" spans="1:15" s="104" customFormat="1" ht="50.1" customHeight="1" x14ac:dyDescent="0.2">
      <c r="A86" s="298" t="s">
        <v>89</v>
      </c>
      <c r="B86" s="142">
        <f>[1]Consolidado!$C$4</f>
        <v>59162.14</v>
      </c>
      <c r="C86" s="143"/>
      <c r="D86" s="299">
        <f t="shared" ref="D86:D95" si="39">SUM(B86:C86)</f>
        <v>59162.14</v>
      </c>
      <c r="E86" s="301"/>
      <c r="F86" s="302"/>
      <c r="G86" s="303"/>
      <c r="H86" s="303"/>
      <c r="I86" s="303"/>
      <c r="J86" s="303"/>
      <c r="K86" s="304"/>
      <c r="L86" s="305"/>
      <c r="O86" s="233"/>
    </row>
    <row r="87" spans="1:15" s="104" customFormat="1" ht="50.1" customHeight="1" x14ac:dyDescent="0.2">
      <c r="A87" s="298" t="s">
        <v>90</v>
      </c>
      <c r="B87" s="142">
        <f>[1]Consolidado!$C$7</f>
        <v>27216.93</v>
      </c>
      <c r="C87" s="143"/>
      <c r="D87" s="299">
        <f t="shared" si="39"/>
        <v>27216.93</v>
      </c>
      <c r="E87" s="301"/>
      <c r="F87" s="302"/>
      <c r="G87" s="303"/>
      <c r="H87" s="303"/>
      <c r="I87" s="303"/>
      <c r="J87" s="303"/>
      <c r="K87" s="304"/>
      <c r="L87" s="305"/>
      <c r="O87" s="233"/>
    </row>
    <row r="88" spans="1:15" s="104" customFormat="1" ht="50.1" customHeight="1" x14ac:dyDescent="0.2">
      <c r="A88" s="298" t="s">
        <v>91</v>
      </c>
      <c r="B88" s="142">
        <f>[1]Consolidado!$C$5</f>
        <v>700</v>
      </c>
      <c r="C88" s="143"/>
      <c r="D88" s="299">
        <f t="shared" si="39"/>
        <v>700</v>
      </c>
      <c r="E88" s="301"/>
      <c r="F88" s="302"/>
      <c r="G88" s="303"/>
      <c r="H88" s="303"/>
      <c r="I88" s="303"/>
      <c r="J88" s="303"/>
      <c r="K88" s="304"/>
      <c r="L88" s="305"/>
      <c r="O88" s="233"/>
    </row>
    <row r="89" spans="1:15" s="104" customFormat="1" ht="50.1" customHeight="1" x14ac:dyDescent="0.2">
      <c r="A89" s="298" t="s">
        <v>92</v>
      </c>
      <c r="B89" s="142">
        <f>[1]Consolidado!$C$9</f>
        <v>51282.432000000001</v>
      </c>
      <c r="C89" s="143"/>
      <c r="D89" s="299">
        <f t="shared" si="39"/>
        <v>51282.432000000001</v>
      </c>
      <c r="E89" s="301"/>
      <c r="F89" s="302"/>
      <c r="G89" s="303"/>
      <c r="H89" s="303"/>
      <c r="I89" s="303"/>
      <c r="J89" s="303"/>
      <c r="K89" s="304"/>
      <c r="L89" s="305"/>
      <c r="O89" s="233"/>
    </row>
    <row r="90" spans="1:15" s="104" customFormat="1" ht="50.1" customHeight="1" x14ac:dyDescent="0.2">
      <c r="A90" s="298" t="s">
        <v>113</v>
      </c>
      <c r="B90" s="142"/>
      <c r="C90" s="143"/>
      <c r="D90" s="299">
        <f t="shared" si="39"/>
        <v>0</v>
      </c>
      <c r="E90" s="301"/>
      <c r="F90" s="302"/>
      <c r="G90" s="303"/>
      <c r="H90" s="303"/>
      <c r="I90" s="303"/>
      <c r="J90" s="303"/>
      <c r="K90" s="304"/>
      <c r="L90" s="305"/>
      <c r="O90" s="233"/>
    </row>
    <row r="91" spans="1:15" s="104" customFormat="1" ht="49.5" customHeight="1" x14ac:dyDescent="0.2">
      <c r="A91" s="298" t="s">
        <v>108</v>
      </c>
      <c r="B91" s="142"/>
      <c r="C91" s="143"/>
      <c r="D91" s="299">
        <f t="shared" si="39"/>
        <v>0</v>
      </c>
      <c r="E91" s="301"/>
      <c r="F91" s="302"/>
      <c r="G91" s="303"/>
      <c r="H91" s="303"/>
      <c r="I91" s="303"/>
      <c r="J91" s="303"/>
      <c r="K91" s="304"/>
      <c r="L91" s="305"/>
      <c r="O91" s="233"/>
    </row>
    <row r="92" spans="1:15" s="104" customFormat="1" ht="50.1" customHeight="1" x14ac:dyDescent="0.2">
      <c r="A92" s="298" t="s">
        <v>93</v>
      </c>
      <c r="B92" s="142"/>
      <c r="C92" s="143"/>
      <c r="D92" s="299">
        <f t="shared" si="39"/>
        <v>0</v>
      </c>
      <c r="E92" s="301"/>
      <c r="F92" s="306"/>
      <c r="G92" s="303"/>
      <c r="H92" s="303"/>
      <c r="I92" s="303"/>
      <c r="J92" s="303"/>
      <c r="K92" s="304"/>
      <c r="L92" s="101"/>
      <c r="O92" s="233"/>
    </row>
    <row r="93" spans="1:15" s="104" customFormat="1" ht="50.1" customHeight="1" x14ac:dyDescent="0.2">
      <c r="A93" s="298" t="s">
        <v>94</v>
      </c>
      <c r="B93" s="142">
        <f>[1]Consolidado!$C$8</f>
        <v>81802.135999999999</v>
      </c>
      <c r="C93" s="143"/>
      <c r="D93" s="299">
        <f t="shared" si="39"/>
        <v>81802.135999999999</v>
      </c>
      <c r="E93" s="301"/>
      <c r="F93" s="307"/>
      <c r="G93" s="303"/>
      <c r="H93" s="303"/>
      <c r="I93" s="303"/>
      <c r="J93" s="303"/>
      <c r="K93" s="304"/>
      <c r="L93" s="101"/>
      <c r="O93" s="233"/>
    </row>
    <row r="94" spans="1:15" s="104" customFormat="1" ht="50.1" customHeight="1" x14ac:dyDescent="0.2">
      <c r="A94" s="298" t="s">
        <v>95</v>
      </c>
      <c r="B94" s="142"/>
      <c r="C94" s="143"/>
      <c r="D94" s="299">
        <f t="shared" si="39"/>
        <v>0</v>
      </c>
      <c r="E94" s="301"/>
      <c r="F94" s="306"/>
      <c r="G94" s="306"/>
      <c r="H94" s="101"/>
      <c r="I94" s="101"/>
      <c r="J94" s="101"/>
      <c r="K94" s="101"/>
      <c r="L94" s="101"/>
      <c r="O94" s="233"/>
    </row>
    <row r="95" spans="1:15" s="104" customFormat="1" ht="50.1" customHeight="1" x14ac:dyDescent="0.2">
      <c r="A95" s="374" t="s">
        <v>117</v>
      </c>
      <c r="B95" s="372"/>
      <c r="C95" s="373"/>
      <c r="D95" s="353">
        <f t="shared" si="39"/>
        <v>0</v>
      </c>
      <c r="E95" s="301"/>
      <c r="F95" s="306"/>
      <c r="G95" s="306"/>
      <c r="H95" s="101"/>
      <c r="I95" s="101"/>
      <c r="J95" s="101"/>
      <c r="K95" s="101"/>
      <c r="L95" s="101"/>
      <c r="O95" s="233"/>
    </row>
    <row r="96" spans="1:15" s="104" customFormat="1" ht="50.1" customHeight="1" thickBot="1" x14ac:dyDescent="0.25">
      <c r="A96" s="300" t="s">
        <v>207</v>
      </c>
      <c r="B96" s="144"/>
      <c r="C96" s="145"/>
      <c r="D96" s="371"/>
      <c r="E96" s="301"/>
      <c r="F96" s="306"/>
      <c r="G96" s="306"/>
      <c r="H96" s="101"/>
      <c r="I96" s="101"/>
      <c r="J96" s="101"/>
      <c r="K96" s="101"/>
      <c r="L96" s="101"/>
      <c r="O96" s="233"/>
    </row>
    <row r="97" spans="1:4" ht="50.1" customHeight="1" thickBot="1" x14ac:dyDescent="0.25">
      <c r="A97" s="226" t="s">
        <v>75</v>
      </c>
      <c r="B97" s="227">
        <f>SUM(B85:B96)</f>
        <v>395325.46899999998</v>
      </c>
      <c r="C97" s="227">
        <f>SUM(C85:C95)</f>
        <v>0</v>
      </c>
      <c r="D97" s="228">
        <f>SUM(D85:D95)</f>
        <v>395325.46899999998</v>
      </c>
    </row>
    <row r="99" spans="1:4" ht="20.100000000000001" customHeight="1" x14ac:dyDescent="0.2">
      <c r="D99" s="146"/>
    </row>
    <row r="103" spans="1:4" ht="36.75" customHeight="1" x14ac:dyDescent="0.2">
      <c r="C103" s="236"/>
    </row>
    <row r="104" spans="1:4" ht="36.75" customHeight="1" x14ac:dyDescent="0.2"/>
    <row r="105" spans="1:4" ht="36.75" customHeight="1" x14ac:dyDescent="0.2"/>
  </sheetData>
  <autoFilter ref="A54:O71"/>
  <sortState ref="A54:M70">
    <sortCondition ref="A54:A70"/>
    <sortCondition ref="D54:D70"/>
  </sortState>
  <mergeCells count="22">
    <mergeCell ref="A40:L40"/>
    <mergeCell ref="A45:B45"/>
    <mergeCell ref="A71:E71"/>
    <mergeCell ref="A47:B47"/>
    <mergeCell ref="A79:B79"/>
    <mergeCell ref="A53:O53"/>
    <mergeCell ref="A74:L74"/>
    <mergeCell ref="A1:L1"/>
    <mergeCell ref="A3:L3"/>
    <mergeCell ref="B4:L4"/>
    <mergeCell ref="A5:L5"/>
    <mergeCell ref="A6:L6"/>
    <mergeCell ref="A7:L7"/>
    <mergeCell ref="A27:B27"/>
    <mergeCell ref="A17:B17"/>
    <mergeCell ref="A8:L8"/>
    <mergeCell ref="I38:L38"/>
    <mergeCell ref="A10:L10"/>
    <mergeCell ref="A18:L18"/>
    <mergeCell ref="A37:B37"/>
    <mergeCell ref="A28:L28"/>
    <mergeCell ref="A36:B36"/>
  </mergeCells>
  <phoneticPr fontId="0" type="noConversion"/>
  <hyperlinks>
    <hyperlink ref="F37" location="'MOVIMIENTOS POR CUENTA'!A1" display="'MOVIMIENTOS POR CUENTA'!A1"/>
    <hyperlink ref="F45" location="'MOVIMIENTOS POR CUENTA'!A1" display="'MOVIMIENTOS POR CUENTA'!A1"/>
  </hyperlinks>
  <printOptions horizontalCentered="1" verticalCentered="1"/>
  <pageMargins left="0" right="0.39370078740157483" top="0" bottom="0" header="0" footer="0"/>
  <pageSetup paperSize="9" scale="26" orientation="landscape" r:id="rId1"/>
  <headerFooter alignWithMargins="0"/>
  <ignoredErrors>
    <ignoredError sqref="J24 E14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R49"/>
  <sheetViews>
    <sheetView showGridLines="0" topLeftCell="F1" zoomScale="30" zoomScaleNormal="30" zoomScaleSheetLayoutView="20" zoomScalePageLayoutView="40" workbookViewId="0">
      <selection activeCell="H17" sqref="H17"/>
    </sheetView>
  </sheetViews>
  <sheetFormatPr baseColWidth="10" defaultColWidth="11.42578125" defaultRowHeight="20.100000000000001" customHeight="1" x14ac:dyDescent="0.2"/>
  <cols>
    <col min="1" max="1" width="113.85546875" style="32" customWidth="1"/>
    <col min="2" max="2" width="108.7109375" style="32" customWidth="1"/>
    <col min="3" max="3" width="52.28515625" style="32" customWidth="1"/>
    <col min="4" max="4" width="49.5703125" style="33" customWidth="1"/>
    <col min="5" max="5" width="50.140625" style="34" customWidth="1"/>
    <col min="6" max="6" width="47.140625" style="35" customWidth="1"/>
    <col min="7" max="7" width="52.7109375" style="35" customWidth="1"/>
    <col min="8" max="8" width="53.42578125" style="63" customWidth="1"/>
    <col min="9" max="9" width="45" style="32" bestFit="1" customWidth="1"/>
    <col min="10" max="10" width="52.7109375" style="32" customWidth="1"/>
    <col min="11" max="11" width="48.28515625" style="32" customWidth="1"/>
    <col min="12" max="12" width="50.140625" style="32" customWidth="1"/>
    <col min="13" max="13" width="190.5703125" style="32" bestFit="1" customWidth="1"/>
    <col min="14" max="14" width="54.42578125" style="63" bestFit="1" customWidth="1"/>
    <col min="15" max="15" width="49.42578125" style="62" customWidth="1"/>
    <col min="16" max="16" width="11.42578125" style="32"/>
    <col min="17" max="17" width="46.42578125" style="32" bestFit="1" customWidth="1"/>
    <col min="18" max="18" width="43" style="32" bestFit="1" customWidth="1"/>
    <col min="19" max="16384" width="11.42578125" style="32"/>
  </cols>
  <sheetData>
    <row r="1" spans="1:15" ht="46.5" thickBot="1" x14ac:dyDescent="0.25">
      <c r="A1" s="36"/>
      <c r="B1" s="36"/>
      <c r="C1" s="36"/>
      <c r="D1" s="36"/>
      <c r="E1" s="36"/>
      <c r="F1" s="38"/>
      <c r="G1" s="38"/>
    </row>
    <row r="2" spans="1:15" ht="46.5" thickBot="1" x14ac:dyDescent="0.25">
      <c r="A2" s="39" t="s">
        <v>16</v>
      </c>
      <c r="B2" s="39" t="s">
        <v>17</v>
      </c>
      <c r="C2" s="39" t="s">
        <v>18</v>
      </c>
      <c r="D2" s="39" t="s">
        <v>19</v>
      </c>
      <c r="E2" s="39" t="s">
        <v>20</v>
      </c>
      <c r="F2" s="39" t="s">
        <v>49</v>
      </c>
      <c r="G2" s="39" t="s">
        <v>82</v>
      </c>
      <c r="H2" s="61" t="s">
        <v>87</v>
      </c>
      <c r="I2" s="61" t="s">
        <v>83</v>
      </c>
      <c r="J2" s="64" t="s">
        <v>96</v>
      </c>
      <c r="K2" s="61" t="s">
        <v>85</v>
      </c>
      <c r="L2" s="61" t="s">
        <v>86</v>
      </c>
      <c r="M2" s="61" t="s">
        <v>84</v>
      </c>
      <c r="N2" s="61" t="s">
        <v>107</v>
      </c>
    </row>
    <row r="3" spans="1:15" ht="46.5" thickBot="1" x14ac:dyDescent="0.25">
      <c r="A3" s="531" t="s">
        <v>29</v>
      </c>
      <c r="B3" s="532"/>
      <c r="C3" s="532"/>
      <c r="D3" s="532"/>
      <c r="E3" s="532"/>
      <c r="F3" s="532"/>
      <c r="G3" s="532"/>
      <c r="H3" s="532"/>
      <c r="I3" s="532"/>
      <c r="J3" s="532"/>
      <c r="K3" s="532"/>
      <c r="L3" s="532"/>
      <c r="M3" s="533"/>
    </row>
    <row r="4" spans="1:15" ht="45.75" x14ac:dyDescent="0.2">
      <c r="A4" s="48" t="s">
        <v>10</v>
      </c>
      <c r="B4" s="49" t="s">
        <v>7</v>
      </c>
      <c r="C4" s="65" t="s">
        <v>26</v>
      </c>
      <c r="D4" s="66">
        <f>+'SALDOS DIARIOS DE REPORTES'!C11</f>
        <v>420045.22</v>
      </c>
      <c r="E4" s="66">
        <f>+'SALDOS DIARIOS DE REPORTES'!D11</f>
        <v>417785.22</v>
      </c>
      <c r="F4" s="252">
        <f>D4/E4-1</f>
        <v>5.409478104562826E-3</v>
      </c>
      <c r="G4" s="67">
        <f t="shared" ref="G4:G9" si="0">+D4-E4</f>
        <v>2260</v>
      </c>
      <c r="H4" s="375">
        <v>2260</v>
      </c>
      <c r="I4" s="375"/>
      <c r="J4" s="375"/>
      <c r="K4" s="375"/>
      <c r="L4" s="376">
        <f>+H4+I4+J4+K4</f>
        <v>2260</v>
      </c>
      <c r="M4" s="259"/>
      <c r="N4" s="63">
        <f t="shared" ref="N4:N8" si="1">+L4-G4</f>
        <v>0</v>
      </c>
      <c r="O4" s="62">
        <f>+N4*-1</f>
        <v>0</v>
      </c>
    </row>
    <row r="5" spans="1:15" ht="45.75" x14ac:dyDescent="0.2">
      <c r="A5" s="50" t="s">
        <v>11</v>
      </c>
      <c r="B5" s="51" t="s">
        <v>106</v>
      </c>
      <c r="C5" s="68" t="s">
        <v>2</v>
      </c>
      <c r="D5" s="42">
        <f>+'SALDOS DIARIOS DE REPORTES'!C12</f>
        <v>1414374.5215900003</v>
      </c>
      <c r="E5" s="42">
        <f>+'SALDOS DIARIOS DE REPORTES'!D12</f>
        <v>1051652.6219000015</v>
      </c>
      <c r="F5" s="253">
        <f>D5/E5-1</f>
        <v>0.34490657098793287</v>
      </c>
      <c r="G5" s="70">
        <f t="shared" si="0"/>
        <v>362721.89968999871</v>
      </c>
      <c r="H5" s="377">
        <v>287235.81318999903</v>
      </c>
      <c r="I5" s="377">
        <v>-3924513.9134999998</v>
      </c>
      <c r="J5" s="377">
        <v>4000000</v>
      </c>
      <c r="K5" s="377"/>
      <c r="L5" s="378">
        <f>+H5+I5+J5+K5</f>
        <v>362721.89968999941</v>
      </c>
      <c r="M5" s="250" t="s">
        <v>230</v>
      </c>
      <c r="N5" s="72">
        <f>+L5-G5</f>
        <v>6.9849193096160889E-10</v>
      </c>
      <c r="O5" s="62">
        <f>+N5*-1</f>
        <v>-6.9849193096160889E-10</v>
      </c>
    </row>
    <row r="6" spans="1:15" ht="45.75" x14ac:dyDescent="0.2">
      <c r="A6" s="50" t="s">
        <v>12</v>
      </c>
      <c r="B6" s="51" t="s">
        <v>47</v>
      </c>
      <c r="C6" s="68" t="s">
        <v>3</v>
      </c>
      <c r="D6" s="42">
        <f>+'SALDOS DIARIOS DE REPORTES'!C13</f>
        <v>1954728.5047600002</v>
      </c>
      <c r="E6" s="42">
        <f>+'SALDOS DIARIOS DE REPORTES'!D13</f>
        <v>2149757.8907600003</v>
      </c>
      <c r="F6" s="253">
        <f>D6/E6-1</f>
        <v>-9.072155838490803E-2</v>
      </c>
      <c r="G6" s="70">
        <f t="shared" si="0"/>
        <v>-195029.38600000017</v>
      </c>
      <c r="H6" s="377">
        <v>933089.84499999997</v>
      </c>
      <c r="I6" s="377">
        <v>-2128119.2310000001</v>
      </c>
      <c r="J6" s="377">
        <v>1000000</v>
      </c>
      <c r="K6" s="377"/>
      <c r="L6" s="378">
        <f t="shared" ref="L6:L9" si="2">+H6+I6+J6+K6</f>
        <v>-195029.38600000017</v>
      </c>
      <c r="M6" s="250" t="s">
        <v>230</v>
      </c>
      <c r="N6" s="72">
        <f>+L6-G6</f>
        <v>0</v>
      </c>
      <c r="O6" s="62">
        <f>+N6*-1</f>
        <v>0</v>
      </c>
    </row>
    <row r="7" spans="1:15" s="41" customFormat="1" ht="45.75" x14ac:dyDescent="0.2">
      <c r="A7" s="73" t="s">
        <v>13</v>
      </c>
      <c r="B7" s="74" t="s">
        <v>1</v>
      </c>
      <c r="C7" s="75" t="s">
        <v>4</v>
      </c>
      <c r="D7" s="42">
        <f>+'SALDOS DIARIOS DE REPORTES'!C14</f>
        <v>2010933.3508199998</v>
      </c>
      <c r="E7" s="42">
        <f>+'SALDOS DIARIOS DE REPORTES'!D14</f>
        <v>2328060.9218199998</v>
      </c>
      <c r="F7" s="254">
        <f>+D7/E7-1</f>
        <v>-0.13621961866533983</v>
      </c>
      <c r="G7" s="70">
        <f t="shared" si="0"/>
        <v>-317127.571</v>
      </c>
      <c r="H7" s="377">
        <v>682872.429</v>
      </c>
      <c r="I7" s="377"/>
      <c r="J7" s="377">
        <v>-1000000</v>
      </c>
      <c r="K7" s="377"/>
      <c r="L7" s="378">
        <f>+H7+I7+J7+K7</f>
        <v>-317127.571</v>
      </c>
      <c r="M7" s="250" t="s">
        <v>226</v>
      </c>
      <c r="N7" s="72">
        <f>+L7-G7</f>
        <v>0</v>
      </c>
      <c r="O7" s="77">
        <f>+N7*-1</f>
        <v>0</v>
      </c>
    </row>
    <row r="8" spans="1:15" ht="45.75" x14ac:dyDescent="0.2">
      <c r="A8" s="78" t="s">
        <v>105</v>
      </c>
      <c r="B8" s="79" t="s">
        <v>98</v>
      </c>
      <c r="C8" s="80" t="s">
        <v>99</v>
      </c>
      <c r="D8" s="60">
        <f>+'SALDOS DIARIOS DE REPORTES'!C15</f>
        <v>0</v>
      </c>
      <c r="E8" s="60">
        <f>+'SALDOS DIARIOS DE REPORTES'!D15</f>
        <v>0</v>
      </c>
      <c r="F8" s="255">
        <v>0</v>
      </c>
      <c r="G8" s="262">
        <f t="shared" si="0"/>
        <v>0</v>
      </c>
      <c r="H8" s="379"/>
      <c r="I8" s="379"/>
      <c r="J8" s="377"/>
      <c r="K8" s="379"/>
      <c r="L8" s="378">
        <f t="shared" si="2"/>
        <v>0</v>
      </c>
      <c r="M8" s="260"/>
      <c r="N8" s="72">
        <f t="shared" si="1"/>
        <v>0</v>
      </c>
    </row>
    <row r="9" spans="1:15" ht="46.5" thickBot="1" x14ac:dyDescent="0.25">
      <c r="A9" s="52" t="s">
        <v>14</v>
      </c>
      <c r="B9" s="53" t="s">
        <v>81</v>
      </c>
      <c r="C9" s="81" t="s">
        <v>0</v>
      </c>
      <c r="D9" s="44">
        <f>+'SALDOS DIARIOS DE REPORTES'!C16</f>
        <v>9978.9498799999947</v>
      </c>
      <c r="E9" s="44">
        <f>+'SALDOS DIARIOS DE REPORTES'!D16</f>
        <v>9978.9498799999947</v>
      </c>
      <c r="F9" s="256">
        <f>D9/E9-1</f>
        <v>0</v>
      </c>
      <c r="G9" s="251">
        <f t="shared" si="0"/>
        <v>0</v>
      </c>
      <c r="H9" s="380"/>
      <c r="I9" s="381"/>
      <c r="J9" s="380"/>
      <c r="K9" s="382"/>
      <c r="L9" s="383">
        <f t="shared" si="2"/>
        <v>0</v>
      </c>
      <c r="M9" s="261"/>
      <c r="N9" s="63">
        <f>+L9-G9</f>
        <v>0</v>
      </c>
      <c r="O9" s="77">
        <f>+N9*-1</f>
        <v>0</v>
      </c>
    </row>
    <row r="10" spans="1:15" s="47" customFormat="1" ht="52.5" customHeight="1" thickBot="1" x14ac:dyDescent="0.25">
      <c r="A10" s="534" t="s">
        <v>27</v>
      </c>
      <c r="B10" s="535"/>
      <c r="C10" s="536"/>
      <c r="D10" s="45">
        <f>SUM(D5:D9)</f>
        <v>5390015.3270500004</v>
      </c>
      <c r="E10" s="45">
        <f>SUM(E5:E9)</f>
        <v>5539450.3843600024</v>
      </c>
      <c r="F10" s="257">
        <f>D10/E10-1</f>
        <v>-2.6976513361671173E-2</v>
      </c>
      <c r="G10" s="86">
        <f>SUM(G5:G9)</f>
        <v>-149435.05731000146</v>
      </c>
      <c r="H10" s="87">
        <f>+H4+H5+H6+H7+H8+H9</f>
        <v>1905458.0871899989</v>
      </c>
      <c r="I10" s="87">
        <f>+I4+I5+I6+I7+I8+I9</f>
        <v>-6052633.1445000004</v>
      </c>
      <c r="J10" s="87">
        <f>+J4+J5+J6+J7+J8+J9</f>
        <v>4000000</v>
      </c>
      <c r="K10" s="87">
        <f t="shared" ref="K10:L10" si="3">+K4+K5+K6+K7+K8+K9</f>
        <v>0</v>
      </c>
      <c r="L10" s="87">
        <f t="shared" si="3"/>
        <v>-147175.05731000076</v>
      </c>
      <c r="M10" s="88"/>
      <c r="N10" s="89"/>
      <c r="O10" s="58"/>
    </row>
    <row r="11" spans="1:15" ht="46.5" thickBot="1" x14ac:dyDescent="0.25">
      <c r="A11" s="531" t="s">
        <v>30</v>
      </c>
      <c r="B11" s="532"/>
      <c r="C11" s="532"/>
      <c r="D11" s="532"/>
      <c r="E11" s="532"/>
      <c r="F11" s="532"/>
      <c r="G11" s="532"/>
      <c r="H11" s="532"/>
      <c r="I11" s="532"/>
      <c r="J11" s="532"/>
      <c r="K11" s="532"/>
      <c r="L11" s="532"/>
      <c r="M11" s="533"/>
    </row>
    <row r="12" spans="1:15" s="41" customFormat="1" ht="45.75" x14ac:dyDescent="0.2">
      <c r="A12" s="475" t="s">
        <v>15</v>
      </c>
      <c r="B12" s="234" t="s">
        <v>106</v>
      </c>
      <c r="C12" s="234" t="s">
        <v>5</v>
      </c>
      <c r="D12" s="40">
        <f>+'SALDOS DIARIOS DE REPORTES'!C19</f>
        <v>8256098.4301300012</v>
      </c>
      <c r="E12" s="40">
        <f>+'SALDOS DIARIOS DE REPORTES'!D19</f>
        <v>11382978.838130001</v>
      </c>
      <c r="F12" s="235">
        <f t="shared" ref="F12:F20" si="4">D12/E12-1</f>
        <v>-0.27469790223326851</v>
      </c>
      <c r="G12" s="263">
        <f t="shared" ref="G12:G19" si="5">+D12-E12</f>
        <v>-3126880.4079999998</v>
      </c>
      <c r="H12" s="384">
        <v>873119.59200000018</v>
      </c>
      <c r="I12" s="385"/>
      <c r="J12" s="376">
        <v>-4000000</v>
      </c>
      <c r="K12" s="376"/>
      <c r="L12" s="385">
        <f t="shared" ref="L12:L19" si="6">+H12+I12+J12+K12</f>
        <v>-3126880.4079999998</v>
      </c>
      <c r="M12" s="390" t="s">
        <v>228</v>
      </c>
      <c r="N12" s="76">
        <f>+G12-L12</f>
        <v>0</v>
      </c>
      <c r="O12" s="77">
        <f t="shared" ref="O12:O17" si="7">+N12*-1</f>
        <v>0</v>
      </c>
    </row>
    <row r="13" spans="1:15" ht="45.75" x14ac:dyDescent="0.2">
      <c r="A13" s="50" t="s">
        <v>24</v>
      </c>
      <c r="B13" s="51" t="s">
        <v>47</v>
      </c>
      <c r="C13" s="51" t="s">
        <v>6</v>
      </c>
      <c r="D13" s="42">
        <f>+'SALDOS DIARIOS DE REPORTES'!C20</f>
        <v>5527769.2782299994</v>
      </c>
      <c r="E13" s="42">
        <f>+'SALDOS DIARIOS DE REPORTES'!D20</f>
        <v>6460041.5985600017</v>
      </c>
      <c r="F13" s="43">
        <f>D13/E13-1</f>
        <v>-0.14431367137601925</v>
      </c>
      <c r="G13" s="258">
        <f t="shared" si="5"/>
        <v>-932272.32033000235</v>
      </c>
      <c r="H13" s="386">
        <v>67727.679669997699</v>
      </c>
      <c r="I13" s="378"/>
      <c r="J13" s="378">
        <v>-1000000</v>
      </c>
      <c r="K13" s="387"/>
      <c r="L13" s="389">
        <f t="shared" si="6"/>
        <v>-932272.32033000235</v>
      </c>
      <c r="M13" s="391" t="s">
        <v>229</v>
      </c>
      <c r="N13" s="72">
        <f t="shared" ref="N13:N19" si="8">+L13-G13</f>
        <v>0</v>
      </c>
      <c r="O13" s="62">
        <f t="shared" si="7"/>
        <v>0</v>
      </c>
    </row>
    <row r="14" spans="1:15" ht="45.75" x14ac:dyDescent="0.2">
      <c r="A14" s="50" t="s">
        <v>25</v>
      </c>
      <c r="B14" s="51" t="s">
        <v>1</v>
      </c>
      <c r="C14" s="51" t="s">
        <v>8</v>
      </c>
      <c r="D14" s="42">
        <f>+'SALDOS DIARIOS DE REPORTES'!C21</f>
        <v>305.92884999999995</v>
      </c>
      <c r="E14" s="42">
        <f>+'SALDOS DIARIOS DE REPORTES'!D21</f>
        <v>305.92884999999995</v>
      </c>
      <c r="F14" s="43">
        <f t="shared" si="4"/>
        <v>0</v>
      </c>
      <c r="G14" s="258">
        <f t="shared" si="5"/>
        <v>0</v>
      </c>
      <c r="H14" s="388"/>
      <c r="I14" s="389"/>
      <c r="J14" s="378"/>
      <c r="K14" s="387"/>
      <c r="L14" s="389">
        <f t="shared" si="6"/>
        <v>0</v>
      </c>
      <c r="M14" s="265"/>
      <c r="N14" s="63">
        <f t="shared" si="8"/>
        <v>0</v>
      </c>
      <c r="O14" s="62">
        <f t="shared" si="7"/>
        <v>0</v>
      </c>
    </row>
    <row r="15" spans="1:15" ht="45.75" x14ac:dyDescent="0.2">
      <c r="A15" s="50" t="str">
        <f>+'SALDOS DIARIOS DE REPORTES'!A22</f>
        <v>Banco Pichincha</v>
      </c>
      <c r="B15" s="51" t="s">
        <v>222</v>
      </c>
      <c r="C15" s="51">
        <f>+'SALDOS DIARIOS DE REPORTES'!B22</f>
        <v>410846011</v>
      </c>
      <c r="D15" s="42">
        <f>+'SALDOS DIARIOS DE REPORTES'!C22</f>
        <v>224006.10204</v>
      </c>
      <c r="E15" s="42">
        <f>+'SALDOS DIARIOS DE REPORTES'!D22</f>
        <v>224006.10204</v>
      </c>
      <c r="F15" s="43">
        <f t="shared" si="4"/>
        <v>0</v>
      </c>
      <c r="G15" s="258">
        <f t="shared" si="5"/>
        <v>0</v>
      </c>
      <c r="H15" s="388"/>
      <c r="I15" s="389"/>
      <c r="J15" s="378"/>
      <c r="K15" s="387"/>
      <c r="L15" s="389">
        <f t="shared" si="6"/>
        <v>0</v>
      </c>
      <c r="M15" s="265"/>
      <c r="N15" s="63">
        <f t="shared" si="8"/>
        <v>0</v>
      </c>
      <c r="O15" s="62">
        <f t="shared" si="7"/>
        <v>0</v>
      </c>
    </row>
    <row r="16" spans="1:15" ht="45.75" x14ac:dyDescent="0.2">
      <c r="A16" s="50" t="s">
        <v>105</v>
      </c>
      <c r="B16" s="51" t="s">
        <v>98</v>
      </c>
      <c r="C16" s="51" t="s">
        <v>100</v>
      </c>
      <c r="D16" s="42">
        <f>+'SALDOS DIARIOS DE REPORTES'!C23</f>
        <v>4462.5133499999993</v>
      </c>
      <c r="E16" s="42">
        <f>+'SALDOS DIARIOS DE REPORTES'!D23</f>
        <v>4460.8315000000002</v>
      </c>
      <c r="F16" s="43">
        <f>D16/E16-1</f>
        <v>3.7702612169931982E-4</v>
      </c>
      <c r="G16" s="258">
        <f t="shared" si="5"/>
        <v>1.6818499999990308</v>
      </c>
      <c r="H16" s="388">
        <v>1.68184999999903</v>
      </c>
      <c r="I16" s="389"/>
      <c r="J16" s="378"/>
      <c r="K16" s="387"/>
      <c r="L16" s="389">
        <f t="shared" si="6"/>
        <v>1.68184999999903</v>
      </c>
      <c r="M16" s="265"/>
      <c r="N16" s="63">
        <f t="shared" si="8"/>
        <v>0</v>
      </c>
      <c r="O16" s="62">
        <f>+N16*-1</f>
        <v>0</v>
      </c>
    </row>
    <row r="17" spans="1:18" ht="45.75" x14ac:dyDescent="0.2">
      <c r="A17" s="50" t="s">
        <v>14</v>
      </c>
      <c r="B17" s="51" t="s">
        <v>81</v>
      </c>
      <c r="C17" s="51" t="s">
        <v>9</v>
      </c>
      <c r="D17" s="42">
        <f>+'SALDOS DIARIOS DE REPORTES'!C24</f>
        <v>2275834.0053699999</v>
      </c>
      <c r="E17" s="42">
        <f>+'SALDOS DIARIOS DE REPORTES'!D24</f>
        <v>2322863.56837</v>
      </c>
      <c r="F17" s="43">
        <f t="shared" si="4"/>
        <v>-2.0246373330053857E-2</v>
      </c>
      <c r="G17" s="258">
        <f t="shared" si="5"/>
        <v>-47029.563000000082</v>
      </c>
      <c r="H17" s="388">
        <v>952970.43700000003</v>
      </c>
      <c r="I17" s="389"/>
      <c r="J17" s="378">
        <v>-1000000</v>
      </c>
      <c r="K17" s="387"/>
      <c r="L17" s="389">
        <f t="shared" si="6"/>
        <v>-47029.562999999966</v>
      </c>
      <c r="M17" s="397" t="s">
        <v>227</v>
      </c>
      <c r="N17" s="63">
        <f t="shared" si="8"/>
        <v>1.1641532182693481E-10</v>
      </c>
      <c r="O17" s="62">
        <f t="shared" si="7"/>
        <v>-1.1641532182693481E-10</v>
      </c>
      <c r="Q17" s="54"/>
      <c r="R17" s="54"/>
    </row>
    <row r="18" spans="1:18" ht="45.75" x14ac:dyDescent="0.2">
      <c r="A18" s="78" t="s">
        <v>215</v>
      </c>
      <c r="B18" s="79" t="s">
        <v>216</v>
      </c>
      <c r="C18" s="79">
        <f>+'SALDOS DIARIOS DE REPORTES'!B25</f>
        <v>267869220</v>
      </c>
      <c r="D18" s="60">
        <f>+'SALDOS DIARIOS DE REPORTES'!C25</f>
        <v>85271.507970000006</v>
      </c>
      <c r="E18" s="60">
        <f>+'SALDOS DIARIOS DE REPORTES'!D25</f>
        <v>85271.507970000006</v>
      </c>
      <c r="F18" s="43">
        <f>+'SALDOS DIARIOS DE REPORTES'!E25</f>
        <v>0</v>
      </c>
      <c r="G18" s="258">
        <f>+'SALDOS DIARIOS DE REPORTES'!F25</f>
        <v>0</v>
      </c>
      <c r="H18" s="388"/>
      <c r="I18" s="394"/>
      <c r="J18" s="395"/>
      <c r="K18" s="396"/>
      <c r="L18" s="389">
        <f>+H18+I18+J18+K18</f>
        <v>0</v>
      </c>
      <c r="M18" s="397"/>
      <c r="N18" s="63">
        <f>+L18-G18</f>
        <v>0</v>
      </c>
      <c r="O18" s="62">
        <f>+N18*-1</f>
        <v>0</v>
      </c>
      <c r="Q18" s="54"/>
      <c r="R18" s="54"/>
    </row>
    <row r="19" spans="1:18" ht="46.5" thickBot="1" x14ac:dyDescent="0.25">
      <c r="A19" s="52" t="s">
        <v>172</v>
      </c>
      <c r="B19" s="53">
        <v>4312011913</v>
      </c>
      <c r="C19" s="53">
        <f>+'SALDOS DIARIOS DE REPORTES'!B26</f>
        <v>4312011913</v>
      </c>
      <c r="D19" s="44">
        <f>+'SALDOS DIARIOS DE REPORTES'!C26</f>
        <v>10474818.83673</v>
      </c>
      <c r="E19" s="44">
        <f>+'SALDOS DIARIOS DE REPORTES'!D26</f>
        <v>5474818.8367299996</v>
      </c>
      <c r="F19" s="82">
        <f t="shared" si="4"/>
        <v>0.9132722285631647</v>
      </c>
      <c r="G19" s="442">
        <f t="shared" si="5"/>
        <v>5000000</v>
      </c>
      <c r="H19" s="443"/>
      <c r="I19" s="444"/>
      <c r="J19" s="383">
        <f>3000000+2000000</f>
        <v>5000000</v>
      </c>
      <c r="K19" s="445"/>
      <c r="L19" s="444">
        <f t="shared" si="6"/>
        <v>5000000</v>
      </c>
      <c r="M19" s="446"/>
      <c r="N19" s="63">
        <f t="shared" si="8"/>
        <v>0</v>
      </c>
      <c r="O19" s="62">
        <f t="shared" ref="O19" si="9">+N19*-1</f>
        <v>0</v>
      </c>
      <c r="Q19" s="54"/>
      <c r="R19" s="54"/>
    </row>
    <row r="20" spans="1:18" s="47" customFormat="1" ht="52.5" customHeight="1" thickBot="1" x14ac:dyDescent="0.25">
      <c r="A20" s="534" t="s">
        <v>28</v>
      </c>
      <c r="B20" s="535"/>
      <c r="C20" s="536"/>
      <c r="D20" s="45">
        <f>SUM(D12:D17)</f>
        <v>16288476.257970003</v>
      </c>
      <c r="E20" s="45">
        <f>SUM(E12:E17)</f>
        <v>20394656.867450003</v>
      </c>
      <c r="F20" s="46">
        <f t="shared" si="4"/>
        <v>-0.20133609681040965</v>
      </c>
      <c r="G20" s="441">
        <f>SUM(G12:G17)</f>
        <v>-4106180.6094800024</v>
      </c>
      <c r="H20" s="87">
        <f>+H12+H13+H14+H16+H17+H18+H19</f>
        <v>1893819.390519998</v>
      </c>
      <c r="I20" s="87">
        <f>+I12+I13+I14+I16+I17+I18+I19</f>
        <v>0</v>
      </c>
      <c r="J20" s="87">
        <f>+J12+J13+J14+J16+J17+J18+J19</f>
        <v>-1000000</v>
      </c>
      <c r="K20" s="87">
        <f>+K12+K13+K14+K16+K17+K18+K19</f>
        <v>0</v>
      </c>
      <c r="L20" s="87">
        <f>+L12+L13+L14+L16+L17+L18+L19</f>
        <v>893819.39051999757</v>
      </c>
      <c r="M20" s="88"/>
      <c r="N20" s="89"/>
      <c r="O20" s="58"/>
    </row>
    <row r="21" spans="1:18" ht="36" customHeight="1" thickBot="1" x14ac:dyDescent="0.25">
      <c r="A21" s="528" t="s">
        <v>31</v>
      </c>
      <c r="B21" s="529"/>
      <c r="C21" s="529"/>
      <c r="D21" s="529"/>
      <c r="E21" s="529"/>
      <c r="F21" s="529"/>
      <c r="G21" s="529"/>
      <c r="H21" s="529"/>
      <c r="I21" s="529"/>
      <c r="J21" s="529"/>
      <c r="K21" s="529"/>
      <c r="L21" s="529"/>
      <c r="M21" s="530"/>
    </row>
    <row r="22" spans="1:18" ht="45.75" x14ac:dyDescent="0.2">
      <c r="A22" s="50" t="s">
        <v>101</v>
      </c>
      <c r="B22" s="51" t="s">
        <v>213</v>
      </c>
      <c r="C22" s="68">
        <v>11511</v>
      </c>
      <c r="D22" s="42">
        <f>+'SALDOS DIARIOS DE REPORTES'!C32</f>
        <v>541642.78004999994</v>
      </c>
      <c r="E22" s="42">
        <f>+'SALDOS DIARIOS DE REPORTES'!D32</f>
        <v>541510.23375000001</v>
      </c>
      <c r="F22" s="43">
        <f t="shared" ref="F22:F28" si="10">D22/E22-1</f>
        <v>2.447715513740345E-4</v>
      </c>
      <c r="G22" s="69">
        <f>+D22-E22</f>
        <v>132.54629999992903</v>
      </c>
      <c r="H22" s="386">
        <f>+G22</f>
        <v>132.54629999992903</v>
      </c>
      <c r="I22" s="378"/>
      <c r="J22" s="378"/>
      <c r="K22" s="378"/>
      <c r="L22" s="378">
        <f t="shared" ref="L22:L28" si="11">SUM(H22:K22)</f>
        <v>132.54629999992903</v>
      </c>
      <c r="M22" s="71"/>
      <c r="N22" s="63">
        <f t="shared" ref="N22:N23" si="12">+L22-G22</f>
        <v>0</v>
      </c>
    </row>
    <row r="23" spans="1:18" ht="45.75" x14ac:dyDescent="0.2">
      <c r="A23" s="50" t="s">
        <v>104</v>
      </c>
      <c r="B23" s="51" t="s">
        <v>102</v>
      </c>
      <c r="C23" s="68"/>
      <c r="D23" s="42">
        <f>+'SALDOS DIARIOS DE REPORTES'!C30</f>
        <v>151525.48702999999</v>
      </c>
      <c r="E23" s="42">
        <f>+'SALDOS DIARIOS DE REPORTES'!D30</f>
        <v>151512.19925000001</v>
      </c>
      <c r="F23" s="43">
        <v>0</v>
      </c>
      <c r="G23" s="69">
        <f t="shared" ref="G23:G28" si="13">+D23-E23</f>
        <v>13.287779999984195</v>
      </c>
      <c r="H23" s="386">
        <f>+G23</f>
        <v>13.287779999984195</v>
      </c>
      <c r="I23" s="378"/>
      <c r="J23" s="378"/>
      <c r="K23" s="378"/>
      <c r="L23" s="378">
        <f t="shared" si="11"/>
        <v>13.287779999984195</v>
      </c>
      <c r="M23" s="71"/>
      <c r="N23" s="63">
        <f t="shared" si="12"/>
        <v>0</v>
      </c>
    </row>
    <row r="24" spans="1:18" ht="45.75" x14ac:dyDescent="0.2">
      <c r="A24" s="50" t="s">
        <v>78</v>
      </c>
      <c r="B24" s="51" t="s">
        <v>178</v>
      </c>
      <c r="C24" s="68" t="s">
        <v>198</v>
      </c>
      <c r="D24" s="42">
        <f>+'SALDOS DIARIOS DE REPORTES'!C33</f>
        <v>4262194.8779600002</v>
      </c>
      <c r="E24" s="42">
        <f>+'SALDOS DIARIOS DE REPORTES'!D33</f>
        <v>6260766.0123100001</v>
      </c>
      <c r="F24" s="43">
        <v>0</v>
      </c>
      <c r="G24" s="69">
        <f>+D24-E24</f>
        <v>-1998571.1343499999</v>
      </c>
      <c r="H24" s="386">
        <v>1428.86565000005</v>
      </c>
      <c r="I24" s="386"/>
      <c r="J24" s="378">
        <f>-3000000+1000000</f>
        <v>-2000000</v>
      </c>
      <c r="K24" s="378"/>
      <c r="L24" s="378">
        <f>SUM(H24:K24)</f>
        <v>-1998571.1343499999</v>
      </c>
      <c r="M24" s="71" t="s">
        <v>225</v>
      </c>
      <c r="N24" s="63">
        <f>+L24-G24</f>
        <v>0</v>
      </c>
    </row>
    <row r="25" spans="1:18" ht="45.75" x14ac:dyDescent="0.2">
      <c r="A25" s="50" t="s">
        <v>78</v>
      </c>
      <c r="B25" s="51" t="s">
        <v>178</v>
      </c>
      <c r="C25" s="68" t="s">
        <v>223</v>
      </c>
      <c r="D25" s="42">
        <f>+'SALDOS DIARIOS DE REPORTES'!C34</f>
        <v>400267.00658999995</v>
      </c>
      <c r="E25" s="42">
        <f>+'SALDOS DIARIOS DE REPORTES'!D34</f>
        <v>399999.84155000001</v>
      </c>
      <c r="F25" s="43">
        <v>0</v>
      </c>
      <c r="G25" s="69">
        <f>+D25-E25</f>
        <v>267.16503999993438</v>
      </c>
      <c r="H25" s="386">
        <v>267.16503999993398</v>
      </c>
      <c r="I25" s="386"/>
      <c r="J25" s="378"/>
      <c r="K25" s="378"/>
      <c r="L25" s="378">
        <f t="shared" si="11"/>
        <v>267.16503999993398</v>
      </c>
      <c r="M25" s="71"/>
      <c r="N25" s="63">
        <f t="shared" ref="N25" si="14">+L25-G25</f>
        <v>0</v>
      </c>
    </row>
    <row r="26" spans="1:18" ht="45.75" x14ac:dyDescent="0.2">
      <c r="A26" s="50" t="s">
        <v>114</v>
      </c>
      <c r="B26" s="51" t="s">
        <v>212</v>
      </c>
      <c r="C26" s="68">
        <v>30579</v>
      </c>
      <c r="D26" s="42">
        <f>+'SALDOS DIARIOS DE REPORTES'!C29</f>
        <v>45347.712</v>
      </c>
      <c r="E26" s="42">
        <f>+'SALDOS DIARIOS DE REPORTES'!D29</f>
        <v>45340.985999999997</v>
      </c>
      <c r="F26" s="43">
        <f t="shared" si="10"/>
        <v>1.4834260551821465E-4</v>
      </c>
      <c r="G26" s="69">
        <f t="shared" si="13"/>
        <v>6.7260000000023865</v>
      </c>
      <c r="H26" s="386">
        <f>+G26</f>
        <v>6.7260000000023865</v>
      </c>
      <c r="I26" s="378"/>
      <c r="J26" s="378"/>
      <c r="K26" s="378"/>
      <c r="L26" s="378">
        <f t="shared" si="11"/>
        <v>6.7260000000023865</v>
      </c>
      <c r="M26" s="71"/>
      <c r="N26" s="63">
        <f>+L26-G26</f>
        <v>0</v>
      </c>
    </row>
    <row r="27" spans="1:18" ht="45.75" x14ac:dyDescent="0.2">
      <c r="A27" s="50" t="s">
        <v>33</v>
      </c>
      <c r="B27" s="51" t="s">
        <v>211</v>
      </c>
      <c r="C27" s="68" t="s">
        <v>34</v>
      </c>
      <c r="D27" s="42">
        <f>+'SALDOS DIARIOS DE REPORTES'!C35</f>
        <v>69252.160629999998</v>
      </c>
      <c r="E27" s="42">
        <f>+'SALDOS DIARIOS DE REPORTES'!D35</f>
        <v>69236.359129999997</v>
      </c>
      <c r="F27" s="43">
        <f t="shared" si="10"/>
        <v>2.2822546128309362E-4</v>
      </c>
      <c r="G27" s="69">
        <f t="shared" si="13"/>
        <v>15.801500000001397</v>
      </c>
      <c r="H27" s="386">
        <f t="shared" ref="H27" si="15">+G27</f>
        <v>15.801500000001397</v>
      </c>
      <c r="I27" s="378"/>
      <c r="J27" s="378"/>
      <c r="K27" s="378"/>
      <c r="L27" s="378">
        <f t="shared" si="11"/>
        <v>15.801500000001397</v>
      </c>
      <c r="M27" s="71"/>
      <c r="N27" s="63">
        <f t="shared" ref="N27:N28" si="16">+L27-G27</f>
        <v>0</v>
      </c>
    </row>
    <row r="28" spans="1:18" ht="45.75" x14ac:dyDescent="0.2">
      <c r="A28" s="50" t="s">
        <v>209</v>
      </c>
      <c r="B28" s="51" t="s">
        <v>210</v>
      </c>
      <c r="C28" s="68"/>
      <c r="D28" s="42">
        <f>+'SALDOS DIARIOS DE REPORTES'!C31</f>
        <v>1515034.62319</v>
      </c>
      <c r="E28" s="42">
        <f>+'SALDOS DIARIOS DE REPORTES'!D31</f>
        <v>2514611.52862</v>
      </c>
      <c r="F28" s="43">
        <f t="shared" si="10"/>
        <v>-0.39750748537232727</v>
      </c>
      <c r="G28" s="69">
        <f t="shared" si="13"/>
        <v>-999576.90543000004</v>
      </c>
      <c r="H28" s="386">
        <v>423.094569999957</v>
      </c>
      <c r="I28" s="378"/>
      <c r="J28" s="378">
        <f>-2000000+1000000</f>
        <v>-1000000</v>
      </c>
      <c r="K28" s="378"/>
      <c r="L28" s="378">
        <f t="shared" si="11"/>
        <v>-999576.90543000004</v>
      </c>
      <c r="M28" s="71" t="s">
        <v>224</v>
      </c>
      <c r="N28" s="63">
        <f t="shared" si="16"/>
        <v>0</v>
      </c>
    </row>
    <row r="29" spans="1:18" ht="45.75" x14ac:dyDescent="0.2">
      <c r="A29" s="50" t="s">
        <v>35</v>
      </c>
      <c r="B29" s="51"/>
      <c r="C29" s="68"/>
      <c r="D29" s="42">
        <f>SUM(D22:D28)</f>
        <v>6985264.64745</v>
      </c>
      <c r="E29" s="42">
        <f>SUM(E22:E28)</f>
        <v>9982977.1606099997</v>
      </c>
      <c r="F29" s="43">
        <f>+D29/E29-1</f>
        <v>-0.30028241725205229</v>
      </c>
      <c r="G29" s="69">
        <f>+D29-E29</f>
        <v>-2997712.5131599996</v>
      </c>
      <c r="H29" s="386"/>
      <c r="I29" s="378"/>
      <c r="J29" s="378"/>
      <c r="K29" s="378"/>
      <c r="L29" s="378"/>
      <c r="M29" s="71"/>
    </row>
    <row r="30" spans="1:18" ht="46.5" thickBot="1" x14ac:dyDescent="0.25">
      <c r="A30" s="52" t="s">
        <v>36</v>
      </c>
      <c r="B30" s="53"/>
      <c r="C30" s="81"/>
      <c r="D30" s="44">
        <f>+D10+D20+D29</f>
        <v>28663756.232470006</v>
      </c>
      <c r="E30" s="44">
        <f>+E10+E20+E29</f>
        <v>35917084.412420005</v>
      </c>
      <c r="F30" s="82">
        <f>+D30/E30-1</f>
        <v>-0.20194646360108848</v>
      </c>
      <c r="G30" s="249">
        <f>+D30-E30</f>
        <v>-7253328.1799499989</v>
      </c>
      <c r="H30" s="249"/>
      <c r="I30" s="85"/>
      <c r="J30" s="83">
        <f>SUM(J22:J29)</f>
        <v>-3000000</v>
      </c>
      <c r="K30" s="83"/>
      <c r="L30" s="83"/>
      <c r="M30" s="151"/>
    </row>
    <row r="31" spans="1:18" ht="40.5" customHeight="1" x14ac:dyDescent="0.2">
      <c r="A31" s="55"/>
      <c r="B31" s="56"/>
      <c r="C31" s="90"/>
      <c r="D31" s="57"/>
      <c r="E31" s="57"/>
      <c r="F31" s="91" t="s">
        <v>112</v>
      </c>
      <c r="G31" s="91">
        <f>+G30-'SALDOS DIARIOS DE REPORTES'!F37</f>
        <v>-5007269.4029999971</v>
      </c>
      <c r="I31" s="54"/>
      <c r="J31" s="54"/>
      <c r="K31" s="54"/>
      <c r="L31" s="54"/>
      <c r="M31" s="62"/>
    </row>
    <row r="32" spans="1:18" ht="46.5" customHeight="1" x14ac:dyDescent="0.2">
      <c r="A32" s="58"/>
      <c r="B32" s="58"/>
      <c r="C32" s="90"/>
      <c r="D32" s="37"/>
      <c r="E32" s="57"/>
      <c r="F32" s="59"/>
      <c r="G32" s="59"/>
      <c r="I32" s="54"/>
      <c r="J32" s="54">
        <f>+J30+J20+J10</f>
        <v>0</v>
      </c>
      <c r="K32" s="54"/>
      <c r="L32" s="54"/>
      <c r="M32" s="41"/>
      <c r="N32" s="92"/>
    </row>
    <row r="33" spans="1:14" ht="46.5" customHeight="1" x14ac:dyDescent="0.2">
      <c r="J33" s="54"/>
      <c r="K33" s="93"/>
      <c r="L33" s="54"/>
      <c r="M33" s="94"/>
      <c r="N33" s="92"/>
    </row>
    <row r="34" spans="1:14" ht="46.5" customHeight="1" x14ac:dyDescent="0.2">
      <c r="E34" s="95"/>
      <c r="J34" s="54"/>
      <c r="K34" s="93"/>
      <c r="M34" s="96"/>
      <c r="N34" s="97"/>
    </row>
    <row r="35" spans="1:14" ht="46.5" customHeight="1" x14ac:dyDescent="0.2">
      <c r="J35" s="54"/>
      <c r="K35" s="93"/>
      <c r="M35" s="96"/>
      <c r="N35" s="97"/>
    </row>
    <row r="36" spans="1:14" ht="46.5" customHeight="1" x14ac:dyDescent="0.2">
      <c r="A36" s="84"/>
      <c r="B36" s="98"/>
      <c r="J36" s="54"/>
      <c r="K36" s="93"/>
      <c r="L36" s="37"/>
      <c r="M36" s="96"/>
      <c r="N36" s="92"/>
    </row>
    <row r="37" spans="1:14" ht="46.5" customHeight="1" x14ac:dyDescent="0.2">
      <c r="A37" s="84"/>
      <c r="B37" s="98"/>
      <c r="J37" s="54"/>
      <c r="M37" s="41"/>
      <c r="N37" s="97"/>
    </row>
    <row r="38" spans="1:14" ht="46.5" customHeight="1" x14ac:dyDescent="0.2">
      <c r="A38" s="84"/>
      <c r="B38" s="98"/>
      <c r="J38" s="54"/>
      <c r="M38" s="99"/>
      <c r="N38" s="92"/>
    </row>
    <row r="39" spans="1:14" ht="46.5" customHeight="1" x14ac:dyDescent="0.2">
      <c r="A39" s="84"/>
      <c r="B39" s="98"/>
      <c r="J39" s="62"/>
      <c r="M39" s="96"/>
      <c r="N39" s="97"/>
    </row>
    <row r="40" spans="1:14" ht="46.5" customHeight="1" x14ac:dyDescent="0.2">
      <c r="B40" s="98"/>
      <c r="J40" s="62"/>
      <c r="M40" s="99"/>
      <c r="N40" s="92"/>
    </row>
    <row r="41" spans="1:14" ht="46.5" customHeight="1" x14ac:dyDescent="0.2">
      <c r="J41" s="62"/>
      <c r="M41" s="77"/>
      <c r="N41" s="97"/>
    </row>
    <row r="42" spans="1:14" ht="46.5" customHeight="1" x14ac:dyDescent="0.2">
      <c r="J42" s="62"/>
      <c r="M42" s="41"/>
      <c r="N42" s="92"/>
    </row>
    <row r="43" spans="1:14" ht="46.5" customHeight="1" x14ac:dyDescent="0.2">
      <c r="J43" s="62"/>
      <c r="M43" s="94"/>
      <c r="N43" s="92"/>
    </row>
    <row r="44" spans="1:14" ht="60.75" customHeight="1" x14ac:dyDescent="0.2">
      <c r="J44" s="62"/>
      <c r="M44" s="77"/>
      <c r="N44" s="97"/>
    </row>
    <row r="45" spans="1:14" ht="60.75" customHeight="1" x14ac:dyDescent="0.2">
      <c r="J45" s="62"/>
      <c r="M45" s="77"/>
      <c r="N45" s="92"/>
    </row>
    <row r="46" spans="1:14" ht="60.75" customHeight="1" x14ac:dyDescent="0.2">
      <c r="J46" s="62"/>
      <c r="M46" s="41"/>
      <c r="N46" s="92"/>
    </row>
    <row r="47" spans="1:14" ht="60.75" customHeight="1" x14ac:dyDescent="0.2">
      <c r="J47" s="62"/>
      <c r="M47" s="41"/>
      <c r="N47" s="92"/>
    </row>
    <row r="48" spans="1:14" ht="60.75" customHeight="1" x14ac:dyDescent="0.2">
      <c r="M48" s="41"/>
      <c r="N48" s="92"/>
    </row>
    <row r="49" ht="60.75" customHeight="1" x14ac:dyDescent="0.2"/>
  </sheetData>
  <mergeCells count="5">
    <mergeCell ref="A21:M21"/>
    <mergeCell ref="A3:M3"/>
    <mergeCell ref="A10:C10"/>
    <mergeCell ref="A11:M11"/>
    <mergeCell ref="A20:C20"/>
  </mergeCells>
  <conditionalFormatting sqref="F5 F7:F9 G22:H23 H25:H28 G25:G30 H25:I25">
    <cfRule type="cellIs" dxfId="26" priority="184" stopIfTrue="1" operator="greaterThan">
      <formula>"0.01%"</formula>
    </cfRule>
  </conditionalFormatting>
  <conditionalFormatting sqref="H13">
    <cfRule type="cellIs" dxfId="25" priority="164" stopIfTrue="1" operator="greaterThan">
      <formula>"0.01%"</formula>
    </cfRule>
  </conditionalFormatting>
  <conditionalFormatting sqref="H13">
    <cfRule type="cellIs" dxfId="24" priority="163" stopIfTrue="1" operator="greaterThan">
      <formula>"0.01%"</formula>
    </cfRule>
  </conditionalFormatting>
  <conditionalFormatting sqref="H12">
    <cfRule type="cellIs" dxfId="23" priority="146" stopIfTrue="1" operator="greaterThan">
      <formula>"0.01%"</formula>
    </cfRule>
  </conditionalFormatting>
  <conditionalFormatting sqref="H12">
    <cfRule type="cellIs" dxfId="22" priority="145" stopIfTrue="1" operator="greaterThan">
      <formula>"0.01%"</formula>
    </cfRule>
  </conditionalFormatting>
  <conditionalFormatting sqref="F6">
    <cfRule type="cellIs" dxfId="21" priority="77" stopIfTrue="1" operator="greaterThan">
      <formula>"0.01%"</formula>
    </cfRule>
  </conditionalFormatting>
  <conditionalFormatting sqref="H30">
    <cfRule type="cellIs" dxfId="20" priority="46" stopIfTrue="1" operator="greaterThan">
      <formula>"0.01%"</formula>
    </cfRule>
  </conditionalFormatting>
  <conditionalFormatting sqref="H29">
    <cfRule type="cellIs" dxfId="19" priority="45" stopIfTrue="1" operator="greaterThan">
      <formula>"0.01%"</formula>
    </cfRule>
  </conditionalFormatting>
  <conditionalFormatting sqref="H23">
    <cfRule type="cellIs" dxfId="18" priority="40" stopIfTrue="1" operator="greaterThan">
      <formula>"0.01%"</formula>
    </cfRule>
  </conditionalFormatting>
  <conditionalFormatting sqref="H23">
    <cfRule type="cellIs" dxfId="17" priority="39" stopIfTrue="1" operator="greaterThan">
      <formula>"0.01%"</formula>
    </cfRule>
  </conditionalFormatting>
  <conditionalFormatting sqref="H22">
    <cfRule type="cellIs" dxfId="16" priority="38" stopIfTrue="1" operator="greaterThan">
      <formula>"0.01%"</formula>
    </cfRule>
  </conditionalFormatting>
  <conditionalFormatting sqref="H22">
    <cfRule type="cellIs" dxfId="15" priority="37" stopIfTrue="1" operator="greaterThan">
      <formula>"0.01%"</formula>
    </cfRule>
  </conditionalFormatting>
  <conditionalFormatting sqref="H26">
    <cfRule type="cellIs" dxfId="14" priority="19" stopIfTrue="1" operator="greaterThan">
      <formula>"0.01%"</formula>
    </cfRule>
  </conditionalFormatting>
  <conditionalFormatting sqref="H26">
    <cfRule type="cellIs" dxfId="13" priority="18" stopIfTrue="1" operator="greaterThan">
      <formula>"0.01%"</formula>
    </cfRule>
  </conditionalFormatting>
  <conditionalFormatting sqref="H26">
    <cfRule type="cellIs" dxfId="12" priority="17" stopIfTrue="1" operator="greaterThan">
      <formula>"0.01%"</formula>
    </cfRule>
  </conditionalFormatting>
  <conditionalFormatting sqref="H26">
    <cfRule type="cellIs" dxfId="11" priority="16" stopIfTrue="1" operator="greaterThan">
      <formula>"0.01%"</formula>
    </cfRule>
  </conditionalFormatting>
  <conditionalFormatting sqref="G24">
    <cfRule type="cellIs" dxfId="10" priority="14" stopIfTrue="1" operator="greaterThan">
      <formula>"0.01%"</formula>
    </cfRule>
  </conditionalFormatting>
  <conditionalFormatting sqref="I24">
    <cfRule type="cellIs" dxfId="9" priority="13" stopIfTrue="1" operator="greaterThan">
      <formula>"0.01%"</formula>
    </cfRule>
  </conditionalFormatting>
  <conditionalFormatting sqref="I24">
    <cfRule type="cellIs" dxfId="8" priority="12" stopIfTrue="1" operator="greaterThan">
      <formula>"0.01%"</formula>
    </cfRule>
  </conditionalFormatting>
  <conditionalFormatting sqref="I24">
    <cfRule type="cellIs" dxfId="7" priority="11" stopIfTrue="1" operator="greaterThan">
      <formula>"0.01%"</formula>
    </cfRule>
  </conditionalFormatting>
  <conditionalFormatting sqref="I24">
    <cfRule type="cellIs" dxfId="6" priority="10" stopIfTrue="1" operator="greaterThan">
      <formula>"0.01%"</formula>
    </cfRule>
  </conditionalFormatting>
  <conditionalFormatting sqref="H24">
    <cfRule type="cellIs" dxfId="5" priority="3" stopIfTrue="1" operator="greaterThan">
      <formula>"0.01%"</formula>
    </cfRule>
  </conditionalFormatting>
  <conditionalFormatting sqref="H24">
    <cfRule type="cellIs" dxfId="4" priority="2" stopIfTrue="1" operator="greaterThan">
      <formula>"0.01%"</formula>
    </cfRule>
  </conditionalFormatting>
  <conditionalFormatting sqref="H24">
    <cfRule type="cellIs" dxfId="3" priority="1" stopIfTrue="1" operator="greaterThan">
      <formula>"0.01%"</formula>
    </cfRule>
  </conditionalFormatting>
  <printOptions horizontalCentered="1" verticalCentered="1"/>
  <pageMargins left="0" right="0.39370078740157483" top="0" bottom="0" header="0" footer="0"/>
  <pageSetup paperSize="9" scale="26" orientation="landscape" r:id="rId1"/>
  <headerFooter alignWithMargins="0"/>
  <ignoredErrors>
    <ignoredError sqref="F7 F10 F29 F20" formula="1"/>
    <ignoredError sqref="E1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3:I53"/>
  <sheetViews>
    <sheetView showGridLines="0" topLeftCell="A25" workbookViewId="0">
      <selection activeCell="D8" sqref="D8"/>
    </sheetView>
  </sheetViews>
  <sheetFormatPr baseColWidth="10" defaultColWidth="11.42578125" defaultRowHeight="14.25" x14ac:dyDescent="0.2"/>
  <cols>
    <col min="1" max="1" width="15.140625" style="2" bestFit="1" customWidth="1"/>
    <col min="2" max="2" width="27.42578125" style="1" bestFit="1" customWidth="1"/>
    <col min="3" max="3" width="19.42578125" style="1" bestFit="1" customWidth="1"/>
    <col min="4" max="4" width="17.140625" style="3" bestFit="1" customWidth="1"/>
    <col min="5" max="5" width="17.140625" style="3" customWidth="1"/>
    <col min="6" max="6" width="11.5703125" style="1" customWidth="1"/>
    <col min="7" max="7" width="18.7109375" style="1" bestFit="1" customWidth="1"/>
    <col min="8" max="8" width="15.140625" style="1" bestFit="1" customWidth="1"/>
    <col min="9" max="9" width="14.140625" style="1" bestFit="1" customWidth="1"/>
    <col min="10" max="16384" width="11.42578125" style="1"/>
  </cols>
  <sheetData>
    <row r="3" spans="1:9" ht="15" x14ac:dyDescent="0.2">
      <c r="A3" s="537" t="s">
        <v>73</v>
      </c>
      <c r="B3" s="537"/>
      <c r="C3" s="537"/>
      <c r="D3" s="537"/>
      <c r="E3" s="537"/>
      <c r="F3" s="537"/>
    </row>
    <row r="4" spans="1:9" ht="15" thickBot="1" x14ac:dyDescent="0.25"/>
    <row r="5" spans="1:9" ht="15.75" thickBot="1" x14ac:dyDescent="0.25">
      <c r="A5" s="159" t="s">
        <v>66</v>
      </c>
      <c r="B5" s="160" t="s">
        <v>37</v>
      </c>
      <c r="C5" s="159" t="s">
        <v>67</v>
      </c>
      <c r="D5" s="272" t="s">
        <v>50</v>
      </c>
      <c r="E5" s="156" t="s">
        <v>179</v>
      </c>
      <c r="F5" s="162" t="s">
        <v>51</v>
      </c>
    </row>
    <row r="6" spans="1:9" x14ac:dyDescent="0.2">
      <c r="A6" s="166" t="s">
        <v>64</v>
      </c>
      <c r="B6" s="167" t="s">
        <v>40</v>
      </c>
      <c r="C6" s="168">
        <v>5000000</v>
      </c>
      <c r="D6" s="269">
        <f>+'SALDOS DIARIOS DE REPORTES'!F55</f>
        <v>15000000</v>
      </c>
      <c r="E6" s="157">
        <f>+C6-D6</f>
        <v>-10000000</v>
      </c>
      <c r="F6" s="169">
        <f>+D6/C6</f>
        <v>3</v>
      </c>
      <c r="G6" s="1" t="s">
        <v>197</v>
      </c>
    </row>
    <row r="7" spans="1:9" x14ac:dyDescent="0.2">
      <c r="A7" s="5" t="s">
        <v>64</v>
      </c>
      <c r="B7" s="9" t="s">
        <v>181</v>
      </c>
      <c r="C7" s="11">
        <v>5000000</v>
      </c>
      <c r="D7" s="270">
        <f>+'SALDOS DIARIOS DE REPORTES'!F57+'SALDOS DIARIOS DE REPORTES'!F64+'SALDOS DIARIOS DE REPORTES'!F65</f>
        <v>1700000</v>
      </c>
      <c r="E7" s="154">
        <f t="shared" ref="E7:E22" si="0">+C7-D7</f>
        <v>3300000</v>
      </c>
      <c r="F7" s="12">
        <f t="shared" ref="F7:F22" si="1">+D7/C7</f>
        <v>0.34</v>
      </c>
      <c r="G7" s="173"/>
    </row>
    <row r="8" spans="1:9" x14ac:dyDescent="0.2">
      <c r="A8" s="5" t="s">
        <v>64</v>
      </c>
      <c r="B8" s="9" t="s">
        <v>52</v>
      </c>
      <c r="C8" s="11">
        <v>5000000</v>
      </c>
      <c r="D8" s="270">
        <f>+'SALDOS DIARIOS DE REPORTES'!F61+'SALDOS DIARIOS DE REPORTES'!F66</f>
        <v>1000000</v>
      </c>
      <c r="E8" s="154">
        <f t="shared" si="0"/>
        <v>4000000</v>
      </c>
      <c r="F8" s="12">
        <f t="shared" si="1"/>
        <v>0.2</v>
      </c>
    </row>
    <row r="9" spans="1:9" x14ac:dyDescent="0.2">
      <c r="A9" s="5" t="s">
        <v>64</v>
      </c>
      <c r="B9" s="9" t="s">
        <v>25</v>
      </c>
      <c r="C9" s="11">
        <v>5000000</v>
      </c>
      <c r="D9" s="270">
        <f>+'SALDOS DIARIOS DE REPORTES'!F58</f>
        <v>3000000</v>
      </c>
      <c r="E9" s="154">
        <f t="shared" si="0"/>
        <v>2000000</v>
      </c>
      <c r="F9" s="12">
        <f t="shared" si="1"/>
        <v>0.6</v>
      </c>
      <c r="G9" s="173"/>
      <c r="H9" s="173"/>
      <c r="I9" s="173"/>
    </row>
    <row r="10" spans="1:9" x14ac:dyDescent="0.2">
      <c r="A10" s="5" t="s">
        <v>64</v>
      </c>
      <c r="B10" s="9" t="s">
        <v>53</v>
      </c>
      <c r="C10" s="11">
        <v>5000000</v>
      </c>
      <c r="D10" s="270">
        <f>+'SALDOS DIARIOS DE REPORTES'!F69</f>
        <v>1000000</v>
      </c>
      <c r="E10" s="154">
        <f t="shared" si="0"/>
        <v>4000000</v>
      </c>
      <c r="F10" s="12">
        <f t="shared" si="1"/>
        <v>0.2</v>
      </c>
    </row>
    <row r="11" spans="1:9" x14ac:dyDescent="0.2">
      <c r="A11" s="5" t="s">
        <v>64</v>
      </c>
      <c r="B11" s="9" t="s">
        <v>41</v>
      </c>
      <c r="C11" s="11">
        <v>5000000</v>
      </c>
      <c r="D11" s="270">
        <f>+'SALDOS DIARIOS DE REPORTES'!F62+'SALDOS DIARIOS DE REPORTES'!F67+'SALDOS DIARIOS DE REPORTES'!F60</f>
        <v>5000000</v>
      </c>
      <c r="E11" s="154">
        <f t="shared" si="0"/>
        <v>0</v>
      </c>
      <c r="F11" s="12">
        <f t="shared" si="1"/>
        <v>1</v>
      </c>
      <c r="G11" s="173"/>
    </row>
    <row r="12" spans="1:9" x14ac:dyDescent="0.2">
      <c r="A12" s="5" t="s">
        <v>64</v>
      </c>
      <c r="B12" s="9" t="s">
        <v>55</v>
      </c>
      <c r="C12" s="11">
        <v>5000000</v>
      </c>
      <c r="D12" s="270">
        <f>+'SALDOS DIARIOS DE REPORTES'!F56</f>
        <v>1000000</v>
      </c>
      <c r="E12" s="154">
        <f t="shared" si="0"/>
        <v>4000000</v>
      </c>
      <c r="F12" s="12">
        <f t="shared" si="1"/>
        <v>0.2</v>
      </c>
      <c r="G12" s="247"/>
    </row>
    <row r="13" spans="1:9" x14ac:dyDescent="0.2">
      <c r="A13" s="5" t="s">
        <v>64</v>
      </c>
      <c r="B13" s="9" t="s">
        <v>56</v>
      </c>
      <c r="C13" s="11">
        <v>5000000</v>
      </c>
      <c r="D13" s="270"/>
      <c r="E13" s="154">
        <f t="shared" si="0"/>
        <v>5000000</v>
      </c>
      <c r="F13" s="12">
        <f t="shared" si="1"/>
        <v>0</v>
      </c>
    </row>
    <row r="14" spans="1:9" x14ac:dyDescent="0.2">
      <c r="A14" s="5" t="s">
        <v>64</v>
      </c>
      <c r="B14" s="9" t="s">
        <v>59</v>
      </c>
      <c r="C14" s="11">
        <v>5000000</v>
      </c>
      <c r="D14" s="270">
        <f>+'SALDOS DIARIOS DE REPORTES'!F70</f>
        <v>1000000</v>
      </c>
      <c r="E14" s="154">
        <f t="shared" si="0"/>
        <v>4000000</v>
      </c>
      <c r="F14" s="12">
        <f t="shared" si="1"/>
        <v>0.2</v>
      </c>
    </row>
    <row r="15" spans="1:9" x14ac:dyDescent="0.2">
      <c r="A15" s="5" t="s">
        <v>64</v>
      </c>
      <c r="B15" s="9" t="s">
        <v>60</v>
      </c>
      <c r="C15" s="11">
        <v>5000000</v>
      </c>
      <c r="D15" s="270"/>
      <c r="E15" s="154">
        <f t="shared" si="0"/>
        <v>5000000</v>
      </c>
      <c r="F15" s="12">
        <f t="shared" si="1"/>
        <v>0</v>
      </c>
    </row>
    <row r="16" spans="1:9" x14ac:dyDescent="0.2">
      <c r="A16" s="5" t="s">
        <v>64</v>
      </c>
      <c r="B16" s="9" t="s">
        <v>62</v>
      </c>
      <c r="C16" s="11">
        <v>5000000</v>
      </c>
      <c r="D16" s="270"/>
      <c r="E16" s="154">
        <f t="shared" si="0"/>
        <v>5000000</v>
      </c>
      <c r="F16" s="12">
        <f t="shared" si="1"/>
        <v>0</v>
      </c>
    </row>
    <row r="17" spans="1:7" x14ac:dyDescent="0.2">
      <c r="A17" s="5" t="s">
        <v>64</v>
      </c>
      <c r="B17" s="9" t="s">
        <v>193</v>
      </c>
      <c r="C17" s="11">
        <v>5000000</v>
      </c>
      <c r="D17" s="270"/>
      <c r="E17" s="154">
        <f t="shared" si="0"/>
        <v>5000000</v>
      </c>
      <c r="F17" s="12">
        <f t="shared" si="1"/>
        <v>0</v>
      </c>
    </row>
    <row r="18" spans="1:7" x14ac:dyDescent="0.2">
      <c r="A18" s="5" t="s">
        <v>65</v>
      </c>
      <c r="B18" s="9" t="s">
        <v>61</v>
      </c>
      <c r="C18" s="11">
        <v>5000000</v>
      </c>
      <c r="D18" s="270"/>
      <c r="E18" s="154">
        <f t="shared" si="0"/>
        <v>5000000</v>
      </c>
      <c r="F18" s="12">
        <f t="shared" si="1"/>
        <v>0</v>
      </c>
    </row>
    <row r="19" spans="1:7" x14ac:dyDescent="0.2">
      <c r="A19" s="5" t="s">
        <v>176</v>
      </c>
      <c r="B19" s="9" t="s">
        <v>63</v>
      </c>
      <c r="C19" s="11">
        <v>5000000</v>
      </c>
      <c r="D19" s="270"/>
      <c r="E19" s="154">
        <f t="shared" si="0"/>
        <v>5000000</v>
      </c>
      <c r="F19" s="12">
        <f t="shared" si="1"/>
        <v>0</v>
      </c>
    </row>
    <row r="20" spans="1:7" x14ac:dyDescent="0.2">
      <c r="A20" s="5" t="s">
        <v>65</v>
      </c>
      <c r="B20" s="9" t="s">
        <v>54</v>
      </c>
      <c r="C20" s="11">
        <v>5000000</v>
      </c>
      <c r="D20" s="270"/>
      <c r="E20" s="154">
        <f t="shared" si="0"/>
        <v>5000000</v>
      </c>
      <c r="F20" s="12">
        <f t="shared" si="1"/>
        <v>0</v>
      </c>
    </row>
    <row r="21" spans="1:7" x14ac:dyDescent="0.2">
      <c r="A21" s="5" t="s">
        <v>65</v>
      </c>
      <c r="B21" s="9" t="s">
        <v>57</v>
      </c>
      <c r="C21" s="11">
        <v>5000000</v>
      </c>
      <c r="D21" s="270">
        <f>+'SALDOS DIARIOS DE REPORTES'!F68+'SALDOS DIARIOS DE REPORTES'!F59</f>
        <v>3000000</v>
      </c>
      <c r="E21" s="154">
        <f t="shared" si="0"/>
        <v>2000000</v>
      </c>
      <c r="F21" s="12">
        <f t="shared" si="1"/>
        <v>0.6</v>
      </c>
      <c r="G21" s="173"/>
    </row>
    <row r="22" spans="1:7" ht="15" thickBot="1" x14ac:dyDescent="0.25">
      <c r="A22" s="6" t="s">
        <v>65</v>
      </c>
      <c r="B22" s="10" t="s">
        <v>58</v>
      </c>
      <c r="C22" s="19">
        <v>5000000</v>
      </c>
      <c r="D22" s="271"/>
      <c r="E22" s="158">
        <f t="shared" si="0"/>
        <v>5000000</v>
      </c>
      <c r="F22" s="170">
        <f t="shared" si="1"/>
        <v>0</v>
      </c>
    </row>
    <row r="23" spans="1:7" s="4" customFormat="1" ht="15.75" thickBot="1" x14ac:dyDescent="0.25">
      <c r="A23" s="538" t="s">
        <v>75</v>
      </c>
      <c r="B23" s="539"/>
      <c r="C23" s="163">
        <f>SUM(C6:C22)</f>
        <v>85000000</v>
      </c>
      <c r="D23" s="164">
        <f>SUM(D6:D22)</f>
        <v>31700000</v>
      </c>
      <c r="E23" s="267"/>
      <c r="F23" s="165">
        <f>+D23/C23</f>
        <v>0.37294117647058822</v>
      </c>
    </row>
    <row r="27" spans="1:7" ht="15" x14ac:dyDescent="0.2">
      <c r="A27" s="537" t="s">
        <v>74</v>
      </c>
      <c r="B27" s="537"/>
      <c r="C27" s="537"/>
      <c r="D27" s="537"/>
      <c r="E27" s="537"/>
      <c r="F27" s="537"/>
    </row>
    <row r="28" spans="1:7" ht="15" thickBot="1" x14ac:dyDescent="0.25"/>
    <row r="29" spans="1:7" ht="15.75" thickBot="1" x14ac:dyDescent="0.25">
      <c r="A29" s="160" t="s">
        <v>66</v>
      </c>
      <c r="B29" s="13" t="s">
        <v>37</v>
      </c>
      <c r="C29" s="159" t="s">
        <v>67</v>
      </c>
      <c r="D29" s="161" t="s">
        <v>50</v>
      </c>
      <c r="E29" s="161" t="s">
        <v>179</v>
      </c>
      <c r="F29" s="159" t="s">
        <v>51</v>
      </c>
    </row>
    <row r="30" spans="1:7" x14ac:dyDescent="0.2">
      <c r="A30" s="166" t="s">
        <v>64</v>
      </c>
      <c r="B30" s="17" t="s">
        <v>68</v>
      </c>
      <c r="C30" s="11">
        <v>5000000</v>
      </c>
      <c r="D30" s="154"/>
      <c r="E30" s="154">
        <f>+C30-D30</f>
        <v>5000000</v>
      </c>
      <c r="F30" s="230">
        <f t="shared" ref="F30:F36" si="2">+D30/C30</f>
        <v>0</v>
      </c>
    </row>
    <row r="31" spans="1:7" x14ac:dyDescent="0.2">
      <c r="A31" s="5" t="s">
        <v>64</v>
      </c>
      <c r="B31" s="7" t="s">
        <v>43</v>
      </c>
      <c r="C31" s="11">
        <v>5000000</v>
      </c>
      <c r="D31" s="154"/>
      <c r="E31" s="154">
        <f t="shared" ref="E31:E36" si="3">+C31-D31</f>
        <v>5000000</v>
      </c>
      <c r="F31" s="230">
        <f t="shared" si="2"/>
        <v>0</v>
      </c>
    </row>
    <row r="32" spans="1:7" x14ac:dyDescent="0.2">
      <c r="A32" s="5" t="s">
        <v>64</v>
      </c>
      <c r="B32" s="7" t="s">
        <v>69</v>
      </c>
      <c r="C32" s="11">
        <v>5000000</v>
      </c>
      <c r="D32" s="154"/>
      <c r="E32" s="154">
        <f t="shared" si="3"/>
        <v>5000000</v>
      </c>
      <c r="F32" s="15">
        <f t="shared" si="2"/>
        <v>0</v>
      </c>
    </row>
    <row r="33" spans="1:7" x14ac:dyDescent="0.2">
      <c r="A33" s="5" t="s">
        <v>64</v>
      </c>
      <c r="B33" s="7" t="s">
        <v>70</v>
      </c>
      <c r="C33" s="11">
        <v>5000000</v>
      </c>
      <c r="D33" s="154"/>
      <c r="E33" s="154">
        <f t="shared" si="3"/>
        <v>5000000</v>
      </c>
      <c r="F33" s="15">
        <f t="shared" si="2"/>
        <v>0</v>
      </c>
    </row>
    <row r="34" spans="1:7" x14ac:dyDescent="0.2">
      <c r="A34" s="5" t="s">
        <v>64</v>
      </c>
      <c r="B34" s="7" t="s">
        <v>71</v>
      </c>
      <c r="C34" s="11">
        <v>5000000</v>
      </c>
      <c r="D34" s="154"/>
      <c r="E34" s="154">
        <f t="shared" si="3"/>
        <v>5000000</v>
      </c>
      <c r="F34" s="230">
        <f t="shared" si="2"/>
        <v>0</v>
      </c>
    </row>
    <row r="35" spans="1:7" x14ac:dyDescent="0.2">
      <c r="A35" s="5" t="s">
        <v>64</v>
      </c>
      <c r="B35" s="7" t="s">
        <v>72</v>
      </c>
      <c r="C35" s="11">
        <v>5000000</v>
      </c>
      <c r="D35" s="154"/>
      <c r="E35" s="154">
        <f t="shared" si="3"/>
        <v>5000000</v>
      </c>
      <c r="F35" s="15">
        <f t="shared" si="2"/>
        <v>0</v>
      </c>
    </row>
    <row r="36" spans="1:7" ht="15" thickBot="1" x14ac:dyDescent="0.25">
      <c r="A36" s="6" t="s">
        <v>64</v>
      </c>
      <c r="B36" s="8" t="s">
        <v>193</v>
      </c>
      <c r="C36" s="19">
        <v>5000000</v>
      </c>
      <c r="D36" s="158">
        <f>+'SALDOS DIARIOS DE REPORTES'!F63</f>
        <v>500000</v>
      </c>
      <c r="E36" s="154">
        <f t="shared" si="3"/>
        <v>4500000</v>
      </c>
      <c r="F36" s="16">
        <f t="shared" si="2"/>
        <v>0.1</v>
      </c>
    </row>
    <row r="37" spans="1:7" ht="15.75" thickBot="1" x14ac:dyDescent="0.25">
      <c r="A37" s="538" t="s">
        <v>75</v>
      </c>
      <c r="B37" s="539"/>
      <c r="C37" s="163">
        <f>SUM(C30:C36)</f>
        <v>35000000</v>
      </c>
      <c r="D37" s="164">
        <f>SUM(D30:D36)</f>
        <v>500000</v>
      </c>
      <c r="E37" s="164"/>
      <c r="F37" s="171">
        <f>+D37/C37</f>
        <v>1.4285714285714285E-2</v>
      </c>
    </row>
    <row r="39" spans="1:7" ht="15" x14ac:dyDescent="0.2">
      <c r="A39" s="537" t="s">
        <v>168</v>
      </c>
      <c r="B39" s="537"/>
      <c r="C39" s="537"/>
      <c r="D39" s="537"/>
      <c r="E39" s="537"/>
      <c r="F39" s="537"/>
    </row>
    <row r="40" spans="1:7" ht="15" thickBot="1" x14ac:dyDescent="0.25"/>
    <row r="41" spans="1:7" ht="15.75" thickBot="1" x14ac:dyDescent="0.25">
      <c r="A41" s="20" t="s">
        <v>66</v>
      </c>
      <c r="B41" s="13" t="s">
        <v>37</v>
      </c>
      <c r="C41" s="13" t="s">
        <v>67</v>
      </c>
      <c r="D41" s="156" t="s">
        <v>50</v>
      </c>
      <c r="E41" s="156" t="s">
        <v>179</v>
      </c>
      <c r="F41" s="13" t="s">
        <v>51</v>
      </c>
    </row>
    <row r="42" spans="1:7" x14ac:dyDescent="0.2">
      <c r="A42" s="21" t="s">
        <v>64</v>
      </c>
      <c r="B42" s="17" t="s">
        <v>145</v>
      </c>
      <c r="C42" s="18">
        <v>5000000</v>
      </c>
      <c r="D42" s="157">
        <v>0</v>
      </c>
      <c r="E42" s="157">
        <f>+C42-D42</f>
        <v>5000000</v>
      </c>
      <c r="F42" s="14">
        <f t="shared" ref="F42" si="4">+D42/C42</f>
        <v>0</v>
      </c>
    </row>
    <row r="43" spans="1:7" x14ac:dyDescent="0.2">
      <c r="A43" s="21" t="s">
        <v>64</v>
      </c>
      <c r="B43" s="17" t="s">
        <v>169</v>
      </c>
      <c r="C43" s="18">
        <v>5000000</v>
      </c>
      <c r="D43" s="18">
        <v>0</v>
      </c>
      <c r="E43" s="157">
        <f>+C43-D43</f>
        <v>5000000</v>
      </c>
      <c r="F43" s="14">
        <f t="shared" ref="F43" si="5">+D43/C43</f>
        <v>0</v>
      </c>
      <c r="G43" s="173"/>
    </row>
    <row r="45" spans="1:7" ht="15" x14ac:dyDescent="0.2">
      <c r="A45" s="537" t="s">
        <v>146</v>
      </c>
      <c r="B45" s="537"/>
      <c r="C45" s="537"/>
      <c r="D45" s="537"/>
      <c r="E45" s="537"/>
      <c r="F45" s="537"/>
    </row>
    <row r="46" spans="1:7" ht="15" thickBot="1" x14ac:dyDescent="0.25"/>
    <row r="47" spans="1:7" ht="15.75" thickBot="1" x14ac:dyDescent="0.25">
      <c r="A47" s="20" t="s">
        <v>66</v>
      </c>
      <c r="B47" s="13" t="s">
        <v>37</v>
      </c>
      <c r="C47" s="13" t="s">
        <v>67</v>
      </c>
      <c r="D47" s="156" t="s">
        <v>50</v>
      </c>
      <c r="E47" s="156"/>
      <c r="F47" s="13" t="s">
        <v>51</v>
      </c>
    </row>
    <row r="48" spans="1:7" x14ac:dyDescent="0.2">
      <c r="A48" s="21" t="s">
        <v>65</v>
      </c>
      <c r="B48" s="17" t="s">
        <v>129</v>
      </c>
      <c r="C48" s="18">
        <v>5000000</v>
      </c>
      <c r="D48" s="157"/>
      <c r="E48" s="157"/>
      <c r="F48" s="14">
        <f t="shared" ref="F48" si="6">+D48/C48</f>
        <v>0</v>
      </c>
    </row>
    <row r="51" spans="4:5" ht="15.75" thickBot="1" x14ac:dyDescent="0.25">
      <c r="D51" s="155">
        <f>+D48+D42+D37+D23+D43</f>
        <v>32200000</v>
      </c>
      <c r="E51" s="268"/>
    </row>
    <row r="52" spans="4:5" x14ac:dyDescent="0.2">
      <c r="D52" s="176">
        <f>+'SALDOS DIARIOS DE REPORTES'!F71</f>
        <v>32200000</v>
      </c>
      <c r="E52" s="176"/>
    </row>
    <row r="53" spans="4:5" x14ac:dyDescent="0.2">
      <c r="D53" s="3">
        <f>+D51-D52</f>
        <v>0</v>
      </c>
    </row>
  </sheetData>
  <mergeCells count="6">
    <mergeCell ref="A45:F45"/>
    <mergeCell ref="A3:F3"/>
    <mergeCell ref="A27:F27"/>
    <mergeCell ref="A23:B23"/>
    <mergeCell ref="A37:B37"/>
    <mergeCell ref="A39:F39"/>
  </mergeCells>
  <conditionalFormatting sqref="F6:F22">
    <cfRule type="cellIs" dxfId="2" priority="3" operator="equal">
      <formula>1</formula>
    </cfRule>
  </conditionalFormatting>
  <conditionalFormatting sqref="F42 F48 F30:F36">
    <cfRule type="cellIs" dxfId="1" priority="2" operator="equal">
      <formula>1</formula>
    </cfRule>
  </conditionalFormatting>
  <conditionalFormatting sqref="F43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showGridLines="0" workbookViewId="0">
      <selection activeCell="I7" sqref="I7:I8"/>
    </sheetView>
  </sheetViews>
  <sheetFormatPr baseColWidth="10" defaultRowHeight="15.75" x14ac:dyDescent="0.25"/>
  <cols>
    <col min="1" max="1" width="24" style="322" customWidth="1"/>
    <col min="2" max="3" width="16.5703125" style="323" customWidth="1"/>
    <col min="4" max="5" width="13.5703125" style="323" bestFit="1" customWidth="1"/>
    <col min="6" max="6" width="13.5703125" style="323" customWidth="1"/>
    <col min="7" max="7" width="12.85546875" style="323" customWidth="1"/>
    <col min="8" max="8" width="14.140625" style="322" customWidth="1"/>
    <col min="9" max="9" width="14.5703125" style="322" customWidth="1"/>
    <col min="10" max="16384" width="11.42578125" style="322"/>
  </cols>
  <sheetData>
    <row r="2" spans="1:9" x14ac:dyDescent="0.25">
      <c r="A2" s="540" t="s">
        <v>188</v>
      </c>
      <c r="B2" s="540"/>
      <c r="C2" s="540"/>
      <c r="D2" s="540"/>
      <c r="E2" s="540"/>
      <c r="F2" s="540"/>
      <c r="G2" s="540"/>
      <c r="H2" s="540"/>
      <c r="I2" s="540"/>
    </row>
    <row r="4" spans="1:9" ht="16.5" thickBot="1" x14ac:dyDescent="0.3"/>
    <row r="5" spans="1:9" ht="16.5" thickBot="1" x14ac:dyDescent="0.3">
      <c r="A5" s="330"/>
      <c r="B5" s="335" t="s">
        <v>185</v>
      </c>
      <c r="C5" s="336" t="s">
        <v>186</v>
      </c>
      <c r="D5" s="336" t="s">
        <v>187</v>
      </c>
      <c r="E5" s="336" t="s">
        <v>189</v>
      </c>
      <c r="F5" s="336" t="s">
        <v>208</v>
      </c>
      <c r="G5" s="348" t="s">
        <v>75</v>
      </c>
      <c r="H5" s="350" t="s">
        <v>191</v>
      </c>
      <c r="I5" s="349" t="s">
        <v>192</v>
      </c>
    </row>
    <row r="6" spans="1:9" x14ac:dyDescent="0.25">
      <c r="A6" s="332" t="s">
        <v>190</v>
      </c>
      <c r="B6" s="337">
        <v>125470656</v>
      </c>
      <c r="C6" s="338">
        <v>141963496</v>
      </c>
      <c r="D6" s="338">
        <v>161518380</v>
      </c>
      <c r="E6" s="338">
        <v>181080920.78400007</v>
      </c>
      <c r="F6" s="338"/>
      <c r="G6" s="345"/>
      <c r="H6" s="339"/>
      <c r="I6" s="340"/>
    </row>
    <row r="7" spans="1:9" x14ac:dyDescent="0.25">
      <c r="A7" s="333" t="s">
        <v>140</v>
      </c>
      <c r="B7" s="341">
        <f>+B6*1%</f>
        <v>1254706.56</v>
      </c>
      <c r="C7" s="324">
        <f>+C6*1%</f>
        <v>1419634.96</v>
      </c>
      <c r="D7" s="324">
        <f>+D6*1%</f>
        <v>1615183.8</v>
      </c>
      <c r="E7" s="324">
        <f>+E6*1%</f>
        <v>1810809.2078400007</v>
      </c>
      <c r="F7" s="324"/>
      <c r="G7" s="346">
        <f>SUM(B7:E7)</f>
        <v>6100334.5278400015</v>
      </c>
      <c r="H7" s="325">
        <f>+'SALDOS DIARIOS DE REPORTES'!F66+'SALDOS DIARIOS DE REPORTES'!F67+'SALDOS DIARIOS DE REPORTES'!F68+'SALDOS DIARIOS DE REPORTES'!F69+'SALDOS DIARIOS DE REPORTES'!F70</f>
        <v>5900000</v>
      </c>
      <c r="I7" s="326">
        <f>+G7-H7</f>
        <v>200334.52784000151</v>
      </c>
    </row>
    <row r="8" spans="1:9" ht="16.5" thickBot="1" x14ac:dyDescent="0.3">
      <c r="A8" s="334" t="s">
        <v>141</v>
      </c>
      <c r="B8" s="342">
        <v>379329.6</v>
      </c>
      <c r="C8" s="327">
        <v>466337.76500000001</v>
      </c>
      <c r="D8" s="327">
        <v>613789.77600000007</v>
      </c>
      <c r="E8" s="327">
        <f>388121.582+275987</f>
        <v>664108.58199999994</v>
      </c>
      <c r="F8" s="327">
        <f>335253+308188</f>
        <v>643441</v>
      </c>
      <c r="G8" s="347">
        <f>SUM(B8:F8)</f>
        <v>2767006.7230000002</v>
      </c>
      <c r="H8" s="328">
        <f>+'SALDOS DIARIOS DE REPORTES'!F61+'SALDOS DIARIOS DE REPORTES'!F62+'SALDOS DIARIOS DE REPORTES'!F63+'SALDOS DIARIOS DE REPORTES'!F64+'SALDOS DIARIOS DE REPORTES'!F65</f>
        <v>2800000</v>
      </c>
      <c r="I8" s="329">
        <f>+G8-H8</f>
        <v>-32993.276999999769</v>
      </c>
    </row>
    <row r="9" spans="1:9" x14ac:dyDescent="0.25">
      <c r="A9" s="330"/>
      <c r="B9" s="331"/>
      <c r="C9" s="331"/>
      <c r="D9" s="331"/>
      <c r="E9" s="331"/>
      <c r="F9" s="331"/>
      <c r="G9" s="331"/>
      <c r="H9" s="330"/>
      <c r="I9" s="330"/>
    </row>
  </sheetData>
  <mergeCells count="1">
    <mergeCell ref="A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F25"/>
  <sheetViews>
    <sheetView workbookViewId="0">
      <selection activeCell="F15" sqref="F15"/>
    </sheetView>
  </sheetViews>
  <sheetFormatPr baseColWidth="10" defaultRowHeight="12.75" x14ac:dyDescent="0.2"/>
  <sheetData>
    <row r="1" spans="1:6" ht="13.5" thickBot="1" x14ac:dyDescent="0.25">
      <c r="A1" s="541">
        <v>2014</v>
      </c>
      <c r="B1" s="177" t="s">
        <v>148</v>
      </c>
      <c r="C1" s="178">
        <v>114.53677999999999</v>
      </c>
      <c r="D1" s="179">
        <v>4.8999999999999998E-3</v>
      </c>
      <c r="E1" s="179">
        <v>4.8999999999999998E-3</v>
      </c>
      <c r="F1" s="180">
        <v>2.1299999999999999E-2</v>
      </c>
    </row>
    <row r="2" spans="1:6" ht="13.5" thickBot="1" x14ac:dyDescent="0.25">
      <c r="A2" s="542"/>
      <c r="B2" s="177" t="s">
        <v>149</v>
      </c>
      <c r="C2" s="178">
        <v>115.25924000000001</v>
      </c>
      <c r="D2" s="179">
        <v>6.3E-3</v>
      </c>
      <c r="E2" s="179">
        <v>1.12E-2</v>
      </c>
      <c r="F2" s="180">
        <v>2.3199999999999998E-2</v>
      </c>
    </row>
    <row r="3" spans="1:6" ht="13.5" thickBot="1" x14ac:dyDescent="0.25">
      <c r="A3" s="542"/>
      <c r="B3" s="177" t="s">
        <v>150</v>
      </c>
      <c r="C3" s="178">
        <v>115.71357999999999</v>
      </c>
      <c r="D3" s="179">
        <v>3.8999999999999998E-3</v>
      </c>
      <c r="E3" s="179">
        <v>1.52E-2</v>
      </c>
      <c r="F3" s="180">
        <v>2.5100000000000001E-2</v>
      </c>
    </row>
    <row r="4" spans="1:6" ht="13.5" thickBot="1" x14ac:dyDescent="0.25">
      <c r="A4" s="542"/>
      <c r="B4" s="177" t="s">
        <v>151</v>
      </c>
      <c r="C4" s="178">
        <v>116.24321</v>
      </c>
      <c r="D4" s="179">
        <v>4.5999999999999999E-3</v>
      </c>
      <c r="E4" s="179">
        <v>1.9800000000000002E-2</v>
      </c>
      <c r="F4" s="180">
        <v>2.7199999999999998E-2</v>
      </c>
    </row>
    <row r="5" spans="1:6" ht="13.5" thickBot="1" x14ac:dyDescent="0.25">
      <c r="A5" s="542"/>
      <c r="B5" s="177" t="s">
        <v>152</v>
      </c>
      <c r="C5" s="178">
        <v>116.80555</v>
      </c>
      <c r="D5" s="179">
        <v>4.7999999999999996E-3</v>
      </c>
      <c r="E5" s="179">
        <v>2.4799999999999999E-2</v>
      </c>
      <c r="F5" s="180">
        <v>2.93E-2</v>
      </c>
    </row>
    <row r="6" spans="1:6" ht="13.5" thickBot="1" x14ac:dyDescent="0.25">
      <c r="A6" s="542"/>
      <c r="B6" s="177" t="s">
        <v>153</v>
      </c>
      <c r="C6" s="178">
        <v>116.91441</v>
      </c>
      <c r="D6" s="179">
        <v>8.9999999999999998E-4</v>
      </c>
      <c r="E6" s="179">
        <v>2.5700000000000001E-2</v>
      </c>
      <c r="F6" s="180">
        <v>2.7900000000000001E-2</v>
      </c>
    </row>
    <row r="7" spans="1:6" ht="13.5" thickBot="1" x14ac:dyDescent="0.25">
      <c r="A7" s="542"/>
      <c r="B7" s="177" t="s">
        <v>154</v>
      </c>
      <c r="C7" s="178">
        <v>117.0913</v>
      </c>
      <c r="D7" s="179">
        <v>1.5E-3</v>
      </c>
      <c r="E7" s="179">
        <v>2.7300000000000001E-2</v>
      </c>
      <c r="F7" s="180">
        <v>2.8899999999999999E-2</v>
      </c>
    </row>
    <row r="8" spans="1:6" ht="13.5" thickBot="1" x14ac:dyDescent="0.25">
      <c r="A8" s="542"/>
      <c r="B8" s="177" t="s">
        <v>155</v>
      </c>
      <c r="C8" s="178">
        <v>117.32919</v>
      </c>
      <c r="D8" s="179">
        <v>2E-3</v>
      </c>
      <c r="E8" s="179">
        <v>2.9399999999999999E-2</v>
      </c>
      <c r="F8" s="180">
        <v>3.0200000000000001E-2</v>
      </c>
    </row>
    <row r="9" spans="1:6" ht="13.5" thickBot="1" x14ac:dyDescent="0.25">
      <c r="A9" s="542"/>
      <c r="B9" s="177" t="s">
        <v>156</v>
      </c>
      <c r="C9" s="178">
        <v>117.48858</v>
      </c>
      <c r="D9" s="179">
        <v>1.4E-3</v>
      </c>
      <c r="E9" s="179">
        <v>3.0800000000000001E-2</v>
      </c>
      <c r="F9" s="180">
        <v>2.86E-2</v>
      </c>
    </row>
    <row r="10" spans="1:6" ht="13.5" thickBot="1" x14ac:dyDescent="0.25">
      <c r="A10" s="542"/>
      <c r="B10" s="177" t="s">
        <v>157</v>
      </c>
      <c r="C10" s="178">
        <v>117.68219000000001</v>
      </c>
      <c r="D10" s="179">
        <v>1.6000000000000001E-3</v>
      </c>
      <c r="E10" s="179">
        <v>3.2500000000000001E-2</v>
      </c>
      <c r="F10" s="180">
        <v>3.2899999999999999E-2</v>
      </c>
    </row>
    <row r="11" spans="1:6" ht="13.5" thickBot="1" x14ac:dyDescent="0.25">
      <c r="A11" s="542"/>
      <c r="B11" s="194" t="s">
        <v>158</v>
      </c>
      <c r="C11" s="195">
        <v>117.8373</v>
      </c>
      <c r="D11" s="196">
        <v>1.2999999999999999E-3</v>
      </c>
      <c r="E11" s="196">
        <v>3.3799999999999997E-2</v>
      </c>
      <c r="F11" s="197">
        <v>3.6499999999999998E-2</v>
      </c>
    </row>
    <row r="12" spans="1:6" ht="13.5" thickBot="1" x14ac:dyDescent="0.25">
      <c r="A12" s="543"/>
      <c r="B12" s="177" t="s">
        <v>159</v>
      </c>
      <c r="C12" s="178">
        <v>118.15166000000001</v>
      </c>
      <c r="D12" s="179">
        <v>2.7000000000000001E-3</v>
      </c>
      <c r="E12" s="179">
        <v>3.6600000000000001E-2</v>
      </c>
      <c r="F12" s="180">
        <v>3.6600000000000001E-2</v>
      </c>
    </row>
    <row r="13" spans="1:6" ht="13.5" thickBot="1" x14ac:dyDescent="0.25">
      <c r="A13" s="541">
        <v>2015</v>
      </c>
      <c r="B13" s="177" t="s">
        <v>148</v>
      </c>
      <c r="C13" s="178">
        <v>118.91289</v>
      </c>
      <c r="D13" s="179">
        <v>6.4000000000000003E-3</v>
      </c>
      <c r="E13" s="179">
        <v>6.4000000000000003E-3</v>
      </c>
      <c r="F13" s="180">
        <v>3.8199999999999998E-2</v>
      </c>
    </row>
    <row r="14" spans="1:6" ht="13.5" thickBot="1" x14ac:dyDescent="0.25">
      <c r="A14" s="542"/>
      <c r="B14" s="194" t="s">
        <v>149</v>
      </c>
      <c r="C14" s="195">
        <v>120.27992999999999</v>
      </c>
      <c r="D14" s="196">
        <v>1.15E-2</v>
      </c>
      <c r="E14" s="196">
        <v>1.7999999999999999E-2</v>
      </c>
      <c r="F14" s="197">
        <v>4.36E-2</v>
      </c>
    </row>
    <row r="15" spans="1:6" ht="13.5" thickBot="1" x14ac:dyDescent="0.25">
      <c r="A15" s="542"/>
      <c r="B15" s="177" t="s">
        <v>150</v>
      </c>
      <c r="C15" s="178">
        <v>120.98456</v>
      </c>
      <c r="D15" s="179">
        <v>5.8999999999999999E-3</v>
      </c>
      <c r="E15" s="179">
        <v>2.4E-2</v>
      </c>
      <c r="F15" s="180">
        <v>4.5600000000000002E-2</v>
      </c>
    </row>
    <row r="16" spans="1:6" ht="13.5" thickBot="1" x14ac:dyDescent="0.25">
      <c r="A16" s="542"/>
      <c r="B16" s="177" t="s">
        <v>151</v>
      </c>
      <c r="C16" s="178">
        <v>121.63437</v>
      </c>
      <c r="D16" s="179">
        <v>5.4000000000000003E-3</v>
      </c>
      <c r="E16" s="179">
        <v>2.9499999999999998E-2</v>
      </c>
      <c r="F16" s="180">
        <v>4.6399999999999997E-2</v>
      </c>
    </row>
    <row r="17" spans="1:6" ht="13.5" thickBot="1" x14ac:dyDescent="0.25">
      <c r="A17" s="542"/>
      <c r="B17" s="177" t="s">
        <v>152</v>
      </c>
      <c r="C17" s="178">
        <v>121.95433</v>
      </c>
      <c r="D17" s="179">
        <v>2.5999999999999999E-3</v>
      </c>
      <c r="E17" s="179">
        <v>3.2199999999999999E-2</v>
      </c>
      <c r="F17" s="180">
        <v>4.41E-2</v>
      </c>
    </row>
    <row r="18" spans="1:6" ht="13.5" thickBot="1" x14ac:dyDescent="0.25">
      <c r="A18" s="542"/>
      <c r="B18" s="177" t="s">
        <v>153</v>
      </c>
      <c r="C18" s="178">
        <v>122.08235999999999</v>
      </c>
      <c r="D18" s="179">
        <v>1E-3</v>
      </c>
      <c r="E18" s="179">
        <v>3.3300000000000003E-2</v>
      </c>
      <c r="F18" s="180">
        <v>4.4200000000000003E-2</v>
      </c>
    </row>
    <row r="19" spans="1:6" ht="13.5" thickBot="1" x14ac:dyDescent="0.25">
      <c r="A19" s="542"/>
      <c r="B19" s="177" t="s">
        <v>154</v>
      </c>
      <c r="C19" s="178">
        <v>122.30851</v>
      </c>
      <c r="D19" s="179">
        <v>1.9E-3</v>
      </c>
      <c r="E19" s="179">
        <v>3.5200000000000002E-2</v>
      </c>
      <c r="F19" s="180">
        <v>4.4600000000000001E-2</v>
      </c>
    </row>
    <row r="20" spans="1:6" ht="13.5" thickBot="1" x14ac:dyDescent="0.25">
      <c r="A20" s="542"/>
      <c r="B20" s="177" t="s">
        <v>155</v>
      </c>
      <c r="C20" s="178">
        <v>122.89561</v>
      </c>
      <c r="D20" s="179">
        <v>4.7999999999999996E-3</v>
      </c>
      <c r="E20" s="179">
        <v>4.02E-2</v>
      </c>
      <c r="F20" s="180">
        <v>4.7399999999999998E-2</v>
      </c>
    </row>
    <row r="21" spans="1:6" ht="13.5" thickBot="1" x14ac:dyDescent="0.25">
      <c r="A21" s="542"/>
      <c r="B21" s="177" t="s">
        <v>156</v>
      </c>
      <c r="C21" s="178">
        <v>123.77500999999999</v>
      </c>
      <c r="D21" s="179">
        <v>7.1999999999999998E-3</v>
      </c>
      <c r="E21" s="179">
        <v>4.7600000000000003E-2</v>
      </c>
      <c r="F21" s="180">
        <v>5.3499999999999999E-2</v>
      </c>
    </row>
    <row r="22" spans="1:6" ht="13.5" thickBot="1" x14ac:dyDescent="0.25">
      <c r="A22" s="542"/>
      <c r="B22" s="177" t="s">
        <v>157</v>
      </c>
      <c r="C22" s="178">
        <v>124.61929000000001</v>
      </c>
      <c r="D22" s="179">
        <v>6.7999999999999996E-3</v>
      </c>
      <c r="E22" s="179">
        <v>5.4699999999999999E-2</v>
      </c>
      <c r="F22" s="180">
        <v>5.8900000000000001E-2</v>
      </c>
    </row>
    <row r="23" spans="1:6" ht="13.5" thickBot="1" x14ac:dyDescent="0.25">
      <c r="A23" s="542"/>
      <c r="B23" s="217" t="s">
        <v>158</v>
      </c>
      <c r="C23" s="218">
        <v>125.37075</v>
      </c>
      <c r="D23" s="219">
        <v>6.0000000000000001E-3</v>
      </c>
      <c r="E23" s="219">
        <v>6.1100000000000002E-2</v>
      </c>
      <c r="F23" s="220">
        <v>6.3899999999999998E-2</v>
      </c>
    </row>
    <row r="24" spans="1:6" ht="13.5" thickBot="1" x14ac:dyDescent="0.25">
      <c r="A24" s="543"/>
      <c r="B24" s="217" t="s">
        <v>159</v>
      </c>
      <c r="C24" s="218">
        <v>126.14945</v>
      </c>
      <c r="D24" s="219">
        <v>6.1999999999999998E-3</v>
      </c>
      <c r="E24" s="219">
        <v>6.7699999999999996E-2</v>
      </c>
      <c r="F24" s="220">
        <v>6.7699999999999996E-2</v>
      </c>
    </row>
    <row r="25" spans="1:6" x14ac:dyDescent="0.2">
      <c r="A25" s="181">
        <v>2016</v>
      </c>
      <c r="B25" s="182" t="s">
        <v>148</v>
      </c>
      <c r="C25" s="183">
        <v>127.77754</v>
      </c>
      <c r="D25" s="184">
        <v>1.29E-2</v>
      </c>
      <c r="E25" s="184">
        <v>1.29E-2</v>
      </c>
      <c r="F25" s="185">
        <v>7.4499999999999997E-2</v>
      </c>
    </row>
  </sheetData>
  <mergeCells count="2">
    <mergeCell ref="A1:A12"/>
    <mergeCell ref="A13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F7"/>
  <sheetViews>
    <sheetView workbookViewId="0">
      <selection activeCell="C4" sqref="C4"/>
    </sheetView>
  </sheetViews>
  <sheetFormatPr baseColWidth="10" defaultRowHeight="12.75" x14ac:dyDescent="0.2"/>
  <sheetData>
    <row r="1" spans="1:6" s="186" customFormat="1" ht="12" thickBot="1" x14ac:dyDescent="0.25">
      <c r="A1" s="544"/>
      <c r="B1" s="545"/>
      <c r="C1" s="546" t="s">
        <v>160</v>
      </c>
      <c r="D1" s="547"/>
      <c r="E1" s="547"/>
      <c r="F1" s="548"/>
    </row>
    <row r="2" spans="1:6" s="186" customFormat="1" ht="23.25" thickBot="1" x14ac:dyDescent="0.25">
      <c r="A2" s="187" t="s">
        <v>161</v>
      </c>
      <c r="B2" s="188" t="s">
        <v>162</v>
      </c>
      <c r="C2" s="189" t="s">
        <v>163</v>
      </c>
      <c r="D2" s="189" t="s">
        <v>164</v>
      </c>
      <c r="E2" s="189" t="s">
        <v>165</v>
      </c>
      <c r="F2" s="190" t="s">
        <v>166</v>
      </c>
    </row>
    <row r="3" spans="1:6" s="186" customFormat="1" ht="12" thickBot="1" x14ac:dyDescent="0.25">
      <c r="A3" s="191">
        <v>42415</v>
      </c>
      <c r="B3" s="192">
        <v>42421</v>
      </c>
      <c r="C3" s="179">
        <v>6.1800000000000001E-2</v>
      </c>
      <c r="D3" s="179">
        <v>6.88E-2</v>
      </c>
      <c r="E3" s="179">
        <v>7.6600000000000001E-2</v>
      </c>
      <c r="F3" s="180">
        <v>3.56E-2</v>
      </c>
    </row>
    <row r="4" spans="1:6" s="186" customFormat="1" ht="12" thickBot="1" x14ac:dyDescent="0.25">
      <c r="A4" s="221">
        <v>42408</v>
      </c>
      <c r="B4" s="222">
        <v>42414</v>
      </c>
      <c r="C4" s="196">
        <v>5.9200000000000003E-2</v>
      </c>
      <c r="D4" s="179">
        <v>6.1800000000000001E-2</v>
      </c>
      <c r="E4" s="179">
        <v>7.9000000000000001E-2</v>
      </c>
      <c r="F4" s="180">
        <v>0.1087</v>
      </c>
    </row>
    <row r="5" spans="1:6" s="186" customFormat="1" ht="12" thickBot="1" x14ac:dyDescent="0.25">
      <c r="A5" s="191">
        <v>42401</v>
      </c>
      <c r="B5" s="192">
        <v>42407</v>
      </c>
      <c r="C5" s="179">
        <v>5.8700000000000002E-2</v>
      </c>
      <c r="D5" s="179">
        <v>6.4399999999999999E-2</v>
      </c>
      <c r="E5" s="179">
        <v>7.6899999999999996E-2</v>
      </c>
      <c r="F5" s="193"/>
    </row>
    <row r="6" spans="1:6" s="186" customFormat="1" ht="12" thickBot="1" x14ac:dyDescent="0.25">
      <c r="A6" s="191">
        <v>42394</v>
      </c>
      <c r="B6" s="192">
        <v>42400</v>
      </c>
      <c r="C6" s="179">
        <v>6.08E-2</v>
      </c>
      <c r="D6" s="179">
        <v>6.2600000000000003E-2</v>
      </c>
      <c r="E6" s="179">
        <v>7.4899999999999994E-2</v>
      </c>
      <c r="F6" s="180">
        <v>4.3099999999999999E-2</v>
      </c>
    </row>
    <row r="7" spans="1:6" s="186" customFormat="1" ht="12" thickBot="1" x14ac:dyDescent="0.25">
      <c r="A7" s="191">
        <v>42387</v>
      </c>
      <c r="B7" s="192">
        <v>42393</v>
      </c>
      <c r="C7" s="179">
        <v>5.3199999999999997E-2</v>
      </c>
      <c r="D7" s="179">
        <v>6.4199999999999993E-2</v>
      </c>
      <c r="E7" s="179">
        <v>7.6499999999999999E-2</v>
      </c>
      <c r="F7" s="180">
        <v>4.3099999999999999E-2</v>
      </c>
    </row>
  </sheetData>
  <mergeCells count="2">
    <mergeCell ref="A1:B1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SALDOS DIARIOS DE REPORTES</vt:lpstr>
      <vt:lpstr>MOVIMIENTOS POR CUENTA</vt:lpstr>
      <vt:lpstr>CUPOS POR EMISOR</vt:lpstr>
      <vt:lpstr>VALOR FONDOS</vt:lpstr>
      <vt:lpstr>IPC</vt:lpstr>
      <vt:lpstr>DTF</vt:lpstr>
    </vt:vector>
  </TitlesOfParts>
  <Company>OMAR ALVAREZ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ALVAREZ</dc:creator>
  <cp:lastModifiedBy>Alicia Vera Naranjo</cp:lastModifiedBy>
  <cp:lastPrinted>2018-12-14T17:36:37Z</cp:lastPrinted>
  <dcterms:created xsi:type="dcterms:W3CDTF">2000-06-01T23:21:57Z</dcterms:created>
  <dcterms:modified xsi:type="dcterms:W3CDTF">2018-12-21T22:07:54Z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