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escritorio\POSICION DE TESORERIA\2017\DICIEMBRE\"/>
    </mc:Choice>
  </mc:AlternateContent>
  <bookViews>
    <workbookView xWindow="0" yWindow="0" windowWidth="24000" windowHeight="8235"/>
  </bookViews>
  <sheets>
    <sheet name="SALDOS DIARIOS DE REPORTES" sheetId="6" r:id="rId1"/>
    <sheet name="MOVIMIENTOS POR CUENTA" sheetId="9" r:id="rId2"/>
    <sheet name="CUPOS POR EMISOR" sheetId="7" r:id="rId3"/>
    <sheet name="VALOR FONDOS" sheetId="13" r:id="rId4"/>
    <sheet name="INVERSIONES FONDOS" sheetId="14" r:id="rId5"/>
    <sheet name="IPC" sheetId="11" r:id="rId6"/>
    <sheet name="DTF" sheetId="12" r:id="rId7"/>
  </sheets>
  <externalReferences>
    <externalReference r:id="rId8"/>
  </externalReferences>
  <definedNames>
    <definedName name="_xlnm._FilterDatabase" localSheetId="0" hidden="1">'SALDOS DIARIOS DE REPORTES'!$A$52:$O$70</definedName>
  </definedNames>
  <calcPr calcId="152511"/>
</workbook>
</file>

<file path=xl/calcChain.xml><?xml version="1.0" encoding="utf-8"?>
<calcChain xmlns="http://schemas.openxmlformats.org/spreadsheetml/2006/main">
  <c r="C31" i="6" l="1"/>
  <c r="C43" i="6"/>
  <c r="C30" i="6" l="1"/>
  <c r="G23" i="9"/>
  <c r="C28" i="6"/>
  <c r="C29" i="6" l="1"/>
  <c r="C32" i="6"/>
  <c r="C33" i="6"/>
  <c r="C42" i="6"/>
  <c r="C15" i="6"/>
  <c r="C25" i="6" l="1"/>
  <c r="C23" i="6" l="1"/>
  <c r="E15" i="6" l="1"/>
  <c r="F15" i="6"/>
  <c r="C41" i="6" l="1"/>
  <c r="E20" i="9" l="1"/>
  <c r="D20" i="9"/>
  <c r="D23" i="9"/>
  <c r="E23" i="9"/>
  <c r="E22" i="9"/>
  <c r="D22" i="9"/>
  <c r="G22" i="9" s="1"/>
  <c r="H22" i="9" s="1"/>
  <c r="D7" i="7"/>
  <c r="E16" i="9"/>
  <c r="D16" i="9"/>
  <c r="D12" i="7"/>
  <c r="E12" i="7" s="1"/>
  <c r="D9" i="7"/>
  <c r="D8" i="7"/>
  <c r="F8" i="7"/>
  <c r="F12" i="6"/>
  <c r="M65" i="6"/>
  <c r="M64" i="6"/>
  <c r="K65" i="6"/>
  <c r="K64" i="6"/>
  <c r="G65" i="6"/>
  <c r="E65" i="6"/>
  <c r="E64" i="6"/>
  <c r="G64" i="6"/>
  <c r="I7" i="13"/>
  <c r="I8" i="13"/>
  <c r="L10" i="14"/>
  <c r="L9" i="14"/>
  <c r="L8" i="14"/>
  <c r="L7" i="14"/>
  <c r="L6" i="14"/>
  <c r="L3" i="14"/>
  <c r="L5" i="14"/>
  <c r="L4" i="14"/>
  <c r="F29" i="6"/>
  <c r="E77" i="6"/>
  <c r="D77" i="6"/>
  <c r="K77" i="6"/>
  <c r="L6" i="9"/>
  <c r="F78" i="6"/>
  <c r="I77" i="6"/>
  <c r="L77" i="6"/>
  <c r="D17" i="7"/>
  <c r="E17" i="7"/>
  <c r="F17" i="7"/>
  <c r="E17" i="9"/>
  <c r="F70" i="6"/>
  <c r="N56" i="6" s="1"/>
  <c r="M63" i="6"/>
  <c r="K63" i="6"/>
  <c r="G63" i="6"/>
  <c r="B7" i="13"/>
  <c r="C7" i="13"/>
  <c r="D7" i="13"/>
  <c r="G7" i="13"/>
  <c r="H7" i="13" s="1"/>
  <c r="J7" i="13" s="1"/>
  <c r="F8" i="13"/>
  <c r="G8" i="13"/>
  <c r="H8" i="13"/>
  <c r="J8" i="13" s="1"/>
  <c r="D42" i="7"/>
  <c r="E42" i="7" s="1"/>
  <c r="F42" i="7"/>
  <c r="F9" i="7"/>
  <c r="D21" i="7"/>
  <c r="F21" i="7" s="1"/>
  <c r="D6" i="7"/>
  <c r="F6" i="7" s="1"/>
  <c r="D11" i="7"/>
  <c r="E11" i="7" s="1"/>
  <c r="M58" i="6"/>
  <c r="K58" i="6"/>
  <c r="G58" i="6"/>
  <c r="M55" i="6"/>
  <c r="K55" i="6"/>
  <c r="G55" i="6"/>
  <c r="D21" i="9"/>
  <c r="E21" i="9"/>
  <c r="I70" i="6"/>
  <c r="K57" i="6"/>
  <c r="G57" i="6"/>
  <c r="M57" i="6"/>
  <c r="M56" i="6"/>
  <c r="K56" i="6"/>
  <c r="G56" i="6"/>
  <c r="M54" i="6"/>
  <c r="K54" i="6"/>
  <c r="G54" i="6"/>
  <c r="E43" i="6"/>
  <c r="F31" i="6"/>
  <c r="H30" i="6"/>
  <c r="E41" i="6"/>
  <c r="H25" i="6"/>
  <c r="D76" i="6"/>
  <c r="G76" i="6"/>
  <c r="M69" i="6"/>
  <c r="K62" i="6"/>
  <c r="G69" i="6"/>
  <c r="M62" i="6"/>
  <c r="G62" i="6"/>
  <c r="C89" i="6"/>
  <c r="C87" i="6"/>
  <c r="B87" i="6"/>
  <c r="B95" i="6"/>
  <c r="D95" i="6" s="1"/>
  <c r="B90" i="6"/>
  <c r="D90" i="6" s="1"/>
  <c r="B89" i="6"/>
  <c r="B88" i="6"/>
  <c r="D88" i="6" s="1"/>
  <c r="E16" i="7"/>
  <c r="L75" i="6"/>
  <c r="L76" i="6"/>
  <c r="E75" i="6"/>
  <c r="D75" i="6"/>
  <c r="K75" i="6"/>
  <c r="K67" i="6"/>
  <c r="K66" i="6"/>
  <c r="K60" i="6"/>
  <c r="K53" i="6"/>
  <c r="E36" i="7"/>
  <c r="E35" i="7"/>
  <c r="E34" i="7"/>
  <c r="E33" i="7"/>
  <c r="E32" i="7"/>
  <c r="E31" i="7"/>
  <c r="E30" i="7"/>
  <c r="E22" i="7"/>
  <c r="E19" i="7"/>
  <c r="E18" i="7"/>
  <c r="E15" i="7"/>
  <c r="E14" i="7"/>
  <c r="E13" i="7"/>
  <c r="E10" i="7"/>
  <c r="E8" i="7"/>
  <c r="E20" i="7"/>
  <c r="E43" i="7"/>
  <c r="D97" i="6"/>
  <c r="D96" i="6"/>
  <c r="D94" i="6"/>
  <c r="D93" i="6"/>
  <c r="D92" i="6"/>
  <c r="D91" i="6"/>
  <c r="K18" i="9"/>
  <c r="J18" i="9"/>
  <c r="J10" i="9"/>
  <c r="J28" i="9"/>
  <c r="I18" i="9"/>
  <c r="H18" i="9"/>
  <c r="L17" i="9"/>
  <c r="L16" i="9"/>
  <c r="L15" i="9"/>
  <c r="L14" i="9"/>
  <c r="L13" i="9"/>
  <c r="L12" i="9"/>
  <c r="K10" i="9"/>
  <c r="I10" i="9"/>
  <c r="H10" i="9"/>
  <c r="L9" i="9"/>
  <c r="L8" i="9"/>
  <c r="L7" i="9"/>
  <c r="L5" i="9"/>
  <c r="L4" i="9"/>
  <c r="F41" i="6"/>
  <c r="I41" i="6"/>
  <c r="D44" i="6"/>
  <c r="I75" i="6"/>
  <c r="I76" i="6"/>
  <c r="H78" i="6"/>
  <c r="D86" i="6"/>
  <c r="D17" i="9"/>
  <c r="C17" i="9"/>
  <c r="A17" i="9"/>
  <c r="E24" i="6"/>
  <c r="D26" i="6"/>
  <c r="I25" i="6"/>
  <c r="C26" i="6"/>
  <c r="I33" i="6"/>
  <c r="E33" i="6"/>
  <c r="E24" i="9"/>
  <c r="D24" i="9"/>
  <c r="H33" i="6"/>
  <c r="F33" i="6"/>
  <c r="H28" i="6"/>
  <c r="I43" i="6"/>
  <c r="H43" i="6"/>
  <c r="I42" i="6"/>
  <c r="H42" i="6"/>
  <c r="I34" i="6"/>
  <c r="I32" i="6"/>
  <c r="I31" i="6"/>
  <c r="I30" i="6"/>
  <c r="I29" i="6"/>
  <c r="I28" i="6"/>
  <c r="I24" i="6"/>
  <c r="I23" i="6"/>
  <c r="J23" i="6" s="1"/>
  <c r="I22" i="6"/>
  <c r="J22" i="6" s="1"/>
  <c r="I21" i="6"/>
  <c r="I20" i="6"/>
  <c r="I17" i="6"/>
  <c r="I15" i="6"/>
  <c r="H15" i="6"/>
  <c r="I14" i="6"/>
  <c r="I13" i="6"/>
  <c r="I12" i="6"/>
  <c r="H34" i="6"/>
  <c r="H24" i="6"/>
  <c r="H22" i="6"/>
  <c r="H21" i="6"/>
  <c r="H20" i="6"/>
  <c r="H17" i="6"/>
  <c r="H14" i="6"/>
  <c r="H13" i="6"/>
  <c r="H12" i="6"/>
  <c r="H23" i="6"/>
  <c r="F13" i="6"/>
  <c r="F14" i="6"/>
  <c r="F17" i="6"/>
  <c r="M61" i="6"/>
  <c r="J61" i="6"/>
  <c r="K61" i="6"/>
  <c r="G61" i="6"/>
  <c r="M68" i="6"/>
  <c r="J68" i="6"/>
  <c r="K68" i="6" s="1"/>
  <c r="G68" i="6"/>
  <c r="G60" i="6"/>
  <c r="G66" i="6"/>
  <c r="G53" i="6"/>
  <c r="G67" i="6"/>
  <c r="E76" i="6"/>
  <c r="D18" i="6"/>
  <c r="C18" i="6"/>
  <c r="M60" i="6"/>
  <c r="M66" i="6"/>
  <c r="M67" i="6"/>
  <c r="M53" i="6"/>
  <c r="F43" i="7"/>
  <c r="E32" i="6"/>
  <c r="F34" i="7"/>
  <c r="F31" i="7"/>
  <c r="F48" i="7"/>
  <c r="D35" i="6"/>
  <c r="F43" i="6"/>
  <c r="F42" i="6"/>
  <c r="E42" i="6"/>
  <c r="E28" i="6"/>
  <c r="F28" i="6"/>
  <c r="E25" i="9"/>
  <c r="D25" i="9"/>
  <c r="E30" i="6"/>
  <c r="F30" i="6"/>
  <c r="E15" i="9"/>
  <c r="F15" i="9" s="1"/>
  <c r="E14" i="9"/>
  <c r="G14" i="9" s="1"/>
  <c r="D14" i="9"/>
  <c r="E13" i="9"/>
  <c r="E12" i="9"/>
  <c r="D12" i="9"/>
  <c r="F12" i="9" s="1"/>
  <c r="F20" i="6"/>
  <c r="F10" i="7"/>
  <c r="F13" i="7"/>
  <c r="F14" i="7"/>
  <c r="F15" i="7"/>
  <c r="F16" i="7"/>
  <c r="F18" i="7"/>
  <c r="F19" i="7"/>
  <c r="F20" i="7"/>
  <c r="F22" i="7"/>
  <c r="F30" i="7"/>
  <c r="F32" i="7"/>
  <c r="F33" i="7"/>
  <c r="F35" i="7"/>
  <c r="F36" i="7"/>
  <c r="D37" i="7"/>
  <c r="D4" i="9"/>
  <c r="E4" i="9"/>
  <c r="D5" i="9"/>
  <c r="E5" i="9"/>
  <c r="D6" i="9"/>
  <c r="E6" i="9"/>
  <c r="D7" i="9"/>
  <c r="E7" i="9"/>
  <c r="D8" i="9"/>
  <c r="E8" i="9"/>
  <c r="D9" i="9"/>
  <c r="E9" i="9"/>
  <c r="D13" i="9"/>
  <c r="D15" i="9"/>
  <c r="D26" i="9"/>
  <c r="E26" i="9"/>
  <c r="E12" i="6"/>
  <c r="E13" i="6"/>
  <c r="E14" i="6"/>
  <c r="E17" i="6"/>
  <c r="E20" i="6"/>
  <c r="E21" i="6"/>
  <c r="F21" i="6"/>
  <c r="E22" i="6"/>
  <c r="F22" i="6"/>
  <c r="E23" i="6"/>
  <c r="F23" i="6"/>
  <c r="F24" i="6"/>
  <c r="E31" i="6"/>
  <c r="E34" i="6"/>
  <c r="F34" i="6"/>
  <c r="C37" i="7"/>
  <c r="F37" i="7"/>
  <c r="C23" i="7"/>
  <c r="C44" i="6"/>
  <c r="H29" i="6"/>
  <c r="K76" i="6"/>
  <c r="E29" i="6"/>
  <c r="E25" i="6"/>
  <c r="H32" i="6"/>
  <c r="F25" i="6"/>
  <c r="H41" i="6"/>
  <c r="F32" i="6"/>
  <c r="H31" i="6"/>
  <c r="C35" i="6"/>
  <c r="E9" i="7"/>
  <c r="F7" i="13"/>
  <c r="I78" i="6"/>
  <c r="G77" i="6"/>
  <c r="G78" i="6"/>
  <c r="F4" i="9" l="1"/>
  <c r="G25" i="9"/>
  <c r="H25" i="9" s="1"/>
  <c r="L25" i="9" s="1"/>
  <c r="N25" i="9" s="1"/>
  <c r="H23" i="9"/>
  <c r="L23" i="9" s="1"/>
  <c r="N23" i="9" s="1"/>
  <c r="G6" i="9"/>
  <c r="L22" i="9"/>
  <c r="N22" i="9" s="1"/>
  <c r="F22" i="9"/>
  <c r="J25" i="6"/>
  <c r="G17" i="9"/>
  <c r="N17" i="9" s="1"/>
  <c r="O17" i="9" s="1"/>
  <c r="J12" i="6"/>
  <c r="N14" i="9"/>
  <c r="O14" i="9" s="1"/>
  <c r="J42" i="6"/>
  <c r="J30" i="6"/>
  <c r="J17" i="6"/>
  <c r="D89" i="6"/>
  <c r="N54" i="6"/>
  <c r="G70" i="6"/>
  <c r="E6" i="7"/>
  <c r="D23" i="7"/>
  <c r="F23" i="7" s="1"/>
  <c r="F12" i="7"/>
  <c r="D52" i="7"/>
  <c r="F11" i="7"/>
  <c r="F44" i="6"/>
  <c r="J41" i="6"/>
  <c r="J31" i="6"/>
  <c r="N55" i="6"/>
  <c r="N60" i="6"/>
  <c r="E21" i="7"/>
  <c r="N66" i="6"/>
  <c r="N68" i="6"/>
  <c r="E7" i="7"/>
  <c r="N69" i="6"/>
  <c r="N62" i="6"/>
  <c r="F7" i="7"/>
  <c r="M70" i="6"/>
  <c r="N53" i="6"/>
  <c r="D51" i="7"/>
  <c r="D53" i="7" s="1"/>
  <c r="N67" i="6"/>
  <c r="N61" i="6"/>
  <c r="N57" i="6"/>
  <c r="N64" i="6"/>
  <c r="N65" i="6"/>
  <c r="N63" i="6"/>
  <c r="N58" i="6"/>
  <c r="F26" i="6"/>
  <c r="G15" i="9"/>
  <c r="N15" i="9" s="1"/>
  <c r="O15" i="9" s="1"/>
  <c r="J24" i="6"/>
  <c r="E18" i="6"/>
  <c r="J30" i="9"/>
  <c r="G12" i="9"/>
  <c r="D18" i="9"/>
  <c r="G9" i="9"/>
  <c r="N9" i="9" s="1"/>
  <c r="O9" i="9" s="1"/>
  <c r="J29" i="6"/>
  <c r="F24" i="9"/>
  <c r="J33" i="6"/>
  <c r="F6" i="9"/>
  <c r="J14" i="6"/>
  <c r="H18" i="6"/>
  <c r="D10" i="9"/>
  <c r="G5" i="9"/>
  <c r="N5" i="9" s="1"/>
  <c r="O5" i="9" s="1"/>
  <c r="L78" i="6"/>
  <c r="I44" i="6"/>
  <c r="J43" i="6"/>
  <c r="G26" i="9"/>
  <c r="H26" i="9" s="1"/>
  <c r="L26" i="9" s="1"/>
  <c r="N26" i="9" s="1"/>
  <c r="I35" i="6"/>
  <c r="F20" i="9"/>
  <c r="G21" i="9"/>
  <c r="H21" i="9" s="1"/>
  <c r="L21" i="9" s="1"/>
  <c r="N21" i="9" s="1"/>
  <c r="J21" i="6"/>
  <c r="E26" i="6"/>
  <c r="G13" i="9"/>
  <c r="N13" i="9" s="1"/>
  <c r="O13" i="9" s="1"/>
  <c r="E18" i="9"/>
  <c r="I26" i="6"/>
  <c r="F5" i="9"/>
  <c r="G4" i="9"/>
  <c r="N4" i="9" s="1"/>
  <c r="O4" i="9" s="1"/>
  <c r="K78" i="6"/>
  <c r="D87" i="6"/>
  <c r="L10" i="9"/>
  <c r="L18" i="9"/>
  <c r="N6" i="9"/>
  <c r="O6" i="9" s="1"/>
  <c r="F25" i="9"/>
  <c r="E27" i="9"/>
  <c r="G16" i="9"/>
  <c r="N16" i="9" s="1"/>
  <c r="O16" i="9" s="1"/>
  <c r="F16" i="9"/>
  <c r="G20" i="9"/>
  <c r="H20" i="9" s="1"/>
  <c r="L20" i="9" s="1"/>
  <c r="N20" i="9" s="1"/>
  <c r="F18" i="6"/>
  <c r="J15" i="6"/>
  <c r="F7" i="9"/>
  <c r="E10" i="9"/>
  <c r="D36" i="6"/>
  <c r="G7" i="9"/>
  <c r="N7" i="9" s="1"/>
  <c r="O7" i="9" s="1"/>
  <c r="F13" i="9"/>
  <c r="H26" i="6"/>
  <c r="C36" i="6"/>
  <c r="C46" i="6" s="1"/>
  <c r="C80" i="6" s="1"/>
  <c r="J13" i="6"/>
  <c r="H44" i="6"/>
  <c r="F26" i="9"/>
  <c r="D27" i="9"/>
  <c r="J34" i="6"/>
  <c r="F35" i="6"/>
  <c r="J32" i="6"/>
  <c r="H35" i="6"/>
  <c r="G24" i="9"/>
  <c r="H24" i="9" s="1"/>
  <c r="L24" i="9" s="1"/>
  <c r="N24" i="9" s="1"/>
  <c r="E44" i="6"/>
  <c r="E35" i="6"/>
  <c r="J28" i="6"/>
  <c r="F17" i="9"/>
  <c r="J20" i="6"/>
  <c r="F14" i="9"/>
  <c r="G8" i="9"/>
  <c r="N8" i="9" s="1"/>
  <c r="F9" i="9"/>
  <c r="I18" i="6"/>
  <c r="C98" i="6"/>
  <c r="G13" i="6" s="1"/>
  <c r="B98" i="6"/>
  <c r="G14" i="6" s="1"/>
  <c r="D98" i="6" l="1"/>
  <c r="J44" i="6"/>
  <c r="G18" i="6"/>
  <c r="N70" i="6"/>
  <c r="K70" i="6"/>
  <c r="G18" i="9"/>
  <c r="F18" i="9"/>
  <c r="F27" i="9"/>
  <c r="N12" i="9"/>
  <c r="O12" i="9" s="1"/>
  <c r="J26" i="6"/>
  <c r="F10" i="9"/>
  <c r="H36" i="6"/>
  <c r="H27" i="9"/>
  <c r="L27" i="9" s="1"/>
  <c r="E36" i="6"/>
  <c r="G27" i="9"/>
  <c r="D28" i="9"/>
  <c r="E28" i="9"/>
  <c r="F36" i="6"/>
  <c r="J35" i="6"/>
  <c r="J18" i="6"/>
  <c r="I36" i="6"/>
  <c r="G10" i="9"/>
  <c r="J36" i="6" l="1"/>
  <c r="G28" i="9"/>
  <c r="G29" i="9" s="1"/>
  <c r="F28" i="9"/>
</calcChain>
</file>

<file path=xl/comments1.xml><?xml version="1.0" encoding="utf-8"?>
<comments xmlns="http://schemas.openxmlformats.org/spreadsheetml/2006/main">
  <authors>
    <author>Alicia Vera Naranjo</author>
  </authors>
  <commentList>
    <comment ref="A59" authorId="0" shapeId="0">
      <text>
        <r>
          <rPr>
            <b/>
            <sz val="9"/>
            <color indexed="81"/>
            <rFont val="Tahoma"/>
            <family val="2"/>
          </rPr>
          <t>Alicia Vera Naranjo:</t>
        </r>
        <r>
          <rPr>
            <sz val="9"/>
            <color indexed="81"/>
            <rFont val="Tahoma"/>
            <family val="2"/>
          </rPr>
          <t xml:space="preserve">
Reeinversion CDT SENA</t>
        </r>
      </text>
    </comment>
  </commentList>
</comments>
</file>

<file path=xl/sharedStrings.xml><?xml version="1.0" encoding="utf-8"?>
<sst xmlns="http://schemas.openxmlformats.org/spreadsheetml/2006/main" count="471" uniqueCount="224">
  <si>
    <t>4511-69999625</t>
  </si>
  <si>
    <t xml:space="preserve">Cecilia Medina Roa </t>
  </si>
  <si>
    <t>131-10057- 0</t>
  </si>
  <si>
    <t>017-00532- 3</t>
  </si>
  <si>
    <t>200-1344545- 2</t>
  </si>
  <si>
    <t>131-11037- 1</t>
  </si>
  <si>
    <t>017-01155- 9</t>
  </si>
  <si>
    <t>Constanza Peralta</t>
  </si>
  <si>
    <t>200-9945563-3</t>
  </si>
  <si>
    <t>4511-0003070-4</t>
  </si>
  <si>
    <t xml:space="preserve">Banco De Bogota  Miami </t>
  </si>
  <si>
    <t xml:space="preserve">Banco De Bogota          </t>
  </si>
  <si>
    <t xml:space="preserve">Helm Bank </t>
  </si>
  <si>
    <t xml:space="preserve">Bancolombia - Recaudos </t>
  </si>
  <si>
    <t>Corpbanca</t>
  </si>
  <si>
    <t>Banco Davivienda</t>
  </si>
  <si>
    <t xml:space="preserve">Banco De Bogota </t>
  </si>
  <si>
    <t>Entidad</t>
  </si>
  <si>
    <t>Contacto</t>
  </si>
  <si>
    <t>No. Cuenta</t>
  </si>
  <si>
    <t>Saldo Hoy</t>
  </si>
  <si>
    <t>Saldo Ayer</t>
  </si>
  <si>
    <t>Cheque Girados</t>
  </si>
  <si>
    <t>Disponible Hoy</t>
  </si>
  <si>
    <t>Disponible Ayer</t>
  </si>
  <si>
    <t xml:space="preserve">Helm Bank          </t>
  </si>
  <si>
    <t>Bancolombia</t>
  </si>
  <si>
    <t>49924  US$</t>
  </si>
  <si>
    <t>Total Cuentas Corrientes</t>
  </si>
  <si>
    <t xml:space="preserve">Total Cuentas de Ahorro </t>
  </si>
  <si>
    <t>Cuentas Corrientes</t>
  </si>
  <si>
    <t xml:space="preserve">Cuentas de Ahorro </t>
  </si>
  <si>
    <t>Encargos Fiduciarios/Carteras Colectivas</t>
  </si>
  <si>
    <t>Rentabilidad</t>
  </si>
  <si>
    <t>Helm Fiduciaria</t>
  </si>
  <si>
    <t>EF No.0191</t>
  </si>
  <si>
    <t>Total Carteras Colectivas</t>
  </si>
  <si>
    <t>Total Bancos</t>
  </si>
  <si>
    <t>Emisor</t>
  </si>
  <si>
    <t>Nominal</t>
  </si>
  <si>
    <t>Plazo</t>
  </si>
  <si>
    <t>Banco de Bogotá</t>
  </si>
  <si>
    <t>Davivienda</t>
  </si>
  <si>
    <t>Helmbank</t>
  </si>
  <si>
    <t>Leasing Bancolombia</t>
  </si>
  <si>
    <t>Banco de Bogota</t>
  </si>
  <si>
    <t>Concepto</t>
  </si>
  <si>
    <t>Total Concepto</t>
  </si>
  <si>
    <t>Nicolás Vanegas Iregui</t>
  </si>
  <si>
    <t>Clase de activo</t>
  </si>
  <si>
    <t>Variación %</t>
  </si>
  <si>
    <t>Uso</t>
  </si>
  <si>
    <t>% Uso</t>
  </si>
  <si>
    <t>Popular</t>
  </si>
  <si>
    <t>Occidente</t>
  </si>
  <si>
    <t>Fallabela</t>
  </si>
  <si>
    <t>AV Villas</t>
  </si>
  <si>
    <t>Citibank</t>
  </si>
  <si>
    <t>Finandina</t>
  </si>
  <si>
    <t>Sudameris</t>
  </si>
  <si>
    <t>BBVA</t>
  </si>
  <si>
    <t>Banco Agrario</t>
  </si>
  <si>
    <t>BCSC</t>
  </si>
  <si>
    <t>Colpatria</t>
  </si>
  <si>
    <t>Pichincha</t>
  </si>
  <si>
    <t>AAA</t>
  </si>
  <si>
    <t>AA+</t>
  </si>
  <si>
    <t>Calificación</t>
  </si>
  <si>
    <t>Asignación</t>
  </si>
  <si>
    <t>Corficolombiana</t>
  </si>
  <si>
    <t>Tuya</t>
  </si>
  <si>
    <t>BNP Paribas</t>
  </si>
  <si>
    <t>Factoring Bancolombia</t>
  </si>
  <si>
    <t>Leasing Corficolombiana</t>
  </si>
  <si>
    <t>Leasing Bancoldex</t>
  </si>
  <si>
    <t>BANCOS</t>
  </si>
  <si>
    <t xml:space="preserve">CORPORACIONES Y CIAS DE FINANCIAMIENTO </t>
  </si>
  <si>
    <t>Total</t>
  </si>
  <si>
    <t>UNIVERSIDAD EL BOSQUE</t>
  </si>
  <si>
    <t>SALDOS EN BANCOS</t>
  </si>
  <si>
    <t>Helm Comisionista</t>
  </si>
  <si>
    <t>DEPARTAMENTO DE TESORERÍA</t>
  </si>
  <si>
    <t>VICERRECTORÍA ADMINISTRATIVA</t>
  </si>
  <si>
    <t>Paula C Ochoa</t>
  </si>
  <si>
    <t>Variación COP</t>
  </si>
  <si>
    <t>Pagos</t>
  </si>
  <si>
    <t>Observaciones</t>
  </si>
  <si>
    <t>Comisiones</t>
  </si>
  <si>
    <t>Mov. Neto</t>
  </si>
  <si>
    <t>Ingresos</t>
  </si>
  <si>
    <t>CONVENIOS SALUD</t>
  </si>
  <si>
    <t>HONORARIOS</t>
  </si>
  <si>
    <t>NOMINA</t>
  </si>
  <si>
    <t>REEMBOLSO</t>
  </si>
  <si>
    <t xml:space="preserve">OTROS GASTOS </t>
  </si>
  <si>
    <t>SALDO A FAVOR</t>
  </si>
  <si>
    <t>INSTITUCIONAL</t>
  </si>
  <si>
    <t>LIQUIDACIONES</t>
  </si>
  <si>
    <t>PREDIOS</t>
  </si>
  <si>
    <t>Transferencias</t>
  </si>
  <si>
    <t>Banco Santander Negocios</t>
  </si>
  <si>
    <t>José Mauricio Díaz S.</t>
  </si>
  <si>
    <t>100-00097-5</t>
  </si>
  <si>
    <t>100-00053-9</t>
  </si>
  <si>
    <t>Casa de Bolsa</t>
  </si>
  <si>
    <t>Juanita Olarte</t>
  </si>
  <si>
    <t>Carteras Colectivas/Encargos Fiduciarios</t>
  </si>
  <si>
    <t>Corredores Asociados</t>
  </si>
  <si>
    <t>Banco Santander</t>
  </si>
  <si>
    <t>Luis Hernando Montañez</t>
  </si>
  <si>
    <t>Diferencia</t>
  </si>
  <si>
    <t>INFRAESTRUCTURA</t>
  </si>
  <si>
    <t>Banco Corpbanca</t>
  </si>
  <si>
    <t>Tasa Facial</t>
  </si>
  <si>
    <t>IPC + 4%</t>
  </si>
  <si>
    <t>Gobierno Nacional</t>
  </si>
  <si>
    <t>Promedios</t>
  </si>
  <si>
    <t>1-1-43734-0</t>
  </si>
  <si>
    <t xml:space="preserve"> Luis Fernando Bernal Rodriguez</t>
  </si>
  <si>
    <t>Credicorp Capital - FONVAL - VISTA</t>
  </si>
  <si>
    <t>Neto</t>
  </si>
  <si>
    <t>INVERSIONES</t>
  </si>
  <si>
    <t>Acciones y Valores S.A</t>
  </si>
  <si>
    <t>Luz Mila Gonzalez Palomares</t>
  </si>
  <si>
    <t>Total Recursos Findeter</t>
  </si>
  <si>
    <t>Banco Bogota Proyecto Hspital Cta Ahorros</t>
  </si>
  <si>
    <t>HOSPITAL UNIVERSITARIO</t>
  </si>
  <si>
    <t>899-00666-2</t>
  </si>
  <si>
    <t xml:space="preserve">Cuentas Findeter Proyecto Bosque Compensar </t>
  </si>
  <si>
    <t xml:space="preserve">Banco Finandina </t>
  </si>
  <si>
    <t>PA Findeter U Bosque FiduBogota</t>
  </si>
  <si>
    <t>Fiducuairia Bogota FA</t>
  </si>
  <si>
    <t>Interes</t>
  </si>
  <si>
    <t>Accival</t>
  </si>
  <si>
    <t>Fonval</t>
  </si>
  <si>
    <t>Credicorp Capital</t>
  </si>
  <si>
    <t>Helmvalor</t>
  </si>
  <si>
    <t>Promedio Mes</t>
  </si>
  <si>
    <t xml:space="preserve">Participacion </t>
  </si>
  <si>
    <t>Avianca</t>
  </si>
  <si>
    <t xml:space="preserve">Fecha de Emision </t>
  </si>
  <si>
    <t>Fecha Vencimiento</t>
  </si>
  <si>
    <t>Fecha Compra</t>
  </si>
  <si>
    <t xml:space="preserve">TIR </t>
  </si>
  <si>
    <t>Portafolio</t>
  </si>
  <si>
    <t>Compra</t>
  </si>
  <si>
    <t>Spread Compra</t>
  </si>
  <si>
    <t>Dias al Vto</t>
  </si>
  <si>
    <t>Fondo Corto Plazo</t>
  </si>
  <si>
    <t xml:space="preserve"> CDT </t>
  </si>
  <si>
    <t xml:space="preserve"> Bonos </t>
  </si>
  <si>
    <t>Fondo Sostenibilidad</t>
  </si>
  <si>
    <t>Fondo Misional</t>
  </si>
  <si>
    <t>Total Inversiones</t>
  </si>
  <si>
    <t>Total Liquidez</t>
  </si>
  <si>
    <t>Total Liquidez + Inversiones</t>
  </si>
  <si>
    <t>Ministerio de Hacienda</t>
  </si>
  <si>
    <t>SECTOR REAL</t>
  </si>
  <si>
    <t>CDT</t>
  </si>
  <si>
    <t xml:space="preserve">DTF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</si>
  <si>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</si>
  <si>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</si>
  <si>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</si>
  <si>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</si>
  <si>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</si>
  <si>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</si>
  <si>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</si>
  <si>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</si>
  <si>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</si>
  <si>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</si>
  <si>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</si>
  <si>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</si>
  <si>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Tasa de interés - efectiva anual</t>
  </si>
  <si>
    <t>Vigencia desde</t>
  </si>
  <si>
    <t>Vigencia hasta</t>
  </si>
  <si>
    <t>DTF</t>
  </si>
  <si>
    <t>CDT 180</t>
  </si>
  <si>
    <t>CDT 360</t>
  </si>
  <si>
    <t>TCC</t>
  </si>
  <si>
    <t>Helm</t>
  </si>
  <si>
    <t>Admon</t>
  </si>
  <si>
    <t>GOBIERNO NACIONAL</t>
  </si>
  <si>
    <t>FINDETER</t>
  </si>
  <si>
    <t>INVERSIONES POR FONDO EN COP</t>
  </si>
  <si>
    <t>INVERSIONES POR FONDO EN USD</t>
  </si>
  <si>
    <t>Banco Colpatria</t>
  </si>
  <si>
    <t xml:space="preserve">IPC 12 meses </t>
  </si>
  <si>
    <t>TD</t>
  </si>
  <si>
    <t>COP</t>
  </si>
  <si>
    <t>AA</t>
  </si>
  <si>
    <t>Andres Perez</t>
  </si>
  <si>
    <t>Liquidez -11511-</t>
  </si>
  <si>
    <t>Crediinvertir</t>
  </si>
  <si>
    <t>Rafael Bernal</t>
  </si>
  <si>
    <t>Karen Orjuela</t>
  </si>
  <si>
    <t>Saldo</t>
  </si>
  <si>
    <t>Recuersos Findeter</t>
  </si>
  <si>
    <t>Itau</t>
  </si>
  <si>
    <t>Itau Comisionista</t>
  </si>
  <si>
    <t>Itau Fiduciaria</t>
  </si>
  <si>
    <t>Bonos</t>
  </si>
  <si>
    <t>Año 2014</t>
  </si>
  <si>
    <t>Año 2015</t>
  </si>
  <si>
    <t>Año 2016</t>
  </si>
  <si>
    <t xml:space="preserve">Acuerdo No.11838 2013 </t>
  </si>
  <si>
    <t>Año 2017</t>
  </si>
  <si>
    <t>Ingresos Operacionales</t>
  </si>
  <si>
    <t>Activos</t>
  </si>
  <si>
    <t>Variación</t>
  </si>
  <si>
    <t>Bancoldex</t>
  </si>
  <si>
    <t xml:space="preserve">Fondo Corto Plazo </t>
  </si>
  <si>
    <t>Banco de Bogota Miami</t>
  </si>
  <si>
    <t>IPC + 3%</t>
  </si>
  <si>
    <t xml:space="preserve">Fecha de Emisión </t>
  </si>
  <si>
    <t xml:space="preserve">Rendimientos </t>
  </si>
  <si>
    <t>Rendimientos</t>
  </si>
  <si>
    <t>Saldo A Invertir</t>
  </si>
  <si>
    <t>Banco Popular</t>
  </si>
  <si>
    <t>IPC + 2,72%</t>
  </si>
  <si>
    <t>Banco Av Villas</t>
  </si>
  <si>
    <t>Traslado a Itau 2000</t>
  </si>
  <si>
    <t>Traslado a Casa de Bolsa 1500</t>
  </si>
  <si>
    <t xml:space="preserve">Pago Creditos Findeter </t>
  </si>
  <si>
    <t>Pagos USD UTPB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</si>
</sst>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* #,##0_ ;_ * \-#,##0_ ;_ * &quot;-&quot;??_ ;_ @_ "/>
    <numFmt numFmtId="167" formatCode="_ [$€-2]\ * #,##0.00_ ;_ [$€-2]\ * \-#,##0.00_ ;_ [$€-2]\ * &quot;-&quot;??_ "/>
    <numFmt numFmtId="168" formatCode="[$-240A]d&quot; de &quot;mmmm&quot; de &quot;yyyy;@"/>
    <numFmt numFmtId="169" formatCode="0.0%"/>
    <numFmt numFmtId="170" formatCode="0.000%"/>
    <numFmt numFmtId="171" formatCode="[$USD]\ #,##0"/>
    <numFmt numFmtId="172" formatCode="_ &quot;$&quot;\ * #,##0.00000_ ;_ &quot;$&quot;\ * \-#,##0.00000_ ;_ &quot;$&quot;\ * &quot;-&quot;??_ ;_ @_ "/>
    <numFmt numFmtId="173" formatCode="_ * #,##0.0000_ ;_ * \-#,##0.0000_ ;_ * &quot;-&quot;??_ ;_ @_ "/>
    <numFmt numFmtId="174" formatCode="_(* #,##0_);_(* \(#,##0\);_(* &quot;-&quot;??_);_(@_)"/>
    <numFmt numFmtId="175" formatCode="dd\-mm\-yy;@"/>
    <numFmt numFmtId="176" formatCode="_ * #,##0.0000000_ ;_ * \-#,##0.0000000_ ;_ * &quot;-&quot;??_ ;_ @_ "/>
  </numFmts>
  <fonts count="7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Verdana"/>
      <family val="2"/>
    </font>
    <font>
      <b/>
      <sz val="12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8"/>
      <color theme="3"/>
      <name val="Cambria"/>
      <family val="2"/>
      <scheme val="major"/>
    </font>
    <font>
      <b/>
      <sz val="30"/>
      <name val="Calibri Light"/>
      <family val="2"/>
    </font>
    <font>
      <sz val="30"/>
      <name val="Calibri Light"/>
      <family val="2"/>
    </font>
    <font>
      <b/>
      <sz val="35"/>
      <name val="Calibri Light"/>
      <family val="2"/>
    </font>
    <font>
      <sz val="35"/>
      <name val="Calibri Light"/>
      <family val="2"/>
    </font>
    <font>
      <b/>
      <sz val="35"/>
      <color theme="1"/>
      <name val="Calibri Light"/>
      <family val="2"/>
    </font>
    <font>
      <sz val="35"/>
      <color rgb="FFFF0000"/>
      <name val="Calibri Light"/>
      <family val="2"/>
    </font>
    <font>
      <sz val="35"/>
      <color theme="1"/>
      <name val="Calibri Light"/>
      <family val="2"/>
    </font>
    <font>
      <b/>
      <u val="singleAccounting"/>
      <sz val="35"/>
      <name val="Calibri Light"/>
      <family val="2"/>
    </font>
    <font>
      <b/>
      <sz val="30"/>
      <color rgb="FFFF0000"/>
      <name val="Calibri Light"/>
      <family val="2"/>
    </font>
    <font>
      <b/>
      <sz val="30"/>
      <color theme="1"/>
      <name val="Calibri Light"/>
      <family val="2"/>
    </font>
    <font>
      <b/>
      <sz val="30"/>
      <color rgb="FF00B050"/>
      <name val="Calibri Light"/>
      <family val="2"/>
    </font>
    <font>
      <sz val="30"/>
      <color rgb="FF00B050"/>
      <name val="Calibri Light"/>
      <family val="2"/>
    </font>
    <font>
      <b/>
      <sz val="30"/>
      <color theme="1" tint="0.14999847407452621"/>
      <name val="Calibri Light"/>
      <family val="2"/>
    </font>
    <font>
      <sz val="30"/>
      <color theme="1"/>
      <name val="Calibri Light"/>
      <family val="2"/>
    </font>
    <font>
      <b/>
      <u/>
      <sz val="36"/>
      <color rgb="FF00B050"/>
      <name val="Calibri Light"/>
      <family val="2"/>
    </font>
    <font>
      <sz val="11"/>
      <color rgb="FFFF0000"/>
      <name val="Verdana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trike/>
      <sz val="8"/>
      <color theme="1"/>
      <name val="Arial"/>
      <family val="2"/>
    </font>
    <font>
      <sz val="30"/>
      <color theme="1" tint="0.14999847407452621"/>
      <name val="Calibri Light"/>
      <family val="2"/>
    </font>
    <font>
      <b/>
      <sz val="26"/>
      <color theme="1" tint="0.14999847407452621"/>
      <name val="Calibri Light"/>
      <family val="2"/>
    </font>
    <font>
      <sz val="26"/>
      <name val="Calibri Light"/>
      <family val="2"/>
    </font>
    <font>
      <b/>
      <sz val="36"/>
      <name val="Calibri Light"/>
      <family val="2"/>
    </font>
    <font>
      <sz val="24"/>
      <name val="Calibri Light"/>
      <family val="2"/>
    </font>
    <font>
      <sz val="30"/>
      <color rgb="FFFF0000"/>
      <name val="Calibri Light"/>
      <family val="2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1"/>
      <color theme="10"/>
      <name val="Calibri"/>
      <family val="2"/>
      <scheme val="minor"/>
    </font>
    <font>
      <sz val="12"/>
      <name val="Calibri Light"/>
      <family val="2"/>
    </font>
    <font>
      <b/>
      <sz val="12"/>
      <name val="Calibri Light"/>
      <family val="2"/>
    </font>
    <font>
      <b/>
      <u/>
      <sz val="12"/>
      <name val="Calibri Light"/>
      <family val="2"/>
    </font>
    <font>
      <b/>
      <u/>
      <sz val="36"/>
      <color rgb="FFFF0000"/>
      <name val="Calibri Light"/>
      <family val="2"/>
    </font>
    <font>
      <sz val="10"/>
      <name val="Calibri Light"/>
      <family val="2"/>
    </font>
    <font>
      <sz val="10"/>
      <color theme="1"/>
      <name val="Calibri Light"/>
      <family val="2"/>
    </font>
    <font>
      <b/>
      <u/>
      <sz val="30"/>
      <color rgb="FF00B050"/>
      <name val="Calibr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9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medium">
        <color rgb="FFCCCCCC"/>
      </right>
      <top/>
      <bottom/>
      <diagonal/>
    </border>
    <border>
      <left style="thin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BBBBBB"/>
      </right>
      <top style="thin">
        <color rgb="FF000000"/>
      </top>
      <bottom style="thin">
        <color rgb="FF000000"/>
      </bottom>
      <diagonal/>
    </border>
    <border>
      <left style="medium">
        <color rgb="FFBBBBBB"/>
      </left>
      <right/>
      <top style="thin">
        <color rgb="FF000000"/>
      </top>
      <bottom style="medium">
        <color rgb="FFBBBBBB"/>
      </bottom>
      <diagonal/>
    </border>
    <border>
      <left/>
      <right/>
      <top style="thin">
        <color rgb="FF000000"/>
      </top>
      <bottom style="medium">
        <color rgb="FFBBBBBB"/>
      </bottom>
      <diagonal/>
    </border>
    <border>
      <left/>
      <right style="thin">
        <color rgb="FF000000"/>
      </right>
      <top style="thin">
        <color rgb="FF000000"/>
      </top>
      <bottom style="medium">
        <color rgb="FFBBBBBB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/>
      <bottom style="medium">
        <color rgb="FFBBBBBB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48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9" fillId="21" borderId="37" applyNumberFormat="0" applyAlignment="0" applyProtection="0"/>
    <xf numFmtId="0" fontId="10" fillId="22" borderId="38" applyNumberFormat="0" applyAlignment="0" applyProtection="0"/>
    <xf numFmtId="0" fontId="11" fillId="0" borderId="39" applyNumberFormat="0" applyFill="0" applyAlignment="0" applyProtection="0"/>
    <xf numFmtId="0" fontId="12" fillId="0" borderId="0" applyNumberFormat="0" applyFill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3" fillId="29" borderId="37" applyNumberFormat="0" applyAlignment="0" applyProtection="0"/>
    <xf numFmtId="167" fontId="3" fillId="0" borderId="0" applyFont="0" applyFill="0" applyBorder="0" applyAlignment="0" applyProtection="0"/>
    <xf numFmtId="0" fontId="14" fillId="30" borderId="0" applyNumberFormat="0" applyBorder="0" applyAlignment="0" applyProtection="0"/>
    <xf numFmtId="165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5" fillId="31" borderId="0" applyNumberFormat="0" applyBorder="0" applyAlignment="0" applyProtection="0"/>
    <xf numFmtId="0" fontId="6" fillId="0" borderId="0"/>
    <xf numFmtId="0" fontId="6" fillId="32" borderId="40" applyNumberFormat="0" applyFont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21" borderId="41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42" applyNumberFormat="0" applyFill="0" applyAlignment="0" applyProtection="0"/>
    <xf numFmtId="0" fontId="12" fillId="0" borderId="43" applyNumberFormat="0" applyFill="0" applyAlignment="0" applyProtection="0"/>
    <xf numFmtId="0" fontId="21" fillId="0" borderId="44" applyNumberFormat="0" applyFill="0" applyAlignment="0" applyProtection="0"/>
    <xf numFmtId="0" fontId="3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/>
    <xf numFmtId="0" fontId="2" fillId="32" borderId="40" applyNumberFormat="0" applyFont="0" applyAlignment="0" applyProtection="0"/>
    <xf numFmtId="9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50" fillId="0" borderId="85" applyNumberFormat="0" applyFill="0" applyAlignment="0" applyProtection="0"/>
    <xf numFmtId="0" fontId="1" fillId="0" borderId="0"/>
    <xf numFmtId="0" fontId="51" fillId="42" borderId="0" applyNumberFormat="0" applyBorder="0" applyAlignment="0" applyProtection="0"/>
    <xf numFmtId="0" fontId="51" fillId="42" borderId="0" applyNumberFormat="0" applyBorder="0" applyAlignment="0" applyProtection="0"/>
    <xf numFmtId="0" fontId="51" fillId="43" borderId="0" applyNumberFormat="0" applyBorder="0" applyAlignment="0" applyProtection="0"/>
    <xf numFmtId="0" fontId="51" fillId="43" borderId="0" applyNumberFormat="0" applyBorder="0" applyAlignment="0" applyProtection="0"/>
    <xf numFmtId="0" fontId="51" fillId="44" borderId="0" applyNumberFormat="0" applyBorder="0" applyAlignment="0" applyProtection="0"/>
    <xf numFmtId="0" fontId="51" fillId="44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7" borderId="0" applyNumberFormat="0" applyBorder="0" applyAlignment="0" applyProtection="0"/>
    <xf numFmtId="0" fontId="51" fillId="4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1" fillId="48" borderId="0" applyNumberFormat="0" applyBorder="0" applyAlignment="0" applyProtection="0"/>
    <xf numFmtId="0" fontId="51" fillId="48" borderId="0" applyNumberFormat="0" applyBorder="0" applyAlignment="0" applyProtection="0"/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51" fillId="50" borderId="0" applyNumberFormat="0" applyBorder="0" applyAlignment="0" applyProtection="0"/>
    <xf numFmtId="0" fontId="51" fillId="50" borderId="0" applyNumberFormat="0" applyBorder="0" applyAlignment="0" applyProtection="0"/>
    <xf numFmtId="0" fontId="51" fillId="45" borderId="0" applyNumberFormat="0" applyBorder="0" applyAlignment="0" applyProtection="0"/>
    <xf numFmtId="0" fontId="51" fillId="45" borderId="0" applyNumberFormat="0" applyBorder="0" applyAlignment="0" applyProtection="0"/>
    <xf numFmtId="0" fontId="51" fillId="48" borderId="0" applyNumberFormat="0" applyBorder="0" applyAlignment="0" applyProtection="0"/>
    <xf numFmtId="0" fontId="51" fillId="48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52" fillId="52" borderId="0" applyNumberFormat="0" applyBorder="0" applyAlignment="0" applyProtection="0"/>
    <xf numFmtId="0" fontId="52" fillId="49" borderId="0" applyNumberFormat="0" applyBorder="0" applyAlignment="0" applyProtection="0"/>
    <xf numFmtId="0" fontId="52" fillId="50" borderId="0" applyNumberFormat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5" borderId="0" applyNumberFormat="0" applyBorder="0" applyAlignment="0" applyProtection="0"/>
    <xf numFmtId="0" fontId="52" fillId="56" borderId="0" applyNumberFormat="0" applyBorder="0" applyAlignment="0" applyProtection="0"/>
    <xf numFmtId="0" fontId="52" fillId="57" borderId="0" applyNumberFormat="0" applyBorder="0" applyAlignment="0" applyProtection="0"/>
    <xf numFmtId="0" fontId="52" fillId="58" borderId="0" applyNumberFormat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52" fillId="59" borderId="0" applyNumberFormat="0" applyBorder="0" applyAlignment="0" applyProtection="0"/>
    <xf numFmtId="0" fontId="58" fillId="43" borderId="0" applyNumberFormat="0" applyBorder="0" applyAlignment="0" applyProtection="0"/>
    <xf numFmtId="0" fontId="54" fillId="60" borderId="86" applyNumberFormat="0" applyAlignment="0" applyProtection="0"/>
    <xf numFmtId="0" fontId="55" fillId="61" borderId="87" applyNumberFormat="0" applyAlignment="0" applyProtection="0"/>
    <xf numFmtId="0" fontId="62" fillId="0" borderId="0" applyNumberFormat="0" applyFill="0" applyBorder="0" applyAlignment="0" applyProtection="0"/>
    <xf numFmtId="0" fontId="53" fillId="44" borderId="0" applyNumberFormat="0" applyBorder="0" applyAlignment="0" applyProtection="0"/>
    <xf numFmtId="0" fontId="66" fillId="0" borderId="89" applyNumberFormat="0" applyFill="0" applyAlignment="0" applyProtection="0"/>
    <xf numFmtId="0" fontId="67" fillId="0" borderId="90" applyNumberFormat="0" applyFill="0" applyAlignment="0" applyProtection="0"/>
    <xf numFmtId="0" fontId="64" fillId="0" borderId="91" applyNumberFormat="0" applyFill="0" applyAlignment="0" applyProtection="0"/>
    <xf numFmtId="0" fontId="6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57" fillId="47" borderId="86" applyNumberFormat="0" applyAlignment="0" applyProtection="0"/>
    <xf numFmtId="0" fontId="56" fillId="0" borderId="88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9" fillId="62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1" fillId="32" borderId="40" applyNumberFormat="0" applyFont="0" applyAlignment="0" applyProtection="0"/>
    <xf numFmtId="0" fontId="51" fillId="63" borderId="92" applyNumberFormat="0" applyFont="0" applyAlignment="0" applyProtection="0"/>
    <xf numFmtId="0" fontId="51" fillId="63" borderId="92" applyNumberFormat="0" applyFont="0" applyAlignment="0" applyProtection="0"/>
    <xf numFmtId="0" fontId="60" fillId="60" borderId="93" applyNumberFormat="0" applyAlignment="0" applyProtection="0"/>
    <xf numFmtId="9" fontId="1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63" fillId="0" borderId="94" applyNumberFormat="0" applyFill="0" applyAlignment="0" applyProtection="0"/>
    <xf numFmtId="0" fontId="61" fillId="0" borderId="0" applyNumberFormat="0" applyFill="0" applyBorder="0" applyAlignment="0" applyProtection="0"/>
  </cellStyleXfs>
  <cellXfs count="590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33" applyNumberFormat="1" applyFont="1" applyBorder="1"/>
    <xf numFmtId="0" fontId="5" fillId="0" borderId="0" xfId="0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5" xfId="0" applyFont="1" applyBorder="1"/>
    <xf numFmtId="166" fontId="4" fillId="0" borderId="11" xfId="0" applyNumberFormat="1" applyFont="1" applyBorder="1"/>
    <xf numFmtId="169" fontId="4" fillId="0" borderId="8" xfId="40" applyNumberFormat="1" applyFont="1" applyBorder="1"/>
    <xf numFmtId="0" fontId="22" fillId="35" borderId="18" xfId="0" applyFont="1" applyFill="1" applyBorder="1" applyAlignment="1">
      <alignment horizontal="center" vertical="center"/>
    </xf>
    <xf numFmtId="169" fontId="4" fillId="0" borderId="19" xfId="40" applyNumberFormat="1" applyFont="1" applyBorder="1"/>
    <xf numFmtId="10" fontId="4" fillId="0" borderId="11" xfId="40" applyNumberFormat="1" applyFont="1" applyBorder="1"/>
    <xf numFmtId="10" fontId="4" fillId="0" borderId="12" xfId="40" applyNumberFormat="1" applyFont="1" applyBorder="1"/>
    <xf numFmtId="0" fontId="4" fillId="0" borderId="19" xfId="0" applyFont="1" applyBorder="1"/>
    <xf numFmtId="166" fontId="4" fillId="0" borderId="19" xfId="0" applyNumberFormat="1" applyFont="1" applyBorder="1"/>
    <xf numFmtId="166" fontId="4" fillId="0" borderId="12" xfId="0" applyNumberFormat="1" applyFont="1" applyBorder="1"/>
    <xf numFmtId="0" fontId="22" fillId="35" borderId="20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25" fillId="0" borderId="0" xfId="0" applyFont="1" applyAlignment="1">
      <alignment vertical="center"/>
    </xf>
    <xf numFmtId="166" fontId="25" fillId="33" borderId="0" xfId="33" applyNumberFormat="1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66" fontId="25" fillId="0" borderId="0" xfId="0" applyNumberFormat="1" applyFont="1" applyAlignment="1">
      <alignment vertical="center"/>
    </xf>
    <xf numFmtId="10" fontId="25" fillId="33" borderId="0" xfId="40" applyNumberFormat="1" applyFont="1" applyFill="1" applyBorder="1" applyAlignment="1">
      <alignment horizontal="center" vertical="center"/>
    </xf>
    <xf numFmtId="43" fontId="25" fillId="0" borderId="0" xfId="0" applyNumberFormat="1" applyFont="1" applyAlignment="1">
      <alignment vertical="center"/>
    </xf>
    <xf numFmtId="10" fontId="25" fillId="33" borderId="0" xfId="0" applyNumberFormat="1" applyFont="1" applyFill="1" applyAlignment="1">
      <alignment horizontal="center" vertical="center"/>
    </xf>
    <xf numFmtId="165" fontId="25" fillId="0" borderId="0" xfId="33" applyFont="1" applyAlignment="1">
      <alignment vertical="center"/>
    </xf>
    <xf numFmtId="0" fontId="24" fillId="0" borderId="0" xfId="0" applyFont="1" applyAlignment="1">
      <alignment vertical="center"/>
    </xf>
    <xf numFmtId="10" fontId="25" fillId="0" borderId="0" xfId="40" applyNumberFormat="1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horizontal="center" vertical="center"/>
    </xf>
    <xf numFmtId="166" fontId="27" fillId="33" borderId="0" xfId="33" applyNumberFormat="1" applyFont="1" applyFill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166" fontId="27" fillId="0" borderId="0" xfId="0" applyNumberFormat="1" applyFont="1" applyAlignment="1">
      <alignment vertical="center"/>
    </xf>
    <xf numFmtId="0" fontId="26" fillId="33" borderId="0" xfId="0" applyFont="1" applyFill="1" applyBorder="1" applyAlignment="1">
      <alignment horizontal="center" vertical="center"/>
    </xf>
    <xf numFmtId="0" fontId="28" fillId="34" borderId="3" xfId="0" applyFont="1" applyFill="1" applyBorder="1" applyAlignment="1">
      <alignment horizontal="center" vertical="center"/>
    </xf>
    <xf numFmtId="166" fontId="27" fillId="0" borderId="10" xfId="33" applyNumberFormat="1" applyFont="1" applyFill="1" applyBorder="1" applyAlignment="1">
      <alignment horizontal="center" vertical="center"/>
    </xf>
    <xf numFmtId="0" fontId="27" fillId="0" borderId="0" xfId="0" applyFont="1" applyFill="1" applyAlignment="1">
      <alignment vertical="center"/>
    </xf>
    <xf numFmtId="166" fontId="27" fillId="0" borderId="11" xfId="33" applyNumberFormat="1" applyFont="1" applyFill="1" applyBorder="1" applyAlignment="1">
      <alignment horizontal="center" vertical="center"/>
    </xf>
    <xf numFmtId="10" fontId="27" fillId="33" borderId="11" xfId="40" applyNumberFormat="1" applyFont="1" applyFill="1" applyBorder="1" applyAlignment="1">
      <alignment horizontal="center" vertical="center"/>
    </xf>
    <xf numFmtId="166" fontId="27" fillId="0" borderId="12" xfId="33" applyNumberFormat="1" applyFont="1" applyFill="1" applyBorder="1" applyAlignment="1">
      <alignment horizontal="center" vertical="center"/>
    </xf>
    <xf numFmtId="166" fontId="26" fillId="0" borderId="27" xfId="33" applyNumberFormat="1" applyFont="1" applyFill="1" applyBorder="1" applyAlignment="1">
      <alignment horizontal="center" vertical="center"/>
    </xf>
    <xf numFmtId="10" fontId="26" fillId="33" borderId="27" xfId="40" applyNumberFormat="1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13" xfId="0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0" fontId="27" fillId="0" borderId="14" xfId="0" applyFont="1" applyBorder="1" applyAlignment="1">
      <alignment vertical="center"/>
    </xf>
    <xf numFmtId="0" fontId="27" fillId="0" borderId="11" xfId="0" applyFont="1" applyBorder="1" applyAlignment="1">
      <alignment horizontal="center" vertical="center"/>
    </xf>
    <xf numFmtId="0" fontId="27" fillId="0" borderId="15" xfId="0" applyFont="1" applyBorder="1" applyAlignment="1">
      <alignment vertical="center"/>
    </xf>
    <xf numFmtId="0" fontId="27" fillId="0" borderId="12" xfId="0" applyFont="1" applyBorder="1" applyAlignment="1">
      <alignment horizontal="center" vertical="center"/>
    </xf>
    <xf numFmtId="43" fontId="27" fillId="0" borderId="0" xfId="0" applyNumberFormat="1" applyFont="1" applyAlignment="1">
      <alignment vertical="center"/>
    </xf>
    <xf numFmtId="14" fontId="26" fillId="0" borderId="0" xfId="0" applyNumberFormat="1" applyFont="1" applyAlignment="1">
      <alignment vertical="center"/>
    </xf>
    <xf numFmtId="14" fontId="26" fillId="0" borderId="0" xfId="0" applyNumberFormat="1" applyFont="1" applyAlignment="1">
      <alignment horizontal="right" vertical="center"/>
    </xf>
    <xf numFmtId="166" fontId="27" fillId="0" borderId="0" xfId="0" applyNumberFormat="1" applyFont="1" applyBorder="1" applyAlignment="1">
      <alignment horizontal="center" vertical="center"/>
    </xf>
    <xf numFmtId="165" fontId="26" fillId="0" borderId="0" xfId="33" applyFont="1" applyAlignment="1">
      <alignment vertical="center"/>
    </xf>
    <xf numFmtId="10" fontId="27" fillId="33" borderId="0" xfId="40" applyNumberFormat="1" applyFont="1" applyFill="1" applyBorder="1" applyAlignment="1">
      <alignment horizontal="center" vertical="center"/>
    </xf>
    <xf numFmtId="166" fontId="27" fillId="0" borderId="23" xfId="33" applyNumberFormat="1" applyFont="1" applyFill="1" applyBorder="1" applyAlignment="1">
      <alignment horizontal="center" vertical="center"/>
    </xf>
    <xf numFmtId="0" fontId="28" fillId="34" borderId="5" xfId="0" applyFont="1" applyFill="1" applyBorder="1" applyAlignment="1">
      <alignment horizontal="center" vertical="center"/>
    </xf>
    <xf numFmtId="165" fontId="27" fillId="0" borderId="0" xfId="33" applyFont="1" applyAlignment="1">
      <alignment vertical="center"/>
    </xf>
    <xf numFmtId="165" fontId="27" fillId="0" borderId="0" xfId="33" applyFont="1" applyAlignment="1">
      <alignment horizontal="center" vertical="center"/>
    </xf>
    <xf numFmtId="0" fontId="26" fillId="34" borderId="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171" fontId="27" fillId="0" borderId="10" xfId="33" applyNumberFormat="1" applyFont="1" applyFill="1" applyBorder="1" applyAlignment="1">
      <alignment horizontal="right" vertical="center"/>
    </xf>
    <xf numFmtId="171" fontId="27" fillId="33" borderId="10" xfId="33" applyNumberFormat="1" applyFont="1" applyFill="1" applyBorder="1" applyAlignment="1">
      <alignment horizontal="right" vertical="center"/>
    </xf>
    <xf numFmtId="166" fontId="27" fillId="0" borderId="10" xfId="33" applyNumberFormat="1" applyFont="1" applyFill="1" applyBorder="1" applyAlignment="1">
      <alignment horizontal="right" vertical="center"/>
    </xf>
    <xf numFmtId="0" fontId="27" fillId="0" borderId="8" xfId="0" applyFont="1" applyBorder="1" applyAlignment="1">
      <alignment horizontal="center" vertical="center"/>
    </xf>
    <xf numFmtId="166" fontId="27" fillId="33" borderId="11" xfId="40" applyNumberFormat="1" applyFont="1" applyFill="1" applyBorder="1" applyAlignment="1">
      <alignment horizontal="center" vertical="center"/>
    </xf>
    <xf numFmtId="166" fontId="27" fillId="0" borderId="11" xfId="33" applyNumberFormat="1" applyFont="1" applyFill="1" applyBorder="1" applyAlignment="1">
      <alignment vertical="center"/>
    </xf>
    <xf numFmtId="166" fontId="27" fillId="0" borderId="11" xfId="33" applyNumberFormat="1" applyFont="1" applyFill="1" applyBorder="1" applyAlignment="1">
      <alignment horizontal="right" vertical="center"/>
    </xf>
    <xf numFmtId="172" fontId="30" fillId="33" borderId="8" xfId="35" applyNumberFormat="1" applyFont="1" applyFill="1" applyBorder="1" applyAlignment="1">
      <alignment horizontal="left" vertical="center"/>
    </xf>
    <xf numFmtId="165" fontId="29" fillId="0" borderId="0" xfId="33" applyFont="1" applyAlignment="1">
      <alignment horizontal="center" vertical="center"/>
    </xf>
    <xf numFmtId="0" fontId="27" fillId="0" borderId="14" xfId="0" applyFont="1" applyFill="1" applyBorder="1" applyAlignment="1">
      <alignment vertical="center"/>
    </xf>
    <xf numFmtId="0" fontId="27" fillId="0" borderId="11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165" fontId="29" fillId="0" borderId="0" xfId="33" applyFont="1" applyFill="1" applyAlignment="1">
      <alignment horizontal="center" vertical="center"/>
    </xf>
    <xf numFmtId="165" fontId="27" fillId="0" borderId="0" xfId="33" applyFont="1" applyFill="1" applyAlignment="1">
      <alignment vertical="center"/>
    </xf>
    <xf numFmtId="0" fontId="27" fillId="0" borderId="28" xfId="0" applyFont="1" applyBorder="1" applyAlignment="1">
      <alignment vertical="center"/>
    </xf>
    <xf numFmtId="0" fontId="27" fillId="0" borderId="23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10" fontId="27" fillId="33" borderId="12" xfId="40" applyNumberFormat="1" applyFont="1" applyFill="1" applyBorder="1" applyAlignment="1">
      <alignment horizontal="center" vertical="center"/>
    </xf>
    <xf numFmtId="1" fontId="27" fillId="0" borderId="12" xfId="0" applyNumberFormat="1" applyFont="1" applyFill="1" applyBorder="1" applyAlignment="1">
      <alignment vertical="center"/>
    </xf>
    <xf numFmtId="166" fontId="27" fillId="0" borderId="15" xfId="33" applyNumberFormat="1" applyFont="1" applyFill="1" applyBorder="1" applyAlignment="1">
      <alignment vertical="center"/>
    </xf>
    <xf numFmtId="0" fontId="27" fillId="0" borderId="12" xfId="0" applyFont="1" applyFill="1" applyBorder="1" applyAlignment="1">
      <alignment vertical="center"/>
    </xf>
    <xf numFmtId="166" fontId="27" fillId="0" borderId="12" xfId="33" applyNumberFormat="1" applyFont="1" applyFill="1" applyBorder="1" applyAlignment="1">
      <alignment horizontal="right" vertical="center"/>
    </xf>
    <xf numFmtId="166" fontId="27" fillId="33" borderId="11" xfId="33" applyNumberFormat="1" applyFont="1" applyFill="1" applyBorder="1" applyAlignment="1">
      <alignment horizontal="right" vertical="center"/>
    </xf>
    <xf numFmtId="0" fontId="29" fillId="0" borderId="0" xfId="0" applyFont="1" applyAlignment="1">
      <alignment vertical="center"/>
    </xf>
    <xf numFmtId="166" fontId="27" fillId="33" borderId="12" xfId="33" applyNumberFormat="1" applyFont="1" applyFill="1" applyBorder="1" applyAlignment="1">
      <alignment horizontal="right" vertical="center"/>
    </xf>
    <xf numFmtId="166" fontId="26" fillId="33" borderId="27" xfId="40" applyNumberFormat="1" applyFont="1" applyFill="1" applyBorder="1" applyAlignment="1">
      <alignment horizontal="center" vertical="center"/>
    </xf>
    <xf numFmtId="166" fontId="26" fillId="0" borderId="27" xfId="33" applyNumberFormat="1" applyFont="1" applyBorder="1" applyAlignment="1">
      <alignment vertical="center"/>
    </xf>
    <xf numFmtId="0" fontId="26" fillId="0" borderId="26" xfId="0" applyFont="1" applyBorder="1" applyAlignment="1">
      <alignment vertical="center"/>
    </xf>
    <xf numFmtId="165" fontId="26" fillId="0" borderId="0" xfId="33" applyFont="1" applyAlignment="1">
      <alignment horizontal="center" vertical="center"/>
    </xf>
    <xf numFmtId="0" fontId="26" fillId="0" borderId="0" xfId="0" applyFont="1" applyBorder="1" applyAlignment="1">
      <alignment vertical="center"/>
    </xf>
    <xf numFmtId="166" fontId="31" fillId="33" borderId="0" xfId="40" applyNumberFormat="1" applyFont="1" applyFill="1" applyBorder="1" applyAlignment="1">
      <alignment horizontal="center" vertical="center"/>
    </xf>
    <xf numFmtId="165" fontId="27" fillId="0" borderId="0" xfId="33" applyFont="1" applyFill="1" applyAlignment="1">
      <alignment horizontal="center" vertical="center"/>
    </xf>
    <xf numFmtId="166" fontId="27" fillId="0" borderId="0" xfId="0" applyNumberFormat="1" applyFont="1" applyFill="1" applyAlignment="1">
      <alignment vertical="center"/>
    </xf>
    <xf numFmtId="0" fontId="26" fillId="0" borderId="0" xfId="0" applyFont="1" applyFill="1" applyAlignment="1">
      <alignment horizontal="right" vertical="center"/>
    </xf>
    <xf numFmtId="166" fontId="27" fillId="0" borderId="0" xfId="0" applyNumberFormat="1" applyFont="1" applyAlignment="1">
      <alignment horizontal="center" vertical="center"/>
    </xf>
    <xf numFmtId="166" fontId="27" fillId="0" borderId="0" xfId="33" applyNumberFormat="1" applyFont="1" applyFill="1" applyAlignment="1">
      <alignment horizontal="left" vertical="top"/>
    </xf>
    <xf numFmtId="165" fontId="27" fillId="0" borderId="0" xfId="33" applyFont="1" applyFill="1" applyAlignment="1">
      <alignment horizontal="left" vertical="center"/>
    </xf>
    <xf numFmtId="164" fontId="29" fillId="0" borderId="0" xfId="35" applyFont="1" applyAlignment="1">
      <alignment vertical="center"/>
    </xf>
    <xf numFmtId="166" fontId="26" fillId="0" borderId="0" xfId="0" applyNumberFormat="1" applyFont="1" applyFill="1" applyAlignment="1">
      <alignment horizontal="right" vertical="center"/>
    </xf>
    <xf numFmtId="0" fontId="24" fillId="0" borderId="0" xfId="0" applyFont="1" applyBorder="1" applyAlignment="1">
      <alignment horizontal="center" vertical="center"/>
    </xf>
    <xf numFmtId="0" fontId="24" fillId="33" borderId="0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166" fontId="24" fillId="0" borderId="0" xfId="0" applyNumberFormat="1" applyFont="1" applyBorder="1" applyAlignment="1">
      <alignment horizontal="center" vertical="center"/>
    </xf>
    <xf numFmtId="166" fontId="32" fillId="0" borderId="0" xfId="0" applyNumberFormat="1" applyFont="1" applyBorder="1" applyAlignment="1">
      <alignment horizontal="center" vertical="center"/>
    </xf>
    <xf numFmtId="3" fontId="24" fillId="33" borderId="0" xfId="0" applyNumberFormat="1" applyFont="1" applyFill="1" applyBorder="1" applyAlignment="1">
      <alignment horizontal="center" vertical="center"/>
    </xf>
    <xf numFmtId="0" fontId="33" fillId="34" borderId="3" xfId="0" applyFont="1" applyFill="1" applyBorder="1" applyAlignment="1">
      <alignment horizontal="center" vertical="center"/>
    </xf>
    <xf numFmtId="166" fontId="25" fillId="0" borderId="10" xfId="33" applyNumberFormat="1" applyFont="1" applyFill="1" applyBorder="1" applyAlignment="1">
      <alignment horizontal="center" vertical="center"/>
    </xf>
    <xf numFmtId="0" fontId="25" fillId="0" borderId="0" xfId="0" applyFont="1" applyFill="1" applyAlignment="1">
      <alignment vertical="center"/>
    </xf>
    <xf numFmtId="166" fontId="25" fillId="0" borderId="11" xfId="33" applyNumberFormat="1" applyFont="1" applyFill="1" applyBorder="1" applyAlignment="1">
      <alignment horizontal="center" vertical="center"/>
    </xf>
    <xf numFmtId="3" fontId="24" fillId="0" borderId="49" xfId="33" applyNumberFormat="1" applyFont="1" applyFill="1" applyBorder="1" applyAlignment="1">
      <alignment horizontal="center" vertical="center"/>
    </xf>
    <xf numFmtId="3" fontId="25" fillId="0" borderId="8" xfId="0" applyNumberFormat="1" applyFont="1" applyFill="1" applyBorder="1" applyAlignment="1">
      <alignment horizontal="center" vertical="center"/>
    </xf>
    <xf numFmtId="3" fontId="25" fillId="0" borderId="49" xfId="33" applyNumberFormat="1" applyFont="1" applyFill="1" applyBorder="1" applyAlignment="1">
      <alignment horizontal="center" vertical="center"/>
    </xf>
    <xf numFmtId="166" fontId="25" fillId="0" borderId="12" xfId="33" applyNumberFormat="1" applyFont="1" applyFill="1" applyBorder="1" applyAlignment="1">
      <alignment horizontal="center" vertical="center"/>
    </xf>
    <xf numFmtId="3" fontId="25" fillId="0" borderId="50" xfId="33" applyNumberFormat="1" applyFont="1" applyFill="1" applyBorder="1" applyAlignment="1">
      <alignment horizontal="center" vertical="center"/>
    </xf>
    <xf numFmtId="166" fontId="24" fillId="0" borderId="18" xfId="33" applyNumberFormat="1" applyFont="1" applyFill="1" applyBorder="1" applyAlignment="1">
      <alignment horizontal="center" vertical="center"/>
    </xf>
    <xf numFmtId="166" fontId="24" fillId="0" borderId="27" xfId="33" applyNumberFormat="1" applyFont="1" applyFill="1" applyBorder="1" applyAlignment="1">
      <alignment horizontal="center" vertical="center"/>
    </xf>
    <xf numFmtId="3" fontId="25" fillId="0" borderId="10" xfId="33" applyNumberFormat="1" applyFont="1" applyFill="1" applyBorder="1" applyAlignment="1">
      <alignment horizontal="center" vertical="center"/>
    </xf>
    <xf numFmtId="166" fontId="25" fillId="0" borderId="13" xfId="33" applyNumberFormat="1" applyFont="1" applyFill="1" applyBorder="1" applyAlignment="1">
      <alignment horizontal="center" vertical="center"/>
    </xf>
    <xf numFmtId="3" fontId="25" fillId="0" borderId="11" xfId="33" applyNumberFormat="1" applyFont="1" applyFill="1" applyBorder="1" applyAlignment="1">
      <alignment horizontal="center" vertical="center"/>
    </xf>
    <xf numFmtId="166" fontId="25" fillId="0" borderId="14" xfId="33" applyNumberFormat="1" applyFont="1" applyFill="1" applyBorder="1" applyAlignment="1">
      <alignment horizontal="center" vertical="center"/>
    </xf>
    <xf numFmtId="3" fontId="25" fillId="0" borderId="12" xfId="33" applyNumberFormat="1" applyFont="1" applyFill="1" applyBorder="1" applyAlignment="1">
      <alignment horizontal="center" vertical="center"/>
    </xf>
    <xf numFmtId="166" fontId="25" fillId="0" borderId="15" xfId="33" applyNumberFormat="1" applyFont="1" applyFill="1" applyBorder="1" applyAlignment="1">
      <alignment horizontal="center" vertical="center"/>
    </xf>
    <xf numFmtId="3" fontId="24" fillId="0" borderId="45" xfId="33" applyNumberFormat="1" applyFont="1" applyFill="1" applyBorder="1" applyAlignment="1">
      <alignment horizontal="center" vertical="center"/>
    </xf>
    <xf numFmtId="166" fontId="24" fillId="0" borderId="25" xfId="33" applyNumberFormat="1" applyFont="1" applyFill="1" applyBorder="1" applyAlignment="1">
      <alignment horizontal="center" vertical="center"/>
    </xf>
    <xf numFmtId="10" fontId="25" fillId="33" borderId="27" xfId="0" applyNumberFormat="1" applyFont="1" applyFill="1" applyBorder="1" applyAlignment="1">
      <alignment horizontal="center" vertical="center"/>
    </xf>
    <xf numFmtId="10" fontId="24" fillId="0" borderId="0" xfId="0" applyNumberFormat="1" applyFont="1" applyFill="1" applyAlignment="1">
      <alignment vertical="center"/>
    </xf>
    <xf numFmtId="10" fontId="25" fillId="0" borderId="27" xfId="0" applyNumberFormat="1" applyFont="1" applyFill="1" applyBorder="1" applyAlignment="1">
      <alignment horizontal="center" vertical="center"/>
    </xf>
    <xf numFmtId="0" fontId="24" fillId="0" borderId="0" xfId="0" applyFont="1" applyFill="1" applyAlignment="1">
      <alignment vertical="center"/>
    </xf>
    <xf numFmtId="166" fontId="24" fillId="35" borderId="18" xfId="33" applyNumberFormat="1" applyFont="1" applyFill="1" applyBorder="1" applyAlignment="1">
      <alignment horizontal="center" vertical="center"/>
    </xf>
    <xf numFmtId="0" fontId="25" fillId="0" borderId="18" xfId="0" applyFont="1" applyBorder="1" applyAlignment="1">
      <alignment vertical="center"/>
    </xf>
    <xf numFmtId="14" fontId="24" fillId="0" borderId="0" xfId="0" applyNumberFormat="1" applyFont="1" applyAlignment="1">
      <alignment vertical="center"/>
    </xf>
    <xf numFmtId="14" fontId="24" fillId="0" borderId="0" xfId="0" applyNumberFormat="1" applyFont="1" applyAlignment="1">
      <alignment horizontal="right" vertical="center"/>
    </xf>
    <xf numFmtId="166" fontId="24" fillId="0" borderId="0" xfId="0" applyNumberFormat="1" applyFont="1" applyBorder="1" applyAlignment="1">
      <alignment vertical="center"/>
    </xf>
    <xf numFmtId="166" fontId="25" fillId="0" borderId="0" xfId="0" applyNumberFormat="1" applyFont="1" applyBorder="1" applyAlignment="1">
      <alignment horizontal="center" vertical="center"/>
    </xf>
    <xf numFmtId="166" fontId="25" fillId="33" borderId="0" xfId="40" applyNumberFormat="1" applyFont="1" applyFill="1" applyBorder="1" applyAlignment="1">
      <alignment horizontal="center" vertical="center"/>
    </xf>
    <xf numFmtId="3" fontId="24" fillId="0" borderId="0" xfId="33" applyNumberFormat="1" applyFont="1" applyFill="1" applyBorder="1" applyAlignment="1">
      <alignment horizontal="center" vertical="center"/>
    </xf>
    <xf numFmtId="165" fontId="24" fillId="0" borderId="0" xfId="33" applyFont="1" applyAlignment="1">
      <alignment vertical="center"/>
    </xf>
    <xf numFmtId="9" fontId="25" fillId="0" borderId="0" xfId="40" applyFont="1" applyAlignment="1">
      <alignment vertical="center"/>
    </xf>
    <xf numFmtId="165" fontId="25" fillId="33" borderId="0" xfId="0" applyNumberFormat="1" applyFont="1" applyFill="1" applyAlignment="1">
      <alignment horizontal="center" vertical="center"/>
    </xf>
    <xf numFmtId="166" fontId="24" fillId="35" borderId="27" xfId="33" applyNumberFormat="1" applyFont="1" applyFill="1" applyBorder="1" applyAlignment="1">
      <alignment horizontal="center" vertical="center"/>
    </xf>
    <xf numFmtId="166" fontId="24" fillId="35" borderId="26" xfId="33" applyNumberFormat="1" applyFont="1" applyFill="1" applyBorder="1" applyAlignment="1">
      <alignment horizontal="center" vertical="center"/>
    </xf>
    <xf numFmtId="10" fontId="24" fillId="0" borderId="0" xfId="40" applyNumberFormat="1" applyFont="1" applyAlignment="1">
      <alignment horizontal="center" vertical="center"/>
    </xf>
    <xf numFmtId="173" fontId="25" fillId="0" borderId="0" xfId="0" applyNumberFormat="1" applyFont="1" applyAlignment="1">
      <alignment vertical="center"/>
    </xf>
    <xf numFmtId="0" fontId="24" fillId="0" borderId="0" xfId="0" applyFont="1" applyBorder="1" applyAlignment="1">
      <alignment horizontal="right" vertical="center"/>
    </xf>
    <xf numFmtId="14" fontId="24" fillId="33" borderId="0" xfId="0" applyNumberFormat="1" applyFont="1" applyFill="1" applyBorder="1" applyAlignment="1">
      <alignment horizontal="center" vertical="center"/>
    </xf>
    <xf numFmtId="0" fontId="33" fillId="34" borderId="4" xfId="0" applyFont="1" applyFill="1" applyBorder="1" applyAlignment="1">
      <alignment horizontal="center" vertical="center"/>
    </xf>
    <xf numFmtId="0" fontId="33" fillId="34" borderId="5" xfId="0" applyFont="1" applyFill="1" applyBorder="1" applyAlignment="1">
      <alignment horizontal="center" vertical="center"/>
    </xf>
    <xf numFmtId="166" fontId="25" fillId="0" borderId="6" xfId="33" applyNumberFormat="1" applyFont="1" applyFill="1" applyBorder="1" applyAlignment="1">
      <alignment vertical="center"/>
    </xf>
    <xf numFmtId="3" fontId="25" fillId="0" borderId="6" xfId="33" applyNumberFormat="1" applyFont="1" applyFill="1" applyBorder="1" applyAlignment="1">
      <alignment vertical="center"/>
    </xf>
    <xf numFmtId="166" fontId="25" fillId="0" borderId="48" xfId="33" applyNumberFormat="1" applyFont="1" applyFill="1" applyBorder="1" applyAlignment="1">
      <alignment vertical="center"/>
    </xf>
    <xf numFmtId="3" fontId="25" fillId="0" borderId="48" xfId="33" applyNumberFormat="1" applyFont="1" applyFill="1" applyBorder="1" applyAlignment="1">
      <alignment vertical="center"/>
    </xf>
    <xf numFmtId="3" fontId="25" fillId="0" borderId="0" xfId="0" applyNumberFormat="1" applyFont="1" applyAlignment="1">
      <alignment horizontal="center" vertical="center"/>
    </xf>
    <xf numFmtId="0" fontId="24" fillId="33" borderId="0" xfId="0" applyFont="1" applyFill="1" applyBorder="1" applyAlignment="1">
      <alignment horizontal="center" vertical="center"/>
    </xf>
    <xf numFmtId="10" fontId="25" fillId="0" borderId="6" xfId="40" applyNumberFormat="1" applyFont="1" applyFill="1" applyBorder="1" applyAlignment="1">
      <alignment horizontal="right" vertical="center"/>
    </xf>
    <xf numFmtId="10" fontId="25" fillId="0" borderId="6" xfId="40" applyNumberFormat="1" applyFont="1" applyBorder="1" applyAlignment="1">
      <alignment horizontal="center" vertical="center"/>
    </xf>
    <xf numFmtId="0" fontId="25" fillId="33" borderId="6" xfId="0" applyFont="1" applyFill="1" applyBorder="1" applyAlignment="1">
      <alignment horizontal="center" vertical="center"/>
    </xf>
    <xf numFmtId="170" fontId="24" fillId="35" borderId="27" xfId="40" applyNumberFormat="1" applyFont="1" applyFill="1" applyBorder="1" applyAlignment="1">
      <alignment horizontal="center" vertical="center"/>
    </xf>
    <xf numFmtId="172" fontId="30" fillId="33" borderId="17" xfId="35" applyNumberFormat="1" applyFont="1" applyFill="1" applyBorder="1" applyAlignment="1">
      <alignment horizontal="left" vertical="center"/>
    </xf>
    <xf numFmtId="0" fontId="25" fillId="0" borderId="18" xfId="0" applyFont="1" applyFill="1" applyBorder="1" applyAlignment="1">
      <alignment vertical="center"/>
    </xf>
    <xf numFmtId="10" fontId="38" fillId="0" borderId="0" xfId="40" applyNumberFormat="1" applyFont="1" applyAlignment="1">
      <alignment vertical="center"/>
    </xf>
    <xf numFmtId="166" fontId="4" fillId="0" borderId="11" xfId="33" applyNumberFormat="1" applyFont="1" applyBorder="1"/>
    <xf numFmtId="166" fontId="5" fillId="35" borderId="12" xfId="33" applyNumberFormat="1" applyFont="1" applyFill="1" applyBorder="1"/>
    <xf numFmtId="166" fontId="22" fillId="35" borderId="18" xfId="33" applyNumberFormat="1" applyFont="1" applyFill="1" applyBorder="1" applyAlignment="1">
      <alignment horizontal="center" vertical="center"/>
    </xf>
    <xf numFmtId="166" fontId="4" fillId="0" borderId="19" xfId="33" applyNumberFormat="1" applyFont="1" applyBorder="1"/>
    <xf numFmtId="166" fontId="4" fillId="0" borderId="12" xfId="33" applyNumberFormat="1" applyFont="1" applyBorder="1"/>
    <xf numFmtId="0" fontId="22" fillId="35" borderId="54" xfId="0" applyFont="1" applyFill="1" applyBorder="1" applyAlignment="1">
      <alignment horizontal="center" vertical="center"/>
    </xf>
    <xf numFmtId="0" fontId="22" fillId="35" borderId="35" xfId="0" applyFont="1" applyFill="1" applyBorder="1" applyAlignment="1">
      <alignment horizontal="center" vertical="center"/>
    </xf>
    <xf numFmtId="166" fontId="22" fillId="35" borderId="54" xfId="33" applyNumberFormat="1" applyFont="1" applyFill="1" applyBorder="1" applyAlignment="1">
      <alignment horizontal="center" vertical="center"/>
    </xf>
    <xf numFmtId="0" fontId="22" fillId="35" borderId="36" xfId="0" applyFont="1" applyFill="1" applyBorder="1" applyAlignment="1">
      <alignment horizontal="center" vertical="center"/>
    </xf>
    <xf numFmtId="166" fontId="5" fillId="35" borderId="27" xfId="0" applyNumberFormat="1" applyFont="1" applyFill="1" applyBorder="1"/>
    <xf numFmtId="166" fontId="5" fillId="35" borderId="27" xfId="33" applyNumberFormat="1" applyFont="1" applyFill="1" applyBorder="1"/>
    <xf numFmtId="10" fontId="5" fillId="35" borderId="26" xfId="40" applyNumberFormat="1" applyFont="1" applyFill="1" applyBorder="1"/>
    <xf numFmtId="0" fontId="4" fillId="0" borderId="10" xfId="0" applyFont="1" applyBorder="1" applyAlignment="1">
      <alignment horizontal="center"/>
    </xf>
    <xf numFmtId="0" fontId="4" fillId="0" borderId="13" xfId="0" applyFont="1" applyBorder="1"/>
    <xf numFmtId="166" fontId="4" fillId="0" borderId="10" xfId="0" applyNumberFormat="1" applyFont="1" applyBorder="1"/>
    <xf numFmtId="169" fontId="4" fillId="33" borderId="16" xfId="40" applyNumberFormat="1" applyFont="1" applyFill="1" applyBorder="1"/>
    <xf numFmtId="169" fontId="4" fillId="0" borderId="17" xfId="40" applyNumberFormat="1" applyFont="1" applyBorder="1"/>
    <xf numFmtId="10" fontId="5" fillId="35" borderId="27" xfId="40" applyNumberFormat="1" applyFont="1" applyFill="1" applyBorder="1"/>
    <xf numFmtId="166" fontId="30" fillId="0" borderId="11" xfId="33" applyNumberFormat="1" applyFont="1" applyFill="1" applyBorder="1" applyAlignment="1">
      <alignment vertical="center"/>
    </xf>
    <xf numFmtId="166" fontId="30" fillId="0" borderId="12" xfId="33" applyNumberFormat="1" applyFont="1" applyFill="1" applyBorder="1" applyAlignment="1">
      <alignment vertical="center"/>
    </xf>
    <xf numFmtId="10" fontId="24" fillId="0" borderId="0" xfId="40" applyNumberFormat="1" applyFont="1" applyBorder="1" applyAlignment="1">
      <alignment vertical="center"/>
    </xf>
    <xf numFmtId="166" fontId="4" fillId="0" borderId="0" xfId="0" applyNumberFormat="1" applyFont="1" applyBorder="1"/>
    <xf numFmtId="3" fontId="25" fillId="0" borderId="16" xfId="33" applyNumberFormat="1" applyFont="1" applyFill="1" applyBorder="1" applyAlignment="1">
      <alignment horizontal="center" vertical="center"/>
    </xf>
    <xf numFmtId="3" fontId="25" fillId="0" borderId="8" xfId="33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66" fontId="39" fillId="0" borderId="0" xfId="33" applyNumberFormat="1" applyFont="1" applyBorder="1"/>
    <xf numFmtId="0" fontId="40" fillId="38" borderId="57" xfId="0" applyFont="1" applyFill="1" applyBorder="1" applyAlignment="1">
      <alignment horizontal="left" vertical="center" wrapText="1"/>
    </xf>
    <xf numFmtId="0" fontId="41" fillId="39" borderId="58" xfId="0" applyFont="1" applyFill="1" applyBorder="1" applyAlignment="1">
      <alignment horizontal="right" wrapText="1"/>
    </xf>
    <xf numFmtId="10" fontId="41" fillId="39" borderId="58" xfId="0" applyNumberFormat="1" applyFont="1" applyFill="1" applyBorder="1" applyAlignment="1">
      <alignment horizontal="right" wrapText="1"/>
    </xf>
    <xf numFmtId="10" fontId="41" fillId="39" borderId="59" xfId="0" applyNumberFormat="1" applyFont="1" applyFill="1" applyBorder="1" applyAlignment="1">
      <alignment horizontal="right" wrapText="1"/>
    </xf>
    <xf numFmtId="0" fontId="40" fillId="38" borderId="62" xfId="0" applyFont="1" applyFill="1" applyBorder="1" applyAlignment="1">
      <alignment horizontal="right" vertical="center" wrapText="1"/>
    </xf>
    <xf numFmtId="0" fontId="40" fillId="38" borderId="63" xfId="0" applyFont="1" applyFill="1" applyBorder="1" applyAlignment="1">
      <alignment horizontal="left" vertical="center" wrapText="1"/>
    </xf>
    <xf numFmtId="0" fontId="41" fillId="39" borderId="64" xfId="0" applyFont="1" applyFill="1" applyBorder="1" applyAlignment="1">
      <alignment horizontal="right" wrapText="1"/>
    </xf>
    <xf numFmtId="10" fontId="41" fillId="39" borderId="64" xfId="0" applyNumberFormat="1" applyFont="1" applyFill="1" applyBorder="1" applyAlignment="1">
      <alignment horizontal="right" wrapText="1"/>
    </xf>
    <xf numFmtId="10" fontId="41" fillId="39" borderId="65" xfId="0" applyNumberFormat="1" applyFont="1" applyFill="1" applyBorder="1" applyAlignment="1">
      <alignment horizontal="right" wrapText="1"/>
    </xf>
    <xf numFmtId="0" fontId="41" fillId="0" borderId="0" xfId="0" applyFont="1"/>
    <xf numFmtId="0" fontId="42" fillId="39" borderId="71" xfId="0" applyFont="1" applyFill="1" applyBorder="1" applyAlignment="1">
      <alignment horizontal="center" wrapText="1"/>
    </xf>
    <xf numFmtId="0" fontId="42" fillId="39" borderId="58" xfId="0" applyFont="1" applyFill="1" applyBorder="1" applyAlignment="1">
      <alignment horizontal="center" wrapText="1"/>
    </xf>
    <xf numFmtId="0" fontId="42" fillId="38" borderId="72" xfId="0" applyFont="1" applyFill="1" applyBorder="1" applyAlignment="1">
      <alignment horizontal="center" vertical="center" wrapText="1"/>
    </xf>
    <xf numFmtId="0" fontId="42" fillId="38" borderId="73" xfId="0" applyFont="1" applyFill="1" applyBorder="1" applyAlignment="1">
      <alignment horizontal="center" vertical="center" wrapText="1"/>
    </xf>
    <xf numFmtId="14" fontId="40" fillId="38" borderId="61" xfId="0" applyNumberFormat="1" applyFont="1" applyFill="1" applyBorder="1" applyAlignment="1">
      <alignment horizontal="left" vertical="center" wrapText="1"/>
    </xf>
    <xf numFmtId="14" fontId="40" fillId="38" borderId="57" xfId="0" applyNumberFormat="1" applyFont="1" applyFill="1" applyBorder="1" applyAlignment="1">
      <alignment horizontal="left" vertical="center" wrapText="1"/>
    </xf>
    <xf numFmtId="0" fontId="43" fillId="39" borderId="59" xfId="0" applyFont="1" applyFill="1" applyBorder="1" applyAlignment="1">
      <alignment horizontal="right" wrapText="1"/>
    </xf>
    <xf numFmtId="0" fontId="40" fillId="40" borderId="57" xfId="0" applyFont="1" applyFill="1" applyBorder="1" applyAlignment="1">
      <alignment horizontal="left" vertical="center" wrapText="1"/>
    </xf>
    <xf numFmtId="0" fontId="41" fillId="40" borderId="58" xfId="0" applyFont="1" applyFill="1" applyBorder="1" applyAlignment="1">
      <alignment horizontal="right" wrapText="1"/>
    </xf>
    <xf numFmtId="10" fontId="41" fillId="40" borderId="58" xfId="0" applyNumberFormat="1" applyFont="1" applyFill="1" applyBorder="1" applyAlignment="1">
      <alignment horizontal="right" wrapText="1"/>
    </xf>
    <xf numFmtId="10" fontId="41" fillId="40" borderId="59" xfId="0" applyNumberFormat="1" applyFont="1" applyFill="1" applyBorder="1" applyAlignment="1">
      <alignment horizontal="right" wrapText="1"/>
    </xf>
    <xf numFmtId="0" fontId="25" fillId="33" borderId="0" xfId="0" applyFont="1" applyFill="1" applyBorder="1" applyAlignment="1">
      <alignment horizontal="center" vertical="center"/>
    </xf>
    <xf numFmtId="3" fontId="35" fillId="0" borderId="12" xfId="0" applyNumberFormat="1" applyFont="1" applyFill="1" applyBorder="1" applyAlignment="1">
      <alignment horizontal="center" vertical="center"/>
    </xf>
    <xf numFmtId="10" fontId="25" fillId="33" borderId="46" xfId="0" applyNumberFormat="1" applyFont="1" applyFill="1" applyBorder="1" applyAlignment="1">
      <alignment horizontal="center" vertical="center"/>
    </xf>
    <xf numFmtId="165" fontId="25" fillId="33" borderId="0" xfId="33" applyFont="1" applyFill="1" applyBorder="1" applyAlignment="1">
      <alignment horizontal="center" vertical="center"/>
    </xf>
    <xf numFmtId="0" fontId="25" fillId="0" borderId="27" xfId="0" applyFont="1" applyBorder="1" applyAlignment="1">
      <alignment vertical="center"/>
    </xf>
    <xf numFmtId="166" fontId="25" fillId="0" borderId="0" xfId="33" applyNumberFormat="1" applyFont="1" applyAlignment="1">
      <alignment horizontal="center" vertical="center"/>
    </xf>
    <xf numFmtId="166" fontId="24" fillId="33" borderId="0" xfId="33" applyNumberFormat="1" applyFont="1" applyFill="1" applyBorder="1" applyAlignment="1">
      <alignment horizontal="center" vertical="center"/>
    </xf>
    <xf numFmtId="166" fontId="33" fillId="34" borderId="3" xfId="33" applyNumberFormat="1" applyFont="1" applyFill="1" applyBorder="1" applyAlignment="1">
      <alignment horizontal="center" vertical="center"/>
    </xf>
    <xf numFmtId="166" fontId="25" fillId="33" borderId="0" xfId="33" applyNumberFormat="1" applyFont="1" applyFill="1" applyBorder="1" applyAlignment="1">
      <alignment horizontal="center" vertical="center"/>
    </xf>
    <xf numFmtId="166" fontId="25" fillId="0" borderId="0" xfId="33" applyNumberFormat="1" applyFont="1" applyAlignment="1">
      <alignment vertical="center"/>
    </xf>
    <xf numFmtId="170" fontId="25" fillId="0" borderId="0" xfId="40" applyNumberFormat="1" applyFont="1" applyBorder="1" applyAlignment="1">
      <alignment horizontal="center" vertical="center"/>
    </xf>
    <xf numFmtId="10" fontId="25" fillId="0" borderId="0" xfId="40" applyNumberFormat="1" applyFont="1" applyBorder="1" applyAlignment="1">
      <alignment horizontal="center" vertical="center"/>
    </xf>
    <xf numFmtId="174" fontId="25" fillId="0" borderId="0" xfId="0" applyNumberFormat="1" applyFont="1" applyBorder="1" applyAlignment="1">
      <alignment vertical="center"/>
    </xf>
    <xf numFmtId="10" fontId="25" fillId="0" borderId="0" xfId="40" applyNumberFormat="1" applyFont="1" applyBorder="1" applyAlignment="1">
      <alignment vertical="center"/>
    </xf>
    <xf numFmtId="165" fontId="25" fillId="0" borderId="0" xfId="33" applyFont="1" applyBorder="1" applyAlignment="1">
      <alignment vertical="center"/>
    </xf>
    <xf numFmtId="10" fontId="25" fillId="0" borderId="0" xfId="40" applyNumberFormat="1" applyFont="1" applyBorder="1" applyAlignment="1">
      <alignment horizontal="left" vertical="center"/>
    </xf>
    <xf numFmtId="175" fontId="25" fillId="0" borderId="0" xfId="0" applyNumberFormat="1" applyFont="1" applyBorder="1" applyAlignment="1">
      <alignment horizontal="center" vertical="center"/>
    </xf>
    <xf numFmtId="171" fontId="24" fillId="35" borderId="27" xfId="33" applyNumberFormat="1" applyFont="1" applyFill="1" applyBorder="1" applyAlignment="1">
      <alignment horizontal="center" vertical="center"/>
    </xf>
    <xf numFmtId="165" fontId="25" fillId="0" borderId="0" xfId="33" applyFont="1" applyFill="1" applyBorder="1" applyAlignment="1">
      <alignment horizontal="right" vertical="center"/>
    </xf>
    <xf numFmtId="166" fontId="24" fillId="33" borderId="0" xfId="0" applyNumberFormat="1" applyFont="1" applyFill="1" applyBorder="1" applyAlignment="1">
      <alignment horizontal="center" vertical="center"/>
    </xf>
    <xf numFmtId="0" fontId="27" fillId="0" borderId="2" xfId="0" applyFont="1" applyBorder="1" applyAlignment="1">
      <alignment vertical="center"/>
    </xf>
    <xf numFmtId="0" fontId="27" fillId="0" borderId="9" xfId="0" applyFont="1" applyBorder="1" applyAlignment="1">
      <alignment vertical="center"/>
    </xf>
    <xf numFmtId="0" fontId="27" fillId="0" borderId="78" xfId="0" applyFont="1" applyBorder="1" applyAlignment="1">
      <alignment horizontal="center" vertical="center"/>
    </xf>
    <xf numFmtId="0" fontId="27" fillId="0" borderId="79" xfId="0" applyFont="1" applyBorder="1" applyAlignment="1">
      <alignment horizontal="center" vertical="center"/>
    </xf>
    <xf numFmtId="0" fontId="40" fillId="41" borderId="57" xfId="0" applyFont="1" applyFill="1" applyBorder="1" applyAlignment="1">
      <alignment horizontal="left" vertical="center" wrapText="1"/>
    </xf>
    <xf numFmtId="0" fontId="41" fillId="41" borderId="58" xfId="0" applyFont="1" applyFill="1" applyBorder="1" applyAlignment="1">
      <alignment horizontal="right" wrapText="1"/>
    </xf>
    <xf numFmtId="10" fontId="41" fillId="41" borderId="58" xfId="0" applyNumberFormat="1" applyFont="1" applyFill="1" applyBorder="1" applyAlignment="1">
      <alignment horizontal="right" wrapText="1"/>
    </xf>
    <xf numFmtId="10" fontId="41" fillId="41" borderId="59" xfId="0" applyNumberFormat="1" applyFont="1" applyFill="1" applyBorder="1" applyAlignment="1">
      <alignment horizontal="right" wrapText="1"/>
    </xf>
    <xf numFmtId="14" fontId="40" fillId="40" borderId="61" xfId="0" applyNumberFormat="1" applyFont="1" applyFill="1" applyBorder="1" applyAlignment="1">
      <alignment horizontal="left" vertical="center" wrapText="1"/>
    </xf>
    <xf numFmtId="14" fontId="40" fillId="40" borderId="57" xfId="0" applyNumberFormat="1" applyFont="1" applyFill="1" applyBorder="1" applyAlignment="1">
      <alignment horizontal="left" vertical="center" wrapText="1"/>
    </xf>
    <xf numFmtId="166" fontId="27" fillId="33" borderId="14" xfId="33" applyNumberFormat="1" applyFont="1" applyFill="1" applyBorder="1" applyAlignment="1">
      <alignment vertical="center"/>
    </xf>
    <xf numFmtId="166" fontId="27" fillId="33" borderId="11" xfId="33" applyNumberFormat="1" applyFont="1" applyFill="1" applyBorder="1" applyAlignment="1">
      <alignment vertical="center"/>
    </xf>
    <xf numFmtId="165" fontId="25" fillId="0" borderId="31" xfId="33" applyFont="1" applyBorder="1" applyAlignment="1">
      <alignment vertical="center"/>
    </xf>
    <xf numFmtId="171" fontId="25" fillId="33" borderId="0" xfId="33" applyNumberFormat="1" applyFont="1" applyFill="1" applyBorder="1" applyAlignment="1">
      <alignment horizontal="center" vertical="center"/>
    </xf>
    <xf numFmtId="10" fontId="46" fillId="0" borderId="0" xfId="40" applyNumberFormat="1" applyFont="1" applyFill="1" applyBorder="1" applyAlignment="1">
      <alignment horizontal="right" vertical="center"/>
    </xf>
    <xf numFmtId="0" fontId="25" fillId="0" borderId="0" xfId="0" applyFont="1" applyAlignment="1">
      <alignment horizontal="center" vertical="center"/>
    </xf>
    <xf numFmtId="0" fontId="47" fillId="0" borderId="4" xfId="0" applyFont="1" applyBorder="1" applyAlignment="1">
      <alignment vertical="center"/>
    </xf>
    <xf numFmtId="166" fontId="47" fillId="0" borderId="3" xfId="33" applyNumberFormat="1" applyFont="1" applyFill="1" applyBorder="1" applyAlignment="1">
      <alignment vertical="center"/>
    </xf>
    <xf numFmtId="166" fontId="47" fillId="0" borderId="5" xfId="33" applyNumberFormat="1" applyFont="1" applyBorder="1" applyAlignment="1">
      <alignment vertical="center"/>
    </xf>
    <xf numFmtId="10" fontId="24" fillId="35" borderId="27" xfId="40" applyNumberFormat="1" applyFont="1" applyFill="1" applyBorder="1" applyAlignment="1">
      <alignment horizontal="center" vertical="center"/>
    </xf>
    <xf numFmtId="169" fontId="4" fillId="0" borderId="11" xfId="40" applyNumberFormat="1" applyFont="1" applyBorder="1"/>
    <xf numFmtId="0" fontId="25" fillId="0" borderId="10" xfId="0" applyFont="1" applyFill="1" applyBorder="1" applyAlignment="1">
      <alignment horizontal="center" vertical="center"/>
    </xf>
    <xf numFmtId="10" fontId="32" fillId="0" borderId="0" xfId="0" applyNumberFormat="1" applyFont="1" applyFill="1" applyBorder="1" applyAlignment="1">
      <alignment vertical="center"/>
    </xf>
    <xf numFmtId="165" fontId="25" fillId="0" borderId="0" xfId="33" applyFont="1" applyFill="1" applyAlignment="1">
      <alignment vertical="center"/>
    </xf>
    <xf numFmtId="0" fontId="27" fillId="0" borderId="74" xfId="0" applyFont="1" applyFill="1" applyBorder="1" applyAlignment="1">
      <alignment vertical="center"/>
    </xf>
    <xf numFmtId="0" fontId="27" fillId="0" borderId="77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10" fontId="27" fillId="0" borderId="10" xfId="40" applyNumberFormat="1" applyFont="1" applyFill="1" applyBorder="1" applyAlignment="1">
      <alignment horizontal="center" vertical="center"/>
    </xf>
    <xf numFmtId="166" fontId="27" fillId="0" borderId="10" xfId="40" applyNumberFormat="1" applyFont="1" applyFill="1" applyBorder="1" applyAlignment="1">
      <alignment horizontal="center" vertical="center"/>
    </xf>
    <xf numFmtId="3" fontId="25" fillId="0" borderId="0" xfId="0" applyNumberFormat="1" applyFont="1" applyAlignment="1">
      <alignment vertical="center"/>
    </xf>
    <xf numFmtId="166" fontId="25" fillId="0" borderId="19" xfId="33" applyNumberFormat="1" applyFont="1" applyFill="1" applyBorder="1" applyAlignment="1">
      <alignment horizontal="center" vertical="center"/>
    </xf>
    <xf numFmtId="3" fontId="25" fillId="0" borderId="19" xfId="33" applyNumberFormat="1" applyFont="1" applyFill="1" applyBorder="1" applyAlignment="1">
      <alignment horizontal="center" vertical="center"/>
    </xf>
    <xf numFmtId="10" fontId="25" fillId="0" borderId="19" xfId="0" applyNumberFormat="1" applyFont="1" applyFill="1" applyBorder="1" applyAlignment="1">
      <alignment horizontal="center" vertical="center"/>
    </xf>
    <xf numFmtId="0" fontId="33" fillId="34" borderId="20" xfId="0" applyFont="1" applyFill="1" applyBorder="1" applyAlignment="1">
      <alignment horizontal="center" vertical="center"/>
    </xf>
    <xf numFmtId="0" fontId="33" fillId="34" borderId="18" xfId="0" applyFont="1" applyFill="1" applyBorder="1" applyAlignment="1">
      <alignment horizontal="center" vertical="center"/>
    </xf>
    <xf numFmtId="0" fontId="33" fillId="34" borderId="30" xfId="0" applyFont="1" applyFill="1" applyBorder="1" applyAlignment="1">
      <alignment horizontal="center" vertical="center"/>
    </xf>
    <xf numFmtId="166" fontId="33" fillId="34" borderId="18" xfId="33" applyNumberFormat="1" applyFont="1" applyFill="1" applyBorder="1" applyAlignment="1">
      <alignment horizontal="center" vertical="center"/>
    </xf>
    <xf numFmtId="165" fontId="25" fillId="0" borderId="0" xfId="33" applyFont="1" applyBorder="1" applyAlignment="1">
      <alignment horizontal="center" vertical="center"/>
    </xf>
    <xf numFmtId="0" fontId="25" fillId="0" borderId="14" xfId="0" applyFont="1" applyFill="1" applyBorder="1" applyAlignment="1">
      <alignment vertical="center"/>
    </xf>
    <xf numFmtId="0" fontId="25" fillId="0" borderId="11" xfId="0" applyFont="1" applyFill="1" applyBorder="1" applyAlignment="1">
      <alignment horizontal="center" vertical="center"/>
    </xf>
    <xf numFmtId="165" fontId="4" fillId="0" borderId="0" xfId="33" applyFont="1" applyBorder="1"/>
    <xf numFmtId="176" fontId="25" fillId="0" borderId="0" xfId="0" applyNumberFormat="1" applyFont="1" applyAlignment="1">
      <alignment vertical="center"/>
    </xf>
    <xf numFmtId="166" fontId="26" fillId="33" borderId="12" xfId="40" applyNumberFormat="1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vertical="center"/>
    </xf>
    <xf numFmtId="172" fontId="30" fillId="0" borderId="8" xfId="35" applyNumberFormat="1" applyFont="1" applyFill="1" applyBorder="1" applyAlignment="1">
      <alignment horizontal="left" vertical="center"/>
    </xf>
    <xf numFmtId="165" fontId="27" fillId="0" borderId="11" xfId="33" applyFont="1" applyFill="1" applyBorder="1" applyAlignment="1">
      <alignment vertical="center"/>
    </xf>
    <xf numFmtId="166" fontId="27" fillId="0" borderId="12" xfId="33" applyNumberFormat="1" applyFont="1" applyFill="1" applyBorder="1" applyAlignment="1">
      <alignment vertical="center"/>
    </xf>
    <xf numFmtId="10" fontId="27" fillId="33" borderId="13" xfId="40" applyNumberFormat="1" applyFont="1" applyFill="1" applyBorder="1" applyAlignment="1">
      <alignment horizontal="center" vertical="center"/>
    </xf>
    <xf numFmtId="10" fontId="27" fillId="33" borderId="14" xfId="40" applyNumberFormat="1" applyFont="1" applyFill="1" applyBorder="1" applyAlignment="1">
      <alignment horizontal="center" vertical="center"/>
    </xf>
    <xf numFmtId="10" fontId="27" fillId="0" borderId="14" xfId="40" applyNumberFormat="1" applyFont="1" applyFill="1" applyBorder="1" applyAlignment="1">
      <alignment horizontal="center" vertical="center"/>
    </xf>
    <xf numFmtId="10" fontId="27" fillId="33" borderId="28" xfId="40" applyNumberFormat="1" applyFont="1" applyFill="1" applyBorder="1" applyAlignment="1">
      <alignment horizontal="center" vertical="center"/>
    </xf>
    <xf numFmtId="10" fontId="27" fillId="33" borderId="15" xfId="40" applyNumberFormat="1" applyFont="1" applyFill="1" applyBorder="1" applyAlignment="1">
      <alignment horizontal="center" vertical="center"/>
    </xf>
    <xf numFmtId="10" fontId="26" fillId="33" borderId="32" xfId="40" applyNumberFormat="1" applyFont="1" applyFill="1" applyBorder="1" applyAlignment="1">
      <alignment horizontal="center" vertical="center"/>
    </xf>
    <xf numFmtId="166" fontId="27" fillId="0" borderId="14" xfId="33" applyNumberFormat="1" applyFont="1" applyFill="1" applyBorder="1" applyAlignment="1">
      <alignment vertical="center"/>
    </xf>
    <xf numFmtId="172" fontId="30" fillId="33" borderId="16" xfId="35" applyNumberFormat="1" applyFont="1" applyFill="1" applyBorder="1" applyAlignment="1">
      <alignment horizontal="left" vertical="center"/>
    </xf>
    <xf numFmtId="0" fontId="27" fillId="0" borderId="8" xfId="0" applyFont="1" applyBorder="1" applyAlignment="1">
      <alignment vertical="center"/>
    </xf>
    <xf numFmtId="172" fontId="30" fillId="0" borderId="17" xfId="35" applyNumberFormat="1" applyFont="1" applyFill="1" applyBorder="1" applyAlignment="1">
      <alignment horizontal="left" vertical="center"/>
    </xf>
    <xf numFmtId="0" fontId="27" fillId="0" borderId="11" xfId="0" applyFont="1" applyFill="1" applyBorder="1" applyAlignment="1">
      <alignment vertical="center"/>
    </xf>
    <xf numFmtId="166" fontId="27" fillId="0" borderId="13" xfId="33" applyNumberFormat="1" applyFont="1" applyFill="1" applyBorder="1" applyAlignment="1">
      <alignment vertical="center"/>
    </xf>
    <xf numFmtId="166" fontId="26" fillId="33" borderId="20" xfId="40" applyNumberFormat="1" applyFont="1" applyFill="1" applyBorder="1" applyAlignment="1">
      <alignment horizontal="center" vertical="center"/>
    </xf>
    <xf numFmtId="166" fontId="34" fillId="0" borderId="11" xfId="33" applyNumberFormat="1" applyFont="1" applyFill="1" applyBorder="1" applyAlignment="1">
      <alignment horizontal="center" vertical="center"/>
    </xf>
    <xf numFmtId="172" fontId="30" fillId="0" borderId="11" xfId="35" applyNumberFormat="1" applyFont="1" applyFill="1" applyBorder="1" applyAlignment="1">
      <alignment horizontal="left" vertical="center"/>
    </xf>
    <xf numFmtId="172" fontId="30" fillId="33" borderId="11" xfId="35" applyNumberFormat="1" applyFont="1" applyFill="1" applyBorder="1" applyAlignment="1">
      <alignment horizontal="left" vertical="center"/>
    </xf>
    <xf numFmtId="172" fontId="30" fillId="33" borderId="12" xfId="35" applyNumberFormat="1" applyFont="1" applyFill="1" applyBorder="1" applyAlignment="1">
      <alignment horizontal="left" vertical="center"/>
    </xf>
    <xf numFmtId="10" fontId="25" fillId="0" borderId="53" xfId="40" applyNumberFormat="1" applyFont="1" applyFill="1" applyBorder="1" applyAlignment="1">
      <alignment horizontal="right" vertical="center"/>
    </xf>
    <xf numFmtId="166" fontId="5" fillId="35" borderId="26" xfId="33" applyNumberFormat="1" applyFont="1" applyFill="1" applyBorder="1"/>
    <xf numFmtId="166" fontId="5" fillId="35" borderId="0" xfId="33" applyNumberFormat="1" applyFont="1" applyFill="1" applyBorder="1"/>
    <xf numFmtId="166" fontId="4" fillId="0" borderId="13" xfId="33" applyNumberFormat="1" applyFont="1" applyBorder="1"/>
    <xf numFmtId="166" fontId="4" fillId="0" borderId="14" xfId="33" applyNumberFormat="1" applyFont="1" applyBorder="1"/>
    <xf numFmtId="166" fontId="4" fillId="0" borderId="15" xfId="33" applyNumberFormat="1" applyFont="1" applyBorder="1"/>
    <xf numFmtId="166" fontId="22" fillId="35" borderId="35" xfId="33" applyNumberFormat="1" applyFont="1" applyFill="1" applyBorder="1" applyAlignment="1">
      <alignment horizontal="center" vertical="center"/>
    </xf>
    <xf numFmtId="10" fontId="32" fillId="0" borderId="11" xfId="0" applyNumberFormat="1" applyFont="1" applyFill="1" applyBorder="1" applyAlignment="1">
      <alignment horizontal="center" vertical="center"/>
    </xf>
    <xf numFmtId="10" fontId="34" fillId="0" borderId="11" xfId="40" applyNumberFormat="1" applyFont="1" applyFill="1" applyBorder="1" applyAlignment="1">
      <alignment horizontal="center" vertical="center"/>
    </xf>
    <xf numFmtId="10" fontId="34" fillId="0" borderId="12" xfId="0" applyNumberFormat="1" applyFont="1" applyFill="1" applyBorder="1" applyAlignment="1">
      <alignment horizontal="center" vertical="center"/>
    </xf>
    <xf numFmtId="3" fontId="34" fillId="0" borderId="27" xfId="33" applyNumberFormat="1" applyFont="1" applyFill="1" applyBorder="1" applyAlignment="1">
      <alignment horizontal="center" vertical="center"/>
    </xf>
    <xf numFmtId="0" fontId="24" fillId="0" borderId="0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vertical="center"/>
    </xf>
    <xf numFmtId="0" fontId="25" fillId="0" borderId="15" xfId="0" applyFont="1" applyFill="1" applyBorder="1" applyAlignment="1">
      <alignment vertical="center"/>
    </xf>
    <xf numFmtId="0" fontId="25" fillId="0" borderId="12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vertical="center"/>
    </xf>
    <xf numFmtId="0" fontId="25" fillId="0" borderId="23" xfId="0" applyFont="1" applyFill="1" applyBorder="1" applyAlignment="1">
      <alignment horizontal="center" vertical="center"/>
    </xf>
    <xf numFmtId="1" fontId="25" fillId="0" borderId="12" xfId="0" applyNumberFormat="1" applyFont="1" applyFill="1" applyBorder="1" applyAlignment="1">
      <alignment horizontal="center" vertical="center"/>
    </xf>
    <xf numFmtId="165" fontId="25" fillId="0" borderId="2" xfId="33" applyFont="1" applyFill="1" applyBorder="1" applyAlignment="1">
      <alignment vertical="center"/>
    </xf>
    <xf numFmtId="10" fontId="25" fillId="0" borderId="53" xfId="40" applyNumberFormat="1" applyFont="1" applyFill="1" applyBorder="1" applyAlignment="1">
      <alignment horizontal="left" vertical="center"/>
    </xf>
    <xf numFmtId="175" fontId="25" fillId="0" borderId="53" xfId="0" applyNumberFormat="1" applyFont="1" applyFill="1" applyBorder="1" applyAlignment="1">
      <alignment horizontal="center" vertical="center"/>
    </xf>
    <xf numFmtId="166" fontId="25" fillId="0" borderId="53" xfId="33" applyNumberFormat="1" applyFont="1" applyFill="1" applyBorder="1" applyAlignment="1">
      <alignment horizontal="center" vertical="center"/>
    </xf>
    <xf numFmtId="170" fontId="25" fillId="0" borderId="53" xfId="40" applyNumberFormat="1" applyFont="1" applyFill="1" applyBorder="1" applyAlignment="1">
      <alignment horizontal="center" vertical="center"/>
    </xf>
    <xf numFmtId="10" fontId="25" fillId="0" borderId="53" xfId="40" applyNumberFormat="1" applyFont="1" applyFill="1" applyBorder="1" applyAlignment="1">
      <alignment horizontal="center" vertical="center"/>
    </xf>
    <xf numFmtId="0" fontId="25" fillId="0" borderId="53" xfId="0" applyFont="1" applyFill="1" applyBorder="1" applyAlignment="1">
      <alignment horizontal="center" vertical="center"/>
    </xf>
    <xf numFmtId="174" fontId="25" fillId="0" borderId="53" xfId="0" applyNumberFormat="1" applyFont="1" applyFill="1" applyBorder="1" applyAlignment="1">
      <alignment vertical="center"/>
    </xf>
    <xf numFmtId="10" fontId="25" fillId="0" borderId="53" xfId="40" applyNumberFormat="1" applyFont="1" applyFill="1" applyBorder="1" applyAlignment="1">
      <alignment vertical="center"/>
    </xf>
    <xf numFmtId="10" fontId="25" fillId="0" borderId="55" xfId="40" applyNumberFormat="1" applyFont="1" applyFill="1" applyBorder="1" applyAlignment="1">
      <alignment vertical="center"/>
    </xf>
    <xf numFmtId="10" fontId="25" fillId="0" borderId="0" xfId="0" applyNumberFormat="1" applyFont="1" applyFill="1" applyAlignment="1">
      <alignment vertical="center"/>
    </xf>
    <xf numFmtId="1" fontId="25" fillId="0" borderId="11" xfId="0" applyNumberFormat="1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vertical="center"/>
    </xf>
    <xf numFmtId="0" fontId="25" fillId="0" borderId="12" xfId="0" applyFont="1" applyFill="1" applyBorder="1" applyAlignment="1">
      <alignment vertical="center"/>
    </xf>
    <xf numFmtId="10" fontId="37" fillId="0" borderId="11" xfId="40" applyNumberFormat="1" applyFont="1" applyFill="1" applyBorder="1" applyAlignment="1">
      <alignment horizontal="center" vertical="center"/>
    </xf>
    <xf numFmtId="166" fontId="37" fillId="0" borderId="11" xfId="33" applyNumberFormat="1" applyFont="1" applyFill="1" applyBorder="1" applyAlignment="1">
      <alignment horizontal="center" vertical="center"/>
    </xf>
    <xf numFmtId="10" fontId="25" fillId="0" borderId="11" xfId="40" applyNumberFormat="1" applyFont="1" applyFill="1" applyBorder="1" applyAlignment="1">
      <alignment horizontal="center" vertical="center"/>
    </xf>
    <xf numFmtId="10" fontId="25" fillId="0" borderId="11" xfId="0" applyNumberFormat="1" applyFont="1" applyFill="1" applyBorder="1" applyAlignment="1">
      <alignment horizontal="center" vertical="center"/>
    </xf>
    <xf numFmtId="3" fontId="25" fillId="0" borderId="11" xfId="0" applyNumberFormat="1" applyFont="1" applyFill="1" applyBorder="1" applyAlignment="1">
      <alignment horizontal="center" vertical="center"/>
    </xf>
    <xf numFmtId="10" fontId="25" fillId="0" borderId="10" xfId="0" applyNumberFormat="1" applyFont="1" applyFill="1" applyBorder="1" applyAlignment="1">
      <alignment horizontal="center" vertical="center"/>
    </xf>
    <xf numFmtId="166" fontId="34" fillId="0" borderId="12" xfId="33" applyNumberFormat="1" applyFont="1" applyFill="1" applyBorder="1" applyAlignment="1">
      <alignment horizontal="center" vertical="center"/>
    </xf>
    <xf numFmtId="10" fontId="34" fillId="0" borderId="12" xfId="40" applyNumberFormat="1" applyFont="1" applyFill="1" applyBorder="1" applyAlignment="1">
      <alignment horizontal="center" vertical="center"/>
    </xf>
    <xf numFmtId="10" fontId="25" fillId="0" borderId="8" xfId="0" applyNumberFormat="1" applyFont="1" applyFill="1" applyBorder="1" applyAlignment="1">
      <alignment horizontal="center" vertical="center"/>
    </xf>
    <xf numFmtId="10" fontId="25" fillId="0" borderId="17" xfId="0" applyNumberFormat="1" applyFont="1" applyFill="1" applyBorder="1" applyAlignment="1">
      <alignment horizontal="center" vertical="center"/>
    </xf>
    <xf numFmtId="10" fontId="32" fillId="0" borderId="8" xfId="0" applyNumberFormat="1" applyFont="1" applyFill="1" applyBorder="1" applyAlignment="1">
      <alignment horizontal="center" vertical="center"/>
    </xf>
    <xf numFmtId="171" fontId="25" fillId="0" borderId="53" xfId="33" applyNumberFormat="1" applyFont="1" applyFill="1" applyBorder="1" applyAlignment="1">
      <alignment horizontal="center" vertical="center"/>
    </xf>
    <xf numFmtId="166" fontId="25" fillId="0" borderId="55" xfId="33" applyNumberFormat="1" applyFont="1" applyFill="1" applyBorder="1" applyAlignment="1">
      <alignment vertical="center"/>
    </xf>
    <xf numFmtId="175" fontId="25" fillId="0" borderId="80" xfId="0" applyNumberFormat="1" applyFont="1" applyFill="1" applyBorder="1" applyAlignment="1">
      <alignment horizontal="center" vertical="center"/>
    </xf>
    <xf numFmtId="171" fontId="25" fillId="0" borderId="80" xfId="33" applyNumberFormat="1" applyFont="1" applyFill="1" applyBorder="1" applyAlignment="1">
      <alignment horizontal="center" vertical="center"/>
    </xf>
    <xf numFmtId="166" fontId="25" fillId="0" borderId="80" xfId="33" applyNumberFormat="1" applyFont="1" applyFill="1" applyBorder="1" applyAlignment="1">
      <alignment horizontal="center" vertical="center"/>
    </xf>
    <xf numFmtId="10" fontId="25" fillId="0" borderId="80" xfId="40" applyNumberFormat="1" applyFont="1" applyFill="1" applyBorder="1" applyAlignment="1">
      <alignment horizontal="center" vertical="center"/>
    </xf>
    <xf numFmtId="0" fontId="25" fillId="0" borderId="80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vertical="center"/>
    </xf>
    <xf numFmtId="166" fontId="25" fillId="0" borderId="7" xfId="33" applyNumberFormat="1" applyFont="1" applyFill="1" applyBorder="1" applyAlignment="1">
      <alignment vertical="center"/>
    </xf>
    <xf numFmtId="0" fontId="25" fillId="0" borderId="47" xfId="0" applyFont="1" applyFill="1" applyBorder="1" applyAlignment="1">
      <alignment vertical="center"/>
    </xf>
    <xf numFmtId="14" fontId="25" fillId="0" borderId="0" xfId="0" applyNumberFormat="1" applyFont="1" applyFill="1" applyAlignment="1">
      <alignment horizontal="center" vertical="center"/>
    </xf>
    <xf numFmtId="166" fontId="25" fillId="0" borderId="0" xfId="33" applyNumberFormat="1" applyFont="1" applyFill="1" applyAlignment="1">
      <alignment vertical="center"/>
    </xf>
    <xf numFmtId="0" fontId="24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10" fontId="25" fillId="0" borderId="0" xfId="0" applyNumberFormat="1" applyFont="1" applyFill="1" applyAlignment="1">
      <alignment horizontal="center" vertical="center"/>
    </xf>
    <xf numFmtId="166" fontId="25" fillId="0" borderId="0" xfId="33" applyNumberFormat="1" applyFont="1" applyFill="1" applyAlignment="1">
      <alignment horizontal="center" vertical="center"/>
    </xf>
    <xf numFmtId="166" fontId="24" fillId="0" borderId="0" xfId="33" applyNumberFormat="1" applyFont="1" applyFill="1" applyBorder="1" applyAlignment="1">
      <alignment vertical="center"/>
    </xf>
    <xf numFmtId="166" fontId="25" fillId="0" borderId="23" xfId="33" applyNumberFormat="1" applyFont="1" applyFill="1" applyBorder="1" applyAlignment="1">
      <alignment horizontal="center" vertical="center"/>
    </xf>
    <xf numFmtId="166" fontId="25" fillId="0" borderId="28" xfId="33" applyNumberFormat="1" applyFont="1" applyFill="1" applyBorder="1" applyAlignment="1">
      <alignment horizontal="center" vertical="center"/>
    </xf>
    <xf numFmtId="3" fontId="25" fillId="0" borderId="22" xfId="33" applyNumberFormat="1" applyFont="1" applyFill="1" applyBorder="1" applyAlignment="1">
      <alignment horizontal="center" vertical="center"/>
    </xf>
    <xf numFmtId="10" fontId="25" fillId="0" borderId="23" xfId="0" applyNumberFormat="1" applyFont="1" applyFill="1" applyBorder="1" applyAlignment="1">
      <alignment horizontal="center" vertical="center"/>
    </xf>
    <xf numFmtId="3" fontId="25" fillId="0" borderId="17" xfId="33" applyNumberFormat="1" applyFont="1" applyFill="1" applyBorder="1" applyAlignment="1">
      <alignment horizontal="center" vertical="center"/>
    </xf>
    <xf numFmtId="10" fontId="25" fillId="0" borderId="12" xfId="0" applyNumberFormat="1" applyFont="1" applyFill="1" applyBorder="1" applyAlignment="1">
      <alignment horizontal="center" vertical="center"/>
    </xf>
    <xf numFmtId="166" fontId="35" fillId="0" borderId="11" xfId="33" applyNumberFormat="1" applyFont="1" applyFill="1" applyBorder="1" applyAlignment="1">
      <alignment horizontal="center" vertical="center"/>
    </xf>
    <xf numFmtId="165" fontId="24" fillId="33" borderId="0" xfId="33" applyFont="1" applyFill="1" applyBorder="1" applyAlignment="1">
      <alignment horizontal="center" vertical="center"/>
    </xf>
    <xf numFmtId="165" fontId="24" fillId="35" borderId="27" xfId="33" applyFont="1" applyFill="1" applyBorder="1" applyAlignment="1">
      <alignment horizontal="center" vertical="center"/>
    </xf>
    <xf numFmtId="165" fontId="36" fillId="37" borderId="82" xfId="33" applyFont="1" applyFill="1" applyBorder="1" applyAlignment="1">
      <alignment vertical="center"/>
    </xf>
    <xf numFmtId="10" fontId="45" fillId="37" borderId="81" xfId="40" applyNumberFormat="1" applyFont="1" applyFill="1" applyBorder="1" applyAlignment="1">
      <alignment horizontal="center" vertical="center"/>
    </xf>
    <xf numFmtId="175" fontId="45" fillId="37" borderId="81" xfId="0" applyNumberFormat="1" applyFont="1" applyFill="1" applyBorder="1" applyAlignment="1">
      <alignment horizontal="center" vertical="center"/>
    </xf>
    <xf numFmtId="175" fontId="36" fillId="37" borderId="81" xfId="0" applyNumberFormat="1" applyFont="1" applyFill="1" applyBorder="1" applyAlignment="1">
      <alignment horizontal="center" vertical="center"/>
    </xf>
    <xf numFmtId="166" fontId="45" fillId="37" borderId="81" xfId="33" applyNumberFormat="1" applyFont="1" applyFill="1" applyBorder="1" applyAlignment="1">
      <alignment horizontal="center" vertical="center"/>
    </xf>
    <xf numFmtId="166" fontId="36" fillId="37" borderId="81" xfId="33" applyNumberFormat="1" applyFont="1" applyFill="1" applyBorder="1" applyAlignment="1">
      <alignment horizontal="center" vertical="center"/>
    </xf>
    <xf numFmtId="9" fontId="45" fillId="37" borderId="81" xfId="40" applyFont="1" applyFill="1" applyBorder="1" applyAlignment="1">
      <alignment horizontal="right" vertical="center"/>
    </xf>
    <xf numFmtId="170" fontId="36" fillId="37" borderId="81" xfId="40" applyNumberFormat="1" applyFont="1" applyFill="1" applyBorder="1" applyAlignment="1">
      <alignment horizontal="center" vertical="center"/>
    </xf>
    <xf numFmtId="10" fontId="36" fillId="37" borderId="81" xfId="40" applyNumberFormat="1" applyFont="1" applyFill="1" applyBorder="1" applyAlignment="1">
      <alignment horizontal="center" vertical="center"/>
    </xf>
    <xf numFmtId="10" fontId="44" fillId="37" borderId="81" xfId="40" applyNumberFormat="1" applyFont="1" applyFill="1" applyBorder="1" applyAlignment="1">
      <alignment horizontal="center" vertical="center"/>
    </xf>
    <xf numFmtId="0" fontId="36" fillId="37" borderId="81" xfId="0" applyFont="1" applyFill="1" applyBorder="1" applyAlignment="1">
      <alignment horizontal="center" vertical="center"/>
    </xf>
    <xf numFmtId="43" fontId="36" fillId="37" borderId="81" xfId="0" applyNumberFormat="1" applyFont="1" applyFill="1" applyBorder="1" applyAlignment="1">
      <alignment vertical="center"/>
    </xf>
    <xf numFmtId="10" fontId="36" fillId="37" borderId="81" xfId="40" applyNumberFormat="1" applyFont="1" applyFill="1" applyBorder="1" applyAlignment="1">
      <alignment vertical="center"/>
    </xf>
    <xf numFmtId="10" fontId="36" fillId="37" borderId="83" xfId="40" applyNumberFormat="1" applyFont="1" applyFill="1" applyBorder="1" applyAlignment="1">
      <alignment vertical="center"/>
    </xf>
    <xf numFmtId="165" fontId="25" fillId="0" borderId="9" xfId="33" applyFont="1" applyFill="1" applyBorder="1" applyAlignment="1">
      <alignment vertical="center"/>
    </xf>
    <xf numFmtId="10" fontId="25" fillId="0" borderId="80" xfId="40" applyNumberFormat="1" applyFont="1" applyFill="1" applyBorder="1" applyAlignment="1">
      <alignment horizontal="left" vertical="center"/>
    </xf>
    <xf numFmtId="10" fontId="25" fillId="0" borderId="80" xfId="40" applyNumberFormat="1" applyFont="1" applyFill="1" applyBorder="1" applyAlignment="1">
      <alignment horizontal="right" vertical="center"/>
    </xf>
    <xf numFmtId="170" fontId="25" fillId="0" borderId="80" xfId="40" applyNumberFormat="1" applyFont="1" applyFill="1" applyBorder="1" applyAlignment="1">
      <alignment horizontal="center" vertical="center"/>
    </xf>
    <xf numFmtId="174" fontId="25" fillId="0" borderId="80" xfId="0" applyNumberFormat="1" applyFont="1" applyFill="1" applyBorder="1" applyAlignment="1">
      <alignment vertical="center"/>
    </xf>
    <xf numFmtId="10" fontId="25" fillId="0" borderId="80" xfId="40" applyNumberFormat="1" applyFont="1" applyFill="1" applyBorder="1" applyAlignment="1">
      <alignment vertical="center"/>
    </xf>
    <xf numFmtId="10" fontId="25" fillId="0" borderId="84" xfId="40" applyNumberFormat="1" applyFont="1" applyFill="1" applyBorder="1" applyAlignment="1">
      <alignment vertical="center"/>
    </xf>
    <xf numFmtId="166" fontId="33" fillId="0" borderId="27" xfId="33" applyNumberFormat="1" applyFont="1" applyFill="1" applyBorder="1" applyAlignment="1">
      <alignment horizontal="center" vertical="center"/>
    </xf>
    <xf numFmtId="166" fontId="27" fillId="0" borderId="13" xfId="33" applyNumberFormat="1" applyFont="1" applyFill="1" applyBorder="1" applyAlignment="1">
      <alignment horizontal="right" vertical="center"/>
    </xf>
    <xf numFmtId="166" fontId="27" fillId="33" borderId="14" xfId="33" applyNumberFormat="1" applyFont="1" applyFill="1" applyBorder="1" applyAlignment="1">
      <alignment horizontal="right" vertical="center"/>
    </xf>
    <xf numFmtId="166" fontId="27" fillId="33" borderId="15" xfId="33" applyNumberFormat="1" applyFont="1" applyFill="1" applyBorder="1" applyAlignment="1">
      <alignment horizontal="right" vertical="center"/>
    </xf>
    <xf numFmtId="166" fontId="27" fillId="0" borderId="16" xfId="33" applyNumberFormat="1" applyFont="1" applyFill="1" applyBorder="1" applyAlignment="1">
      <alignment horizontal="right" vertical="center"/>
    </xf>
    <xf numFmtId="166" fontId="27" fillId="33" borderId="8" xfId="33" applyNumberFormat="1" applyFont="1" applyFill="1" applyBorder="1" applyAlignment="1">
      <alignment horizontal="right" vertical="center"/>
    </xf>
    <xf numFmtId="166" fontId="27" fillId="33" borderId="17" xfId="33" applyNumberFormat="1" applyFont="1" applyFill="1" applyBorder="1" applyAlignment="1">
      <alignment horizontal="right" vertical="center"/>
    </xf>
    <xf numFmtId="10" fontId="32" fillId="0" borderId="16" xfId="0" applyNumberFormat="1" applyFont="1" applyFill="1" applyBorder="1" applyAlignment="1">
      <alignment horizontal="center" vertical="center"/>
    </xf>
    <xf numFmtId="166" fontId="35" fillId="0" borderId="0" xfId="0" applyNumberFormat="1" applyFont="1" applyBorder="1" applyAlignment="1">
      <alignment horizontal="center" vertical="center"/>
    </xf>
    <xf numFmtId="166" fontId="49" fillId="0" borderId="0" xfId="0" applyNumberFormat="1" applyFont="1" applyBorder="1" applyAlignment="1">
      <alignment horizontal="center" vertical="center"/>
    </xf>
    <xf numFmtId="166" fontId="49" fillId="33" borderId="0" xfId="33" applyNumberFormat="1" applyFont="1" applyFill="1" applyBorder="1" applyAlignment="1">
      <alignment horizontal="center" vertical="center"/>
    </xf>
    <xf numFmtId="10" fontId="32" fillId="0" borderId="17" xfId="0" applyNumberFormat="1" applyFont="1" applyFill="1" applyBorder="1" applyAlignment="1">
      <alignment horizontal="center" vertical="center"/>
    </xf>
    <xf numFmtId="10" fontId="34" fillId="33" borderId="27" xfId="40" applyNumberFormat="1" applyFont="1" applyFill="1" applyBorder="1" applyAlignment="1">
      <alignment horizontal="center" vertical="center"/>
    </xf>
    <xf numFmtId="10" fontId="35" fillId="33" borderId="27" xfId="40" applyNumberFormat="1" applyFont="1" applyFill="1" applyBorder="1" applyAlignment="1">
      <alignment horizontal="center" vertical="center"/>
    </xf>
    <xf numFmtId="165" fontId="24" fillId="0" borderId="0" xfId="33" applyFont="1" applyFill="1" applyAlignment="1">
      <alignment vertical="center"/>
    </xf>
    <xf numFmtId="166" fontId="33" fillId="0" borderId="46" xfId="33" applyNumberFormat="1" applyFont="1" applyFill="1" applyBorder="1" applyAlignment="1">
      <alignment horizontal="center" vertical="center"/>
    </xf>
    <xf numFmtId="10" fontId="32" fillId="0" borderId="19" xfId="0" applyNumberFormat="1" applyFont="1" applyFill="1" applyBorder="1" applyAlignment="1">
      <alignment horizontal="center" vertical="center"/>
    </xf>
    <xf numFmtId="3" fontId="34" fillId="0" borderId="12" xfId="33" applyNumberFormat="1" applyFont="1" applyFill="1" applyBorder="1" applyAlignment="1">
      <alignment horizontal="center" vertical="center"/>
    </xf>
    <xf numFmtId="166" fontId="35" fillId="0" borderId="53" xfId="33" applyNumberFormat="1" applyFont="1" applyFill="1" applyBorder="1" applyAlignment="1">
      <alignment horizontal="center" vertical="center"/>
    </xf>
    <xf numFmtId="166" fontId="35" fillId="0" borderId="80" xfId="33" applyNumberFormat="1" applyFont="1" applyFill="1" applyBorder="1" applyAlignment="1">
      <alignment horizontal="center" vertical="center"/>
    </xf>
    <xf numFmtId="0" fontId="69" fillId="0" borderId="0" xfId="0" applyFont="1"/>
    <xf numFmtId="0" fontId="69" fillId="0" borderId="0" xfId="0" applyFont="1" applyAlignment="1">
      <alignment horizontal="center"/>
    </xf>
    <xf numFmtId="166" fontId="69" fillId="0" borderId="53" xfId="33" applyNumberFormat="1" applyFont="1" applyBorder="1" applyAlignment="1">
      <alignment horizontal="center"/>
    </xf>
    <xf numFmtId="0" fontId="69" fillId="0" borderId="53" xfId="0" applyFont="1" applyBorder="1" applyAlignment="1">
      <alignment horizontal="center"/>
    </xf>
    <xf numFmtId="166" fontId="69" fillId="0" borderId="53" xfId="33" applyNumberFormat="1" applyFont="1" applyBorder="1"/>
    <xf numFmtId="166" fontId="69" fillId="0" borderId="55" xfId="0" applyNumberFormat="1" applyFont="1" applyBorder="1"/>
    <xf numFmtId="3" fontId="69" fillId="0" borderId="80" xfId="0" applyNumberFormat="1" applyFont="1" applyBorder="1" applyAlignment="1">
      <alignment horizontal="center"/>
    </xf>
    <xf numFmtId="166" fontId="69" fillId="0" borderId="80" xfId="33" applyNumberFormat="1" applyFont="1" applyBorder="1"/>
    <xf numFmtId="166" fontId="69" fillId="0" borderId="84" xfId="0" applyNumberFormat="1" applyFont="1" applyBorder="1"/>
    <xf numFmtId="0" fontId="69" fillId="0" borderId="0" xfId="0" applyFont="1" applyBorder="1"/>
    <xf numFmtId="0" fontId="69" fillId="0" borderId="0" xfId="0" applyFont="1" applyBorder="1" applyAlignment="1">
      <alignment horizontal="center"/>
    </xf>
    <xf numFmtId="0" fontId="69" fillId="0" borderId="10" xfId="0" applyFont="1" applyBorder="1"/>
    <xf numFmtId="0" fontId="69" fillId="0" borderId="11" xfId="0" applyFont="1" applyBorder="1"/>
    <xf numFmtId="0" fontId="69" fillId="0" borderId="12" xfId="0" applyFont="1" applyBorder="1"/>
    <xf numFmtId="0" fontId="71" fillId="0" borderId="4" xfId="0" applyFont="1" applyBorder="1" applyAlignment="1">
      <alignment horizontal="center"/>
    </xf>
    <xf numFmtId="0" fontId="71" fillId="0" borderId="3" xfId="0" applyFont="1" applyBorder="1" applyAlignment="1">
      <alignment horizontal="center"/>
    </xf>
    <xf numFmtId="0" fontId="71" fillId="0" borderId="5" xfId="0" applyFont="1" applyBorder="1"/>
    <xf numFmtId="166" fontId="69" fillId="0" borderId="74" xfId="33" applyNumberFormat="1" applyFont="1" applyBorder="1" applyAlignment="1">
      <alignment horizontal="center"/>
    </xf>
    <xf numFmtId="166" fontId="69" fillId="0" borderId="75" xfId="33" applyNumberFormat="1" applyFont="1" applyBorder="1" applyAlignment="1">
      <alignment horizontal="center"/>
    </xf>
    <xf numFmtId="0" fontId="69" fillId="0" borderId="75" xfId="0" applyFont="1" applyBorder="1" applyAlignment="1">
      <alignment horizontal="center"/>
    </xf>
    <xf numFmtId="0" fontId="69" fillId="0" borderId="75" xfId="0" applyFont="1" applyBorder="1"/>
    <xf numFmtId="0" fontId="69" fillId="0" borderId="76" xfId="0" applyFont="1" applyBorder="1"/>
    <xf numFmtId="166" fontId="69" fillId="0" borderId="2" xfId="33" applyNumberFormat="1" applyFont="1" applyBorder="1" applyAlignment="1">
      <alignment horizontal="center"/>
    </xf>
    <xf numFmtId="3" fontId="69" fillId="0" borderId="9" xfId="0" applyNumberFormat="1" applyFont="1" applyBorder="1" applyAlignment="1">
      <alignment horizontal="center"/>
    </xf>
    <xf numFmtId="10" fontId="34" fillId="0" borderId="14" xfId="40" applyNumberFormat="1" applyFont="1" applyFill="1" applyBorder="1" applyAlignment="1">
      <alignment horizontal="center" vertical="center"/>
    </xf>
    <xf numFmtId="166" fontId="37" fillId="0" borderId="12" xfId="33" applyNumberFormat="1" applyFont="1" applyFill="1" applyBorder="1" applyAlignment="1">
      <alignment horizontal="center" vertical="center"/>
    </xf>
    <xf numFmtId="166" fontId="37" fillId="0" borderId="15" xfId="33" applyNumberFormat="1" applyFont="1" applyFill="1" applyBorder="1" applyAlignment="1">
      <alignment horizontal="center" vertical="center"/>
    </xf>
    <xf numFmtId="9" fontId="45" fillId="37" borderId="81" xfId="40" applyFont="1" applyFill="1" applyBorder="1" applyAlignment="1">
      <alignment horizontal="center" vertical="center"/>
    </xf>
    <xf numFmtId="10" fontId="36" fillId="37" borderId="83" xfId="40" applyNumberFormat="1" applyFont="1" applyFill="1" applyBorder="1" applyAlignment="1">
      <alignment horizontal="center" vertical="center"/>
    </xf>
    <xf numFmtId="175" fontId="25" fillId="0" borderId="75" xfId="0" applyNumberFormat="1" applyFont="1" applyFill="1" applyBorder="1" applyAlignment="1">
      <alignment horizontal="center" vertical="center"/>
    </xf>
    <xf numFmtId="171" fontId="25" fillId="0" borderId="75" xfId="33" applyNumberFormat="1" applyFont="1" applyFill="1" applyBorder="1" applyAlignment="1">
      <alignment horizontal="center" vertical="center"/>
    </xf>
    <xf numFmtId="166" fontId="25" fillId="0" borderId="75" xfId="33" applyNumberFormat="1" applyFont="1" applyFill="1" applyBorder="1" applyAlignment="1">
      <alignment horizontal="center" vertical="center"/>
    </xf>
    <xf numFmtId="10" fontId="25" fillId="0" borderId="75" xfId="40" applyNumberFormat="1" applyFont="1" applyFill="1" applyBorder="1" applyAlignment="1">
      <alignment horizontal="center" vertical="center"/>
    </xf>
    <xf numFmtId="0" fontId="25" fillId="0" borderId="75" xfId="0" applyFont="1" applyFill="1" applyBorder="1" applyAlignment="1">
      <alignment horizontal="center" vertical="center"/>
    </xf>
    <xf numFmtId="174" fontId="25" fillId="0" borderId="75" xfId="0" applyNumberFormat="1" applyFont="1" applyFill="1" applyBorder="1" applyAlignment="1">
      <alignment vertical="center"/>
    </xf>
    <xf numFmtId="166" fontId="25" fillId="0" borderId="76" xfId="33" applyNumberFormat="1" applyFont="1" applyFill="1" applyBorder="1" applyAlignment="1">
      <alignment vertical="center"/>
    </xf>
    <xf numFmtId="166" fontId="25" fillId="0" borderId="84" xfId="33" applyNumberFormat="1" applyFont="1" applyFill="1" applyBorder="1" applyAlignment="1">
      <alignment vertical="center"/>
    </xf>
    <xf numFmtId="3" fontId="25" fillId="0" borderId="97" xfId="33" applyNumberFormat="1" applyFont="1" applyFill="1" applyBorder="1" applyAlignment="1">
      <alignment horizontal="center" vertical="center"/>
    </xf>
    <xf numFmtId="166" fontId="37" fillId="0" borderId="10" xfId="33" applyNumberFormat="1" applyFont="1" applyFill="1" applyBorder="1" applyAlignment="1">
      <alignment horizontal="center" vertical="center"/>
    </xf>
    <xf numFmtId="3" fontId="24" fillId="0" borderId="46" xfId="33" applyNumberFormat="1" applyFont="1" applyFill="1" applyBorder="1" applyAlignment="1">
      <alignment horizontal="center" vertical="center"/>
    </xf>
    <xf numFmtId="10" fontId="72" fillId="0" borderId="0" xfId="40" applyNumberFormat="1" applyFont="1" applyFill="1" applyAlignment="1">
      <alignment vertical="center"/>
    </xf>
    <xf numFmtId="0" fontId="69" fillId="64" borderId="75" xfId="0" applyFont="1" applyFill="1" applyBorder="1" applyAlignment="1">
      <alignment horizontal="center"/>
    </xf>
    <xf numFmtId="166" fontId="69" fillId="64" borderId="53" xfId="0" applyNumberFormat="1" applyFont="1" applyFill="1" applyBorder="1" applyAlignment="1">
      <alignment horizontal="center"/>
    </xf>
    <xf numFmtId="166" fontId="69" fillId="64" borderId="80" xfId="0" applyNumberFormat="1" applyFont="1" applyFill="1" applyBorder="1" applyAlignment="1">
      <alignment horizontal="center"/>
    </xf>
    <xf numFmtId="165" fontId="73" fillId="0" borderId="2" xfId="33" applyFont="1" applyBorder="1" applyAlignment="1">
      <alignment vertical="center"/>
    </xf>
    <xf numFmtId="10" fontId="73" fillId="0" borderId="53" xfId="40" applyNumberFormat="1" applyFont="1" applyBorder="1" applyAlignment="1">
      <alignment horizontal="left" vertical="center"/>
    </xf>
    <xf numFmtId="175" fontId="73" fillId="0" borderId="53" xfId="0" applyNumberFormat="1" applyFont="1" applyBorder="1" applyAlignment="1">
      <alignment horizontal="center" vertical="center"/>
    </xf>
    <xf numFmtId="166" fontId="73" fillId="33" borderId="53" xfId="33" applyNumberFormat="1" applyFont="1" applyFill="1" applyBorder="1" applyAlignment="1">
      <alignment horizontal="center" vertical="center"/>
    </xf>
    <xf numFmtId="10" fontId="73" fillId="0" borderId="53" xfId="40" applyNumberFormat="1" applyFont="1" applyFill="1" applyBorder="1" applyAlignment="1">
      <alignment horizontal="right" vertical="center"/>
    </xf>
    <xf numFmtId="170" fontId="73" fillId="0" borderId="53" xfId="40" applyNumberFormat="1" applyFont="1" applyBorder="1" applyAlignment="1">
      <alignment horizontal="center" vertical="center"/>
    </xf>
    <xf numFmtId="10" fontId="73" fillId="0" borderId="53" xfId="40" applyNumberFormat="1" applyFont="1" applyBorder="1" applyAlignment="1">
      <alignment horizontal="center" vertical="center"/>
    </xf>
    <xf numFmtId="0" fontId="73" fillId="33" borderId="53" xfId="0" applyFont="1" applyFill="1" applyBorder="1" applyAlignment="1">
      <alignment horizontal="center" vertical="center"/>
    </xf>
    <xf numFmtId="165" fontId="73" fillId="0" borderId="9" xfId="33" applyFont="1" applyBorder="1" applyAlignment="1">
      <alignment vertical="center"/>
    </xf>
    <xf numFmtId="10" fontId="73" fillId="0" borderId="80" xfId="40" applyNumberFormat="1" applyFont="1" applyBorder="1" applyAlignment="1">
      <alignment horizontal="left" vertical="center"/>
    </xf>
    <xf numFmtId="175" fontId="73" fillId="0" borderId="80" xfId="0" applyNumberFormat="1" applyFont="1" applyBorder="1" applyAlignment="1">
      <alignment horizontal="center" vertical="center"/>
    </xf>
    <xf numFmtId="166" fontId="73" fillId="33" borderId="80" xfId="33" applyNumberFormat="1" applyFont="1" applyFill="1" applyBorder="1" applyAlignment="1">
      <alignment horizontal="center" vertical="center"/>
    </xf>
    <xf numFmtId="10" fontId="73" fillId="0" borderId="80" xfId="40" applyNumberFormat="1" applyFont="1" applyFill="1" applyBorder="1" applyAlignment="1">
      <alignment horizontal="right" vertical="center"/>
    </xf>
    <xf numFmtId="170" fontId="73" fillId="0" borderId="80" xfId="40" applyNumberFormat="1" applyFont="1" applyBorder="1" applyAlignment="1">
      <alignment horizontal="center" vertical="center"/>
    </xf>
    <xf numFmtId="10" fontId="73" fillId="0" borderId="80" xfId="40" applyNumberFormat="1" applyFont="1" applyBorder="1" applyAlignment="1">
      <alignment horizontal="center" vertical="center"/>
    </xf>
    <xf numFmtId="0" fontId="73" fillId="33" borderId="80" xfId="0" applyFont="1" applyFill="1" applyBorder="1" applyAlignment="1">
      <alignment horizontal="center" vertical="center"/>
    </xf>
    <xf numFmtId="166" fontId="74" fillId="33" borderId="53" xfId="33" applyNumberFormat="1" applyFont="1" applyFill="1" applyBorder="1" applyAlignment="1">
      <alignment horizontal="center" vertical="center"/>
    </xf>
    <xf numFmtId="165" fontId="73" fillId="0" borderId="1" xfId="33" applyFont="1" applyBorder="1" applyAlignment="1">
      <alignment vertical="center"/>
    </xf>
    <xf numFmtId="10" fontId="73" fillId="0" borderId="6" xfId="40" applyNumberFormat="1" applyFont="1" applyBorder="1" applyAlignment="1">
      <alignment horizontal="left" vertical="center"/>
    </xf>
    <xf numFmtId="175" fontId="73" fillId="0" borderId="6" xfId="0" applyNumberFormat="1" applyFont="1" applyBorder="1" applyAlignment="1">
      <alignment horizontal="center" vertical="center"/>
    </xf>
    <xf numFmtId="166" fontId="74" fillId="33" borderId="6" xfId="33" applyNumberFormat="1" applyFont="1" applyFill="1" applyBorder="1" applyAlignment="1">
      <alignment horizontal="center" vertical="center"/>
    </xf>
    <xf numFmtId="166" fontId="73" fillId="33" borderId="6" xfId="33" applyNumberFormat="1" applyFont="1" applyFill="1" applyBorder="1" applyAlignment="1">
      <alignment horizontal="center" vertical="center"/>
    </xf>
    <xf numFmtId="10" fontId="73" fillId="0" borderId="6" xfId="40" applyNumberFormat="1" applyFont="1" applyFill="1" applyBorder="1" applyAlignment="1">
      <alignment horizontal="right" vertical="center"/>
    </xf>
    <xf numFmtId="170" fontId="73" fillId="0" borderId="6" xfId="40" applyNumberFormat="1" applyFont="1" applyBorder="1" applyAlignment="1">
      <alignment horizontal="center" vertical="center"/>
    </xf>
    <xf numFmtId="10" fontId="73" fillId="0" borderId="6" xfId="40" applyNumberFormat="1" applyFont="1" applyBorder="1" applyAlignment="1">
      <alignment horizontal="center" vertical="center"/>
    </xf>
    <xf numFmtId="0" fontId="73" fillId="33" borderId="6" xfId="0" applyFont="1" applyFill="1" applyBorder="1" applyAlignment="1">
      <alignment horizontal="center" vertical="center"/>
    </xf>
    <xf numFmtId="0" fontId="70" fillId="64" borderId="4" xfId="0" applyFont="1" applyFill="1" applyBorder="1" applyAlignment="1">
      <alignment horizontal="center"/>
    </xf>
    <xf numFmtId="0" fontId="70" fillId="64" borderId="3" xfId="0" applyFont="1" applyFill="1" applyBorder="1" applyAlignment="1">
      <alignment horizontal="center"/>
    </xf>
    <xf numFmtId="165" fontId="69" fillId="0" borderId="0" xfId="33" applyFont="1"/>
    <xf numFmtId="166" fontId="69" fillId="0" borderId="0" xfId="33" applyNumberFormat="1" applyFont="1"/>
    <xf numFmtId="166" fontId="70" fillId="64" borderId="5" xfId="33" applyNumberFormat="1" applyFont="1" applyFill="1" applyBorder="1" applyAlignment="1">
      <alignment horizontal="center"/>
    </xf>
    <xf numFmtId="166" fontId="73" fillId="0" borderId="7" xfId="33" applyNumberFormat="1" applyFont="1" applyBorder="1" applyAlignment="1">
      <alignment vertical="center"/>
    </xf>
    <xf numFmtId="166" fontId="73" fillId="0" borderId="55" xfId="33" applyNumberFormat="1" applyFont="1" applyBorder="1" applyAlignment="1">
      <alignment vertical="center"/>
    </xf>
    <xf numFmtId="166" fontId="73" fillId="0" borderId="84" xfId="33" applyNumberFormat="1" applyFont="1" applyBorder="1" applyAlignment="1">
      <alignment vertical="center"/>
    </xf>
    <xf numFmtId="165" fontId="73" fillId="64" borderId="2" xfId="33" applyFont="1" applyFill="1" applyBorder="1" applyAlignment="1">
      <alignment vertical="center"/>
    </xf>
    <xf numFmtId="10" fontId="73" fillId="64" borderId="53" xfId="40" applyNumberFormat="1" applyFont="1" applyFill="1" applyBorder="1" applyAlignment="1">
      <alignment horizontal="left" vertical="center"/>
    </xf>
    <xf numFmtId="175" fontId="73" fillId="64" borderId="53" xfId="0" applyNumberFormat="1" applyFont="1" applyFill="1" applyBorder="1" applyAlignment="1">
      <alignment horizontal="center" vertical="center"/>
    </xf>
    <xf numFmtId="166" fontId="74" fillId="64" borderId="53" xfId="33" applyNumberFormat="1" applyFont="1" applyFill="1" applyBorder="1" applyAlignment="1">
      <alignment horizontal="center" vertical="center"/>
    </xf>
    <xf numFmtId="166" fontId="73" fillId="64" borderId="53" xfId="33" applyNumberFormat="1" applyFont="1" applyFill="1" applyBorder="1" applyAlignment="1">
      <alignment horizontal="center" vertical="center"/>
    </xf>
    <xf numFmtId="10" fontId="73" fillId="64" borderId="53" xfId="40" applyNumberFormat="1" applyFont="1" applyFill="1" applyBorder="1" applyAlignment="1">
      <alignment horizontal="right" vertical="center"/>
    </xf>
    <xf numFmtId="170" fontId="73" fillId="64" borderId="53" xfId="40" applyNumberFormat="1" applyFont="1" applyFill="1" applyBorder="1" applyAlignment="1">
      <alignment horizontal="center" vertical="center"/>
    </xf>
    <xf numFmtId="10" fontId="73" fillId="64" borderId="53" xfId="40" applyNumberFormat="1" applyFont="1" applyFill="1" applyBorder="1" applyAlignment="1">
      <alignment horizontal="center" vertical="center"/>
    </xf>
    <xf numFmtId="0" fontId="73" fillId="64" borderId="53" xfId="0" applyFont="1" applyFill="1" applyBorder="1" applyAlignment="1">
      <alignment horizontal="center" vertical="center"/>
    </xf>
    <xf numFmtId="166" fontId="73" fillId="64" borderId="55" xfId="33" applyNumberFormat="1" applyFont="1" applyFill="1" applyBorder="1" applyAlignment="1">
      <alignment vertical="center"/>
    </xf>
    <xf numFmtId="165" fontId="69" fillId="0" borderId="0" xfId="33" applyFont="1" applyBorder="1"/>
    <xf numFmtId="0" fontId="71" fillId="64" borderId="98" xfId="0" applyFont="1" applyFill="1" applyBorder="1" applyAlignment="1">
      <alignment horizontal="center"/>
    </xf>
    <xf numFmtId="0" fontId="71" fillId="0" borderId="30" xfId="0" applyFont="1" applyBorder="1"/>
    <xf numFmtId="0" fontId="71" fillId="0" borderId="18" xfId="0" applyFont="1" applyBorder="1" applyAlignment="1">
      <alignment horizontal="center"/>
    </xf>
    <xf numFmtId="0" fontId="71" fillId="0" borderId="18" xfId="0" applyFont="1" applyBorder="1"/>
    <xf numFmtId="10" fontId="32" fillId="0" borderId="11" xfId="40" applyNumberFormat="1" applyFont="1" applyFill="1" applyBorder="1" applyAlignment="1">
      <alignment horizontal="center" vertical="center"/>
    </xf>
    <xf numFmtId="166" fontId="32" fillId="0" borderId="11" xfId="33" applyNumberFormat="1" applyFont="1" applyFill="1" applyBorder="1" applyAlignment="1">
      <alignment horizontal="center" vertical="center"/>
    </xf>
    <xf numFmtId="3" fontId="49" fillId="0" borderId="11" xfId="0" applyNumberFormat="1" applyFont="1" applyFill="1" applyBorder="1" applyAlignment="1">
      <alignment horizontal="center" vertical="center"/>
    </xf>
    <xf numFmtId="10" fontId="34" fillId="0" borderId="10" xfId="40" applyNumberFormat="1" applyFont="1" applyFill="1" applyBorder="1" applyAlignment="1">
      <alignment horizontal="center" vertical="center"/>
    </xf>
    <xf numFmtId="166" fontId="34" fillId="0" borderId="10" xfId="33" applyNumberFormat="1" applyFont="1" applyFill="1" applyBorder="1" applyAlignment="1">
      <alignment horizontal="center" vertical="center"/>
    </xf>
    <xf numFmtId="3" fontId="35" fillId="0" borderId="11" xfId="0" applyNumberFormat="1" applyFont="1" applyFill="1" applyBorder="1" applyAlignment="1">
      <alignment horizontal="center" vertical="center"/>
    </xf>
    <xf numFmtId="172" fontId="30" fillId="0" borderId="10" xfId="35" applyNumberFormat="1" applyFont="1" applyFill="1" applyBorder="1" applyAlignment="1">
      <alignment horizontal="left" vertical="center"/>
    </xf>
    <xf numFmtId="3" fontId="35" fillId="0" borderId="10" xfId="0" applyNumberFormat="1" applyFont="1" applyFill="1" applyBorder="1" applyAlignment="1">
      <alignment horizontal="center" vertical="center"/>
    </xf>
    <xf numFmtId="165" fontId="25" fillId="33" borderId="0" xfId="33" applyNumberFormat="1" applyFont="1" applyFill="1" applyBorder="1" applyAlignment="1">
      <alignment horizontal="center" vertical="center"/>
    </xf>
    <xf numFmtId="10" fontId="34" fillId="0" borderId="11" xfId="0" applyNumberFormat="1" applyFont="1" applyFill="1" applyBorder="1" applyAlignment="1">
      <alignment horizontal="center" vertical="center"/>
    </xf>
    <xf numFmtId="10" fontId="37" fillId="0" borderId="19" xfId="40" applyNumberFormat="1" applyFont="1" applyFill="1" applyBorder="1" applyAlignment="1">
      <alignment horizontal="center" vertical="center"/>
    </xf>
    <xf numFmtId="166" fontId="37" fillId="0" borderId="19" xfId="33" applyNumberFormat="1" applyFont="1" applyFill="1" applyBorder="1" applyAlignment="1">
      <alignment horizontal="center" vertical="center"/>
    </xf>
    <xf numFmtId="164" fontId="32" fillId="0" borderId="16" xfId="35" applyFont="1" applyFill="1" applyBorder="1" applyAlignment="1">
      <alignment horizontal="right" vertical="center"/>
    </xf>
    <xf numFmtId="10" fontId="34" fillId="0" borderId="15" xfId="40" applyNumberFormat="1" applyFont="1" applyFill="1" applyBorder="1" applyAlignment="1">
      <alignment horizontal="center" vertical="center"/>
    </xf>
    <xf numFmtId="10" fontId="37" fillId="0" borderId="12" xfId="40" applyNumberFormat="1" applyFont="1" applyFill="1" applyBorder="1" applyAlignment="1">
      <alignment horizontal="center" vertical="center"/>
    </xf>
    <xf numFmtId="10" fontId="32" fillId="33" borderId="27" xfId="40" applyNumberFormat="1" applyFont="1" applyFill="1" applyBorder="1" applyAlignment="1">
      <alignment horizontal="center" vertical="center"/>
    </xf>
    <xf numFmtId="10" fontId="75" fillId="35" borderId="27" xfId="40" applyNumberFormat="1" applyFont="1" applyFill="1" applyBorder="1" applyAlignment="1">
      <alignment horizontal="center" vertical="center"/>
    </xf>
    <xf numFmtId="166" fontId="75" fillId="35" borderId="27" xfId="33" applyNumberFormat="1" applyFont="1" applyFill="1" applyBorder="1" applyAlignment="1">
      <alignment horizontal="center" vertical="center"/>
    </xf>
    <xf numFmtId="10" fontId="34" fillId="33" borderId="32" xfId="40" applyNumberFormat="1" applyFont="1" applyFill="1" applyBorder="1" applyAlignment="1">
      <alignment horizontal="center" vertical="center"/>
    </xf>
    <xf numFmtId="166" fontId="34" fillId="33" borderId="27" xfId="33" applyNumberFormat="1" applyFont="1" applyFill="1" applyBorder="1" applyAlignment="1">
      <alignment horizontal="center" vertical="center"/>
    </xf>
    <xf numFmtId="10" fontId="75" fillId="35" borderId="18" xfId="40" applyNumberFormat="1" applyFont="1" applyFill="1" applyBorder="1" applyAlignment="1">
      <alignment horizontal="center" vertical="center"/>
    </xf>
    <xf numFmtId="166" fontId="75" fillId="35" borderId="18" xfId="33" applyNumberFormat="1" applyFont="1" applyFill="1" applyBorder="1" applyAlignment="1">
      <alignment horizontal="center" vertical="center"/>
    </xf>
    <xf numFmtId="10" fontId="34" fillId="33" borderId="12" xfId="40" applyNumberFormat="1" applyFont="1" applyFill="1" applyBorder="1" applyAlignment="1">
      <alignment horizontal="center" vertical="center"/>
    </xf>
    <xf numFmtId="10" fontId="32" fillId="33" borderId="11" xfId="0" applyNumberFormat="1" applyFont="1" applyFill="1" applyBorder="1" applyAlignment="1">
      <alignment horizontal="center" vertical="center"/>
    </xf>
    <xf numFmtId="10" fontId="32" fillId="0" borderId="10" xfId="0" applyNumberFormat="1" applyFont="1" applyFill="1" applyBorder="1" applyAlignment="1">
      <alignment horizontal="center" vertical="center"/>
    </xf>
    <xf numFmtId="166" fontId="32" fillId="33" borderId="26" xfId="33" applyNumberFormat="1" applyFont="1" applyFill="1" applyBorder="1" applyAlignment="1">
      <alignment horizontal="center" vertical="center"/>
    </xf>
    <xf numFmtId="10" fontId="34" fillId="0" borderId="13" xfId="40" applyNumberFormat="1" applyFont="1" applyFill="1" applyBorder="1" applyAlignment="1">
      <alignment horizontal="center" vertical="center"/>
    </xf>
    <xf numFmtId="10" fontId="32" fillId="0" borderId="10" xfId="40" applyNumberFormat="1" applyFont="1" applyFill="1" applyBorder="1" applyAlignment="1">
      <alignment horizontal="center" vertical="center"/>
    </xf>
    <xf numFmtId="166" fontId="32" fillId="0" borderId="10" xfId="33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52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168" fontId="24" fillId="0" borderId="0" xfId="0" applyNumberFormat="1" applyFont="1" applyBorder="1" applyAlignment="1">
      <alignment horizontal="center" vertical="center"/>
    </xf>
    <xf numFmtId="166" fontId="25" fillId="0" borderId="34" xfId="0" applyNumberFormat="1" applyFont="1" applyBorder="1" applyAlignment="1">
      <alignment horizontal="right" vertical="center"/>
    </xf>
    <xf numFmtId="0" fontId="33" fillId="35" borderId="20" xfId="0" applyFont="1" applyFill="1" applyBorder="1" applyAlignment="1">
      <alignment horizontal="center" vertical="center"/>
    </xf>
    <xf numFmtId="0" fontId="33" fillId="35" borderId="33" xfId="0" applyFont="1" applyFill="1" applyBorder="1" applyAlignment="1">
      <alignment horizontal="center" vertical="center"/>
    </xf>
    <xf numFmtId="0" fontId="33" fillId="35" borderId="30" xfId="0" applyFont="1" applyFill="1" applyBorder="1" applyAlignment="1">
      <alignment horizontal="center" vertical="center"/>
    </xf>
    <xf numFmtId="0" fontId="33" fillId="35" borderId="35" xfId="0" applyFont="1" applyFill="1" applyBorder="1" applyAlignment="1">
      <alignment horizontal="center" vertical="center"/>
    </xf>
    <xf numFmtId="0" fontId="33" fillId="35" borderId="34" xfId="0" applyFont="1" applyFill="1" applyBorder="1" applyAlignment="1">
      <alignment horizontal="center" vertical="center"/>
    </xf>
    <xf numFmtId="0" fontId="33" fillId="35" borderId="36" xfId="0" applyFont="1" applyFill="1" applyBorder="1" applyAlignment="1">
      <alignment horizontal="center" vertical="center"/>
    </xf>
    <xf numFmtId="0" fontId="24" fillId="35" borderId="20" xfId="0" applyFont="1" applyFill="1" applyBorder="1" applyAlignment="1">
      <alignment horizontal="center" vertical="center"/>
    </xf>
    <xf numFmtId="0" fontId="24" fillId="35" borderId="33" xfId="0" applyFont="1" applyFill="1" applyBorder="1" applyAlignment="1">
      <alignment horizontal="center" vertical="center"/>
    </xf>
    <xf numFmtId="0" fontId="33" fillId="35" borderId="31" xfId="0" applyFont="1" applyFill="1" applyBorder="1" applyAlignment="1">
      <alignment horizontal="center" vertical="center"/>
    </xf>
    <xf numFmtId="0" fontId="33" fillId="35" borderId="0" xfId="0" applyFont="1" applyFill="1" applyBorder="1" applyAlignment="1">
      <alignment horizontal="center" vertical="center"/>
    </xf>
    <xf numFmtId="0" fontId="33" fillId="35" borderId="51" xfId="0" applyFont="1" applyFill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33" borderId="0" xfId="0" applyFont="1" applyFill="1" applyBorder="1" applyAlignment="1">
      <alignment horizontal="center" vertical="center"/>
    </xf>
    <xf numFmtId="0" fontId="24" fillId="35" borderId="29" xfId="0" applyFont="1" applyFill="1" applyBorder="1" applyAlignment="1">
      <alignment horizontal="center" vertical="center"/>
    </xf>
    <xf numFmtId="0" fontId="24" fillId="35" borderId="24" xfId="0" applyFont="1" applyFill="1" applyBorder="1" applyAlignment="1">
      <alignment horizontal="center" vertical="center"/>
    </xf>
    <xf numFmtId="166" fontId="24" fillId="35" borderId="32" xfId="33" applyNumberFormat="1" applyFont="1" applyFill="1" applyBorder="1" applyAlignment="1">
      <alignment horizontal="center" vertical="center"/>
    </xf>
    <xf numFmtId="166" fontId="24" fillId="35" borderId="46" xfId="33" applyNumberFormat="1" applyFont="1" applyFill="1" applyBorder="1" applyAlignment="1">
      <alignment horizontal="center" vertical="center"/>
    </xf>
    <xf numFmtId="166" fontId="24" fillId="35" borderId="26" xfId="33" applyNumberFormat="1" applyFont="1" applyFill="1" applyBorder="1" applyAlignment="1">
      <alignment horizontal="center" vertical="center"/>
    </xf>
    <xf numFmtId="0" fontId="24" fillId="35" borderId="30" xfId="0" applyFont="1" applyFill="1" applyBorder="1" applyAlignment="1">
      <alignment horizontal="center" vertical="center"/>
    </xf>
    <xf numFmtId="0" fontId="33" fillId="35" borderId="74" xfId="0" applyFont="1" applyFill="1" applyBorder="1" applyAlignment="1">
      <alignment horizontal="center" vertical="center"/>
    </xf>
    <xf numFmtId="0" fontId="33" fillId="35" borderId="75" xfId="0" applyFont="1" applyFill="1" applyBorder="1" applyAlignment="1">
      <alignment horizontal="center" vertical="center"/>
    </xf>
    <xf numFmtId="0" fontId="33" fillId="35" borderId="76" xfId="0" applyFont="1" applyFill="1" applyBorder="1" applyAlignment="1">
      <alignment horizontal="center" vertical="center"/>
    </xf>
    <xf numFmtId="0" fontId="46" fillId="0" borderId="96" xfId="0" applyFont="1" applyFill="1" applyBorder="1" applyAlignment="1">
      <alignment horizontal="center" vertical="center"/>
    </xf>
    <xf numFmtId="0" fontId="46" fillId="0" borderId="48" xfId="0" applyFont="1" applyFill="1" applyBorder="1" applyAlignment="1">
      <alignment horizontal="center" vertical="center"/>
    </xf>
    <xf numFmtId="0" fontId="46" fillId="0" borderId="25" xfId="0" applyFont="1" applyFill="1" applyBorder="1" applyAlignment="1">
      <alignment horizontal="center" vertical="center"/>
    </xf>
    <xf numFmtId="0" fontId="48" fillId="0" borderId="95" xfId="0" applyFont="1" applyFill="1" applyBorder="1" applyAlignment="1">
      <alignment horizontal="center" vertical="center"/>
    </xf>
    <xf numFmtId="0" fontId="48" fillId="0" borderId="47" xfId="0" applyFont="1" applyFill="1" applyBorder="1" applyAlignment="1">
      <alignment horizontal="center" vertical="center"/>
    </xf>
    <xf numFmtId="0" fontId="48" fillId="0" borderId="29" xfId="0" applyFont="1" applyFill="1" applyBorder="1" applyAlignment="1">
      <alignment horizontal="center" vertical="center"/>
    </xf>
    <xf numFmtId="0" fontId="28" fillId="35" borderId="20" xfId="0" applyFont="1" applyFill="1" applyBorder="1" applyAlignment="1">
      <alignment horizontal="center" vertical="center"/>
    </xf>
    <xf numFmtId="0" fontId="28" fillId="35" borderId="33" xfId="0" applyFont="1" applyFill="1" applyBorder="1" applyAlignment="1">
      <alignment horizontal="center" vertical="center"/>
    </xf>
    <xf numFmtId="0" fontId="28" fillId="35" borderId="30" xfId="0" applyFont="1" applyFill="1" applyBorder="1" applyAlignment="1">
      <alignment horizontal="center" vertical="center"/>
    </xf>
    <xf numFmtId="0" fontId="28" fillId="35" borderId="35" xfId="0" applyFont="1" applyFill="1" applyBorder="1" applyAlignment="1">
      <alignment horizontal="center" vertical="center"/>
    </xf>
    <xf numFmtId="0" fontId="28" fillId="35" borderId="34" xfId="0" applyFont="1" applyFill="1" applyBorder="1" applyAlignment="1">
      <alignment horizontal="center" vertical="center"/>
    </xf>
    <xf numFmtId="0" fontId="28" fillId="35" borderId="36" xfId="0" applyFont="1" applyFill="1" applyBorder="1" applyAlignment="1">
      <alignment horizontal="center" vertical="center"/>
    </xf>
    <xf numFmtId="0" fontId="26" fillId="0" borderId="32" xfId="0" applyFont="1" applyBorder="1" applyAlignment="1">
      <alignment horizontal="left" vertical="center"/>
    </xf>
    <xf numFmtId="0" fontId="26" fillId="0" borderId="46" xfId="0" applyFont="1" applyBorder="1" applyAlignment="1">
      <alignment horizontal="left" vertical="center"/>
    </xf>
    <xf numFmtId="0" fontId="26" fillId="0" borderId="26" xfId="0" applyFont="1" applyBorder="1" applyAlignment="1">
      <alignment horizontal="left" vertical="center"/>
    </xf>
    <xf numFmtId="0" fontId="5" fillId="36" borderId="0" xfId="0" applyFont="1" applyFill="1" applyBorder="1" applyAlignment="1">
      <alignment horizontal="center"/>
    </xf>
    <xf numFmtId="0" fontId="5" fillId="35" borderId="29" xfId="0" applyFont="1" applyFill="1" applyBorder="1" applyAlignment="1">
      <alignment horizontal="left"/>
    </xf>
    <xf numFmtId="0" fontId="5" fillId="35" borderId="24" xfId="0" applyFont="1" applyFill="1" applyBorder="1" applyAlignment="1">
      <alignment horizontal="left"/>
    </xf>
    <xf numFmtId="0" fontId="70" fillId="0" borderId="0" xfId="0" applyFont="1" applyAlignment="1">
      <alignment horizontal="center"/>
    </xf>
    <xf numFmtId="0" fontId="40" fillId="38" borderId="56" xfId="0" applyFont="1" applyFill="1" applyBorder="1" applyAlignment="1">
      <alignment horizontal="right" vertical="center" wrapText="1"/>
    </xf>
    <xf numFmtId="0" fontId="40" fillId="38" borderId="60" xfId="0" applyFont="1" applyFill="1" applyBorder="1" applyAlignment="1">
      <alignment horizontal="right" vertical="center" wrapText="1"/>
    </xf>
    <xf numFmtId="0" fontId="40" fillId="38" borderId="61" xfId="0" applyFont="1" applyFill="1" applyBorder="1" applyAlignment="1">
      <alignment horizontal="right" vertical="center" wrapText="1"/>
    </xf>
    <xf numFmtId="0" fontId="41" fillId="39" borderId="66" xfId="0" applyFont="1" applyFill="1" applyBorder="1" applyAlignment="1">
      <alignment wrapText="1"/>
    </xf>
    <xf numFmtId="0" fontId="41" fillId="39" borderId="67" xfId="0" applyFont="1" applyFill="1" applyBorder="1" applyAlignment="1">
      <alignment wrapText="1"/>
    </xf>
    <xf numFmtId="0" fontId="42" fillId="38" borderId="68" xfId="0" applyFont="1" applyFill="1" applyBorder="1" applyAlignment="1">
      <alignment horizontal="center" vertical="top" wrapText="1"/>
    </xf>
    <xf numFmtId="0" fontId="42" fillId="38" borderId="69" xfId="0" applyFont="1" applyFill="1" applyBorder="1" applyAlignment="1">
      <alignment horizontal="center" vertical="top" wrapText="1"/>
    </xf>
    <xf numFmtId="0" fontId="42" fillId="38" borderId="70" xfId="0" applyFont="1" applyFill="1" applyBorder="1" applyAlignment="1">
      <alignment horizontal="center" vertical="top" wrapText="1"/>
    </xf>
  </cellXfs>
  <cellStyles count="148">
    <cellStyle name="20% - Accent1" xfId="72"/>
    <cellStyle name="20% - Accent1 2" xfId="73"/>
    <cellStyle name="20% - Accent2" xfId="74"/>
    <cellStyle name="20% - Accent2 2" xfId="75"/>
    <cellStyle name="20% - Accent3" xfId="76"/>
    <cellStyle name="20% - Accent3 2" xfId="77"/>
    <cellStyle name="20% - Accent4" xfId="78"/>
    <cellStyle name="20% - Accent4 2" xfId="79"/>
    <cellStyle name="20% - Accent5" xfId="80"/>
    <cellStyle name="20% - Accent5 2" xfId="81"/>
    <cellStyle name="20% - Accent6" xfId="82"/>
    <cellStyle name="20% - Accent6 2" xfId="83"/>
    <cellStyle name="20% - Énfasis1" xfId="1" builtinId="30" customBuiltin="1"/>
    <cellStyle name="20% - Énfasis1 2" xfId="51"/>
    <cellStyle name="20% - Énfasis1 3" xfId="84"/>
    <cellStyle name="20% - Énfasis2" xfId="2" builtinId="34" customBuiltin="1"/>
    <cellStyle name="20% - Énfasis2 2" xfId="52"/>
    <cellStyle name="20% - Énfasis2 3" xfId="85"/>
    <cellStyle name="20% - Énfasis3" xfId="3" builtinId="38" customBuiltin="1"/>
    <cellStyle name="20% - Énfasis3 2" xfId="53"/>
    <cellStyle name="20% - Énfasis3 3" xfId="86"/>
    <cellStyle name="20% - Énfasis4" xfId="4" builtinId="42" customBuiltin="1"/>
    <cellStyle name="20% - Énfasis4 2" xfId="54"/>
    <cellStyle name="20% - Énfasis4 3" xfId="87"/>
    <cellStyle name="20% - Énfasis5" xfId="5" builtinId="46" customBuiltin="1"/>
    <cellStyle name="20% - Énfasis5 2" xfId="55"/>
    <cellStyle name="20% - Énfasis5 3" xfId="88"/>
    <cellStyle name="20% - Énfasis6" xfId="6" builtinId="50" customBuiltin="1"/>
    <cellStyle name="20% - Énfasis6 2" xfId="56"/>
    <cellStyle name="20% - Énfasis6 3" xfId="89"/>
    <cellStyle name="40% - Accent1" xfId="90"/>
    <cellStyle name="40% - Accent1 2" xfId="91"/>
    <cellStyle name="40% - Accent2" xfId="92"/>
    <cellStyle name="40% - Accent2 2" xfId="93"/>
    <cellStyle name="40% - Accent3" xfId="94"/>
    <cellStyle name="40% - Accent3 2" xfId="95"/>
    <cellStyle name="40% - Accent4" xfId="96"/>
    <cellStyle name="40% - Accent4 2" xfId="97"/>
    <cellStyle name="40% - Accent5" xfId="98"/>
    <cellStyle name="40% - Accent5 2" xfId="99"/>
    <cellStyle name="40% - Accent6" xfId="100"/>
    <cellStyle name="40% - Accent6 2" xfId="101"/>
    <cellStyle name="40% - Énfasis1" xfId="7" builtinId="31" customBuiltin="1"/>
    <cellStyle name="40% - Énfasis1 2" xfId="57"/>
    <cellStyle name="40% - Énfasis1 3" xfId="102"/>
    <cellStyle name="40% - Énfasis2" xfId="8" builtinId="35" customBuiltin="1"/>
    <cellStyle name="40% - Énfasis2 2" xfId="58"/>
    <cellStyle name="40% - Énfasis2 3" xfId="103"/>
    <cellStyle name="40% - Énfasis3" xfId="9" builtinId="39" customBuiltin="1"/>
    <cellStyle name="40% - Énfasis3 2" xfId="59"/>
    <cellStyle name="40% - Énfasis3 3" xfId="104"/>
    <cellStyle name="40% - Énfasis4" xfId="10" builtinId="43" customBuiltin="1"/>
    <cellStyle name="40% - Énfasis4 2" xfId="60"/>
    <cellStyle name="40% - Énfasis4 3" xfId="105"/>
    <cellStyle name="40% - Énfasis5" xfId="11" builtinId="47" customBuiltin="1"/>
    <cellStyle name="40% - Énfasis5 2" xfId="61"/>
    <cellStyle name="40% - Énfasis5 3" xfId="106"/>
    <cellStyle name="40% - Énfasis6" xfId="12" builtinId="51" customBuiltin="1"/>
    <cellStyle name="40% - Énfasis6 2" xfId="62"/>
    <cellStyle name="40% - Énfasis6 3" xfId="107"/>
    <cellStyle name="60% - Accent1" xfId="108"/>
    <cellStyle name="60% - Accent2" xfId="109"/>
    <cellStyle name="60% - Accent3" xfId="110"/>
    <cellStyle name="60% - Accent4" xfId="111"/>
    <cellStyle name="60% - Accent5" xfId="112"/>
    <cellStyle name="60% - Accent6" xfId="113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Accent1" xfId="114"/>
    <cellStyle name="Accent2" xfId="115"/>
    <cellStyle name="Accent3" xfId="116"/>
    <cellStyle name="Accent4" xfId="117"/>
    <cellStyle name="Accent5" xfId="118"/>
    <cellStyle name="Accent6" xfId="119"/>
    <cellStyle name="Bad" xfId="120"/>
    <cellStyle name="Buena" xfId="19" builtinId="26" customBuiltin="1"/>
    <cellStyle name="Calculation" xfId="121"/>
    <cellStyle name="Cálculo" xfId="20" builtinId="22" customBuiltin="1"/>
    <cellStyle name="Celda de comprobación" xfId="21" builtinId="23" customBuiltin="1"/>
    <cellStyle name="Celda vinculada" xfId="22" builtinId="24" customBuiltin="1"/>
    <cellStyle name="Check Cell" xfId="122"/>
    <cellStyle name="Encabezado 1" xfId="7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uro" xfId="31"/>
    <cellStyle name="Explanatory Text" xfId="123"/>
    <cellStyle name="Good" xfId="124"/>
    <cellStyle name="Heading 1" xfId="125"/>
    <cellStyle name="Heading 2" xfId="126"/>
    <cellStyle name="Heading 3" xfId="127"/>
    <cellStyle name="Heading 4" xfId="128"/>
    <cellStyle name="Hipervínculo 2" xfId="129"/>
    <cellStyle name="Incorrecto" xfId="32" builtinId="27" customBuiltin="1"/>
    <cellStyle name="Input" xfId="130"/>
    <cellStyle name="Linked Cell" xfId="131"/>
    <cellStyle name="Millares" xfId="33" builtinId="3"/>
    <cellStyle name="Millares 2" xfId="34"/>
    <cellStyle name="Millares 2 2" xfId="64"/>
    <cellStyle name="Millares 2 3" xfId="133"/>
    <cellStyle name="Millares 3" xfId="63"/>
    <cellStyle name="Millares 4" xfId="132"/>
    <cellStyle name="Moneda" xfId="35" builtinId="4"/>
    <cellStyle name="Moneda 2" xfId="36"/>
    <cellStyle name="Moneda 2 2" xfId="135"/>
    <cellStyle name="Moneda 3" xfId="65"/>
    <cellStyle name="Moneda 4" xfId="134"/>
    <cellStyle name="Neutral" xfId="37" builtinId="28" customBuiltin="1"/>
    <cellStyle name="Neutral 2" xfId="136"/>
    <cellStyle name="Normal" xfId="0" builtinId="0"/>
    <cellStyle name="Normal 2" xfId="38"/>
    <cellStyle name="Normal 2 2" xfId="66"/>
    <cellStyle name="Normal 2 3" xfId="138"/>
    <cellStyle name="Normal 2 4" xfId="137"/>
    <cellStyle name="Normal 3" xfId="49"/>
    <cellStyle name="Normal 3 2" xfId="139"/>
    <cellStyle name="Normal 4" xfId="50"/>
    <cellStyle name="Normal 5" xfId="71"/>
    <cellStyle name="Notas 2" xfId="39"/>
    <cellStyle name="Notas 3" xfId="67"/>
    <cellStyle name="Notas 4" xfId="140"/>
    <cellStyle name="Note" xfId="141"/>
    <cellStyle name="Note 2" xfId="142"/>
    <cellStyle name="Output" xfId="143"/>
    <cellStyle name="Porcentaje" xfId="40" builtinId="5"/>
    <cellStyle name="Porcentaje 2" xfId="41"/>
    <cellStyle name="Porcentaje 3" xfId="68"/>
    <cellStyle name="Porcentaje 4" xfId="144"/>
    <cellStyle name="Salida" xfId="42" builtinId="21" customBuiltin="1"/>
    <cellStyle name="Texto de advertencia" xfId="43" builtinId="11" customBuiltin="1"/>
    <cellStyle name="Texto explicativo" xfId="44" builtinId="53" customBuiltin="1"/>
    <cellStyle name="Title" xfId="145"/>
    <cellStyle name="Título" xfId="45" builtinId="15" customBuiltin="1"/>
    <cellStyle name="Título 2" xfId="46" builtinId="17" customBuiltin="1"/>
    <cellStyle name="Título 3" xfId="47" builtinId="18" customBuiltin="1"/>
    <cellStyle name="Título 4" xfId="69"/>
    <cellStyle name="Total" xfId="48" builtinId="25" customBuiltin="1"/>
    <cellStyle name="Total 2" xfId="146"/>
    <cellStyle name="Warning Text" xfId="147"/>
  </cellStyles>
  <dxfs count="8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</dxfs>
  <tableStyles count="0" defaultTableStyle="TableStyleMedium9" defaultPivotStyle="PivotStyleLight16"/>
  <colors>
    <mruColors>
      <color rgb="FF00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eraalicia_backup\Vera%20Alicia\veraalicia\Documents\Cheques%20Girados%20y%20Cobrados%20A&#241;o%202017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gota"/>
      <sheetName val="Cobro Bogota"/>
      <sheetName val="HelmBank"/>
      <sheetName val="CobroHelm"/>
      <sheetName val="Consolidado"/>
    </sheetNames>
    <sheetDataSet>
      <sheetData sheetId="0"/>
      <sheetData sheetId="1"/>
      <sheetData sheetId="2"/>
      <sheetData sheetId="3"/>
      <sheetData sheetId="4">
        <row r="4">
          <cell r="C4">
            <v>53.42</v>
          </cell>
        </row>
        <row r="5">
          <cell r="C5">
            <v>6542.9309999999996</v>
          </cell>
        </row>
        <row r="15">
          <cell r="C15">
            <v>100523.845</v>
          </cell>
        </row>
        <row r="16">
          <cell r="C16">
            <v>185183.432</v>
          </cell>
        </row>
        <row r="17">
          <cell r="C17">
            <v>26463.109</v>
          </cell>
        </row>
        <row r="18">
          <cell r="C18">
            <v>19822.266</v>
          </cell>
        </row>
        <row r="19">
          <cell r="C19">
            <v>112590.995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06"/>
  <sheetViews>
    <sheetView showGridLines="0" tabSelected="1" topLeftCell="B1" zoomScale="30" zoomScaleNormal="30" workbookViewId="0">
      <selection activeCell="L61" sqref="L61"/>
    </sheetView>
  </sheetViews>
  <sheetFormatPr baseColWidth="10" defaultColWidth="11.42578125" defaultRowHeight="20.100000000000001" customHeight="1" x14ac:dyDescent="0.2"/>
  <cols>
    <col min="1" max="1" width="112.7109375" style="22" customWidth="1"/>
    <col min="2" max="2" width="61.28515625" style="22" customWidth="1"/>
    <col min="3" max="3" width="64.140625" style="22" customWidth="1"/>
    <col min="4" max="4" width="60.140625" style="108" customWidth="1"/>
    <col min="5" max="5" width="54.140625" style="109" customWidth="1"/>
    <col min="6" max="6" width="58.7109375" style="23" customWidth="1"/>
    <col min="7" max="7" width="49.42578125" style="23" customWidth="1"/>
    <col min="8" max="8" width="44.42578125" style="110" customWidth="1"/>
    <col min="9" max="9" width="46.5703125" style="108" customWidth="1"/>
    <col min="10" max="10" width="47" style="108" customWidth="1"/>
    <col min="11" max="11" width="48.7109375" style="24" customWidth="1"/>
    <col min="12" max="12" width="47.28515625" style="24" customWidth="1"/>
    <col min="13" max="13" width="58.28515625" style="22" customWidth="1"/>
    <col min="14" max="14" width="47" style="22" bestFit="1" customWidth="1"/>
    <col min="15" max="15" width="32.28515625" style="29" bestFit="1" customWidth="1"/>
    <col min="16" max="16" width="26.5703125" style="22" bestFit="1" customWidth="1"/>
    <col min="17" max="17" width="41.5703125" style="22" bestFit="1" customWidth="1"/>
    <col min="18" max="18" width="17.28515625" style="22" bestFit="1" customWidth="1"/>
    <col min="19" max="16384" width="11.42578125" style="22"/>
  </cols>
  <sheetData>
    <row r="1" spans="1:15" ht="48" customHeight="1" x14ac:dyDescent="0.2">
      <c r="A1" s="551" t="s">
        <v>78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551"/>
    </row>
    <row r="2" spans="1:15" ht="20.100000000000001" customHeight="1" x14ac:dyDescent="0.2">
      <c r="D2" s="22"/>
      <c r="E2" s="22"/>
      <c r="F2" s="221"/>
      <c r="G2" s="108"/>
      <c r="H2" s="109"/>
      <c r="I2" s="23"/>
      <c r="J2" s="110"/>
      <c r="K2" s="193"/>
    </row>
    <row r="3" spans="1:15" ht="34.5" customHeight="1" x14ac:dyDescent="0.2">
      <c r="A3" s="551" t="s">
        <v>82</v>
      </c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</row>
    <row r="4" spans="1:15" ht="20.100000000000001" customHeight="1" x14ac:dyDescent="0.2">
      <c r="A4" s="106"/>
      <c r="B4" s="552"/>
      <c r="C4" s="552"/>
      <c r="D4" s="552"/>
      <c r="E4" s="552"/>
      <c r="F4" s="552"/>
      <c r="G4" s="552"/>
      <c r="H4" s="552"/>
      <c r="I4" s="552"/>
      <c r="J4" s="552"/>
      <c r="K4" s="552"/>
      <c r="L4" s="552"/>
    </row>
    <row r="5" spans="1:15" ht="30" customHeight="1" x14ac:dyDescent="0.2">
      <c r="A5" s="532" t="s">
        <v>81</v>
      </c>
      <c r="B5" s="532"/>
      <c r="C5" s="532"/>
      <c r="D5" s="532"/>
      <c r="E5" s="532"/>
      <c r="F5" s="532"/>
      <c r="G5" s="532"/>
      <c r="H5" s="532"/>
      <c r="I5" s="532"/>
      <c r="J5" s="532"/>
      <c r="K5" s="532"/>
      <c r="L5" s="532"/>
    </row>
    <row r="6" spans="1:15" ht="20.100000000000001" customHeight="1" x14ac:dyDescent="0.2">
      <c r="A6" s="553"/>
      <c r="B6" s="553"/>
      <c r="C6" s="553"/>
      <c r="D6" s="553"/>
      <c r="E6" s="553"/>
      <c r="F6" s="553"/>
      <c r="G6" s="553"/>
      <c r="H6" s="553"/>
      <c r="I6" s="553"/>
      <c r="J6" s="553"/>
      <c r="K6" s="553"/>
      <c r="L6" s="553"/>
    </row>
    <row r="7" spans="1:15" ht="54" customHeight="1" x14ac:dyDescent="0.2">
      <c r="A7" s="532" t="s">
        <v>79</v>
      </c>
      <c r="B7" s="532"/>
      <c r="C7" s="532"/>
      <c r="D7" s="532"/>
      <c r="E7" s="532"/>
      <c r="F7" s="532"/>
      <c r="G7" s="532"/>
      <c r="H7" s="532"/>
      <c r="I7" s="532"/>
      <c r="J7" s="532"/>
      <c r="K7" s="532"/>
      <c r="L7" s="532"/>
    </row>
    <row r="8" spans="1:15" ht="49.5" customHeight="1" x14ac:dyDescent="0.2">
      <c r="A8" s="537">
        <v>43091</v>
      </c>
      <c r="B8" s="537"/>
      <c r="C8" s="537"/>
      <c r="D8" s="537"/>
      <c r="E8" s="537"/>
      <c r="F8" s="537"/>
      <c r="G8" s="537"/>
      <c r="H8" s="537"/>
      <c r="I8" s="537"/>
      <c r="J8" s="537"/>
      <c r="K8" s="537"/>
      <c r="L8" s="537"/>
      <c r="M8" s="25"/>
    </row>
    <row r="9" spans="1:15" ht="46.5" customHeight="1" thickBot="1" x14ac:dyDescent="0.25">
      <c r="A9" s="106"/>
      <c r="B9" s="111"/>
      <c r="C9" s="111"/>
      <c r="D9" s="311"/>
      <c r="E9" s="112"/>
      <c r="F9" s="222"/>
      <c r="G9" s="113"/>
      <c r="H9" s="111"/>
      <c r="I9" s="106"/>
      <c r="J9" s="106"/>
      <c r="K9" s="216"/>
      <c r="M9" s="277"/>
    </row>
    <row r="10" spans="1:15" ht="39.75" thickBot="1" x14ac:dyDescent="0.25">
      <c r="A10" s="114" t="s">
        <v>17</v>
      </c>
      <c r="B10" s="114" t="s">
        <v>19</v>
      </c>
      <c r="C10" s="114" t="s">
        <v>20</v>
      </c>
      <c r="D10" s="114" t="s">
        <v>21</v>
      </c>
      <c r="E10" s="114" t="s">
        <v>50</v>
      </c>
      <c r="F10" s="223" t="s">
        <v>84</v>
      </c>
      <c r="G10" s="114" t="s">
        <v>22</v>
      </c>
      <c r="H10" s="114" t="s">
        <v>23</v>
      </c>
      <c r="I10" s="114" t="s">
        <v>24</v>
      </c>
      <c r="J10" s="114" t="s">
        <v>50</v>
      </c>
      <c r="K10" s="114" t="s">
        <v>137</v>
      </c>
      <c r="L10" s="114" t="s">
        <v>33</v>
      </c>
    </row>
    <row r="11" spans="1:15" ht="39.75" thickBot="1" x14ac:dyDescent="0.25">
      <c r="A11" s="539" t="s">
        <v>30</v>
      </c>
      <c r="B11" s="540"/>
      <c r="C11" s="540"/>
      <c r="D11" s="540"/>
      <c r="E11" s="540"/>
      <c r="F11" s="540"/>
      <c r="G11" s="540"/>
      <c r="H11" s="540"/>
      <c r="I11" s="540"/>
      <c r="J11" s="540"/>
      <c r="K11" s="540"/>
      <c r="L11" s="541"/>
    </row>
    <row r="12" spans="1:15" s="116" customFormat="1" ht="36" customHeight="1" x14ac:dyDescent="0.2">
      <c r="A12" s="312" t="s">
        <v>10</v>
      </c>
      <c r="B12" s="257" t="s">
        <v>27</v>
      </c>
      <c r="C12" s="115">
        <v>79687.149999999965</v>
      </c>
      <c r="D12" s="115">
        <v>320352.64999999991</v>
      </c>
      <c r="E12" s="530">
        <f>C12/D12-1</f>
        <v>-0.7512517845568002</v>
      </c>
      <c r="F12" s="531">
        <f>+C12-D12</f>
        <v>-240665.49999999994</v>
      </c>
      <c r="G12" s="447"/>
      <c r="H12" s="115">
        <f t="shared" ref="H12:H15" si="0">+C12</f>
        <v>79687.149999999965</v>
      </c>
      <c r="I12" s="115">
        <f>+D12</f>
        <v>320352.64999999991</v>
      </c>
      <c r="J12" s="530">
        <f>+H12/I12-1</f>
        <v>-0.7512517845568002</v>
      </c>
      <c r="K12" s="448"/>
      <c r="L12" s="515">
        <v>2963.58</v>
      </c>
      <c r="M12" s="258"/>
      <c r="O12" s="259"/>
    </row>
    <row r="13" spans="1:15" s="116" customFormat="1" ht="36" customHeight="1" x14ac:dyDescent="0.2">
      <c r="A13" s="274" t="s">
        <v>11</v>
      </c>
      <c r="B13" s="275" t="s">
        <v>2</v>
      </c>
      <c r="C13" s="117">
        <v>1319236.2826700001</v>
      </c>
      <c r="D13" s="117">
        <v>1080746.2296900006</v>
      </c>
      <c r="E13" s="308">
        <f>C13/D13-1</f>
        <v>0.22067164929958394</v>
      </c>
      <c r="F13" s="296">
        <f>+C13-D13</f>
        <v>238490.05297999945</v>
      </c>
      <c r="G13" s="118">
        <f>+C98</f>
        <v>6596.3509999999997</v>
      </c>
      <c r="H13" s="117">
        <f t="shared" si="0"/>
        <v>1319236.2826700001</v>
      </c>
      <c r="I13" s="117">
        <f>+D13</f>
        <v>1080746.2296900006</v>
      </c>
      <c r="J13" s="308">
        <f>H13/I13-1</f>
        <v>0.22067164929958394</v>
      </c>
      <c r="K13" s="508">
        <v>1100958.4513768689</v>
      </c>
      <c r="L13" s="119">
        <v>1500000</v>
      </c>
      <c r="M13" s="258"/>
      <c r="O13" s="259"/>
    </row>
    <row r="14" spans="1:15" s="116" customFormat="1" ht="36" customHeight="1" x14ac:dyDescent="0.2">
      <c r="A14" s="274" t="s">
        <v>197</v>
      </c>
      <c r="B14" s="275" t="s">
        <v>3</v>
      </c>
      <c r="C14" s="117">
        <v>2078577.2926499997</v>
      </c>
      <c r="D14" s="117">
        <v>1743331.9496499996</v>
      </c>
      <c r="E14" s="308">
        <f>C14/D14-1</f>
        <v>0.19230149660671669</v>
      </c>
      <c r="F14" s="296">
        <f>+C14-D14</f>
        <v>335245.34300000011</v>
      </c>
      <c r="G14" s="118">
        <f>+B98</f>
        <v>444583.647</v>
      </c>
      <c r="H14" s="117">
        <f>+C14</f>
        <v>2078577.2926499997</v>
      </c>
      <c r="I14" s="117">
        <f>+D14</f>
        <v>1743331.9496499996</v>
      </c>
      <c r="J14" s="308">
        <f>(+I14/H14-1)*-1</f>
        <v>0.16128596429175479</v>
      </c>
      <c r="K14" s="508">
        <v>1403693.6030169036</v>
      </c>
      <c r="L14" s="119">
        <v>1500000</v>
      </c>
      <c r="M14" s="258"/>
      <c r="O14" s="259"/>
    </row>
    <row r="15" spans="1:15" s="116" customFormat="1" ht="36" customHeight="1" x14ac:dyDescent="0.2">
      <c r="A15" s="274" t="s">
        <v>13</v>
      </c>
      <c r="B15" s="275" t="s">
        <v>4</v>
      </c>
      <c r="C15" s="117">
        <f>2487147334/1000</f>
        <v>2487147.3339999998</v>
      </c>
      <c r="D15" s="117">
        <v>2961260.5619999999</v>
      </c>
      <c r="E15" s="503">
        <f>+C15/D15-1</f>
        <v>-0.16010520454835953</v>
      </c>
      <c r="F15" s="504">
        <f>+C15-D15</f>
        <v>-474113.22800000012</v>
      </c>
      <c r="G15" s="120"/>
      <c r="H15" s="117">
        <f t="shared" si="0"/>
        <v>2487147.3339999998</v>
      </c>
      <c r="I15" s="117">
        <f>+D15</f>
        <v>2961260.5619999999</v>
      </c>
      <c r="J15" s="503">
        <f>+H15/I15-1</f>
        <v>-0.16010520454835953</v>
      </c>
      <c r="K15" s="505">
        <v>2181878.1692733355</v>
      </c>
      <c r="L15" s="119">
        <v>1000000</v>
      </c>
      <c r="M15" s="258"/>
      <c r="O15" s="259"/>
    </row>
    <row r="16" spans="1:15" s="116" customFormat="1" ht="36" customHeight="1" x14ac:dyDescent="0.2">
      <c r="A16" s="274" t="s">
        <v>100</v>
      </c>
      <c r="B16" s="275" t="s">
        <v>102</v>
      </c>
      <c r="C16" s="117"/>
      <c r="D16" s="117"/>
      <c r="E16" s="332">
        <v>0</v>
      </c>
      <c r="F16" s="333">
        <v>0</v>
      </c>
      <c r="G16" s="120"/>
      <c r="H16" s="117">
        <v>0</v>
      </c>
      <c r="I16" s="117"/>
      <c r="J16" s="334"/>
      <c r="K16" s="335"/>
      <c r="L16" s="340"/>
      <c r="M16" s="258"/>
      <c r="O16" s="259"/>
    </row>
    <row r="17" spans="1:15" s="116" customFormat="1" ht="36" customHeight="1" thickBot="1" x14ac:dyDescent="0.25">
      <c r="A17" s="313" t="s">
        <v>15</v>
      </c>
      <c r="B17" s="314" t="s">
        <v>0</v>
      </c>
      <c r="C17" s="121">
        <v>88961.873680000004</v>
      </c>
      <c r="D17" s="121">
        <v>88961.873680000004</v>
      </c>
      <c r="E17" s="517">
        <f>C17/D17-1</f>
        <v>0</v>
      </c>
      <c r="F17" s="435">
        <f>+C17-D17</f>
        <v>0</v>
      </c>
      <c r="G17" s="122"/>
      <c r="H17" s="121">
        <f>+C17</f>
        <v>88961.873680000004</v>
      </c>
      <c r="I17" s="435">
        <f>+D17</f>
        <v>88961.873680000004</v>
      </c>
      <c r="J17" s="517">
        <f>+H17/I17-1</f>
        <v>0</v>
      </c>
      <c r="K17" s="217"/>
      <c r="L17" s="341"/>
      <c r="M17" s="258"/>
      <c r="O17" s="259"/>
    </row>
    <row r="18" spans="1:15" s="30" customFormat="1" ht="33.75" customHeight="1" thickBot="1" x14ac:dyDescent="0.25">
      <c r="A18" s="535" t="s">
        <v>28</v>
      </c>
      <c r="B18" s="536"/>
      <c r="C18" s="405">
        <f>SUM(C13:C17)+((C12*L12)/1000)</f>
        <v>6210082.026997</v>
      </c>
      <c r="D18" s="390">
        <f>SUM(D13:D17)+((D12*L12)/1000)</f>
        <v>6823691.3215070004</v>
      </c>
      <c r="E18" s="518">
        <f>(C18/D18)-1</f>
        <v>-8.9923366342205213E-2</v>
      </c>
      <c r="F18" s="528">
        <f>+C18-D18</f>
        <v>-613609.29451000039</v>
      </c>
      <c r="G18" s="449">
        <f>SUM(G13:G17)</f>
        <v>451179.99800000002</v>
      </c>
      <c r="H18" s="390">
        <f>SUM(H13:H17)</f>
        <v>5973922.7829999998</v>
      </c>
      <c r="I18" s="390">
        <f>SUM(I13:I17)</f>
        <v>5874300.6150200004</v>
      </c>
      <c r="J18" s="518">
        <f>+H18/I18-1</f>
        <v>1.6958983632072711E-2</v>
      </c>
      <c r="K18" s="403"/>
      <c r="L18" s="402"/>
      <c r="O18" s="145"/>
    </row>
    <row r="19" spans="1:15" ht="39.75" thickBot="1" x14ac:dyDescent="0.25">
      <c r="A19" s="542" t="s">
        <v>31</v>
      </c>
      <c r="B19" s="543"/>
      <c r="C19" s="543"/>
      <c r="D19" s="543"/>
      <c r="E19" s="543"/>
      <c r="F19" s="543"/>
      <c r="G19" s="543"/>
      <c r="H19" s="543"/>
      <c r="I19" s="543"/>
      <c r="J19" s="543"/>
      <c r="K19" s="543"/>
      <c r="L19" s="544"/>
    </row>
    <row r="20" spans="1:15" s="116" customFormat="1" ht="36" customHeight="1" x14ac:dyDescent="0.2">
      <c r="A20" s="279" t="s">
        <v>16</v>
      </c>
      <c r="B20" s="257" t="s">
        <v>5</v>
      </c>
      <c r="C20" s="115">
        <v>6305507.5449700002</v>
      </c>
      <c r="D20" s="115">
        <v>5932119.79397</v>
      </c>
      <c r="E20" s="506">
        <f t="shared" ref="E20:E25" si="1">C20/D20-1</f>
        <v>6.2943393587491014E-2</v>
      </c>
      <c r="F20" s="507">
        <f t="shared" ref="F20:F25" si="2">+C20-D20</f>
        <v>373387.75100000016</v>
      </c>
      <c r="G20" s="125"/>
      <c r="H20" s="126">
        <f>+C20</f>
        <v>6305507.5449700002</v>
      </c>
      <c r="I20" s="115">
        <f>+D20</f>
        <v>5932119.79397</v>
      </c>
      <c r="J20" s="506">
        <f>H20/I20-1</f>
        <v>6.2943393587491014E-2</v>
      </c>
      <c r="K20" s="510">
        <v>2972727.6911388426</v>
      </c>
      <c r="L20" s="397">
        <v>4.8500000000000001E-2</v>
      </c>
      <c r="M20" s="258"/>
      <c r="O20" s="259"/>
    </row>
    <row r="21" spans="1:15" s="116" customFormat="1" ht="36" customHeight="1" x14ac:dyDescent="0.2">
      <c r="A21" s="274" t="s">
        <v>197</v>
      </c>
      <c r="B21" s="275" t="s">
        <v>6</v>
      </c>
      <c r="C21" s="117">
        <v>6668488.51358</v>
      </c>
      <c r="D21" s="117">
        <v>6494016.1303400006</v>
      </c>
      <c r="E21" s="308">
        <f t="shared" si="1"/>
        <v>2.6866638415766309E-2</v>
      </c>
      <c r="F21" s="296">
        <f t="shared" si="2"/>
        <v>174472.38323999941</v>
      </c>
      <c r="G21" s="127"/>
      <c r="H21" s="128">
        <f t="shared" ref="H21:H25" si="3">+C21</f>
        <v>6668488.51358</v>
      </c>
      <c r="I21" s="117">
        <f>+D21</f>
        <v>6494016.1303400006</v>
      </c>
      <c r="J21" s="308">
        <f>H21/I21-1</f>
        <v>2.6866638415766309E-2</v>
      </c>
      <c r="K21" s="508">
        <v>2954633.866434129</v>
      </c>
      <c r="L21" s="342">
        <v>5.1999999999999998E-2</v>
      </c>
      <c r="M21" s="258"/>
      <c r="O21" s="259"/>
    </row>
    <row r="22" spans="1:15" s="116" customFormat="1" ht="36" customHeight="1" x14ac:dyDescent="0.2">
      <c r="A22" s="315" t="s">
        <v>26</v>
      </c>
      <c r="B22" s="275" t="s">
        <v>8</v>
      </c>
      <c r="C22" s="117">
        <v>293.31628000000001</v>
      </c>
      <c r="D22" s="117">
        <v>293.31628000000001</v>
      </c>
      <c r="E22" s="334">
        <f t="shared" si="1"/>
        <v>0</v>
      </c>
      <c r="F22" s="366">
        <f t="shared" si="2"/>
        <v>0</v>
      </c>
      <c r="G22" s="127"/>
      <c r="H22" s="128">
        <f t="shared" si="3"/>
        <v>293.31628000000001</v>
      </c>
      <c r="I22" s="117">
        <f>+D22</f>
        <v>293.31628000000001</v>
      </c>
      <c r="J22" s="332">
        <f>H22/I22-1</f>
        <v>0</v>
      </c>
      <c r="K22" s="336"/>
      <c r="L22" s="340">
        <v>0</v>
      </c>
      <c r="M22" s="258"/>
      <c r="O22" s="259"/>
    </row>
    <row r="23" spans="1:15" s="116" customFormat="1" ht="36" customHeight="1" x14ac:dyDescent="0.2">
      <c r="A23" s="315" t="s">
        <v>100</v>
      </c>
      <c r="B23" s="275" t="s">
        <v>103</v>
      </c>
      <c r="C23" s="117">
        <f>170747780.24/1000</f>
        <v>170747.78024000002</v>
      </c>
      <c r="D23" s="117">
        <v>170747.78024000002</v>
      </c>
      <c r="E23" s="332">
        <f t="shared" si="1"/>
        <v>0</v>
      </c>
      <c r="F23" s="333">
        <f t="shared" si="2"/>
        <v>0</v>
      </c>
      <c r="G23" s="127"/>
      <c r="H23" s="128">
        <f t="shared" si="3"/>
        <v>170747.78024000002</v>
      </c>
      <c r="I23" s="117">
        <f>+D23</f>
        <v>170747.78024000002</v>
      </c>
      <c r="J23" s="332">
        <f>H23/I23-1</f>
        <v>0</v>
      </c>
      <c r="K23" s="508"/>
      <c r="L23" s="342">
        <v>5.5E-2</v>
      </c>
      <c r="M23" s="258"/>
      <c r="O23" s="259"/>
    </row>
    <row r="24" spans="1:15" s="116" customFormat="1" ht="36" customHeight="1" x14ac:dyDescent="0.2">
      <c r="A24" s="315" t="s">
        <v>15</v>
      </c>
      <c r="B24" s="275" t="s">
        <v>9</v>
      </c>
      <c r="C24" s="117">
        <v>2997077.6198200001</v>
      </c>
      <c r="D24" s="117">
        <v>3241715.5238200002</v>
      </c>
      <c r="E24" s="503">
        <f t="shared" si="1"/>
        <v>-7.5465568216091183E-2</v>
      </c>
      <c r="F24" s="504">
        <f t="shared" si="2"/>
        <v>-244637.9040000001</v>
      </c>
      <c r="G24" s="127"/>
      <c r="H24" s="128">
        <f t="shared" si="3"/>
        <v>2997077.6198200001</v>
      </c>
      <c r="I24" s="117">
        <f>+D24</f>
        <v>3241715.5238200002</v>
      </c>
      <c r="J24" s="503">
        <f>+H24/I24-1</f>
        <v>-7.5465568216091183E-2</v>
      </c>
      <c r="K24" s="508">
        <v>2617867.2631976195</v>
      </c>
      <c r="L24" s="340">
        <v>0</v>
      </c>
      <c r="M24" s="258"/>
      <c r="O24" s="259"/>
    </row>
    <row r="25" spans="1:15" s="116" customFormat="1" ht="36" customHeight="1" thickBot="1" x14ac:dyDescent="0.25">
      <c r="A25" s="331" t="s">
        <v>185</v>
      </c>
      <c r="B25" s="314">
        <v>4312011913</v>
      </c>
      <c r="C25" s="121">
        <f>10220776243/1000</f>
        <v>10220776.243000001</v>
      </c>
      <c r="D25" s="121">
        <v>10220776.243000001</v>
      </c>
      <c r="E25" s="517">
        <f t="shared" si="1"/>
        <v>0</v>
      </c>
      <c r="F25" s="435">
        <f t="shared" si="2"/>
        <v>0</v>
      </c>
      <c r="G25" s="407"/>
      <c r="H25" s="436">
        <f t="shared" si="3"/>
        <v>10220776.243000001</v>
      </c>
      <c r="I25" s="435">
        <f>+D25</f>
        <v>10220776.243000001</v>
      </c>
      <c r="J25" s="517">
        <f>+H25/I25-1</f>
        <v>0</v>
      </c>
      <c r="K25" s="217"/>
      <c r="L25" s="401">
        <v>6.0999999999999999E-2</v>
      </c>
      <c r="M25" s="258"/>
      <c r="O25" s="259"/>
    </row>
    <row r="26" spans="1:15" s="30" customFormat="1" ht="33.75" customHeight="1" thickBot="1" x14ac:dyDescent="0.25">
      <c r="A26" s="533" t="s">
        <v>29</v>
      </c>
      <c r="B26" s="534"/>
      <c r="C26" s="124">
        <f>SUM(C20:C25)</f>
        <v>26362891.017889999</v>
      </c>
      <c r="D26" s="124">
        <f>SUM(D20:D25)</f>
        <v>26059668.78765</v>
      </c>
      <c r="E26" s="521">
        <f>(C26/D26)-1</f>
        <v>1.1635690104538021E-2</v>
      </c>
      <c r="F26" s="522">
        <f>SUM(F20:F24)</f>
        <v>303222.23023999948</v>
      </c>
      <c r="G26" s="131"/>
      <c r="H26" s="132">
        <f>SUM(H20:H25)</f>
        <v>26362891.017889999</v>
      </c>
      <c r="I26" s="132">
        <f>SUM(I20:I25)</f>
        <v>26059668.78765</v>
      </c>
      <c r="J26" s="402">
        <f>H26/I26-1</f>
        <v>1.1635690104538021E-2</v>
      </c>
      <c r="K26" s="218"/>
      <c r="L26" s="133"/>
      <c r="O26" s="145"/>
    </row>
    <row r="27" spans="1:15" ht="36" customHeight="1" thickBot="1" x14ac:dyDescent="0.25">
      <c r="A27" s="547" t="s">
        <v>106</v>
      </c>
      <c r="B27" s="548"/>
      <c r="C27" s="548"/>
      <c r="D27" s="548"/>
      <c r="E27" s="548"/>
      <c r="F27" s="548"/>
      <c r="G27" s="548"/>
      <c r="H27" s="548"/>
      <c r="I27" s="548"/>
      <c r="J27" s="548"/>
      <c r="K27" s="548"/>
      <c r="L27" s="549"/>
    </row>
    <row r="28" spans="1:15" s="116" customFormat="1" ht="36" customHeight="1" x14ac:dyDescent="0.2">
      <c r="A28" s="312" t="s">
        <v>122</v>
      </c>
      <c r="B28" s="257" t="s">
        <v>133</v>
      </c>
      <c r="C28" s="115">
        <f>9321068/1000</f>
        <v>9321.0679999999993</v>
      </c>
      <c r="D28" s="126">
        <v>9320.0689999999995</v>
      </c>
      <c r="E28" s="529">
        <f t="shared" ref="E28:E32" si="4">+C28/D28-1</f>
        <v>1.071880476422038E-4</v>
      </c>
      <c r="F28" s="507">
        <f t="shared" ref="F28:F34" si="5">+C28-D28</f>
        <v>0.99899999999979627</v>
      </c>
      <c r="G28" s="191"/>
      <c r="H28" s="115">
        <f>+C28*0.99</f>
        <v>9227.8573199999992</v>
      </c>
      <c r="I28" s="115">
        <f t="shared" ref="I28:I34" si="6">+D28*0.99</f>
        <v>9226.8683099999998</v>
      </c>
      <c r="J28" s="506">
        <f t="shared" ref="J28:J34" si="7">+(H28/I28)-1</f>
        <v>1.0718804764198175E-4</v>
      </c>
      <c r="K28" s="337"/>
      <c r="L28" s="527">
        <v>4.5600000000000002E-2</v>
      </c>
      <c r="M28" s="134"/>
      <c r="O28" s="259"/>
    </row>
    <row r="29" spans="1:15" s="116" customFormat="1" ht="36" customHeight="1" x14ac:dyDescent="0.2">
      <c r="A29" s="274" t="s">
        <v>107</v>
      </c>
      <c r="B29" s="275" t="s">
        <v>132</v>
      </c>
      <c r="C29" s="117">
        <f>100557679.63/1000</f>
        <v>100557.67963</v>
      </c>
      <c r="D29" s="128">
        <v>100545.49041</v>
      </c>
      <c r="E29" s="434">
        <f t="shared" si="4"/>
        <v>1.2123089708238055E-4</v>
      </c>
      <c r="F29" s="296">
        <f t="shared" si="5"/>
        <v>12.189220000000205</v>
      </c>
      <c r="G29" s="192"/>
      <c r="H29" s="117">
        <f t="shared" ref="H29:H34" si="8">+C29*0.99</f>
        <v>99552.102833700003</v>
      </c>
      <c r="I29" s="117">
        <f t="shared" si="6"/>
        <v>99540.035505899999</v>
      </c>
      <c r="J29" s="308">
        <f t="shared" si="7"/>
        <v>1.2123089708238055E-4</v>
      </c>
      <c r="K29" s="335"/>
      <c r="L29" s="307">
        <v>4.8590000000000001E-2</v>
      </c>
      <c r="O29" s="259"/>
    </row>
    <row r="30" spans="1:15" s="116" customFormat="1" ht="36" customHeight="1" x14ac:dyDescent="0.2">
      <c r="A30" s="274" t="s">
        <v>135</v>
      </c>
      <c r="B30" s="275" t="s">
        <v>134</v>
      </c>
      <c r="C30" s="117">
        <f>2624543963.48/1000</f>
        <v>2624543.9634799999</v>
      </c>
      <c r="D30" s="128">
        <v>2624315.0394899999</v>
      </c>
      <c r="E30" s="434">
        <f t="shared" si="4"/>
        <v>8.7231901107598375E-5</v>
      </c>
      <c r="F30" s="296">
        <f t="shared" si="5"/>
        <v>228.92399000003934</v>
      </c>
      <c r="G30" s="192"/>
      <c r="H30" s="117">
        <f t="shared" si="8"/>
        <v>2598298.5238452</v>
      </c>
      <c r="I30" s="117">
        <f t="shared" si="6"/>
        <v>2598071.8890950996</v>
      </c>
      <c r="J30" s="308">
        <f t="shared" si="7"/>
        <v>8.723190110782042E-5</v>
      </c>
      <c r="K30" s="335"/>
      <c r="L30" s="512">
        <v>4.5900000000000003E-2</v>
      </c>
      <c r="M30" s="134"/>
      <c r="O30" s="259"/>
    </row>
    <row r="31" spans="1:15" s="116" customFormat="1" ht="36" customHeight="1" x14ac:dyDescent="0.2">
      <c r="A31" s="274" t="s">
        <v>104</v>
      </c>
      <c r="B31" s="275" t="s">
        <v>191</v>
      </c>
      <c r="C31" s="117">
        <f>1734609542.6/1000</f>
        <v>1734609.5425999998</v>
      </c>
      <c r="D31" s="128">
        <v>239924.24536</v>
      </c>
      <c r="E31" s="434">
        <f t="shared" si="4"/>
        <v>6.2298218131196537</v>
      </c>
      <c r="F31" s="296">
        <f t="shared" si="5"/>
        <v>1494685.2972399998</v>
      </c>
      <c r="G31" s="192"/>
      <c r="H31" s="117">
        <f t="shared" si="8"/>
        <v>1717263.4471739999</v>
      </c>
      <c r="I31" s="117">
        <f t="shared" si="6"/>
        <v>237525.00290640001</v>
      </c>
      <c r="J31" s="308">
        <f t="shared" si="7"/>
        <v>6.2298218131196537</v>
      </c>
      <c r="K31" s="366"/>
      <c r="L31" s="512">
        <v>4.2500000000000003E-2</v>
      </c>
      <c r="M31" s="134"/>
      <c r="O31" s="259"/>
    </row>
    <row r="32" spans="1:15" s="116" customFormat="1" ht="36" customHeight="1" x14ac:dyDescent="0.2">
      <c r="A32" s="274" t="s">
        <v>198</v>
      </c>
      <c r="B32" s="275" t="s">
        <v>136</v>
      </c>
      <c r="C32" s="117">
        <f>4821532340.48/1000</f>
        <v>4821532.3404799998</v>
      </c>
      <c r="D32" s="128">
        <v>2821221.6583400001</v>
      </c>
      <c r="E32" s="434">
        <f t="shared" si="4"/>
        <v>0.70902287178561418</v>
      </c>
      <c r="F32" s="296">
        <f t="shared" si="5"/>
        <v>2000310.6821399997</v>
      </c>
      <c r="G32" s="192"/>
      <c r="H32" s="117">
        <f t="shared" si="8"/>
        <v>4773317.0170751996</v>
      </c>
      <c r="I32" s="117">
        <f t="shared" si="6"/>
        <v>2793009.4417566</v>
      </c>
      <c r="J32" s="308">
        <f t="shared" si="7"/>
        <v>0.70902287178561418</v>
      </c>
      <c r="K32" s="335"/>
      <c r="L32" s="307">
        <v>4.8800000000000003E-2</v>
      </c>
      <c r="M32" s="404"/>
      <c r="O32" s="259"/>
    </row>
    <row r="33" spans="1:15" s="116" customFormat="1" ht="36" customHeight="1" x14ac:dyDescent="0.2">
      <c r="A33" s="274" t="s">
        <v>198</v>
      </c>
      <c r="B33" s="316" t="s">
        <v>192</v>
      </c>
      <c r="C33" s="360">
        <f>130638079.47/1000</f>
        <v>130638.07947</v>
      </c>
      <c r="D33" s="361">
        <v>130624.89086</v>
      </c>
      <c r="E33" s="434">
        <f>+C33/D33-1</f>
        <v>1.0096551976546131E-4</v>
      </c>
      <c r="F33" s="296">
        <f>+C33-D33</f>
        <v>13.188609999997425</v>
      </c>
      <c r="G33" s="362"/>
      <c r="H33" s="117">
        <f>+C33*0.99</f>
        <v>129331.69867529999</v>
      </c>
      <c r="I33" s="117">
        <f t="shared" si="6"/>
        <v>129318.6419514</v>
      </c>
      <c r="J33" s="308">
        <f t="shared" si="7"/>
        <v>1.0096551976546131E-4</v>
      </c>
      <c r="K33" s="363"/>
      <c r="L33" s="526">
        <v>7.4899999999999994E-2</v>
      </c>
      <c r="M33" s="134"/>
      <c r="O33" s="259"/>
    </row>
    <row r="34" spans="1:15" s="116" customFormat="1" ht="36" customHeight="1" thickBot="1" x14ac:dyDescent="0.25">
      <c r="A34" s="313" t="s">
        <v>199</v>
      </c>
      <c r="B34" s="314" t="s">
        <v>35</v>
      </c>
      <c r="C34" s="121">
        <v>66704.300759999998</v>
      </c>
      <c r="D34" s="130">
        <v>66696.955869999991</v>
      </c>
      <c r="E34" s="516">
        <f>+C34/D34-1</f>
        <v>1.1012331678705856E-4</v>
      </c>
      <c r="F34" s="338">
        <f t="shared" si="5"/>
        <v>7.344890000007581</v>
      </c>
      <c r="G34" s="364"/>
      <c r="H34" s="121">
        <f t="shared" si="8"/>
        <v>66037.257752399993</v>
      </c>
      <c r="I34" s="121">
        <f t="shared" si="6"/>
        <v>66029.986311299988</v>
      </c>
      <c r="J34" s="339">
        <f t="shared" si="7"/>
        <v>1.1012331678705856E-4</v>
      </c>
      <c r="K34" s="365"/>
      <c r="L34" s="309">
        <v>4.8800000000000003E-2</v>
      </c>
      <c r="O34" s="259"/>
    </row>
    <row r="35" spans="1:15" s="30" customFormat="1" ht="33.75" customHeight="1" thickBot="1" x14ac:dyDescent="0.25">
      <c r="A35" s="535" t="s">
        <v>36</v>
      </c>
      <c r="B35" s="550"/>
      <c r="C35" s="124">
        <f>SUM(C28:C34)</f>
        <v>9487906.974419998</v>
      </c>
      <c r="D35" s="124">
        <f>SUM(D28:D34)</f>
        <v>5992648.3493299996</v>
      </c>
      <c r="E35" s="521">
        <f>SUM(E28:E34)</f>
        <v>6.9393714245876525</v>
      </c>
      <c r="F35" s="522">
        <f>SUM(F28:F34)</f>
        <v>3495258.6250899993</v>
      </c>
      <c r="G35" s="310"/>
      <c r="H35" s="390">
        <f>SUM(H28:H34)</f>
        <v>9393027.9046758004</v>
      </c>
      <c r="I35" s="390">
        <f>SUM(I28:I34)</f>
        <v>5932721.8658366995</v>
      </c>
      <c r="J35" s="525">
        <f>+(H35/I35)-1</f>
        <v>0.58325775539303648</v>
      </c>
      <c r="K35" s="133"/>
      <c r="L35" s="135"/>
      <c r="N35" s="136"/>
      <c r="O35" s="145"/>
    </row>
    <row r="36" spans="1:15" ht="40.5" customHeight="1" thickBot="1" x14ac:dyDescent="0.25">
      <c r="A36" s="545" t="s">
        <v>37</v>
      </c>
      <c r="B36" s="546"/>
      <c r="C36" s="137">
        <f>+C18+C26+C35</f>
        <v>42060880.019306995</v>
      </c>
      <c r="D36" s="137">
        <f>+D18+D26+D35</f>
        <v>38876008.458486997</v>
      </c>
      <c r="E36" s="523">
        <f>+C36/D36-1</f>
        <v>8.1923831357864296E-2</v>
      </c>
      <c r="F36" s="524">
        <f>+C36-D36</f>
        <v>3184871.5608199984</v>
      </c>
      <c r="G36" s="123"/>
      <c r="H36" s="123">
        <f>+H18+H26+H35</f>
        <v>41729841.705565795</v>
      </c>
      <c r="I36" s="123">
        <f>+I18+I26+I35</f>
        <v>37866691.268506698</v>
      </c>
      <c r="J36" s="523">
        <f>+(H36/I36)-1</f>
        <v>0.10201975159820842</v>
      </c>
      <c r="K36" s="138"/>
      <c r="L36" s="138"/>
      <c r="M36" s="27"/>
    </row>
    <row r="37" spans="1:15" ht="40.5" customHeight="1" x14ac:dyDescent="0.2">
      <c r="A37" s="139"/>
      <c r="B37" s="140"/>
      <c r="C37" s="141"/>
      <c r="D37" s="142"/>
      <c r="E37" s="399"/>
      <c r="F37" s="400"/>
      <c r="G37" s="143"/>
      <c r="H37" s="144"/>
      <c r="I37" s="538"/>
      <c r="J37" s="538"/>
      <c r="K37" s="538"/>
      <c r="L37" s="538"/>
      <c r="M37" s="27"/>
    </row>
    <row r="38" spans="1:15" ht="40.5" customHeight="1" thickBot="1" x14ac:dyDescent="0.25">
      <c r="A38" s="145"/>
      <c r="B38" s="145"/>
      <c r="C38" s="141"/>
      <c r="D38" s="146"/>
      <c r="E38" s="142"/>
      <c r="F38" s="224"/>
      <c r="G38" s="26"/>
      <c r="H38" s="144"/>
      <c r="I38" s="142"/>
      <c r="J38" s="142"/>
      <c r="K38" s="219"/>
      <c r="L38" s="147"/>
      <c r="M38" s="27"/>
    </row>
    <row r="39" spans="1:15" ht="40.5" customHeight="1" thickBot="1" x14ac:dyDescent="0.25">
      <c r="A39" s="542" t="s">
        <v>128</v>
      </c>
      <c r="B39" s="543"/>
      <c r="C39" s="543"/>
      <c r="D39" s="543"/>
      <c r="E39" s="543"/>
      <c r="F39" s="543"/>
      <c r="G39" s="543"/>
      <c r="H39" s="543"/>
      <c r="I39" s="543"/>
      <c r="J39" s="543"/>
      <c r="K39" s="543"/>
      <c r="L39" s="544"/>
      <c r="M39" s="27"/>
    </row>
    <row r="40" spans="1:15" ht="40.5" customHeight="1" thickBot="1" x14ac:dyDescent="0.25">
      <c r="A40" s="269" t="s">
        <v>17</v>
      </c>
      <c r="B40" s="270" t="s">
        <v>19</v>
      </c>
      <c r="C40" s="270" t="s">
        <v>20</v>
      </c>
      <c r="D40" s="271" t="s">
        <v>21</v>
      </c>
      <c r="E40" s="270" t="s">
        <v>50</v>
      </c>
      <c r="F40" s="272" t="s">
        <v>84</v>
      </c>
      <c r="G40" s="270" t="s">
        <v>22</v>
      </c>
      <c r="H40" s="270" t="s">
        <v>23</v>
      </c>
      <c r="I40" s="270" t="s">
        <v>24</v>
      </c>
      <c r="J40" s="270" t="s">
        <v>50</v>
      </c>
      <c r="K40" s="270" t="s">
        <v>116</v>
      </c>
      <c r="L40" s="270" t="s">
        <v>33</v>
      </c>
      <c r="M40" s="27"/>
    </row>
    <row r="41" spans="1:15" s="116" customFormat="1" ht="36" customHeight="1" x14ac:dyDescent="0.2">
      <c r="A41" s="330" t="s">
        <v>125</v>
      </c>
      <c r="B41" s="257" t="s">
        <v>127</v>
      </c>
      <c r="C41" s="266">
        <f>85120418/1000</f>
        <v>85120.418000000005</v>
      </c>
      <c r="D41" s="266">
        <v>85120.418000000005</v>
      </c>
      <c r="E41" s="513">
        <f>+((C41/D41)-1)</f>
        <v>0</v>
      </c>
      <c r="F41" s="514">
        <f>+C41-D41</f>
        <v>0</v>
      </c>
      <c r="G41" s="267"/>
      <c r="H41" s="266">
        <f>+C41</f>
        <v>85120.418000000005</v>
      </c>
      <c r="I41" s="266">
        <f>+D41</f>
        <v>85120.418000000005</v>
      </c>
      <c r="J41" s="513">
        <f>H41/I41-1</f>
        <v>0</v>
      </c>
      <c r="K41" s="268"/>
      <c r="L41" s="406">
        <v>4.8500000000000001E-2</v>
      </c>
      <c r="M41" s="136" t="s">
        <v>196</v>
      </c>
      <c r="O41" s="259"/>
    </row>
    <row r="42" spans="1:15" s="116" customFormat="1" ht="36" customHeight="1" x14ac:dyDescent="0.2">
      <c r="A42" s="274" t="s">
        <v>131</v>
      </c>
      <c r="B42" s="329">
        <v>6000200125368</v>
      </c>
      <c r="C42" s="117">
        <f>174444964.11/1000</f>
        <v>174444.96411</v>
      </c>
      <c r="D42" s="117">
        <v>174442.85205000002</v>
      </c>
      <c r="E42" s="308">
        <f>+C42/D42-1</f>
        <v>1.2107460839905215E-5</v>
      </c>
      <c r="F42" s="296">
        <f>+C42-D42</f>
        <v>2.1120599999849219</v>
      </c>
      <c r="G42" s="127"/>
      <c r="H42" s="117">
        <f t="shared" ref="H42" si="9">+C42</f>
        <v>174444.96411</v>
      </c>
      <c r="I42" s="117">
        <f>+D42</f>
        <v>174442.85205000002</v>
      </c>
      <c r="J42" s="308">
        <f>+H42/I42-1</f>
        <v>1.2107460839905215E-5</v>
      </c>
      <c r="K42" s="335"/>
      <c r="L42" s="512">
        <v>4.9299999999999997E-2</v>
      </c>
      <c r="O42" s="259"/>
    </row>
    <row r="43" spans="1:15" s="116" customFormat="1" ht="36" customHeight="1" thickBot="1" x14ac:dyDescent="0.25">
      <c r="A43" s="313" t="s">
        <v>130</v>
      </c>
      <c r="B43" s="317">
        <v>6000200128295</v>
      </c>
      <c r="C43" s="121">
        <f>20918655021.17/1000</f>
        <v>20918655.021169998</v>
      </c>
      <c r="D43" s="121">
        <v>20918120.636089999</v>
      </c>
      <c r="E43" s="339">
        <f>+C43/D43-1</f>
        <v>2.5546514875518511E-5</v>
      </c>
      <c r="F43" s="338">
        <f>+C43-D43</f>
        <v>534.385079998523</v>
      </c>
      <c r="G43" s="129"/>
      <c r="H43" s="121">
        <f>+C43</f>
        <v>20918655.021169998</v>
      </c>
      <c r="I43" s="121">
        <f>+D43</f>
        <v>20918120.636089999</v>
      </c>
      <c r="J43" s="339">
        <f>+H43/I43-1</f>
        <v>2.5546514875518511E-5</v>
      </c>
      <c r="K43" s="309"/>
      <c r="L43" s="512">
        <v>4.2000000000000003E-2</v>
      </c>
      <c r="O43" s="259"/>
    </row>
    <row r="44" spans="1:15" ht="40.5" customHeight="1" thickBot="1" x14ac:dyDescent="0.25">
      <c r="A44" s="554" t="s">
        <v>124</v>
      </c>
      <c r="B44" s="555"/>
      <c r="C44" s="148">
        <f>SUM(C41:C43)</f>
        <v>21178220.403279997</v>
      </c>
      <c r="D44" s="149">
        <f>+D41+D42+D43</f>
        <v>21177683.90614</v>
      </c>
      <c r="E44" s="519">
        <f>+C44/D44-1</f>
        <v>2.533313569008655E-5</v>
      </c>
      <c r="F44" s="520">
        <f>+C44-D44</f>
        <v>536.49713999778032</v>
      </c>
      <c r="G44" s="148"/>
      <c r="H44" s="148">
        <f>SUM(H41:H43)</f>
        <v>21178220.403279997</v>
      </c>
      <c r="I44" s="148">
        <f>SUM(I41:I43)</f>
        <v>21177683.90614</v>
      </c>
      <c r="J44" s="519">
        <f>+H44/I44-1</f>
        <v>2.533313569008655E-5</v>
      </c>
      <c r="K44" s="220"/>
      <c r="L44" s="167"/>
      <c r="M44" s="27"/>
    </row>
    <row r="45" spans="1:15" ht="40.5" customHeight="1" thickBot="1" x14ac:dyDescent="0.25">
      <c r="A45" s="145"/>
      <c r="B45" s="145"/>
      <c r="C45" s="141"/>
      <c r="D45" s="25"/>
      <c r="E45" s="142"/>
      <c r="F45" s="224"/>
      <c r="G45" s="26"/>
      <c r="H45" s="144"/>
      <c r="I45" s="142"/>
      <c r="J45" s="398"/>
      <c r="K45" s="26"/>
      <c r="M45" s="27"/>
    </row>
    <row r="46" spans="1:15" ht="40.5" customHeight="1" thickBot="1" x14ac:dyDescent="0.25">
      <c r="A46" s="545" t="s">
        <v>154</v>
      </c>
      <c r="B46" s="546"/>
      <c r="C46" s="137">
        <f>+C44+C36</f>
        <v>63239100.422586992</v>
      </c>
      <c r="D46" s="25"/>
      <c r="E46" s="142"/>
      <c r="F46" s="511"/>
      <c r="G46" s="26"/>
      <c r="H46" s="144"/>
      <c r="I46" s="142"/>
      <c r="J46" s="142"/>
      <c r="K46" s="26"/>
      <c r="M46" s="27"/>
    </row>
    <row r="47" spans="1:15" ht="40.5" customHeight="1" x14ac:dyDescent="0.2">
      <c r="A47" s="145"/>
      <c r="B47" s="145"/>
      <c r="C47" s="141"/>
      <c r="D47" s="25"/>
      <c r="E47" s="142"/>
      <c r="F47" s="224"/>
      <c r="G47" s="26"/>
      <c r="H47" s="144"/>
      <c r="I47" s="142"/>
      <c r="J47" s="142"/>
      <c r="K47" s="26"/>
      <c r="M47" s="27"/>
    </row>
    <row r="48" spans="1:15" ht="40.5" customHeight="1" x14ac:dyDescent="0.2">
      <c r="A48" s="145" t="s">
        <v>159</v>
      </c>
      <c r="B48" s="450">
        <v>5.28E-2</v>
      </c>
      <c r="C48" s="189"/>
      <c r="D48" s="25"/>
      <c r="E48" s="142"/>
      <c r="F48" s="224"/>
      <c r="G48" s="26"/>
      <c r="H48" s="144"/>
      <c r="I48" s="142"/>
      <c r="J48" s="142"/>
      <c r="K48" s="26"/>
      <c r="M48" s="27"/>
    </row>
    <row r="49" spans="1:16" ht="40.5" customHeight="1" x14ac:dyDescent="0.2">
      <c r="A49" s="145" t="s">
        <v>186</v>
      </c>
      <c r="B49" s="168">
        <v>4.1200000000000001E-2</v>
      </c>
      <c r="C49" s="189"/>
      <c r="D49" s="31"/>
      <c r="E49" s="142"/>
      <c r="F49" s="224"/>
      <c r="G49" s="26"/>
      <c r="H49" s="144"/>
      <c r="I49" s="142"/>
      <c r="J49" s="142"/>
      <c r="K49" s="26"/>
      <c r="M49" s="27"/>
    </row>
    <row r="50" spans="1:16" ht="40.5" customHeight="1" thickBot="1" x14ac:dyDescent="0.25">
      <c r="A50" s="145"/>
      <c r="B50" s="168"/>
      <c r="C50" s="189"/>
      <c r="D50" s="31"/>
      <c r="E50" s="142"/>
      <c r="F50" s="224"/>
      <c r="G50" s="26"/>
      <c r="H50" s="144"/>
      <c r="I50" s="142"/>
      <c r="J50" s="142"/>
      <c r="K50" s="26"/>
      <c r="M50" s="27"/>
    </row>
    <row r="51" spans="1:16" ht="40.5" customHeight="1" x14ac:dyDescent="0.2">
      <c r="A51" s="560" t="s">
        <v>183</v>
      </c>
      <c r="B51" s="561"/>
      <c r="C51" s="561"/>
      <c r="D51" s="561"/>
      <c r="E51" s="561"/>
      <c r="F51" s="561"/>
      <c r="G51" s="561"/>
      <c r="H51" s="561"/>
      <c r="I51" s="561"/>
      <c r="J51" s="561"/>
      <c r="K51" s="561"/>
      <c r="L51" s="561"/>
      <c r="M51" s="561"/>
      <c r="N51" s="561"/>
      <c r="O51" s="562"/>
    </row>
    <row r="52" spans="1:16" ht="40.5" customHeight="1" x14ac:dyDescent="0.2">
      <c r="A52" s="369" t="s">
        <v>144</v>
      </c>
      <c r="B52" s="370" t="s">
        <v>38</v>
      </c>
      <c r="C52" s="371" t="s">
        <v>140</v>
      </c>
      <c r="D52" s="371" t="s">
        <v>141</v>
      </c>
      <c r="E52" s="372" t="s">
        <v>142</v>
      </c>
      <c r="F52" s="373" t="s">
        <v>39</v>
      </c>
      <c r="G52" s="374" t="s">
        <v>40</v>
      </c>
      <c r="H52" s="375" t="s">
        <v>113</v>
      </c>
      <c r="I52" s="376" t="s">
        <v>145</v>
      </c>
      <c r="J52" s="377" t="s">
        <v>146</v>
      </c>
      <c r="K52" s="378" t="s">
        <v>143</v>
      </c>
      <c r="L52" s="379" t="s">
        <v>49</v>
      </c>
      <c r="M52" s="380" t="s">
        <v>147</v>
      </c>
      <c r="N52" s="381" t="s">
        <v>138</v>
      </c>
      <c r="O52" s="382" t="s">
        <v>180</v>
      </c>
    </row>
    <row r="53" spans="1:16" s="116" customFormat="1" ht="39" x14ac:dyDescent="0.2">
      <c r="A53" s="318" t="s">
        <v>148</v>
      </c>
      <c r="B53" s="319" t="s">
        <v>112</v>
      </c>
      <c r="C53" s="320">
        <v>42745</v>
      </c>
      <c r="D53" s="320">
        <v>43291</v>
      </c>
      <c r="E53" s="320">
        <v>42634</v>
      </c>
      <c r="F53" s="408">
        <v>3500000</v>
      </c>
      <c r="G53" s="321">
        <f t="shared" ref="G53:G69" si="10">+D53-C53</f>
        <v>546</v>
      </c>
      <c r="H53" s="300">
        <v>7.4870000000000006E-2</v>
      </c>
      <c r="I53" s="322">
        <v>6.2E-2</v>
      </c>
      <c r="J53" s="323">
        <v>0</v>
      </c>
      <c r="K53" s="323">
        <f t="shared" ref="K53:K60" si="11">+H53</f>
        <v>7.4870000000000006E-2</v>
      </c>
      <c r="L53" s="324" t="s">
        <v>149</v>
      </c>
      <c r="M53" s="325">
        <f t="shared" ref="M53:M69" si="12">+D53-$A$8</f>
        <v>200</v>
      </c>
      <c r="N53" s="326">
        <f t="shared" ref="N53:N58" si="13">+F53/$F$70</f>
        <v>0.1402227691088278</v>
      </c>
      <c r="O53" s="327" t="s">
        <v>179</v>
      </c>
      <c r="P53" s="328"/>
    </row>
    <row r="54" spans="1:16" s="116" customFormat="1" ht="39" x14ac:dyDescent="0.2">
      <c r="A54" s="318" t="s">
        <v>148</v>
      </c>
      <c r="B54" s="319" t="s">
        <v>129</v>
      </c>
      <c r="C54" s="320">
        <v>42446</v>
      </c>
      <c r="D54" s="320">
        <v>43176</v>
      </c>
      <c r="E54" s="320">
        <v>42950</v>
      </c>
      <c r="F54" s="408">
        <v>2000000</v>
      </c>
      <c r="G54" s="321">
        <f t="shared" ref="G54:G57" si="14">+D54-C54</f>
        <v>730</v>
      </c>
      <c r="H54" s="300">
        <v>7.1900000000000006E-2</v>
      </c>
      <c r="I54" s="322">
        <v>6.5000000000000002E-2</v>
      </c>
      <c r="J54" s="323">
        <v>0</v>
      </c>
      <c r="K54" s="323">
        <f t="shared" si="11"/>
        <v>7.1900000000000006E-2</v>
      </c>
      <c r="L54" s="324" t="s">
        <v>200</v>
      </c>
      <c r="M54" s="325">
        <f t="shared" ref="M54:M57" si="15">+D54-$A$8</f>
        <v>85</v>
      </c>
      <c r="N54" s="326">
        <f t="shared" si="13"/>
        <v>8.0127296633615896E-2</v>
      </c>
      <c r="O54" s="327" t="s">
        <v>179</v>
      </c>
    </row>
    <row r="55" spans="1:16" s="116" customFormat="1" ht="39" x14ac:dyDescent="0.2">
      <c r="A55" s="318" t="s">
        <v>148</v>
      </c>
      <c r="B55" s="319" t="s">
        <v>26</v>
      </c>
      <c r="C55" s="320">
        <v>42566</v>
      </c>
      <c r="D55" s="320">
        <v>43296</v>
      </c>
      <c r="E55" s="320">
        <v>42951</v>
      </c>
      <c r="F55" s="408">
        <v>1500000</v>
      </c>
      <c r="G55" s="321">
        <f t="shared" si="14"/>
        <v>730</v>
      </c>
      <c r="H55" s="300">
        <v>8.3360000000000004E-2</v>
      </c>
      <c r="I55" s="322">
        <v>6.3E-2</v>
      </c>
      <c r="J55" s="323">
        <v>0</v>
      </c>
      <c r="K55" s="323">
        <f t="shared" si="11"/>
        <v>8.3360000000000004E-2</v>
      </c>
      <c r="L55" s="324" t="s">
        <v>149</v>
      </c>
      <c r="M55" s="325">
        <f t="shared" si="15"/>
        <v>205</v>
      </c>
      <c r="N55" s="326">
        <f t="shared" si="13"/>
        <v>6.0095472475211922E-2</v>
      </c>
      <c r="O55" s="327" t="s">
        <v>179</v>
      </c>
    </row>
    <row r="56" spans="1:16" s="116" customFormat="1" ht="39" x14ac:dyDescent="0.2">
      <c r="A56" s="318" t="s">
        <v>148</v>
      </c>
      <c r="B56" s="319" t="s">
        <v>26</v>
      </c>
      <c r="C56" s="320">
        <v>42101</v>
      </c>
      <c r="D56" s="320">
        <v>43197</v>
      </c>
      <c r="E56" s="320">
        <v>42950</v>
      </c>
      <c r="F56" s="408">
        <v>3000000</v>
      </c>
      <c r="G56" s="321">
        <f t="shared" si="14"/>
        <v>1096</v>
      </c>
      <c r="H56" s="300">
        <v>5.9650000000000002E-2</v>
      </c>
      <c r="I56" s="322">
        <v>6.1699999999999998E-2</v>
      </c>
      <c r="J56" s="323">
        <v>0</v>
      </c>
      <c r="K56" s="323">
        <f t="shared" si="11"/>
        <v>5.9650000000000002E-2</v>
      </c>
      <c r="L56" s="324" t="s">
        <v>158</v>
      </c>
      <c r="M56" s="325">
        <f t="shared" si="15"/>
        <v>106</v>
      </c>
      <c r="N56" s="326">
        <f t="shared" si="13"/>
        <v>0.12019094495042384</v>
      </c>
      <c r="O56" s="327" t="s">
        <v>179</v>
      </c>
    </row>
    <row r="57" spans="1:16" s="116" customFormat="1" ht="39" x14ac:dyDescent="0.2">
      <c r="A57" s="318" t="s">
        <v>148</v>
      </c>
      <c r="B57" s="319" t="s">
        <v>45</v>
      </c>
      <c r="C57" s="320">
        <v>42816</v>
      </c>
      <c r="D57" s="320">
        <v>43181</v>
      </c>
      <c r="E57" s="320">
        <v>42949</v>
      </c>
      <c r="F57" s="408">
        <v>5000000</v>
      </c>
      <c r="G57" s="321">
        <f t="shared" si="14"/>
        <v>365</v>
      </c>
      <c r="H57" s="300">
        <v>7.0129999999999998E-2</v>
      </c>
      <c r="I57" s="322">
        <v>6.1499999999999999E-2</v>
      </c>
      <c r="J57" s="323">
        <v>0</v>
      </c>
      <c r="K57" s="323">
        <f t="shared" si="11"/>
        <v>7.0129999999999998E-2</v>
      </c>
      <c r="L57" s="324" t="s">
        <v>158</v>
      </c>
      <c r="M57" s="325">
        <f t="shared" si="15"/>
        <v>90</v>
      </c>
      <c r="N57" s="326">
        <f t="shared" si="13"/>
        <v>0.20031824158403974</v>
      </c>
      <c r="O57" s="327" t="s">
        <v>179</v>
      </c>
    </row>
    <row r="58" spans="1:16" s="116" customFormat="1" ht="39" x14ac:dyDescent="0.2">
      <c r="A58" s="318" t="s">
        <v>148</v>
      </c>
      <c r="B58" s="319" t="s">
        <v>15</v>
      </c>
      <c r="C58" s="320">
        <v>42569</v>
      </c>
      <c r="D58" s="320">
        <v>43299</v>
      </c>
      <c r="E58" s="320">
        <v>42951</v>
      </c>
      <c r="F58" s="408">
        <v>2000000</v>
      </c>
      <c r="G58" s="321">
        <f>+D58-C58</f>
        <v>730</v>
      </c>
      <c r="H58" s="300">
        <v>8.3828E-2</v>
      </c>
      <c r="I58" s="322">
        <v>6.3E-2</v>
      </c>
      <c r="J58" s="323">
        <v>0</v>
      </c>
      <c r="K58" s="323">
        <f>+H58</f>
        <v>8.3828E-2</v>
      </c>
      <c r="L58" s="324" t="s">
        <v>158</v>
      </c>
      <c r="M58" s="325">
        <f>+D58-$A$8</f>
        <v>208</v>
      </c>
      <c r="N58" s="326">
        <f t="shared" si="13"/>
        <v>8.0127296633615896E-2</v>
      </c>
      <c r="O58" s="327" t="s">
        <v>179</v>
      </c>
      <c r="P58" s="328"/>
    </row>
    <row r="59" spans="1:16" s="116" customFormat="1" ht="39" x14ac:dyDescent="0.2">
      <c r="A59" s="318" t="s">
        <v>148</v>
      </c>
      <c r="B59" s="319" t="s">
        <v>219</v>
      </c>
      <c r="C59" s="320">
        <v>42746</v>
      </c>
      <c r="D59" s="320">
        <v>43476</v>
      </c>
      <c r="E59" s="320">
        <v>43027</v>
      </c>
      <c r="F59" s="408">
        <v>1000000</v>
      </c>
      <c r="G59" s="321">
        <v>730</v>
      </c>
      <c r="H59" s="300">
        <v>7.4899999999999994E-2</v>
      </c>
      <c r="I59" s="322">
        <v>6.1499999999999999E-2</v>
      </c>
      <c r="J59" s="323">
        <v>0</v>
      </c>
      <c r="K59" s="323">
        <v>8.3828E-2</v>
      </c>
      <c r="L59" s="324" t="s">
        <v>158</v>
      </c>
      <c r="M59" s="325">
        <v>271</v>
      </c>
      <c r="N59" s="326">
        <v>8.0774521034351662E-2</v>
      </c>
      <c r="O59" s="327" t="s">
        <v>179</v>
      </c>
      <c r="P59" s="328"/>
    </row>
    <row r="60" spans="1:16" s="116" customFormat="1" ht="39" x14ac:dyDescent="0.2">
      <c r="A60" s="318" t="s">
        <v>152</v>
      </c>
      <c r="B60" s="319" t="s">
        <v>129</v>
      </c>
      <c r="C60" s="320">
        <v>42446</v>
      </c>
      <c r="D60" s="320">
        <v>43176</v>
      </c>
      <c r="E60" s="320">
        <v>42446</v>
      </c>
      <c r="F60" s="408">
        <v>300000</v>
      </c>
      <c r="G60" s="321">
        <f t="shared" si="10"/>
        <v>730</v>
      </c>
      <c r="H60" s="300">
        <v>9.1899999999999996E-2</v>
      </c>
      <c r="I60" s="322">
        <v>9.1899999999999996E-2</v>
      </c>
      <c r="J60" s="323">
        <v>0</v>
      </c>
      <c r="K60" s="323">
        <f t="shared" si="11"/>
        <v>9.1899999999999996E-2</v>
      </c>
      <c r="L60" s="324" t="s">
        <v>150</v>
      </c>
      <c r="M60" s="325">
        <f t="shared" si="12"/>
        <v>85</v>
      </c>
      <c r="N60" s="326">
        <f t="shared" ref="N60:N69" si="16">+F60/$F$70</f>
        <v>1.2019094495042383E-2</v>
      </c>
      <c r="O60" s="327" t="s">
        <v>179</v>
      </c>
      <c r="P60" s="328"/>
    </row>
    <row r="61" spans="1:16" s="116" customFormat="1" ht="39" x14ac:dyDescent="0.2">
      <c r="A61" s="318" t="s">
        <v>152</v>
      </c>
      <c r="B61" s="319" t="s">
        <v>115</v>
      </c>
      <c r="C61" s="320">
        <v>42544</v>
      </c>
      <c r="D61" s="320">
        <v>43404</v>
      </c>
      <c r="E61" s="320">
        <v>42585</v>
      </c>
      <c r="F61" s="408">
        <v>450597</v>
      </c>
      <c r="G61" s="321">
        <f t="shared" si="10"/>
        <v>860</v>
      </c>
      <c r="H61" s="300" t="s">
        <v>114</v>
      </c>
      <c r="I61" s="322">
        <v>0.12748999999999999</v>
      </c>
      <c r="J61" s="323">
        <f>+((1+I61)/(1+IPC!F15))-1</f>
        <v>7.8318668706962358E-2</v>
      </c>
      <c r="K61" s="323">
        <f t="shared" ref="K61" si="17">+((1+J61)*(1+$B$49))-1</f>
        <v>0.12274539785768912</v>
      </c>
      <c r="L61" s="324" t="s">
        <v>150</v>
      </c>
      <c r="M61" s="325">
        <f t="shared" si="12"/>
        <v>313</v>
      </c>
      <c r="N61" s="326">
        <f t="shared" si="16"/>
        <v>1.8052559740608709E-2</v>
      </c>
      <c r="O61" s="327" t="s">
        <v>179</v>
      </c>
      <c r="P61" s="328"/>
    </row>
    <row r="62" spans="1:16" s="116" customFormat="1" ht="39" x14ac:dyDescent="0.2">
      <c r="A62" s="318" t="s">
        <v>152</v>
      </c>
      <c r="B62" s="319" t="s">
        <v>15</v>
      </c>
      <c r="C62" s="320">
        <v>42796</v>
      </c>
      <c r="D62" s="320">
        <v>44622</v>
      </c>
      <c r="E62" s="320">
        <v>42879</v>
      </c>
      <c r="F62" s="408">
        <v>600000</v>
      </c>
      <c r="G62" s="321">
        <f t="shared" ref="G62" si="18">+D62-C62</f>
        <v>1826</v>
      </c>
      <c r="H62" s="300">
        <v>7.1556999999999996E-2</v>
      </c>
      <c r="I62" s="322">
        <v>6.5699999999999995E-2</v>
      </c>
      <c r="J62" s="323">
        <v>0</v>
      </c>
      <c r="K62" s="323">
        <f>+H62</f>
        <v>7.1556999999999996E-2</v>
      </c>
      <c r="L62" s="324" t="s">
        <v>158</v>
      </c>
      <c r="M62" s="325">
        <f t="shared" ref="M62" si="19">+D62-$A$8</f>
        <v>1531</v>
      </c>
      <c r="N62" s="326">
        <f t="shared" si="16"/>
        <v>2.4038188990084766E-2</v>
      </c>
      <c r="O62" s="327" t="s">
        <v>179</v>
      </c>
      <c r="P62" s="328"/>
    </row>
    <row r="63" spans="1:16" s="116" customFormat="1" ht="39" x14ac:dyDescent="0.2">
      <c r="A63" s="318" t="s">
        <v>152</v>
      </c>
      <c r="B63" s="319" t="s">
        <v>209</v>
      </c>
      <c r="C63" s="320">
        <v>42956</v>
      </c>
      <c r="D63" s="320">
        <v>44782</v>
      </c>
      <c r="E63" s="320">
        <v>42956</v>
      </c>
      <c r="F63" s="408">
        <v>500000</v>
      </c>
      <c r="G63" s="321">
        <f t="shared" ref="G63:G65" si="20">+D63-C63</f>
        <v>1826</v>
      </c>
      <c r="H63" s="300">
        <v>7.0999999999999994E-2</v>
      </c>
      <c r="I63" s="322">
        <v>7.0999999999999994E-2</v>
      </c>
      <c r="J63" s="323">
        <v>0</v>
      </c>
      <c r="K63" s="323">
        <f>+H63</f>
        <v>7.0999999999999994E-2</v>
      </c>
      <c r="L63" s="324" t="s">
        <v>200</v>
      </c>
      <c r="M63" s="325">
        <f t="shared" ref="M63:M65" si="21">+D63-$A$8</f>
        <v>1691</v>
      </c>
      <c r="N63" s="326">
        <f t="shared" si="16"/>
        <v>2.0031824158403974E-2</v>
      </c>
      <c r="O63" s="327" t="s">
        <v>179</v>
      </c>
      <c r="P63" s="328"/>
    </row>
    <row r="64" spans="1:16" s="116" customFormat="1" ht="39" x14ac:dyDescent="0.2">
      <c r="A64" s="318" t="s">
        <v>152</v>
      </c>
      <c r="B64" s="319" t="s">
        <v>217</v>
      </c>
      <c r="C64" s="320">
        <v>42990</v>
      </c>
      <c r="D64" s="320">
        <v>43720</v>
      </c>
      <c r="E64" s="320">
        <f>+C64</f>
        <v>42990</v>
      </c>
      <c r="F64" s="408">
        <v>500000</v>
      </c>
      <c r="G64" s="321">
        <f t="shared" si="20"/>
        <v>730</v>
      </c>
      <c r="H64" s="300" t="s">
        <v>218</v>
      </c>
      <c r="I64" s="322">
        <v>6.6952639999999786E-2</v>
      </c>
      <c r="J64" s="323">
        <v>2.7199999999999998E-2</v>
      </c>
      <c r="K64" s="323">
        <f>+((1+J64)*(1+$B$49))-1</f>
        <v>6.9520639999999689E-2</v>
      </c>
      <c r="L64" s="324" t="s">
        <v>200</v>
      </c>
      <c r="M64" s="325">
        <f t="shared" si="21"/>
        <v>629</v>
      </c>
      <c r="N64" s="326">
        <f t="shared" si="16"/>
        <v>2.0031824158403974E-2</v>
      </c>
      <c r="O64" s="327" t="s">
        <v>179</v>
      </c>
      <c r="P64" s="328"/>
    </row>
    <row r="65" spans="1:16" s="116" customFormat="1" ht="39" x14ac:dyDescent="0.2">
      <c r="A65" s="318" t="s">
        <v>151</v>
      </c>
      <c r="B65" s="319" t="s">
        <v>217</v>
      </c>
      <c r="C65" s="320">
        <v>42990</v>
      </c>
      <c r="D65" s="320">
        <v>43720</v>
      </c>
      <c r="E65" s="320">
        <f>+C65</f>
        <v>42990</v>
      </c>
      <c r="F65" s="408">
        <v>500000</v>
      </c>
      <c r="G65" s="321">
        <f t="shared" si="20"/>
        <v>730</v>
      </c>
      <c r="H65" s="300" t="s">
        <v>218</v>
      </c>
      <c r="I65" s="322">
        <v>6.6952639999999786E-2</v>
      </c>
      <c r="J65" s="323">
        <v>2.7199999999999998E-2</v>
      </c>
      <c r="K65" s="323">
        <f>+((1+J65)*(1+$B$49))-1</f>
        <v>6.9520639999999689E-2</v>
      </c>
      <c r="L65" s="324" t="s">
        <v>200</v>
      </c>
      <c r="M65" s="325">
        <f t="shared" si="21"/>
        <v>629</v>
      </c>
      <c r="N65" s="326">
        <f t="shared" si="16"/>
        <v>2.0031824158403974E-2</v>
      </c>
      <c r="O65" s="327" t="s">
        <v>179</v>
      </c>
      <c r="P65" s="328"/>
    </row>
    <row r="66" spans="1:16" s="116" customFormat="1" ht="39" x14ac:dyDescent="0.2">
      <c r="A66" s="318" t="s">
        <v>151</v>
      </c>
      <c r="B66" s="319" t="s">
        <v>112</v>
      </c>
      <c r="C66" s="320">
        <v>42431</v>
      </c>
      <c r="D66" s="320">
        <v>43161</v>
      </c>
      <c r="E66" s="320">
        <v>42460</v>
      </c>
      <c r="F66" s="408">
        <v>700000</v>
      </c>
      <c r="G66" s="321">
        <f t="shared" si="10"/>
        <v>730</v>
      </c>
      <c r="H66" s="300">
        <v>8.9899999999999994E-2</v>
      </c>
      <c r="I66" s="322">
        <v>8.5999999999999993E-2</v>
      </c>
      <c r="J66" s="323">
        <v>0</v>
      </c>
      <c r="K66" s="323">
        <f>+H66</f>
        <v>8.9899999999999994E-2</v>
      </c>
      <c r="L66" s="324" t="s">
        <v>150</v>
      </c>
      <c r="M66" s="325">
        <f t="shared" si="12"/>
        <v>70</v>
      </c>
      <c r="N66" s="326">
        <f t="shared" si="16"/>
        <v>2.8044553821765562E-2</v>
      </c>
      <c r="O66" s="327" t="s">
        <v>179</v>
      </c>
      <c r="P66" s="328"/>
    </row>
    <row r="67" spans="1:16" s="116" customFormat="1" ht="39" x14ac:dyDescent="0.2">
      <c r="A67" s="318" t="s">
        <v>151</v>
      </c>
      <c r="B67" s="319" t="s">
        <v>129</v>
      </c>
      <c r="C67" s="320">
        <v>42446</v>
      </c>
      <c r="D67" s="320">
        <v>43176</v>
      </c>
      <c r="E67" s="320">
        <v>42446</v>
      </c>
      <c r="F67" s="408">
        <v>700000</v>
      </c>
      <c r="G67" s="321">
        <f t="shared" si="10"/>
        <v>730</v>
      </c>
      <c r="H67" s="300">
        <v>9.1899999999999996E-2</v>
      </c>
      <c r="I67" s="322">
        <v>9.1899999999999996E-2</v>
      </c>
      <c r="J67" s="323">
        <v>0</v>
      </c>
      <c r="K67" s="323">
        <f>+H67</f>
        <v>9.1899999999999996E-2</v>
      </c>
      <c r="L67" s="324" t="s">
        <v>150</v>
      </c>
      <c r="M67" s="325">
        <f t="shared" si="12"/>
        <v>85</v>
      </c>
      <c r="N67" s="326">
        <f t="shared" si="16"/>
        <v>2.8044553821765562E-2</v>
      </c>
      <c r="O67" s="327" t="s">
        <v>179</v>
      </c>
      <c r="P67" s="328"/>
    </row>
    <row r="68" spans="1:16" s="116" customFormat="1" ht="39" x14ac:dyDescent="0.2">
      <c r="A68" s="318" t="s">
        <v>151</v>
      </c>
      <c r="B68" s="319" t="s">
        <v>115</v>
      </c>
      <c r="C68" s="320">
        <v>42355</v>
      </c>
      <c r="D68" s="320">
        <v>43369</v>
      </c>
      <c r="E68" s="320">
        <v>42578</v>
      </c>
      <c r="F68" s="408">
        <v>309686</v>
      </c>
      <c r="G68" s="321">
        <f t="shared" si="10"/>
        <v>1014</v>
      </c>
      <c r="H68" s="300" t="s">
        <v>114</v>
      </c>
      <c r="I68" s="322">
        <v>0.1273</v>
      </c>
      <c r="J68" s="323">
        <f>+((1+I68)/(1+IPC!F14))-1</f>
        <v>8.0203142966653873E-2</v>
      </c>
      <c r="K68" s="323">
        <f>+((1+J68)*(1+$B$49))-1</f>
        <v>0.12470751245687994</v>
      </c>
      <c r="L68" s="324" t="s">
        <v>150</v>
      </c>
      <c r="M68" s="325">
        <f t="shared" si="12"/>
        <v>278</v>
      </c>
      <c r="N68" s="326">
        <f t="shared" si="16"/>
        <v>1.2407150992638985E-2</v>
      </c>
      <c r="O68" s="327" t="s">
        <v>179</v>
      </c>
    </row>
    <row r="69" spans="1:16" s="116" customFormat="1" ht="39.75" thickBot="1" x14ac:dyDescent="0.25">
      <c r="A69" s="383" t="s">
        <v>151</v>
      </c>
      <c r="B69" s="384" t="s">
        <v>15</v>
      </c>
      <c r="C69" s="345">
        <v>42796</v>
      </c>
      <c r="D69" s="345">
        <v>44622</v>
      </c>
      <c r="E69" s="345">
        <v>42879</v>
      </c>
      <c r="F69" s="409">
        <v>2400000</v>
      </c>
      <c r="G69" s="347">
        <f t="shared" si="10"/>
        <v>1826</v>
      </c>
      <c r="H69" s="385">
        <v>7.1556999999999996E-2</v>
      </c>
      <c r="I69" s="386">
        <v>6.5699999999999995E-2</v>
      </c>
      <c r="J69" s="348">
        <v>0</v>
      </c>
      <c r="K69" s="348">
        <v>7.1556999999999996E-2</v>
      </c>
      <c r="L69" s="349" t="s">
        <v>158</v>
      </c>
      <c r="M69" s="387">
        <f t="shared" si="12"/>
        <v>1531</v>
      </c>
      <c r="N69" s="388">
        <f t="shared" si="16"/>
        <v>9.6152755960339065E-2</v>
      </c>
      <c r="O69" s="389" t="s">
        <v>179</v>
      </c>
    </row>
    <row r="70" spans="1:16" ht="39.75" thickBot="1" x14ac:dyDescent="0.25">
      <c r="A70" s="556" t="s">
        <v>153</v>
      </c>
      <c r="B70" s="557"/>
      <c r="C70" s="557"/>
      <c r="D70" s="557"/>
      <c r="E70" s="558"/>
      <c r="F70" s="148">
        <f>SUM(F53:F69)</f>
        <v>24960283</v>
      </c>
      <c r="G70" s="148">
        <f>+AVERAGE(G53:G68)</f>
        <v>881.4375</v>
      </c>
      <c r="H70" s="162"/>
      <c r="I70" s="165">
        <f>+AVERAGE(I53:I69)</f>
        <v>7.6387957647058802E-2</v>
      </c>
      <c r="J70" s="163"/>
      <c r="K70" s="165">
        <f>+SUMPRODUCT(K53:K69,N53:N69)</f>
        <v>7.8749177325075026E-2</v>
      </c>
      <c r="L70" s="164"/>
      <c r="M70" s="368">
        <f>+AVERAGE(M53:M69)</f>
        <v>471</v>
      </c>
      <c r="N70" s="255">
        <f>SUM(N53:N69)</f>
        <v>1.0407108727175438</v>
      </c>
    </row>
    <row r="71" spans="1:16" ht="42" customHeight="1" x14ac:dyDescent="0.2">
      <c r="A71" s="145"/>
      <c r="B71" s="150"/>
      <c r="C71" s="141"/>
      <c r="D71" s="151"/>
      <c r="E71" s="142"/>
      <c r="F71" s="224"/>
      <c r="G71" s="26"/>
      <c r="H71" s="144"/>
      <c r="I71" s="142"/>
      <c r="J71" s="142"/>
      <c r="K71" s="26"/>
      <c r="M71" s="27"/>
    </row>
    <row r="72" spans="1:16" ht="53.25" customHeight="1" thickBot="1" x14ac:dyDescent="0.25">
      <c r="A72" s="152"/>
      <c r="B72" s="152"/>
      <c r="C72" s="235"/>
      <c r="D72" s="235"/>
      <c r="E72" s="367"/>
      <c r="F72" s="222"/>
      <c r="G72" s="222"/>
      <c r="H72" s="235"/>
      <c r="I72" s="107"/>
      <c r="J72" s="107"/>
      <c r="K72" s="216"/>
      <c r="L72" s="28"/>
    </row>
    <row r="73" spans="1:16" ht="39" x14ac:dyDescent="0.2">
      <c r="A73" s="560" t="s">
        <v>184</v>
      </c>
      <c r="B73" s="561"/>
      <c r="C73" s="561"/>
      <c r="D73" s="561"/>
      <c r="E73" s="561"/>
      <c r="F73" s="561"/>
      <c r="G73" s="561"/>
      <c r="H73" s="561"/>
      <c r="I73" s="561"/>
      <c r="J73" s="561"/>
      <c r="K73" s="561"/>
      <c r="L73" s="562"/>
      <c r="O73" s="22"/>
    </row>
    <row r="74" spans="1:16" ht="39.75" thickBot="1" x14ac:dyDescent="0.25">
      <c r="A74" s="369" t="s">
        <v>144</v>
      </c>
      <c r="B74" s="370" t="s">
        <v>38</v>
      </c>
      <c r="C74" s="371" t="s">
        <v>140</v>
      </c>
      <c r="D74" s="371" t="s">
        <v>141</v>
      </c>
      <c r="E74" s="372" t="s">
        <v>142</v>
      </c>
      <c r="F74" s="373" t="s">
        <v>39</v>
      </c>
      <c r="G74" s="374" t="s">
        <v>40</v>
      </c>
      <c r="H74" s="437" t="s">
        <v>113</v>
      </c>
      <c r="I74" s="377" t="s">
        <v>138</v>
      </c>
      <c r="J74" s="379" t="s">
        <v>49</v>
      </c>
      <c r="K74" s="380" t="s">
        <v>147</v>
      </c>
      <c r="L74" s="438" t="s">
        <v>188</v>
      </c>
      <c r="O74" s="22"/>
    </row>
    <row r="75" spans="1:16" s="116" customFormat="1" ht="39" x14ac:dyDescent="0.2">
      <c r="A75" s="566" t="s">
        <v>210</v>
      </c>
      <c r="B75" s="563" t="s">
        <v>211</v>
      </c>
      <c r="C75" s="439">
        <v>42919</v>
      </c>
      <c r="D75" s="439">
        <f>+C75+G75</f>
        <v>43099</v>
      </c>
      <c r="E75" s="439">
        <f t="shared" ref="E75" si="22">+C75</f>
        <v>42919</v>
      </c>
      <c r="F75" s="440">
        <v>930000</v>
      </c>
      <c r="G75" s="441">
        <v>180</v>
      </c>
      <c r="H75" s="442">
        <v>1.2500000000000001E-2</v>
      </c>
      <c r="I75" s="442">
        <f>+F75/$F$78</f>
        <v>0.33119658119658119</v>
      </c>
      <c r="J75" s="443" t="s">
        <v>187</v>
      </c>
      <c r="K75" s="444">
        <f t="shared" ref="K75" si="23">+D75-$A$8</f>
        <v>8</v>
      </c>
      <c r="L75" s="445">
        <f>+(F75*$L$12)/1000</f>
        <v>2756129.4</v>
      </c>
    </row>
    <row r="76" spans="1:16" s="116" customFormat="1" ht="39" x14ac:dyDescent="0.2">
      <c r="A76" s="567"/>
      <c r="B76" s="564"/>
      <c r="C76" s="320">
        <v>42919</v>
      </c>
      <c r="D76" s="320">
        <f>+C76+360</f>
        <v>43279</v>
      </c>
      <c r="E76" s="320">
        <f t="shared" ref="E76" si="24">+C76</f>
        <v>42919</v>
      </c>
      <c r="F76" s="343">
        <v>878000</v>
      </c>
      <c r="G76" s="321">
        <f t="shared" ref="G76:G77" si="25">+D76-C76</f>
        <v>360</v>
      </c>
      <c r="H76" s="323">
        <v>1.4999999999999999E-2</v>
      </c>
      <c r="I76" s="323">
        <f>+F76/$F$78</f>
        <v>0.3126780626780627</v>
      </c>
      <c r="J76" s="324" t="s">
        <v>187</v>
      </c>
      <c r="K76" s="325">
        <f t="shared" ref="K76:K77" si="26">+D76-$A$8</f>
        <v>188</v>
      </c>
      <c r="L76" s="344">
        <f t="shared" ref="L76:L77" si="27">+(F76*$L$12)/1000</f>
        <v>2602023.2400000002</v>
      </c>
    </row>
    <row r="77" spans="1:16" s="116" customFormat="1" ht="39.75" thickBot="1" x14ac:dyDescent="0.25">
      <c r="A77" s="568"/>
      <c r="B77" s="565"/>
      <c r="C77" s="345">
        <v>43054</v>
      </c>
      <c r="D77" s="345">
        <f>+C77+30</f>
        <v>43084</v>
      </c>
      <c r="E77" s="345">
        <f>+C77</f>
        <v>43054</v>
      </c>
      <c r="F77" s="346">
        <v>1000000</v>
      </c>
      <c r="G77" s="347">
        <f t="shared" si="25"/>
        <v>30</v>
      </c>
      <c r="H77" s="348">
        <v>5.0000000000000001E-3</v>
      </c>
      <c r="I77" s="348">
        <f>+F77/$F$78</f>
        <v>0.35612535612535612</v>
      </c>
      <c r="J77" s="349" t="s">
        <v>187</v>
      </c>
      <c r="K77" s="387">
        <f t="shared" si="26"/>
        <v>-7</v>
      </c>
      <c r="L77" s="446">
        <f t="shared" si="27"/>
        <v>2963580</v>
      </c>
    </row>
    <row r="78" spans="1:16" ht="39.75" thickBot="1" x14ac:dyDescent="0.25">
      <c r="A78" s="248"/>
      <c r="B78" s="231"/>
      <c r="C78" s="232"/>
      <c r="D78" s="232"/>
      <c r="E78" s="232"/>
      <c r="F78" s="233">
        <f>SUM(F75:F77)</f>
        <v>2808000</v>
      </c>
      <c r="G78" s="148">
        <f>+AVERAGE(G75:G77)</f>
        <v>190</v>
      </c>
      <c r="H78" s="255">
        <f>+SUMPRODUCT(H75:H77,I75:I77)</f>
        <v>1.0610754985754986E-2</v>
      </c>
      <c r="I78" s="165">
        <f>SUM(I75:I77)</f>
        <v>1</v>
      </c>
      <c r="K78" s="148">
        <f>+AVERAGE(K75:K77)</f>
        <v>63</v>
      </c>
      <c r="L78" s="148">
        <f>SUM(L75:L77)</f>
        <v>8321732.6400000006</v>
      </c>
      <c r="O78" s="22"/>
    </row>
    <row r="79" spans="1:16" ht="39.75" thickBot="1" x14ac:dyDescent="0.25">
      <c r="A79" s="248"/>
      <c r="B79" s="231"/>
      <c r="C79" s="232"/>
      <c r="D79" s="232"/>
      <c r="E79" s="232"/>
      <c r="F79" s="249"/>
      <c r="G79" s="224"/>
      <c r="H79" s="250"/>
      <c r="I79" s="226"/>
      <c r="J79" s="227"/>
      <c r="K79" s="26"/>
      <c r="L79" s="216"/>
      <c r="O79" s="22"/>
    </row>
    <row r="80" spans="1:16" ht="39.75" thickBot="1" x14ac:dyDescent="0.25">
      <c r="A80" s="545" t="s">
        <v>155</v>
      </c>
      <c r="B80" s="559"/>
      <c r="C80" s="137">
        <f>+F70+C46+L78</f>
        <v>96521116.062586993</v>
      </c>
      <c r="D80" s="273"/>
      <c r="E80" s="273"/>
      <c r="F80" s="249"/>
      <c r="G80" s="224"/>
      <c r="H80" s="250"/>
      <c r="I80" s="226"/>
      <c r="J80" s="227"/>
      <c r="K80" s="26"/>
      <c r="L80" s="216"/>
      <c r="M80" s="228"/>
      <c r="N80" s="229"/>
      <c r="O80" s="229"/>
    </row>
    <row r="81" spans="1:15" ht="20.100000000000001" customHeight="1" x14ac:dyDescent="0.2">
      <c r="D81" s="161"/>
      <c r="E81" s="161"/>
      <c r="F81" s="222"/>
      <c r="G81" s="222"/>
      <c r="H81" s="235"/>
      <c r="I81" s="161"/>
      <c r="J81" s="161"/>
      <c r="K81" s="216"/>
      <c r="L81" s="28"/>
    </row>
    <row r="82" spans="1:15" ht="52.5" customHeight="1" x14ac:dyDescent="0.2">
      <c r="A82" s="152"/>
      <c r="B82" s="152"/>
      <c r="C82" s="235"/>
      <c r="D82" s="161"/>
      <c r="E82" s="161"/>
      <c r="F82" s="222"/>
      <c r="G82" s="153"/>
      <c r="H82" s="161"/>
      <c r="I82" s="161"/>
      <c r="J82" s="161"/>
      <c r="K82" s="216"/>
      <c r="L82" s="28"/>
    </row>
    <row r="83" spans="1:15" ht="30" customHeight="1" x14ac:dyDescent="0.2">
      <c r="A83" s="152"/>
      <c r="B83" s="152"/>
      <c r="C83" s="161"/>
      <c r="D83" s="161"/>
      <c r="E83" s="161"/>
      <c r="F83" s="222"/>
      <c r="G83" s="153"/>
      <c r="H83" s="161"/>
      <c r="I83" s="161"/>
      <c r="J83" s="161"/>
      <c r="K83" s="216"/>
      <c r="L83" s="28"/>
    </row>
    <row r="84" spans="1:15" ht="50.1" customHeight="1" thickBot="1" x14ac:dyDescent="0.25">
      <c r="A84" s="230"/>
      <c r="B84" s="231"/>
      <c r="C84" s="232"/>
      <c r="D84" s="232"/>
      <c r="E84" s="232"/>
      <c r="F84" s="224"/>
      <c r="G84" s="26"/>
      <c r="H84" s="234"/>
      <c r="I84" s="227"/>
      <c r="J84" s="227"/>
      <c r="K84" s="26"/>
      <c r="L84" s="216"/>
      <c r="M84" s="228"/>
      <c r="N84" s="229"/>
      <c r="O84" s="229"/>
    </row>
    <row r="85" spans="1:15" ht="50.1" customHeight="1" thickBot="1" x14ac:dyDescent="0.25">
      <c r="A85" s="154" t="s">
        <v>46</v>
      </c>
      <c r="B85" s="114" t="s">
        <v>43</v>
      </c>
      <c r="C85" s="114" t="s">
        <v>45</v>
      </c>
      <c r="D85" s="155" t="s">
        <v>47</v>
      </c>
      <c r="F85" s="225"/>
      <c r="G85" s="26"/>
      <c r="H85" s="234"/>
      <c r="I85" s="227"/>
      <c r="J85" s="227"/>
      <c r="K85" s="26"/>
      <c r="L85" s="216"/>
    </row>
    <row r="86" spans="1:15" s="116" customFormat="1" ht="50.1" customHeight="1" x14ac:dyDescent="0.2">
      <c r="A86" s="350" t="s">
        <v>90</v>
      </c>
      <c r="B86" s="156">
        <v>0</v>
      </c>
      <c r="C86" s="157">
        <v>0</v>
      </c>
      <c r="D86" s="351">
        <f>SUM(B86:C86)</f>
        <v>0</v>
      </c>
      <c r="E86" s="353"/>
      <c r="F86" s="354"/>
      <c r="G86" s="355"/>
      <c r="H86" s="355"/>
      <c r="I86" s="355"/>
      <c r="J86" s="355"/>
      <c r="K86" s="356"/>
      <c r="L86" s="357"/>
      <c r="O86" s="259"/>
    </row>
    <row r="87" spans="1:15" s="116" customFormat="1" ht="50.1" customHeight="1" x14ac:dyDescent="0.2">
      <c r="A87" s="350" t="s">
        <v>91</v>
      </c>
      <c r="B87" s="156">
        <f>+[1]Consolidado!$C$15</f>
        <v>100523.845</v>
      </c>
      <c r="C87" s="157">
        <f>+[1]Consolidado!$C$4</f>
        <v>53.42</v>
      </c>
      <c r="D87" s="351">
        <f t="shared" ref="D87:D97" si="28">SUM(B87:C87)</f>
        <v>100577.265</v>
      </c>
      <c r="E87" s="353"/>
      <c r="F87" s="354"/>
      <c r="G87" s="355"/>
      <c r="H87" s="355"/>
      <c r="I87" s="355"/>
      <c r="J87" s="355"/>
      <c r="K87" s="356"/>
      <c r="L87" s="357"/>
      <c r="O87" s="259"/>
    </row>
    <row r="88" spans="1:15" s="116" customFormat="1" ht="50.1" customHeight="1" x14ac:dyDescent="0.2">
      <c r="A88" s="350" t="s">
        <v>92</v>
      </c>
      <c r="B88" s="156">
        <f>+[1]Consolidado!$C$17</f>
        <v>26463.109</v>
      </c>
      <c r="C88" s="157">
        <v>0</v>
      </c>
      <c r="D88" s="351">
        <f t="shared" si="28"/>
        <v>26463.109</v>
      </c>
      <c r="E88" s="353"/>
      <c r="F88" s="354"/>
      <c r="G88" s="355"/>
      <c r="H88" s="355"/>
      <c r="I88" s="355"/>
      <c r="J88" s="355"/>
      <c r="K88" s="356"/>
      <c r="L88" s="357"/>
      <c r="O88" s="259"/>
    </row>
    <row r="89" spans="1:15" s="116" customFormat="1" ht="50.1" customHeight="1" x14ac:dyDescent="0.2">
      <c r="A89" s="350" t="s">
        <v>93</v>
      </c>
      <c r="B89" s="156">
        <f>+[1]Consolidado!$C$16</f>
        <v>185183.432</v>
      </c>
      <c r="C89" s="157">
        <f>+[1]Consolidado!$C$5</f>
        <v>6542.9309999999996</v>
      </c>
      <c r="D89" s="351">
        <f t="shared" si="28"/>
        <v>191726.36300000001</v>
      </c>
      <c r="E89" s="353"/>
      <c r="F89" s="354"/>
      <c r="G89" s="355"/>
      <c r="H89" s="355"/>
      <c r="I89" s="355"/>
      <c r="J89" s="355"/>
      <c r="K89" s="356"/>
      <c r="L89" s="357"/>
      <c r="O89" s="259"/>
    </row>
    <row r="90" spans="1:15" s="116" customFormat="1" ht="50.1" customHeight="1" x14ac:dyDescent="0.2">
      <c r="A90" s="350" t="s">
        <v>94</v>
      </c>
      <c r="B90" s="156">
        <f>+[1]Consolidado!$C$19</f>
        <v>112590.995</v>
      </c>
      <c r="C90" s="157">
        <v>0</v>
      </c>
      <c r="D90" s="351">
        <f t="shared" si="28"/>
        <v>112590.995</v>
      </c>
      <c r="E90" s="353"/>
      <c r="F90" s="354"/>
      <c r="G90" s="355"/>
      <c r="H90" s="355"/>
      <c r="I90" s="355"/>
      <c r="J90" s="355"/>
      <c r="K90" s="356"/>
      <c r="L90" s="357"/>
      <c r="O90" s="259"/>
    </row>
    <row r="91" spans="1:15" s="116" customFormat="1" ht="50.1" customHeight="1" x14ac:dyDescent="0.2">
      <c r="A91" s="350" t="s">
        <v>121</v>
      </c>
      <c r="B91" s="156"/>
      <c r="C91" s="157"/>
      <c r="D91" s="351">
        <f t="shared" si="28"/>
        <v>0</v>
      </c>
      <c r="E91" s="353"/>
      <c r="F91" s="354"/>
      <c r="G91" s="355"/>
      <c r="H91" s="355"/>
      <c r="I91" s="355"/>
      <c r="J91" s="355"/>
      <c r="K91" s="356"/>
      <c r="L91" s="357"/>
      <c r="O91" s="259"/>
    </row>
    <row r="92" spans="1:15" s="116" customFormat="1" ht="50.1" customHeight="1" x14ac:dyDescent="0.2">
      <c r="A92" s="350" t="s">
        <v>95</v>
      </c>
      <c r="B92" s="156"/>
      <c r="C92" s="157"/>
      <c r="D92" s="351">
        <f t="shared" si="28"/>
        <v>0</v>
      </c>
      <c r="E92" s="353"/>
      <c r="F92" s="354"/>
      <c r="G92" s="355"/>
      <c r="H92" s="355"/>
      <c r="I92" s="355"/>
      <c r="J92" s="355"/>
      <c r="K92" s="356"/>
      <c r="L92" s="357"/>
      <c r="O92" s="259"/>
    </row>
    <row r="93" spans="1:15" s="116" customFormat="1" ht="49.5" customHeight="1" x14ac:dyDescent="0.2">
      <c r="A93" s="350" t="s">
        <v>111</v>
      </c>
      <c r="B93" s="156"/>
      <c r="C93" s="157"/>
      <c r="D93" s="351">
        <f t="shared" si="28"/>
        <v>0</v>
      </c>
      <c r="E93" s="353"/>
      <c r="F93" s="354"/>
      <c r="G93" s="355"/>
      <c r="H93" s="355"/>
      <c r="I93" s="355"/>
      <c r="J93" s="355"/>
      <c r="K93" s="356"/>
      <c r="L93" s="357"/>
      <c r="O93" s="259"/>
    </row>
    <row r="94" spans="1:15" s="116" customFormat="1" ht="50.1" customHeight="1" x14ac:dyDescent="0.2">
      <c r="A94" s="350" t="s">
        <v>96</v>
      </c>
      <c r="B94" s="156"/>
      <c r="C94" s="157"/>
      <c r="D94" s="351">
        <f t="shared" si="28"/>
        <v>0</v>
      </c>
      <c r="E94" s="353"/>
      <c r="F94" s="358"/>
      <c r="G94" s="355"/>
      <c r="H94" s="355"/>
      <c r="I94" s="355"/>
      <c r="J94" s="355"/>
      <c r="K94" s="356"/>
      <c r="L94" s="110"/>
      <c r="O94" s="259"/>
    </row>
    <row r="95" spans="1:15" s="116" customFormat="1" ht="50.1" customHeight="1" x14ac:dyDescent="0.2">
      <c r="A95" s="350" t="s">
        <v>97</v>
      </c>
      <c r="B95" s="156">
        <f>+[1]Consolidado!$C$18</f>
        <v>19822.266</v>
      </c>
      <c r="C95" s="157"/>
      <c r="D95" s="351">
        <f t="shared" si="28"/>
        <v>19822.266</v>
      </c>
      <c r="E95" s="353"/>
      <c r="F95" s="359"/>
      <c r="G95" s="355"/>
      <c r="H95" s="355"/>
      <c r="I95" s="355"/>
      <c r="J95" s="355"/>
      <c r="K95" s="356"/>
      <c r="L95" s="110"/>
      <c r="O95" s="259"/>
    </row>
    <row r="96" spans="1:15" s="116" customFormat="1" ht="50.1" customHeight="1" x14ac:dyDescent="0.2">
      <c r="A96" s="350" t="s">
        <v>98</v>
      </c>
      <c r="B96" s="156"/>
      <c r="C96" s="157"/>
      <c r="D96" s="351">
        <f t="shared" si="28"/>
        <v>0</v>
      </c>
      <c r="E96" s="353"/>
      <c r="F96" s="358"/>
      <c r="G96" s="358"/>
      <c r="H96" s="110"/>
      <c r="I96" s="110"/>
      <c r="J96" s="110"/>
      <c r="K96" s="110"/>
      <c r="L96" s="110"/>
      <c r="O96" s="259"/>
    </row>
    <row r="97" spans="1:15" s="116" customFormat="1" ht="50.1" customHeight="1" thickBot="1" x14ac:dyDescent="0.25">
      <c r="A97" s="352" t="s">
        <v>126</v>
      </c>
      <c r="B97" s="158"/>
      <c r="C97" s="159"/>
      <c r="D97" s="351">
        <f t="shared" si="28"/>
        <v>0</v>
      </c>
      <c r="E97" s="353"/>
      <c r="F97" s="358"/>
      <c r="G97" s="358"/>
      <c r="H97" s="110"/>
      <c r="I97" s="110"/>
      <c r="J97" s="110"/>
      <c r="K97" s="110"/>
      <c r="L97" s="110"/>
      <c r="O97" s="259"/>
    </row>
    <row r="98" spans="1:15" ht="50.1" customHeight="1" thickBot="1" x14ac:dyDescent="0.25">
      <c r="A98" s="252" t="s">
        <v>77</v>
      </c>
      <c r="B98" s="253">
        <f>SUM(B86:B97)</f>
        <v>444583.647</v>
      </c>
      <c r="C98" s="253">
        <f>SUM(C86:C97)</f>
        <v>6596.3509999999997</v>
      </c>
      <c r="D98" s="254">
        <f>SUM(D86:D97)</f>
        <v>451179.99800000002</v>
      </c>
      <c r="I98" s="251"/>
      <c r="J98" s="251"/>
    </row>
    <row r="100" spans="1:15" ht="20.100000000000001" customHeight="1" x14ac:dyDescent="0.2">
      <c r="D100" s="160"/>
    </row>
    <row r="104" spans="1:15" ht="36.75" customHeight="1" x14ac:dyDescent="0.2">
      <c r="C104" s="265"/>
    </row>
    <row r="105" spans="1:15" ht="36.75" customHeight="1" x14ac:dyDescent="0.2"/>
    <row r="106" spans="1:15" ht="36.75" customHeight="1" x14ac:dyDescent="0.2"/>
  </sheetData>
  <autoFilter ref="A52:O70"/>
  <sortState ref="A51:O88">
    <sortCondition ref="A51:A88"/>
    <sortCondition ref="D51:D88"/>
  </sortState>
  <mergeCells count="24">
    <mergeCell ref="A39:L39"/>
    <mergeCell ref="A44:B44"/>
    <mergeCell ref="A70:E70"/>
    <mergeCell ref="A46:B46"/>
    <mergeCell ref="A80:B80"/>
    <mergeCell ref="A51:O51"/>
    <mergeCell ref="A73:L73"/>
    <mergeCell ref="B75:B77"/>
    <mergeCell ref="A75:A77"/>
    <mergeCell ref="A1:L1"/>
    <mergeCell ref="A3:L3"/>
    <mergeCell ref="B4:L4"/>
    <mergeCell ref="A5:L5"/>
    <mergeCell ref="A6:L6"/>
    <mergeCell ref="A7:L7"/>
    <mergeCell ref="A26:B26"/>
    <mergeCell ref="A18:B18"/>
    <mergeCell ref="A8:L8"/>
    <mergeCell ref="I37:L37"/>
    <mergeCell ref="A11:L11"/>
    <mergeCell ref="A19:L19"/>
    <mergeCell ref="A36:B36"/>
    <mergeCell ref="A27:L27"/>
    <mergeCell ref="A35:B35"/>
  </mergeCells>
  <phoneticPr fontId="0" type="noConversion"/>
  <conditionalFormatting sqref="F41:F43">
    <cfRule type="cellIs" dxfId="85" priority="274" stopIfTrue="1" operator="greaterThan">
      <formula>"0.01%"</formula>
    </cfRule>
  </conditionalFormatting>
  <conditionalFormatting sqref="F34">
    <cfRule type="cellIs" dxfId="84" priority="254" stopIfTrue="1" operator="greaterThan">
      <formula>"0.01%"</formula>
    </cfRule>
  </conditionalFormatting>
  <conditionalFormatting sqref="F30">
    <cfRule type="cellIs" dxfId="83" priority="227" stopIfTrue="1" operator="greaterThan">
      <formula>"0.01%"</formula>
    </cfRule>
  </conditionalFormatting>
  <conditionalFormatting sqref="F28">
    <cfRule type="cellIs" dxfId="82" priority="221" stopIfTrue="1" operator="greaterThan">
      <formula>"0.01%"</formula>
    </cfRule>
  </conditionalFormatting>
  <conditionalFormatting sqref="F28">
    <cfRule type="cellIs" dxfId="81" priority="220" stopIfTrue="1" operator="greaterThan">
      <formula>"0.01%"</formula>
    </cfRule>
  </conditionalFormatting>
  <conditionalFormatting sqref="F20:F21 F23">
    <cfRule type="cellIs" dxfId="80" priority="217" stopIfTrue="1" operator="greaterThan">
      <formula>"0.01%"</formula>
    </cfRule>
  </conditionalFormatting>
  <conditionalFormatting sqref="F20:F21 F23">
    <cfRule type="cellIs" dxfId="79" priority="216" stopIfTrue="1" operator="greaterThan">
      <formula>"0.01%"</formula>
    </cfRule>
  </conditionalFormatting>
  <conditionalFormatting sqref="F16">
    <cfRule type="cellIs" dxfId="78" priority="215" stopIfTrue="1" operator="greaterThan">
      <formula>"0.01%"</formula>
    </cfRule>
  </conditionalFormatting>
  <conditionalFormatting sqref="F16">
    <cfRule type="cellIs" dxfId="77" priority="214" stopIfTrue="1" operator="greaterThan">
      <formula>"0.01%"</formula>
    </cfRule>
  </conditionalFormatting>
  <conditionalFormatting sqref="J13:J14">
    <cfRule type="cellIs" dxfId="76" priority="211" stopIfTrue="1" operator="greaterThan">
      <formula>"0.01%"</formula>
    </cfRule>
  </conditionalFormatting>
  <conditionalFormatting sqref="J13:J14">
    <cfRule type="cellIs" dxfId="75" priority="210" stopIfTrue="1" operator="greaterThan">
      <formula>"0.01%"</formula>
    </cfRule>
  </conditionalFormatting>
  <conditionalFormatting sqref="K31">
    <cfRule type="cellIs" dxfId="74" priority="153" stopIfTrue="1" operator="greaterThan">
      <formula>"0.01%"</formula>
    </cfRule>
  </conditionalFormatting>
  <conditionalFormatting sqref="F22">
    <cfRule type="cellIs" dxfId="73" priority="115" stopIfTrue="1" operator="greaterThan">
      <formula>"0.01%"</formula>
    </cfRule>
  </conditionalFormatting>
  <conditionalFormatting sqref="F22">
    <cfRule type="cellIs" dxfId="72" priority="114" stopIfTrue="1" operator="greaterThan">
      <formula>"0.01%"</formula>
    </cfRule>
  </conditionalFormatting>
  <conditionalFormatting sqref="F31">
    <cfRule type="cellIs" dxfId="71" priority="106" stopIfTrue="1" operator="greaterThan">
      <formula>"0.01%"</formula>
    </cfRule>
  </conditionalFormatting>
  <conditionalFormatting sqref="F31">
    <cfRule type="cellIs" dxfId="70" priority="105" stopIfTrue="1" operator="greaterThan">
      <formula>"0.01%"</formula>
    </cfRule>
  </conditionalFormatting>
  <conditionalFormatting sqref="F17">
    <cfRule type="cellIs" dxfId="69" priority="92" stopIfTrue="1" operator="greaterThan">
      <formula>"0.01%"</formula>
    </cfRule>
  </conditionalFormatting>
  <conditionalFormatting sqref="F17">
    <cfRule type="cellIs" dxfId="68" priority="91" stopIfTrue="1" operator="greaterThan">
      <formula>"0.01%"</formula>
    </cfRule>
  </conditionalFormatting>
  <conditionalFormatting sqref="K12">
    <cfRule type="cellIs" dxfId="67" priority="88" stopIfTrue="1" operator="greaterThan">
      <formula>"0.01%"</formula>
    </cfRule>
  </conditionalFormatting>
  <conditionalFormatting sqref="K12">
    <cfRule type="cellIs" dxfId="66" priority="87" stopIfTrue="1" operator="greaterThan">
      <formula>"0.01%"</formula>
    </cfRule>
  </conditionalFormatting>
  <conditionalFormatting sqref="F24">
    <cfRule type="cellIs" dxfId="65" priority="86" stopIfTrue="1" operator="greaterThan">
      <formula>"0.01%"</formula>
    </cfRule>
  </conditionalFormatting>
  <conditionalFormatting sqref="F24">
    <cfRule type="cellIs" dxfId="64" priority="85" stopIfTrue="1" operator="greaterThan">
      <formula>"0.01%"</formula>
    </cfRule>
  </conditionalFormatting>
  <conditionalFormatting sqref="M60:M61 M66:M69 M53">
    <cfRule type="cellIs" dxfId="63" priority="73" operator="lessThan">
      <formula>6</formula>
    </cfRule>
    <cfRule type="cellIs" dxfId="62" priority="74" operator="lessThan">
      <formula>5</formula>
    </cfRule>
  </conditionalFormatting>
  <conditionalFormatting sqref="F25">
    <cfRule type="cellIs" dxfId="61" priority="61" stopIfTrue="1" operator="greaterThan">
      <formula>"0.01%"</formula>
    </cfRule>
  </conditionalFormatting>
  <conditionalFormatting sqref="F25">
    <cfRule type="cellIs" dxfId="60" priority="60" stopIfTrue="1" operator="greaterThan">
      <formula>"0.01%"</formula>
    </cfRule>
  </conditionalFormatting>
  <conditionalFormatting sqref="M54:M57">
    <cfRule type="cellIs" dxfId="59" priority="49" operator="lessThan">
      <formula>6</formula>
    </cfRule>
    <cfRule type="cellIs" dxfId="58" priority="50" operator="lessThan">
      <formula>5</formula>
    </cfRule>
  </conditionalFormatting>
  <conditionalFormatting sqref="F15">
    <cfRule type="cellIs" dxfId="57" priority="40" stopIfTrue="1" operator="greaterThan">
      <formula>"0.01%"</formula>
    </cfRule>
  </conditionalFormatting>
  <conditionalFormatting sqref="F15">
    <cfRule type="cellIs" dxfId="56" priority="39" stopIfTrue="1" operator="greaterThan">
      <formula>"0.01%"</formula>
    </cfRule>
  </conditionalFormatting>
  <conditionalFormatting sqref="J15">
    <cfRule type="cellIs" dxfId="55" priority="38" stopIfTrue="1" operator="greaterThan">
      <formula>"0.01%"</formula>
    </cfRule>
  </conditionalFormatting>
  <conditionalFormatting sqref="J15">
    <cfRule type="cellIs" dxfId="54" priority="37" stopIfTrue="1" operator="greaterThan">
      <formula>"0.01%"</formula>
    </cfRule>
  </conditionalFormatting>
  <conditionalFormatting sqref="F14">
    <cfRule type="cellIs" dxfId="53" priority="32" stopIfTrue="1" operator="greaterThan">
      <formula>"0.01%"</formula>
    </cfRule>
  </conditionalFormatting>
  <conditionalFormatting sqref="F14">
    <cfRule type="cellIs" dxfId="52" priority="31" stopIfTrue="1" operator="greaterThan">
      <formula>"0.01%"</formula>
    </cfRule>
  </conditionalFormatting>
  <conditionalFormatting sqref="F14">
    <cfRule type="cellIs" dxfId="51" priority="30" stopIfTrue="1" operator="greaterThan">
      <formula>"0.01%"</formula>
    </cfRule>
  </conditionalFormatting>
  <conditionalFormatting sqref="F14">
    <cfRule type="cellIs" dxfId="50" priority="29" stopIfTrue="1" operator="greaterThan">
      <formula>"0.01%"</formula>
    </cfRule>
  </conditionalFormatting>
  <conditionalFormatting sqref="F33">
    <cfRule type="cellIs" dxfId="49" priority="27" stopIfTrue="1" operator="greaterThan">
      <formula>"0.01%"</formula>
    </cfRule>
  </conditionalFormatting>
  <conditionalFormatting sqref="F12">
    <cfRule type="cellIs" dxfId="48" priority="22" stopIfTrue="1" operator="greaterThan">
      <formula>"0.01%"</formula>
    </cfRule>
  </conditionalFormatting>
  <conditionalFormatting sqref="F12">
    <cfRule type="cellIs" dxfId="47" priority="21" stopIfTrue="1" operator="greaterThan">
      <formula>"0.01%"</formula>
    </cfRule>
  </conditionalFormatting>
  <conditionalFormatting sqref="F32">
    <cfRule type="cellIs" dxfId="46" priority="20" stopIfTrue="1" operator="greaterThan">
      <formula>"0.01%"</formula>
    </cfRule>
  </conditionalFormatting>
  <conditionalFormatting sqref="F32">
    <cfRule type="cellIs" dxfId="45" priority="19" stopIfTrue="1" operator="greaterThan">
      <formula>"0.01%"</formula>
    </cfRule>
  </conditionalFormatting>
  <conditionalFormatting sqref="F13">
    <cfRule type="cellIs" dxfId="44" priority="18" stopIfTrue="1" operator="greaterThan">
      <formula>"0.01%"</formula>
    </cfRule>
  </conditionalFormatting>
  <conditionalFormatting sqref="F13">
    <cfRule type="cellIs" dxfId="43" priority="17" stopIfTrue="1" operator="greaterThan">
      <formula>"0.01%"</formula>
    </cfRule>
  </conditionalFormatting>
  <conditionalFormatting sqref="F13">
    <cfRule type="cellIs" dxfId="42" priority="16" stopIfTrue="1" operator="greaterThan">
      <formula>"0.01%"</formula>
    </cfRule>
  </conditionalFormatting>
  <conditionalFormatting sqref="F13">
    <cfRule type="cellIs" dxfId="41" priority="15" stopIfTrue="1" operator="greaterThan">
      <formula>"0.01%"</formula>
    </cfRule>
  </conditionalFormatting>
  <conditionalFormatting sqref="M62">
    <cfRule type="cellIs" dxfId="40" priority="11" operator="lessThan">
      <formula>6</formula>
    </cfRule>
    <cfRule type="cellIs" dxfId="39" priority="12" operator="lessThan">
      <formula>5</formula>
    </cfRule>
  </conditionalFormatting>
  <conditionalFormatting sqref="M58:M59">
    <cfRule type="cellIs" dxfId="38" priority="9" operator="lessThan">
      <formula>6</formula>
    </cfRule>
    <cfRule type="cellIs" dxfId="37" priority="10" operator="lessThan">
      <formula>5</formula>
    </cfRule>
  </conditionalFormatting>
  <conditionalFormatting sqref="M63:M65">
    <cfRule type="cellIs" dxfId="36" priority="7" operator="lessThan">
      <formula>6</formula>
    </cfRule>
    <cfRule type="cellIs" dxfId="35" priority="8" operator="lessThan">
      <formula>5</formula>
    </cfRule>
  </conditionalFormatting>
  <conditionalFormatting sqref="J17">
    <cfRule type="cellIs" dxfId="34" priority="6" stopIfTrue="1" operator="greaterThan">
      <formula>"0.01%"</formula>
    </cfRule>
  </conditionalFormatting>
  <conditionalFormatting sqref="J17">
    <cfRule type="cellIs" dxfId="33" priority="5" stopIfTrue="1" operator="greaterThan">
      <formula>"0.01%"</formula>
    </cfRule>
  </conditionalFormatting>
  <conditionalFormatting sqref="F29">
    <cfRule type="cellIs" dxfId="32" priority="4" stopIfTrue="1" operator="greaterThan">
      <formula>"0.01%"</formula>
    </cfRule>
  </conditionalFormatting>
  <conditionalFormatting sqref="F29">
    <cfRule type="cellIs" dxfId="31" priority="3" stopIfTrue="1" operator="greaterThan">
      <formula>"0.01%"</formula>
    </cfRule>
  </conditionalFormatting>
  <hyperlinks>
    <hyperlink ref="F36" location="'MOVIMIENTOS POR CUENTA'!A1" display="'MOVIMIENTOS POR CUENTA'!A1"/>
    <hyperlink ref="F44" location="'MOVIMIENTOS POR CUENTA'!A1" display="'MOVIMIENTOS POR CUENTA'!A1"/>
  </hyperlinks>
  <printOptions horizontalCentered="1" verticalCentered="1"/>
  <pageMargins left="0" right="0.39370078740157483" top="0" bottom="0" header="0" footer="0"/>
  <pageSetup paperSize="9" scale="26" orientation="landscape" r:id="rId1"/>
  <headerFooter alignWithMargins="0"/>
  <ignoredErrors>
    <ignoredError sqref="J24 E15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R47"/>
  <sheetViews>
    <sheetView showGridLines="0" topLeftCell="D1" zoomScale="30" zoomScaleNormal="30" zoomScaleSheetLayoutView="20" zoomScalePageLayoutView="40" workbookViewId="0">
      <selection activeCell="K5" sqref="K5"/>
    </sheetView>
  </sheetViews>
  <sheetFormatPr baseColWidth="10" defaultColWidth="11.42578125" defaultRowHeight="20.100000000000001" customHeight="1" x14ac:dyDescent="0.2"/>
  <cols>
    <col min="1" max="1" width="113.85546875" style="32" customWidth="1"/>
    <col min="2" max="2" width="108.7109375" style="32" customWidth="1"/>
    <col min="3" max="3" width="52.28515625" style="32" customWidth="1"/>
    <col min="4" max="4" width="49.5703125" style="33" customWidth="1"/>
    <col min="5" max="5" width="50.140625" style="34" customWidth="1"/>
    <col min="6" max="6" width="47.140625" style="35" customWidth="1"/>
    <col min="7" max="7" width="52.7109375" style="35" customWidth="1"/>
    <col min="8" max="8" width="53.42578125" style="63" customWidth="1"/>
    <col min="9" max="9" width="45" style="32" bestFit="1" customWidth="1"/>
    <col min="10" max="10" width="52.7109375" style="32" customWidth="1"/>
    <col min="11" max="11" width="48.28515625" style="32" customWidth="1"/>
    <col min="12" max="12" width="50.140625" style="32" customWidth="1"/>
    <col min="13" max="13" width="190.5703125" style="32" bestFit="1" customWidth="1"/>
    <col min="14" max="14" width="54.42578125" style="63" bestFit="1" customWidth="1"/>
    <col min="15" max="15" width="44.140625" style="62" bestFit="1" customWidth="1"/>
    <col min="16" max="16" width="11.42578125" style="32"/>
    <col min="17" max="17" width="46.42578125" style="32" bestFit="1" customWidth="1"/>
    <col min="18" max="18" width="43" style="32" bestFit="1" customWidth="1"/>
    <col min="19" max="16384" width="11.42578125" style="32"/>
  </cols>
  <sheetData>
    <row r="1" spans="1:18" ht="46.5" thickBot="1" x14ac:dyDescent="0.25">
      <c r="A1" s="36"/>
      <c r="B1" s="36"/>
      <c r="C1" s="36"/>
      <c r="D1" s="36"/>
      <c r="E1" s="36"/>
      <c r="F1" s="38"/>
      <c r="G1" s="38"/>
    </row>
    <row r="2" spans="1:18" ht="46.5" thickBot="1" x14ac:dyDescent="0.25">
      <c r="A2" s="39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9" t="s">
        <v>50</v>
      </c>
      <c r="G2" s="39" t="s">
        <v>84</v>
      </c>
      <c r="H2" s="61" t="s">
        <v>89</v>
      </c>
      <c r="I2" s="61" t="s">
        <v>85</v>
      </c>
      <c r="J2" s="64" t="s">
        <v>99</v>
      </c>
      <c r="K2" s="61" t="s">
        <v>87</v>
      </c>
      <c r="L2" s="61" t="s">
        <v>88</v>
      </c>
      <c r="M2" s="61" t="s">
        <v>86</v>
      </c>
      <c r="N2" s="61" t="s">
        <v>110</v>
      </c>
    </row>
    <row r="3" spans="1:18" ht="46.5" thickBot="1" x14ac:dyDescent="0.25">
      <c r="A3" s="572" t="s">
        <v>30</v>
      </c>
      <c r="B3" s="573"/>
      <c r="C3" s="573"/>
      <c r="D3" s="573"/>
      <c r="E3" s="573"/>
      <c r="F3" s="573"/>
      <c r="G3" s="573"/>
      <c r="H3" s="573"/>
      <c r="I3" s="573"/>
      <c r="J3" s="573"/>
      <c r="K3" s="573"/>
      <c r="L3" s="573"/>
      <c r="M3" s="574"/>
    </row>
    <row r="4" spans="1:18" ht="45.75" x14ac:dyDescent="0.2">
      <c r="A4" s="48" t="s">
        <v>10</v>
      </c>
      <c r="B4" s="49" t="s">
        <v>7</v>
      </c>
      <c r="C4" s="65" t="s">
        <v>27</v>
      </c>
      <c r="D4" s="66">
        <f>+'SALDOS DIARIOS DE REPORTES'!C12</f>
        <v>79687.149999999965</v>
      </c>
      <c r="E4" s="66">
        <f>+'SALDOS DIARIOS DE REPORTES'!D12</f>
        <v>320352.64999999991</v>
      </c>
      <c r="F4" s="283">
        <f>D4/E4-1</f>
        <v>-0.7512517845568002</v>
      </c>
      <c r="G4" s="67">
        <f t="shared" ref="G4:G9" si="0">+D4-E4</f>
        <v>-240665.49999999994</v>
      </c>
      <c r="H4" s="67"/>
      <c r="I4" s="67">
        <v>-240665.49999999994</v>
      </c>
      <c r="J4" s="67"/>
      <c r="K4" s="67"/>
      <c r="L4" s="68">
        <f>+H4+I4+J4+K4</f>
        <v>-240665.49999999994</v>
      </c>
      <c r="M4" s="290" t="s">
        <v>223</v>
      </c>
      <c r="N4" s="63">
        <f t="shared" ref="N4:N8" si="1">+L4-G4</f>
        <v>0</v>
      </c>
      <c r="O4" s="62">
        <f>+N4*-1</f>
        <v>0</v>
      </c>
    </row>
    <row r="5" spans="1:18" ht="45.75" x14ac:dyDescent="0.2">
      <c r="A5" s="50" t="s">
        <v>11</v>
      </c>
      <c r="B5" s="51" t="s">
        <v>109</v>
      </c>
      <c r="C5" s="69" t="s">
        <v>2</v>
      </c>
      <c r="D5" s="42">
        <f>+'SALDOS DIARIOS DE REPORTES'!C13</f>
        <v>1319236.2826700001</v>
      </c>
      <c r="E5" s="42">
        <f>+'SALDOS DIARIOS DE REPORTES'!D13</f>
        <v>1080746.2296900006</v>
      </c>
      <c r="F5" s="284">
        <f>D5/E5-1</f>
        <v>0.22067164929958394</v>
      </c>
      <c r="G5" s="71">
        <f t="shared" si="0"/>
        <v>238490.05297999945</v>
      </c>
      <c r="H5" s="71">
        <v>238492.88397999998</v>
      </c>
      <c r="I5" s="71"/>
      <c r="J5" s="247"/>
      <c r="K5" s="71">
        <v>-2.8310000005294569</v>
      </c>
      <c r="L5" s="72">
        <f t="shared" ref="L5:L9" si="2">+H5+I5+J5+K5</f>
        <v>238490.05297999945</v>
      </c>
      <c r="M5" s="280"/>
      <c r="N5" s="74">
        <f>+L5-G5</f>
        <v>0</v>
      </c>
      <c r="O5" s="62">
        <f>+N5*-1</f>
        <v>0</v>
      </c>
    </row>
    <row r="6" spans="1:18" ht="45.75" x14ac:dyDescent="0.2">
      <c r="A6" s="50" t="s">
        <v>12</v>
      </c>
      <c r="B6" s="51" t="s">
        <v>48</v>
      </c>
      <c r="C6" s="69" t="s">
        <v>3</v>
      </c>
      <c r="D6" s="42">
        <f>+'SALDOS DIARIOS DE REPORTES'!C14</f>
        <v>2078577.2926499997</v>
      </c>
      <c r="E6" s="42">
        <f>+'SALDOS DIARIOS DE REPORTES'!D14</f>
        <v>1743331.9496499996</v>
      </c>
      <c r="F6" s="284">
        <f>D6/E6-1</f>
        <v>0.19230149660671669</v>
      </c>
      <c r="G6" s="71">
        <f t="shared" si="0"/>
        <v>335245.34300000011</v>
      </c>
      <c r="H6" s="71">
        <v>415980.62400000001</v>
      </c>
      <c r="I6" s="247">
        <v>-80735.280999999901</v>
      </c>
      <c r="J6" s="247"/>
      <c r="K6" s="71"/>
      <c r="L6" s="72">
        <f t="shared" si="2"/>
        <v>335245.34300000011</v>
      </c>
      <c r="M6" s="280"/>
      <c r="N6" s="74">
        <f>+L6-G6</f>
        <v>0</v>
      </c>
      <c r="O6" s="62">
        <f>+N6*-1</f>
        <v>0</v>
      </c>
    </row>
    <row r="7" spans="1:18" s="41" customFormat="1" ht="45.75" x14ac:dyDescent="0.2">
      <c r="A7" s="75" t="s">
        <v>13</v>
      </c>
      <c r="B7" s="76" t="s">
        <v>1</v>
      </c>
      <c r="C7" s="77" t="s">
        <v>4</v>
      </c>
      <c r="D7" s="42">
        <f>+'SALDOS DIARIOS DE REPORTES'!C15</f>
        <v>2487147.3339999998</v>
      </c>
      <c r="E7" s="42">
        <f>+'SALDOS DIARIOS DE REPORTES'!D15</f>
        <v>2961260.5619999999</v>
      </c>
      <c r="F7" s="285">
        <f>+D7/E7-1</f>
        <v>-0.16010520454835953</v>
      </c>
      <c r="G7" s="71">
        <f t="shared" si="0"/>
        <v>-474113.22800000012</v>
      </c>
      <c r="H7" s="71">
        <v>1525886.7719999999</v>
      </c>
      <c r="I7" s="281"/>
      <c r="J7" s="247">
        <v>-2000000</v>
      </c>
      <c r="K7" s="71"/>
      <c r="L7" s="72">
        <f t="shared" si="2"/>
        <v>-474113.22800000012</v>
      </c>
      <c r="M7" s="280" t="s">
        <v>220</v>
      </c>
      <c r="N7" s="74">
        <f>+L7-G7</f>
        <v>0</v>
      </c>
      <c r="O7" s="79">
        <f>+N7*-1</f>
        <v>0</v>
      </c>
    </row>
    <row r="8" spans="1:18" ht="45.75" x14ac:dyDescent="0.2">
      <c r="A8" s="80" t="s">
        <v>108</v>
      </c>
      <c r="B8" s="81" t="s">
        <v>101</v>
      </c>
      <c r="C8" s="82" t="s">
        <v>102</v>
      </c>
      <c r="D8" s="60">
        <f>+'SALDOS DIARIOS DE REPORTES'!C16</f>
        <v>0</v>
      </c>
      <c r="E8" s="60">
        <f>+'SALDOS DIARIOS DE REPORTES'!D16</f>
        <v>0</v>
      </c>
      <c r="F8" s="286">
        <v>0</v>
      </c>
      <c r="G8" s="293">
        <f t="shared" si="0"/>
        <v>0</v>
      </c>
      <c r="H8" s="293"/>
      <c r="I8" s="293"/>
      <c r="J8" s="247"/>
      <c r="K8" s="293"/>
      <c r="L8" s="72">
        <f t="shared" si="2"/>
        <v>0</v>
      </c>
      <c r="M8" s="291"/>
      <c r="N8" s="74">
        <f t="shared" si="1"/>
        <v>0</v>
      </c>
    </row>
    <row r="9" spans="1:18" ht="46.5" thickBot="1" x14ac:dyDescent="0.25">
      <c r="A9" s="52" t="s">
        <v>15</v>
      </c>
      <c r="B9" s="53" t="s">
        <v>83</v>
      </c>
      <c r="C9" s="83" t="s">
        <v>0</v>
      </c>
      <c r="D9" s="44">
        <f>+'SALDOS DIARIOS DE REPORTES'!C17</f>
        <v>88961.873680000004</v>
      </c>
      <c r="E9" s="44">
        <f>+'SALDOS DIARIOS DE REPORTES'!D17</f>
        <v>88961.873680000004</v>
      </c>
      <c r="F9" s="287">
        <f>D9/E9-1</f>
        <v>0</v>
      </c>
      <c r="G9" s="282">
        <f t="shared" si="0"/>
        <v>0</v>
      </c>
      <c r="H9" s="282"/>
      <c r="I9" s="85"/>
      <c r="J9" s="282"/>
      <c r="K9" s="87"/>
      <c r="L9" s="88">
        <f t="shared" si="2"/>
        <v>0</v>
      </c>
      <c r="M9" s="292"/>
      <c r="N9" s="63">
        <f>+L9-G9</f>
        <v>0</v>
      </c>
      <c r="O9" s="79">
        <f>+N9*-1</f>
        <v>0</v>
      </c>
    </row>
    <row r="10" spans="1:18" s="47" customFormat="1" ht="52.5" customHeight="1" thickBot="1" x14ac:dyDescent="0.25">
      <c r="A10" s="575" t="s">
        <v>28</v>
      </c>
      <c r="B10" s="576"/>
      <c r="C10" s="577"/>
      <c r="D10" s="45">
        <f>SUM(D5:D9)</f>
        <v>5973922.7829999998</v>
      </c>
      <c r="E10" s="45">
        <f>SUM(E5:E9)</f>
        <v>5874300.6150200004</v>
      </c>
      <c r="F10" s="288">
        <f>D10/E10-1</f>
        <v>1.6958983632072711E-2</v>
      </c>
      <c r="G10" s="92">
        <f>SUM(G5:G9)</f>
        <v>99622.167979999445</v>
      </c>
      <c r="H10" s="93">
        <f>+H4+H5+H6+H7+H8+H9</f>
        <v>2180360.2799800001</v>
      </c>
      <c r="I10" s="93">
        <f>+I4+I5+I6+I7+I8+I9</f>
        <v>-321400.78099999984</v>
      </c>
      <c r="J10" s="93">
        <f t="shared" ref="J10:L10" si="3">+J4+J5+J6+J7+J8+J9</f>
        <v>-2000000</v>
      </c>
      <c r="K10" s="93">
        <f t="shared" si="3"/>
        <v>-2.8310000005294569</v>
      </c>
      <c r="L10" s="93">
        <f t="shared" si="3"/>
        <v>-141043.3320200005</v>
      </c>
      <c r="M10" s="94"/>
      <c r="N10" s="95"/>
      <c r="O10" s="58"/>
    </row>
    <row r="11" spans="1:18" ht="46.5" thickBot="1" x14ac:dyDescent="0.25">
      <c r="A11" s="572" t="s">
        <v>31</v>
      </c>
      <c r="B11" s="573"/>
      <c r="C11" s="573"/>
      <c r="D11" s="573"/>
      <c r="E11" s="573"/>
      <c r="F11" s="573"/>
      <c r="G11" s="573"/>
      <c r="H11" s="573"/>
      <c r="I11" s="573"/>
      <c r="J11" s="573"/>
      <c r="K11" s="573"/>
      <c r="L11" s="573"/>
      <c r="M11" s="574"/>
    </row>
    <row r="12" spans="1:18" s="41" customFormat="1" ht="45.75" x14ac:dyDescent="0.2">
      <c r="A12" s="260" t="s">
        <v>16</v>
      </c>
      <c r="B12" s="261" t="s">
        <v>109</v>
      </c>
      <c r="C12" s="262" t="s">
        <v>5</v>
      </c>
      <c r="D12" s="40">
        <f>+'SALDOS DIARIOS DE REPORTES'!C20</f>
        <v>6305507.5449700002</v>
      </c>
      <c r="E12" s="40">
        <f>+'SALDOS DIARIOS DE REPORTES'!D20</f>
        <v>5932119.79397</v>
      </c>
      <c r="F12" s="263">
        <f t="shared" ref="F12:F18" si="4">D12/E12-1</f>
        <v>6.2943393587491014E-2</v>
      </c>
      <c r="G12" s="294">
        <f t="shared" ref="G12:G17" si="5">+D12-E12</f>
        <v>373387.75100000016</v>
      </c>
      <c r="H12" s="264">
        <v>1499714.8990000002</v>
      </c>
      <c r="I12" s="391">
        <v>-1126327.148</v>
      </c>
      <c r="J12" s="68"/>
      <c r="K12" s="394"/>
      <c r="L12" s="68">
        <f>+H12+I12+J12+K12</f>
        <v>373387.75100000016</v>
      </c>
      <c r="M12" s="509" t="s">
        <v>222</v>
      </c>
      <c r="N12" s="78">
        <f>+G12-L12</f>
        <v>0</v>
      </c>
      <c r="O12" s="79">
        <f t="shared" ref="O12:O17" si="6">+N12*-1</f>
        <v>0</v>
      </c>
    </row>
    <row r="13" spans="1:18" ht="45.75" x14ac:dyDescent="0.2">
      <c r="A13" s="236" t="s">
        <v>25</v>
      </c>
      <c r="B13" s="238" t="s">
        <v>48</v>
      </c>
      <c r="C13" s="51" t="s">
        <v>6</v>
      </c>
      <c r="D13" s="42">
        <f>+'SALDOS DIARIOS DE REPORTES'!C21</f>
        <v>6668488.51358</v>
      </c>
      <c r="E13" s="42">
        <f>+'SALDOS DIARIOS DE REPORTES'!D21</f>
        <v>6494016.1303400006</v>
      </c>
      <c r="F13" s="43">
        <f>D13/E13-1</f>
        <v>2.6866638415766309E-2</v>
      </c>
      <c r="G13" s="289">
        <f t="shared" si="5"/>
        <v>174472.38323999941</v>
      </c>
      <c r="H13" s="70">
        <v>174472.38323999941</v>
      </c>
      <c r="I13" s="70"/>
      <c r="J13" s="72"/>
      <c r="K13" s="395"/>
      <c r="L13" s="72">
        <f>+H13+I13+J13+K13</f>
        <v>174472.38323999941</v>
      </c>
      <c r="M13" s="297"/>
      <c r="N13" s="74">
        <f t="shared" ref="N13:N17" si="7">+L13-G13</f>
        <v>0</v>
      </c>
      <c r="O13" s="62">
        <f t="shared" si="6"/>
        <v>0</v>
      </c>
    </row>
    <row r="14" spans="1:18" ht="45.75" x14ac:dyDescent="0.2">
      <c r="A14" s="236" t="s">
        <v>26</v>
      </c>
      <c r="B14" s="238" t="s">
        <v>1</v>
      </c>
      <c r="C14" s="51" t="s">
        <v>8</v>
      </c>
      <c r="D14" s="42">
        <f>+'SALDOS DIARIOS DE REPORTES'!C22</f>
        <v>293.31628000000001</v>
      </c>
      <c r="E14" s="42">
        <f>+'SALDOS DIARIOS DE REPORTES'!D22</f>
        <v>293.31628000000001</v>
      </c>
      <c r="F14" s="43">
        <f t="shared" si="4"/>
        <v>0</v>
      </c>
      <c r="G14" s="289">
        <f t="shared" si="5"/>
        <v>0</v>
      </c>
      <c r="H14" s="187"/>
      <c r="I14" s="392"/>
      <c r="J14" s="89"/>
      <c r="K14" s="395"/>
      <c r="L14" s="72">
        <f>+H14+I14+J14+K14</f>
        <v>0</v>
      </c>
      <c r="M14" s="298"/>
      <c r="N14" s="63">
        <f t="shared" si="7"/>
        <v>0</v>
      </c>
      <c r="O14" s="62">
        <f t="shared" si="6"/>
        <v>0</v>
      </c>
    </row>
    <row r="15" spans="1:18" ht="45.75" x14ac:dyDescent="0.2">
      <c r="A15" s="236" t="s">
        <v>108</v>
      </c>
      <c r="B15" s="238" t="s">
        <v>101</v>
      </c>
      <c r="C15" s="51" t="s">
        <v>103</v>
      </c>
      <c r="D15" s="42">
        <f>+'SALDOS DIARIOS DE REPORTES'!C23</f>
        <v>170747.78024000002</v>
      </c>
      <c r="E15" s="42">
        <f>+'SALDOS DIARIOS DE REPORTES'!D23</f>
        <v>170747.78024000002</v>
      </c>
      <c r="F15" s="43">
        <f>D15/E15-1</f>
        <v>0</v>
      </c>
      <c r="G15" s="289">
        <f t="shared" si="5"/>
        <v>0</v>
      </c>
      <c r="H15" s="187"/>
      <c r="I15" s="392"/>
      <c r="J15" s="89"/>
      <c r="K15" s="395"/>
      <c r="L15" s="72">
        <f>+H15+I15+J15+K15</f>
        <v>0</v>
      </c>
      <c r="M15" s="298"/>
      <c r="N15" s="63">
        <f t="shared" si="7"/>
        <v>0</v>
      </c>
      <c r="O15" s="62">
        <f>+N15*-1</f>
        <v>0</v>
      </c>
    </row>
    <row r="16" spans="1:18" ht="45.75" x14ac:dyDescent="0.2">
      <c r="A16" s="236" t="s">
        <v>15</v>
      </c>
      <c r="B16" s="238" t="s">
        <v>83</v>
      </c>
      <c r="C16" s="51" t="s">
        <v>9</v>
      </c>
      <c r="D16" s="42">
        <f>+'SALDOS DIARIOS DE REPORTES'!C24</f>
        <v>2997077.6198200001</v>
      </c>
      <c r="E16" s="42">
        <f>+'SALDOS DIARIOS DE REPORTES'!D24</f>
        <v>3241715.5238200002</v>
      </c>
      <c r="F16" s="43">
        <f t="shared" si="4"/>
        <v>-7.5465568216091183E-2</v>
      </c>
      <c r="G16" s="289">
        <f t="shared" si="5"/>
        <v>-244637.9040000001</v>
      </c>
      <c r="H16" s="187">
        <v>1255362.0959999999</v>
      </c>
      <c r="I16" s="392"/>
      <c r="J16" s="89">
        <v>-1500000</v>
      </c>
      <c r="K16" s="395"/>
      <c r="L16" s="72">
        <f>+H16+I16+J16+K16</f>
        <v>-244637.9040000001</v>
      </c>
      <c r="M16" s="298" t="s">
        <v>221</v>
      </c>
      <c r="N16" s="63">
        <f t="shared" si="7"/>
        <v>0</v>
      </c>
      <c r="O16" s="62">
        <f t="shared" si="6"/>
        <v>0</v>
      </c>
      <c r="Q16" s="54"/>
      <c r="R16" s="54"/>
    </row>
    <row r="17" spans="1:18" ht="46.5" thickBot="1" x14ac:dyDescent="0.25">
      <c r="A17" s="237" t="str">
        <f>+'SALDOS DIARIOS DE REPORTES'!A25</f>
        <v>Banco Colpatria</v>
      </c>
      <c r="B17" s="239" t="s">
        <v>194</v>
      </c>
      <c r="C17" s="53">
        <f>+'SALDOS DIARIOS DE REPORTES'!B25</f>
        <v>4312011913</v>
      </c>
      <c r="D17" s="44">
        <f>+'SALDOS DIARIOS DE REPORTES'!C25</f>
        <v>10220776.243000001</v>
      </c>
      <c r="E17" s="44">
        <f>+'SALDOS DIARIOS DE REPORTES'!D25</f>
        <v>10220776.243000001</v>
      </c>
      <c r="F17" s="84">
        <f t="shared" ref="F17" si="8">D17/E17-1</f>
        <v>0</v>
      </c>
      <c r="G17" s="86">
        <f t="shared" si="5"/>
        <v>0</v>
      </c>
      <c r="H17" s="188"/>
      <c r="I17" s="393"/>
      <c r="J17" s="91"/>
      <c r="K17" s="396"/>
      <c r="L17" s="88">
        <f t="shared" ref="L17" si="9">+H17+I17+J17+K17</f>
        <v>0</v>
      </c>
      <c r="M17" s="299"/>
      <c r="N17" s="63">
        <f t="shared" si="7"/>
        <v>0</v>
      </c>
      <c r="O17" s="62">
        <f t="shared" si="6"/>
        <v>0</v>
      </c>
      <c r="Q17" s="54"/>
      <c r="R17" s="54"/>
    </row>
    <row r="18" spans="1:18" s="47" customFormat="1" ht="52.5" customHeight="1" thickBot="1" x14ac:dyDescent="0.25">
      <c r="A18" s="575" t="s">
        <v>29</v>
      </c>
      <c r="B18" s="576"/>
      <c r="C18" s="577"/>
      <c r="D18" s="45">
        <f>SUM(D12:D16)</f>
        <v>16142114.77489</v>
      </c>
      <c r="E18" s="45">
        <f>SUM(E12:E16)</f>
        <v>15838892.54465</v>
      </c>
      <c r="F18" s="46">
        <f t="shared" si="4"/>
        <v>1.9144156031440485E-2</v>
      </c>
      <c r="G18" s="295">
        <f t="shared" ref="G18" si="10">SUM(G12:G16)</f>
        <v>303222.23023999948</v>
      </c>
      <c r="H18" s="93">
        <f>+H12+H13+H14+H15+H16+H17</f>
        <v>2929549.3782399995</v>
      </c>
      <c r="I18" s="93">
        <f t="shared" ref="I18:L18" si="11">+I12+I13+I14+I15+I16+I17</f>
        <v>-1126327.148</v>
      </c>
      <c r="J18" s="93">
        <f t="shared" si="11"/>
        <v>-1500000</v>
      </c>
      <c r="K18" s="93">
        <f t="shared" si="11"/>
        <v>0</v>
      </c>
      <c r="L18" s="93">
        <f t="shared" si="11"/>
        <v>303222.23023999948</v>
      </c>
      <c r="M18" s="94"/>
      <c r="N18" s="95"/>
      <c r="O18" s="58"/>
    </row>
    <row r="19" spans="1:18" ht="36" customHeight="1" thickBot="1" x14ac:dyDescent="0.25">
      <c r="A19" s="569" t="s">
        <v>32</v>
      </c>
      <c r="B19" s="570"/>
      <c r="C19" s="570"/>
      <c r="D19" s="570"/>
      <c r="E19" s="570"/>
      <c r="F19" s="570"/>
      <c r="G19" s="570"/>
      <c r="H19" s="570"/>
      <c r="I19" s="570"/>
      <c r="J19" s="570"/>
      <c r="K19" s="570"/>
      <c r="L19" s="570"/>
      <c r="M19" s="571"/>
    </row>
    <row r="20" spans="1:18" ht="45.75" x14ac:dyDescent="0.2">
      <c r="A20" s="50" t="s">
        <v>104</v>
      </c>
      <c r="B20" s="51" t="s">
        <v>190</v>
      </c>
      <c r="C20" s="69">
        <v>11511</v>
      </c>
      <c r="D20" s="42">
        <f>+'SALDOS DIARIOS DE REPORTES'!C31</f>
        <v>1734609.5425999998</v>
      </c>
      <c r="E20" s="42">
        <f>+'SALDOS DIARIOS DE REPORTES'!D31</f>
        <v>239924.24536</v>
      </c>
      <c r="F20" s="43">
        <f t="shared" ref="F20:F26" si="12">D20/E20-1</f>
        <v>6.2298218131196537</v>
      </c>
      <c r="G20" s="70">
        <f>+D20-E20</f>
        <v>1494685.2972399998</v>
      </c>
      <c r="H20" s="70">
        <f>+G20</f>
        <v>1494685.2972399998</v>
      </c>
      <c r="I20" s="89"/>
      <c r="J20" s="89">
        <v>1500000</v>
      </c>
      <c r="K20" s="72"/>
      <c r="L20" s="72">
        <f t="shared" ref="L20:L27" si="13">SUM(H20:K20)</f>
        <v>2994685.2972399998</v>
      </c>
      <c r="M20" s="73"/>
      <c r="N20" s="63">
        <f t="shared" ref="N20:N24" si="14">+L20-G20</f>
        <v>1500000</v>
      </c>
    </row>
    <row r="21" spans="1:18" ht="45.75" x14ac:dyDescent="0.2">
      <c r="A21" s="50" t="s">
        <v>107</v>
      </c>
      <c r="B21" s="51" t="s">
        <v>105</v>
      </c>
      <c r="C21" s="69"/>
      <c r="D21" s="42">
        <f>+'SALDOS DIARIOS DE REPORTES'!C29</f>
        <v>100557.67963</v>
      </c>
      <c r="E21" s="42">
        <f>+'SALDOS DIARIOS DE REPORTES'!D29</f>
        <v>100545.49041</v>
      </c>
      <c r="F21" s="43">
        <v>0</v>
      </c>
      <c r="G21" s="70">
        <f t="shared" ref="G21:G26" si="15">+D21-E21</f>
        <v>12.189220000000205</v>
      </c>
      <c r="H21" s="70">
        <f>+G21</f>
        <v>12.189220000000205</v>
      </c>
      <c r="I21" s="89"/>
      <c r="J21" s="89"/>
      <c r="K21" s="72"/>
      <c r="L21" s="72">
        <f t="shared" si="13"/>
        <v>12.189220000000205</v>
      </c>
      <c r="M21" s="73"/>
      <c r="N21" s="63">
        <f t="shared" si="14"/>
        <v>0</v>
      </c>
    </row>
    <row r="22" spans="1:18" ht="45.75" x14ac:dyDescent="0.2">
      <c r="A22" s="50" t="s">
        <v>119</v>
      </c>
      <c r="B22" s="51" t="s">
        <v>118</v>
      </c>
      <c r="C22" s="69" t="s">
        <v>117</v>
      </c>
      <c r="D22" s="42">
        <f>+'SALDOS DIARIOS DE REPORTES'!C30</f>
        <v>2624543.9634799999</v>
      </c>
      <c r="E22" s="42">
        <f>+'SALDOS DIARIOS DE REPORTES'!D30</f>
        <v>2624315.0394899999</v>
      </c>
      <c r="F22" s="43">
        <f t="shared" si="12"/>
        <v>8.7231901107598375E-5</v>
      </c>
      <c r="G22" s="70">
        <f>+D22-E22</f>
        <v>228.92399000003934</v>
      </c>
      <c r="H22" s="70">
        <f>+G22</f>
        <v>228.92399000003934</v>
      </c>
      <c r="I22" s="89"/>
      <c r="J22" s="89"/>
      <c r="K22" s="72"/>
      <c r="L22" s="72">
        <f t="shared" si="13"/>
        <v>228.92399000003934</v>
      </c>
      <c r="M22" s="73"/>
      <c r="N22" s="63">
        <f t="shared" si="14"/>
        <v>0</v>
      </c>
    </row>
    <row r="23" spans="1:18" ht="45.75" x14ac:dyDescent="0.2">
      <c r="A23" s="50" t="s">
        <v>80</v>
      </c>
      <c r="B23" s="51" t="s">
        <v>193</v>
      </c>
      <c r="C23" s="69"/>
      <c r="D23" s="42">
        <f>+'SALDOS DIARIOS DE REPORTES'!C32</f>
        <v>4821532.3404799998</v>
      </c>
      <c r="E23" s="42">
        <f>+'SALDOS DIARIOS DE REPORTES'!D32</f>
        <v>2821221.6583400001</v>
      </c>
      <c r="F23" s="43">
        <v>0</v>
      </c>
      <c r="G23" s="70">
        <f>+D23-E23-2000000</f>
        <v>310.68213999969885</v>
      </c>
      <c r="H23" s="70">
        <f>+G23</f>
        <v>310.68213999969885</v>
      </c>
      <c r="I23" s="70"/>
      <c r="J23" s="89">
        <v>2000000</v>
      </c>
      <c r="K23" s="72"/>
      <c r="L23" s="72">
        <f t="shared" si="13"/>
        <v>2000310.6821399997</v>
      </c>
      <c r="M23" s="73"/>
      <c r="N23" s="63">
        <f t="shared" si="14"/>
        <v>2000000</v>
      </c>
    </row>
    <row r="24" spans="1:18" ht="45.75" x14ac:dyDescent="0.2">
      <c r="A24" s="50" t="s">
        <v>80</v>
      </c>
      <c r="B24" s="51"/>
      <c r="C24" s="69"/>
      <c r="D24" s="42">
        <f>+'SALDOS DIARIOS DE REPORTES'!C33</f>
        <v>130638.07947</v>
      </c>
      <c r="E24" s="42">
        <f>+'SALDOS DIARIOS DE REPORTES'!D33</f>
        <v>130624.89086</v>
      </c>
      <c r="F24" s="43">
        <f t="shared" si="12"/>
        <v>1.0096551976546131E-4</v>
      </c>
      <c r="G24" s="70">
        <f t="shared" si="15"/>
        <v>13.188609999997425</v>
      </c>
      <c r="H24" s="70">
        <f t="shared" ref="H24:H26" si="16">+G24</f>
        <v>13.188609999997425</v>
      </c>
      <c r="I24" s="89"/>
      <c r="J24" s="246"/>
      <c r="K24" s="72"/>
      <c r="L24" s="72">
        <f t="shared" si="13"/>
        <v>13.188609999997425</v>
      </c>
      <c r="M24" s="73"/>
      <c r="N24" s="63">
        <f t="shared" si="14"/>
        <v>0</v>
      </c>
    </row>
    <row r="25" spans="1:18" ht="45.75" x14ac:dyDescent="0.2">
      <c r="A25" s="50" t="s">
        <v>122</v>
      </c>
      <c r="B25" s="51" t="s">
        <v>123</v>
      </c>
      <c r="C25" s="69">
        <v>30579</v>
      </c>
      <c r="D25" s="42">
        <f>+'SALDOS DIARIOS DE REPORTES'!C28</f>
        <v>9321.0679999999993</v>
      </c>
      <c r="E25" s="42">
        <f>+'SALDOS DIARIOS DE REPORTES'!D28</f>
        <v>9320.0689999999995</v>
      </c>
      <c r="F25" s="43">
        <f t="shared" si="12"/>
        <v>1.071880476422038E-4</v>
      </c>
      <c r="G25" s="70">
        <f t="shared" si="15"/>
        <v>0.99899999999979627</v>
      </c>
      <c r="H25" s="70">
        <f t="shared" si="16"/>
        <v>0.99899999999979627</v>
      </c>
      <c r="I25" s="89"/>
      <c r="J25" s="89"/>
      <c r="K25" s="72"/>
      <c r="L25" s="72">
        <f t="shared" si="13"/>
        <v>0.99899999999979627</v>
      </c>
      <c r="M25" s="73"/>
      <c r="N25" s="63">
        <f>+L25-G25</f>
        <v>0</v>
      </c>
    </row>
    <row r="26" spans="1:18" ht="45.75" x14ac:dyDescent="0.2">
      <c r="A26" s="50" t="s">
        <v>34</v>
      </c>
      <c r="B26" s="51" t="s">
        <v>48</v>
      </c>
      <c r="C26" s="69" t="s">
        <v>35</v>
      </c>
      <c r="D26" s="42">
        <f>+'SALDOS DIARIOS DE REPORTES'!C34</f>
        <v>66704.300759999998</v>
      </c>
      <c r="E26" s="42">
        <f>+'SALDOS DIARIOS DE REPORTES'!D34</f>
        <v>66696.955869999991</v>
      </c>
      <c r="F26" s="43">
        <f t="shared" si="12"/>
        <v>1.1012331678705856E-4</v>
      </c>
      <c r="G26" s="70">
        <f t="shared" si="15"/>
        <v>7.344890000007581</v>
      </c>
      <c r="H26" s="70">
        <f t="shared" si="16"/>
        <v>7.344890000007581</v>
      </c>
      <c r="I26" s="89"/>
      <c r="J26" s="89"/>
      <c r="K26" s="72"/>
      <c r="L26" s="72">
        <f t="shared" si="13"/>
        <v>7.344890000007581</v>
      </c>
      <c r="M26" s="73"/>
      <c r="N26" s="63">
        <f t="shared" ref="N26" si="17">+L26-G26</f>
        <v>0</v>
      </c>
    </row>
    <row r="27" spans="1:18" ht="45.75" x14ac:dyDescent="0.2">
      <c r="A27" s="50" t="s">
        <v>36</v>
      </c>
      <c r="B27" s="51"/>
      <c r="C27" s="69"/>
      <c r="D27" s="42">
        <f>SUM(D20:D26)</f>
        <v>9487906.974419998</v>
      </c>
      <c r="E27" s="42">
        <f>SUM(E20:E26)</f>
        <v>5992648.3493299996</v>
      </c>
      <c r="F27" s="43">
        <f>+D27/E27-1</f>
        <v>0.58325775539303604</v>
      </c>
      <c r="G27" s="70">
        <f>+D27-E27</f>
        <v>3495258.6250899984</v>
      </c>
      <c r="H27" s="70">
        <f>SUM(H20:H26)</f>
        <v>1495258.6250899998</v>
      </c>
      <c r="I27" s="89"/>
      <c r="J27" s="72"/>
      <c r="K27" s="72"/>
      <c r="L27" s="72">
        <f t="shared" si="13"/>
        <v>1495258.6250899998</v>
      </c>
      <c r="M27" s="73"/>
    </row>
    <row r="28" spans="1:18" ht="46.5" thickBot="1" x14ac:dyDescent="0.25">
      <c r="A28" s="52" t="s">
        <v>37</v>
      </c>
      <c r="B28" s="53"/>
      <c r="C28" s="83"/>
      <c r="D28" s="44">
        <f>+D10+D18+D27</f>
        <v>31603944.532309994</v>
      </c>
      <c r="E28" s="44">
        <f>+E10+E18+E27</f>
        <v>27705841.509</v>
      </c>
      <c r="F28" s="84">
        <f>+D28/E28-1</f>
        <v>0.14069607025087949</v>
      </c>
      <c r="G28" s="278">
        <f>+D28-E28</f>
        <v>3898103.0233099945</v>
      </c>
      <c r="H28" s="278"/>
      <c r="I28" s="91"/>
      <c r="J28" s="88">
        <f>SUM(J20:J27)</f>
        <v>3500000</v>
      </c>
      <c r="K28" s="88"/>
      <c r="L28" s="88"/>
      <c r="M28" s="166"/>
    </row>
    <row r="29" spans="1:18" ht="40.5" customHeight="1" x14ac:dyDescent="0.2">
      <c r="A29" s="55"/>
      <c r="B29" s="56"/>
      <c r="C29" s="96"/>
      <c r="D29" s="57"/>
      <c r="E29" s="57"/>
      <c r="F29" s="97" t="s">
        <v>120</v>
      </c>
      <c r="G29" s="97">
        <f>+G28-'SALDOS DIARIOS DE REPORTES'!F36</f>
        <v>713231.46248999611</v>
      </c>
      <c r="I29" s="54"/>
      <c r="J29" s="54"/>
      <c r="K29" s="54"/>
      <c r="L29" s="54"/>
      <c r="M29" s="62"/>
    </row>
    <row r="30" spans="1:18" ht="46.5" customHeight="1" x14ac:dyDescent="0.2">
      <c r="A30" s="58"/>
      <c r="B30" s="58"/>
      <c r="C30" s="96"/>
      <c r="D30" s="37"/>
      <c r="E30" s="57"/>
      <c r="F30" s="59"/>
      <c r="G30" s="59"/>
      <c r="I30" s="54"/>
      <c r="J30" s="54">
        <f>+J28+J18+J10</f>
        <v>0</v>
      </c>
      <c r="K30" s="54"/>
      <c r="L30" s="54"/>
      <c r="M30" s="41"/>
      <c r="N30" s="98"/>
    </row>
    <row r="31" spans="1:18" ht="46.5" customHeight="1" x14ac:dyDescent="0.2">
      <c r="J31" s="54"/>
      <c r="K31" s="99"/>
      <c r="L31" s="54"/>
      <c r="M31" s="100"/>
      <c r="N31" s="98"/>
    </row>
    <row r="32" spans="1:18" ht="46.5" customHeight="1" x14ac:dyDescent="0.2">
      <c r="E32" s="101"/>
      <c r="J32" s="54"/>
      <c r="K32" s="99"/>
      <c r="M32" s="102"/>
      <c r="N32" s="103"/>
    </row>
    <row r="33" spans="1:14" ht="46.5" customHeight="1" x14ac:dyDescent="0.2">
      <c r="J33" s="54"/>
      <c r="K33" s="99"/>
      <c r="M33" s="102"/>
      <c r="N33" s="103"/>
    </row>
    <row r="34" spans="1:14" ht="46.5" customHeight="1" x14ac:dyDescent="0.2">
      <c r="A34" s="90"/>
      <c r="B34" s="104"/>
      <c r="J34" s="54"/>
      <c r="K34" s="99"/>
      <c r="L34" s="37"/>
      <c r="M34" s="102"/>
      <c r="N34" s="98"/>
    </row>
    <row r="35" spans="1:14" ht="46.5" customHeight="1" x14ac:dyDescent="0.2">
      <c r="A35" s="90"/>
      <c r="B35" s="104"/>
      <c r="J35" s="54"/>
      <c r="M35" s="41"/>
      <c r="N35" s="103"/>
    </row>
    <row r="36" spans="1:14" ht="46.5" customHeight="1" x14ac:dyDescent="0.2">
      <c r="A36" s="90"/>
      <c r="B36" s="104"/>
      <c r="J36" s="54"/>
      <c r="M36" s="105"/>
      <c r="N36" s="98"/>
    </row>
    <row r="37" spans="1:14" ht="46.5" customHeight="1" x14ac:dyDescent="0.2">
      <c r="A37" s="90"/>
      <c r="B37" s="104"/>
      <c r="J37" s="62"/>
      <c r="M37" s="102"/>
      <c r="N37" s="103"/>
    </row>
    <row r="38" spans="1:14" ht="46.5" customHeight="1" x14ac:dyDescent="0.2">
      <c r="B38" s="104"/>
      <c r="J38" s="62"/>
      <c r="M38" s="105"/>
      <c r="N38" s="98"/>
    </row>
    <row r="39" spans="1:14" ht="46.5" customHeight="1" x14ac:dyDescent="0.2">
      <c r="J39" s="62"/>
      <c r="M39" s="79"/>
      <c r="N39" s="103"/>
    </row>
    <row r="40" spans="1:14" ht="46.5" customHeight="1" x14ac:dyDescent="0.2">
      <c r="J40" s="62"/>
      <c r="M40" s="41"/>
      <c r="N40" s="98"/>
    </row>
    <row r="41" spans="1:14" ht="46.5" customHeight="1" x14ac:dyDescent="0.2">
      <c r="J41" s="62"/>
      <c r="M41" s="100"/>
      <c r="N41" s="98"/>
    </row>
    <row r="42" spans="1:14" ht="60.75" customHeight="1" x14ac:dyDescent="0.2">
      <c r="J42" s="62"/>
      <c r="M42" s="79"/>
      <c r="N42" s="103"/>
    </row>
    <row r="43" spans="1:14" ht="60.75" customHeight="1" x14ac:dyDescent="0.2">
      <c r="J43" s="62"/>
      <c r="M43" s="79"/>
      <c r="N43" s="98"/>
    </row>
    <row r="44" spans="1:14" ht="60.75" customHeight="1" x14ac:dyDescent="0.2">
      <c r="J44" s="62"/>
      <c r="M44" s="41"/>
      <c r="N44" s="98"/>
    </row>
    <row r="45" spans="1:14" ht="60.75" customHeight="1" x14ac:dyDescent="0.2">
      <c r="J45" s="62"/>
      <c r="M45" s="41"/>
      <c r="N45" s="98"/>
    </row>
    <row r="46" spans="1:14" ht="60.75" customHeight="1" x14ac:dyDescent="0.2">
      <c r="M46" s="41"/>
      <c r="N46" s="98"/>
    </row>
    <row r="47" spans="1:14" ht="60.75" customHeight="1" x14ac:dyDescent="0.2"/>
  </sheetData>
  <mergeCells count="5">
    <mergeCell ref="A19:M19"/>
    <mergeCell ref="A3:M3"/>
    <mergeCell ref="A10:C10"/>
    <mergeCell ref="A11:M11"/>
    <mergeCell ref="A18:C18"/>
  </mergeCells>
  <conditionalFormatting sqref="F5 F7:F9 G20:G21 H20:H26">
    <cfRule type="cellIs" dxfId="30" priority="148" stopIfTrue="1" operator="greaterThan">
      <formula>"0.01%"</formula>
    </cfRule>
  </conditionalFormatting>
  <conditionalFormatting sqref="H13">
    <cfRule type="cellIs" dxfId="29" priority="128" stopIfTrue="1" operator="greaterThan">
      <formula>"0.01%"</formula>
    </cfRule>
  </conditionalFormatting>
  <conditionalFormatting sqref="H13">
    <cfRule type="cellIs" dxfId="28" priority="127" stopIfTrue="1" operator="greaterThan">
      <formula>"0.01%"</formula>
    </cfRule>
  </conditionalFormatting>
  <conditionalFormatting sqref="H12">
    <cfRule type="cellIs" dxfId="27" priority="110" stopIfTrue="1" operator="greaterThan">
      <formula>"0.01%"</formula>
    </cfRule>
  </conditionalFormatting>
  <conditionalFormatting sqref="H12">
    <cfRule type="cellIs" dxfId="26" priority="109" stopIfTrue="1" operator="greaterThan">
      <formula>"0.01%"</formula>
    </cfRule>
  </conditionalFormatting>
  <conditionalFormatting sqref="G23 G25:G28">
    <cfRule type="cellIs" dxfId="25" priority="51" stopIfTrue="1" operator="greaterThan">
      <formula>"0.01%"</formula>
    </cfRule>
  </conditionalFormatting>
  <conditionalFormatting sqref="H24">
    <cfRule type="cellIs" dxfId="24" priority="50" stopIfTrue="1" operator="greaterThan">
      <formula>"0.01%"</formula>
    </cfRule>
  </conditionalFormatting>
  <conditionalFormatting sqref="G22">
    <cfRule type="cellIs" dxfId="23" priority="43" stopIfTrue="1" operator="greaterThan">
      <formula>"0.01%"</formula>
    </cfRule>
  </conditionalFormatting>
  <conditionalFormatting sqref="H22">
    <cfRule type="cellIs" dxfId="22" priority="42" stopIfTrue="1" operator="greaterThan">
      <formula>"0.01%"</formula>
    </cfRule>
  </conditionalFormatting>
  <conditionalFormatting sqref="F6">
    <cfRule type="cellIs" dxfId="21" priority="41" stopIfTrue="1" operator="greaterThan">
      <formula>"0.01%"</formula>
    </cfRule>
  </conditionalFormatting>
  <conditionalFormatting sqref="H22">
    <cfRule type="cellIs" dxfId="20" priority="39" stopIfTrue="1" operator="greaterThan">
      <formula>"0.01%"</formula>
    </cfRule>
  </conditionalFormatting>
  <conditionalFormatting sqref="H24">
    <cfRule type="cellIs" dxfId="19" priority="38" stopIfTrue="1" operator="greaterThan">
      <formula>"0.01%"</formula>
    </cfRule>
  </conditionalFormatting>
  <conditionalFormatting sqref="H24">
    <cfRule type="cellIs" dxfId="18" priority="37" stopIfTrue="1" operator="greaterThan">
      <formula>"0.01%"</formula>
    </cfRule>
  </conditionalFormatting>
  <conditionalFormatting sqref="G24">
    <cfRule type="cellIs" dxfId="17" priority="32" stopIfTrue="1" operator="greaterThan">
      <formula>"0.01%"</formula>
    </cfRule>
  </conditionalFormatting>
  <conditionalFormatting sqref="I23">
    <cfRule type="cellIs" dxfId="16" priority="14" stopIfTrue="1" operator="greaterThan">
      <formula>"0.01%"</formula>
    </cfRule>
  </conditionalFormatting>
  <conditionalFormatting sqref="I23">
    <cfRule type="cellIs" dxfId="15" priority="13" stopIfTrue="1" operator="greaterThan">
      <formula>"0.01%"</formula>
    </cfRule>
  </conditionalFormatting>
  <conditionalFormatting sqref="I23">
    <cfRule type="cellIs" dxfId="14" priority="12" stopIfTrue="1" operator="greaterThan">
      <formula>"0.01%"</formula>
    </cfRule>
  </conditionalFormatting>
  <conditionalFormatting sqref="I23">
    <cfRule type="cellIs" dxfId="13" priority="11" stopIfTrue="1" operator="greaterThan">
      <formula>"0.01%"</formula>
    </cfRule>
  </conditionalFormatting>
  <conditionalFormatting sqref="H28">
    <cfRule type="cellIs" dxfId="12" priority="10" stopIfTrue="1" operator="greaterThan">
      <formula>"0.01%"</formula>
    </cfRule>
  </conditionalFormatting>
  <conditionalFormatting sqref="H27">
    <cfRule type="cellIs" dxfId="11" priority="9" stopIfTrue="1" operator="greaterThan">
      <formula>"0.01%"</formula>
    </cfRule>
  </conditionalFormatting>
  <conditionalFormatting sqref="I13">
    <cfRule type="cellIs" dxfId="10" priority="8" stopIfTrue="1" operator="greaterThan">
      <formula>"0.01%"</formula>
    </cfRule>
  </conditionalFormatting>
  <conditionalFormatting sqref="I13">
    <cfRule type="cellIs" dxfId="9" priority="7" stopIfTrue="1" operator="greaterThan">
      <formula>"0.01%"</formula>
    </cfRule>
  </conditionalFormatting>
  <conditionalFormatting sqref="H23">
    <cfRule type="cellIs" dxfId="8" priority="6" stopIfTrue="1" operator="greaterThan">
      <formula>"0.01%"</formula>
    </cfRule>
  </conditionalFormatting>
  <conditionalFormatting sqref="H23">
    <cfRule type="cellIs" dxfId="7" priority="5" stopIfTrue="1" operator="greaterThan">
      <formula>"0.01%"</formula>
    </cfRule>
  </conditionalFormatting>
  <conditionalFormatting sqref="H21">
    <cfRule type="cellIs" dxfId="6" priority="4" stopIfTrue="1" operator="greaterThan">
      <formula>"0.01%"</formula>
    </cfRule>
  </conditionalFormatting>
  <conditionalFormatting sqref="H21">
    <cfRule type="cellIs" dxfId="5" priority="3" stopIfTrue="1" operator="greaterThan">
      <formula>"0.01%"</formula>
    </cfRule>
  </conditionalFormatting>
  <conditionalFormatting sqref="H20">
    <cfRule type="cellIs" dxfId="4" priority="2" stopIfTrue="1" operator="greaterThan">
      <formula>"0.01%"</formula>
    </cfRule>
  </conditionalFormatting>
  <conditionalFormatting sqref="H20">
    <cfRule type="cellIs" dxfId="3" priority="1" stopIfTrue="1" operator="greaterThan">
      <formula>"0.01%"</formula>
    </cfRule>
  </conditionalFormatting>
  <printOptions horizontalCentered="1" verticalCentered="1"/>
  <pageMargins left="0" right="0.39370078740157483" top="0" bottom="0" header="0" footer="0"/>
  <pageSetup paperSize="9" scale="26" orientation="landscape" r:id="rId1"/>
  <headerFooter alignWithMargins="0"/>
  <ignoredErrors>
    <ignoredError sqref="F7 F10 F27 F18" formula="1"/>
    <ignoredError sqref="E1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3:I53"/>
  <sheetViews>
    <sheetView showGridLines="0" topLeftCell="A34" workbookViewId="0">
      <selection activeCell="D8" sqref="D8"/>
    </sheetView>
  </sheetViews>
  <sheetFormatPr baseColWidth="10" defaultColWidth="11.42578125" defaultRowHeight="14.25" x14ac:dyDescent="0.2"/>
  <cols>
    <col min="1" max="1" width="15.140625" style="2" bestFit="1" customWidth="1"/>
    <col min="2" max="2" width="27.42578125" style="1" bestFit="1" customWidth="1"/>
    <col min="3" max="3" width="19.42578125" style="1" bestFit="1" customWidth="1"/>
    <col min="4" max="4" width="17.140625" style="3" bestFit="1" customWidth="1"/>
    <col min="5" max="5" width="17.140625" style="3" customWidth="1"/>
    <col min="6" max="6" width="11.5703125" style="1" customWidth="1"/>
    <col min="7" max="7" width="18.7109375" style="1" bestFit="1" customWidth="1"/>
    <col min="8" max="8" width="15.140625" style="1" bestFit="1" customWidth="1"/>
    <col min="9" max="9" width="14.140625" style="1" bestFit="1" customWidth="1"/>
    <col min="10" max="16384" width="11.42578125" style="1"/>
  </cols>
  <sheetData>
    <row r="3" spans="1:9" ht="15" x14ac:dyDescent="0.2">
      <c r="A3" s="578" t="s">
        <v>75</v>
      </c>
      <c r="B3" s="578"/>
      <c r="C3" s="578"/>
      <c r="D3" s="578"/>
      <c r="E3" s="578"/>
      <c r="F3" s="578"/>
    </row>
    <row r="4" spans="1:9" ht="15" thickBot="1" x14ac:dyDescent="0.25"/>
    <row r="5" spans="1:9" ht="15.75" thickBot="1" x14ac:dyDescent="0.25">
      <c r="A5" s="174" t="s">
        <v>67</v>
      </c>
      <c r="B5" s="175" t="s">
        <v>38</v>
      </c>
      <c r="C5" s="174" t="s">
        <v>68</v>
      </c>
      <c r="D5" s="306" t="s">
        <v>51</v>
      </c>
      <c r="E5" s="171" t="s">
        <v>195</v>
      </c>
      <c r="F5" s="177" t="s">
        <v>52</v>
      </c>
    </row>
    <row r="6" spans="1:9" x14ac:dyDescent="0.2">
      <c r="A6" s="181" t="s">
        <v>65</v>
      </c>
      <c r="B6" s="182" t="s">
        <v>41</v>
      </c>
      <c r="C6" s="183">
        <v>5000000</v>
      </c>
      <c r="D6" s="303">
        <f>+'SALDOS DIARIOS DE REPORTES'!F57</f>
        <v>5000000</v>
      </c>
      <c r="E6" s="172">
        <f>+C6-D6</f>
        <v>0</v>
      </c>
      <c r="F6" s="184">
        <f>+D6/C6</f>
        <v>1</v>
      </c>
    </row>
    <row r="7" spans="1:9" x14ac:dyDescent="0.2">
      <c r="A7" s="5" t="s">
        <v>65</v>
      </c>
      <c r="B7" s="9" t="s">
        <v>14</v>
      </c>
      <c r="C7" s="11">
        <v>5000000</v>
      </c>
      <c r="D7" s="304">
        <f>+'SALDOS DIARIOS DE REPORTES'!F53++'SALDOS DIARIOS DE REPORTES'!F66</f>
        <v>4200000</v>
      </c>
      <c r="E7" s="169">
        <f t="shared" ref="E7:E22" si="0">+C7-D7</f>
        <v>800000</v>
      </c>
      <c r="F7" s="12">
        <f t="shared" ref="F7:F22" si="1">+D7/C7</f>
        <v>0.84</v>
      </c>
      <c r="G7" s="190"/>
    </row>
    <row r="8" spans="1:9" x14ac:dyDescent="0.2">
      <c r="A8" s="5" t="s">
        <v>65</v>
      </c>
      <c r="B8" s="9" t="s">
        <v>53</v>
      </c>
      <c r="C8" s="11">
        <v>5000000</v>
      </c>
      <c r="D8" s="304">
        <f>+'SALDOS DIARIOS DE REPORTES'!F64+'SALDOS DIARIOS DE REPORTES'!F65</f>
        <v>1000000</v>
      </c>
      <c r="E8" s="169">
        <f t="shared" si="0"/>
        <v>4000000</v>
      </c>
      <c r="F8" s="12">
        <f t="shared" si="1"/>
        <v>0.2</v>
      </c>
    </row>
    <row r="9" spans="1:9" x14ac:dyDescent="0.2">
      <c r="A9" s="5" t="s">
        <v>65</v>
      </c>
      <c r="B9" s="9" t="s">
        <v>26</v>
      </c>
      <c r="C9" s="11">
        <v>5000000</v>
      </c>
      <c r="D9" s="304">
        <f>+'SALDOS DIARIOS DE REPORTES'!F55+'SALDOS DIARIOS DE REPORTES'!F56</f>
        <v>4500000</v>
      </c>
      <c r="E9" s="169">
        <f t="shared" si="0"/>
        <v>500000</v>
      </c>
      <c r="F9" s="12">
        <f t="shared" si="1"/>
        <v>0.9</v>
      </c>
      <c r="G9" s="190"/>
      <c r="H9" s="190"/>
      <c r="I9" s="190"/>
    </row>
    <row r="10" spans="1:9" x14ac:dyDescent="0.2">
      <c r="A10" s="5" t="s">
        <v>65</v>
      </c>
      <c r="B10" s="9" t="s">
        <v>54</v>
      </c>
      <c r="C10" s="11">
        <v>5000000</v>
      </c>
      <c r="D10" s="304"/>
      <c r="E10" s="169">
        <f t="shared" si="0"/>
        <v>5000000</v>
      </c>
      <c r="F10" s="12">
        <f t="shared" si="1"/>
        <v>0</v>
      </c>
    </row>
    <row r="11" spans="1:9" x14ac:dyDescent="0.2">
      <c r="A11" s="5" t="s">
        <v>65</v>
      </c>
      <c r="B11" s="9" t="s">
        <v>42</v>
      </c>
      <c r="C11" s="11">
        <v>5000000</v>
      </c>
      <c r="D11" s="304">
        <f>+'SALDOS DIARIOS DE REPORTES'!F58+'SALDOS DIARIOS DE REPORTES'!F69+'SALDOS DIARIOS DE REPORTES'!F62</f>
        <v>5000000</v>
      </c>
      <c r="E11" s="169">
        <f t="shared" si="0"/>
        <v>0</v>
      </c>
      <c r="F11" s="12">
        <f t="shared" si="1"/>
        <v>1</v>
      </c>
      <c r="G11" s="190"/>
    </row>
    <row r="12" spans="1:9" x14ac:dyDescent="0.2">
      <c r="A12" s="5" t="s">
        <v>65</v>
      </c>
      <c r="B12" s="9" t="s">
        <v>56</v>
      </c>
      <c r="C12" s="11">
        <v>5000000</v>
      </c>
      <c r="D12" s="304">
        <f>+'SALDOS DIARIOS DE REPORTES'!F59</f>
        <v>1000000</v>
      </c>
      <c r="E12" s="169">
        <f t="shared" si="0"/>
        <v>4000000</v>
      </c>
      <c r="F12" s="12">
        <f t="shared" si="1"/>
        <v>0.2</v>
      </c>
      <c r="G12" s="276"/>
    </row>
    <row r="13" spans="1:9" x14ac:dyDescent="0.2">
      <c r="A13" s="5" t="s">
        <v>65</v>
      </c>
      <c r="B13" s="9" t="s">
        <v>57</v>
      </c>
      <c r="C13" s="11">
        <v>5000000</v>
      </c>
      <c r="D13" s="304"/>
      <c r="E13" s="169">
        <f t="shared" si="0"/>
        <v>5000000</v>
      </c>
      <c r="F13" s="12">
        <f t="shared" si="1"/>
        <v>0</v>
      </c>
    </row>
    <row r="14" spans="1:9" x14ac:dyDescent="0.2">
      <c r="A14" s="5" t="s">
        <v>65</v>
      </c>
      <c r="B14" s="9" t="s">
        <v>60</v>
      </c>
      <c r="C14" s="11">
        <v>5000000</v>
      </c>
      <c r="D14" s="304"/>
      <c r="E14" s="169">
        <f t="shared" si="0"/>
        <v>5000000</v>
      </c>
      <c r="F14" s="12">
        <f t="shared" si="1"/>
        <v>0</v>
      </c>
    </row>
    <row r="15" spans="1:9" x14ac:dyDescent="0.2">
      <c r="A15" s="5" t="s">
        <v>65</v>
      </c>
      <c r="B15" s="9" t="s">
        <v>61</v>
      </c>
      <c r="C15" s="11">
        <v>5000000</v>
      </c>
      <c r="D15" s="304"/>
      <c r="E15" s="169">
        <f t="shared" si="0"/>
        <v>5000000</v>
      </c>
      <c r="F15" s="12">
        <f t="shared" si="1"/>
        <v>0</v>
      </c>
    </row>
    <row r="16" spans="1:9" x14ac:dyDescent="0.2">
      <c r="A16" s="5" t="s">
        <v>65</v>
      </c>
      <c r="B16" s="9" t="s">
        <v>63</v>
      </c>
      <c r="C16" s="11">
        <v>5000000</v>
      </c>
      <c r="D16" s="304">
        <v>0</v>
      </c>
      <c r="E16" s="169">
        <f t="shared" si="0"/>
        <v>5000000</v>
      </c>
      <c r="F16" s="12">
        <f t="shared" si="1"/>
        <v>0</v>
      </c>
    </row>
    <row r="17" spans="1:7" x14ac:dyDescent="0.2">
      <c r="A17" s="5" t="s">
        <v>65</v>
      </c>
      <c r="B17" s="9" t="s">
        <v>209</v>
      </c>
      <c r="C17" s="11">
        <v>5000000</v>
      </c>
      <c r="D17" s="304">
        <f>+'SALDOS DIARIOS DE REPORTES'!F63</f>
        <v>500000</v>
      </c>
      <c r="E17" s="169">
        <f t="shared" si="0"/>
        <v>4500000</v>
      </c>
      <c r="F17" s="12">
        <f t="shared" si="1"/>
        <v>0.1</v>
      </c>
    </row>
    <row r="18" spans="1:7" x14ac:dyDescent="0.2">
      <c r="A18" s="5" t="s">
        <v>66</v>
      </c>
      <c r="B18" s="9" t="s">
        <v>62</v>
      </c>
      <c r="C18" s="11">
        <v>5000000</v>
      </c>
      <c r="D18" s="304"/>
      <c r="E18" s="169">
        <f t="shared" si="0"/>
        <v>5000000</v>
      </c>
      <c r="F18" s="12">
        <f t="shared" si="1"/>
        <v>0</v>
      </c>
    </row>
    <row r="19" spans="1:7" x14ac:dyDescent="0.2">
      <c r="A19" s="5" t="s">
        <v>189</v>
      </c>
      <c r="B19" s="9" t="s">
        <v>64</v>
      </c>
      <c r="C19" s="11">
        <v>5000000</v>
      </c>
      <c r="D19" s="304"/>
      <c r="E19" s="169">
        <f t="shared" si="0"/>
        <v>5000000</v>
      </c>
      <c r="F19" s="12">
        <f t="shared" si="1"/>
        <v>0</v>
      </c>
    </row>
    <row r="20" spans="1:7" x14ac:dyDescent="0.2">
      <c r="A20" s="5" t="s">
        <v>66</v>
      </c>
      <c r="B20" s="9" t="s">
        <v>55</v>
      </c>
      <c r="C20" s="11">
        <v>5000000</v>
      </c>
      <c r="D20" s="304"/>
      <c r="E20" s="169">
        <f t="shared" si="0"/>
        <v>5000000</v>
      </c>
      <c r="F20" s="12">
        <f t="shared" si="1"/>
        <v>0</v>
      </c>
    </row>
    <row r="21" spans="1:7" x14ac:dyDescent="0.2">
      <c r="A21" s="5" t="s">
        <v>66</v>
      </c>
      <c r="B21" s="9" t="s">
        <v>58</v>
      </c>
      <c r="C21" s="11">
        <v>5000000</v>
      </c>
      <c r="D21" s="304">
        <f>+'SALDOS DIARIOS DE REPORTES'!F54+'SALDOS DIARIOS DE REPORTES'!F60+'SALDOS DIARIOS DE REPORTES'!F67</f>
        <v>3000000</v>
      </c>
      <c r="E21" s="169">
        <f t="shared" si="0"/>
        <v>2000000</v>
      </c>
      <c r="F21" s="12">
        <f t="shared" si="1"/>
        <v>0.6</v>
      </c>
      <c r="G21" s="190"/>
    </row>
    <row r="22" spans="1:7" ht="15" thickBot="1" x14ac:dyDescent="0.25">
      <c r="A22" s="6" t="s">
        <v>66</v>
      </c>
      <c r="B22" s="10" t="s">
        <v>59</v>
      </c>
      <c r="C22" s="19">
        <v>5000000</v>
      </c>
      <c r="D22" s="305"/>
      <c r="E22" s="173">
        <f t="shared" si="0"/>
        <v>5000000</v>
      </c>
      <c r="F22" s="185">
        <f t="shared" si="1"/>
        <v>0</v>
      </c>
    </row>
    <row r="23" spans="1:7" s="4" customFormat="1" ht="15.75" thickBot="1" x14ac:dyDescent="0.25">
      <c r="A23" s="579" t="s">
        <v>77</v>
      </c>
      <c r="B23" s="580"/>
      <c r="C23" s="178">
        <f>SUM(C6:C22)</f>
        <v>85000000</v>
      </c>
      <c r="D23" s="179">
        <f>SUM(D6:D22)</f>
        <v>24200000</v>
      </c>
      <c r="E23" s="301"/>
      <c r="F23" s="180">
        <f>+D23/C23</f>
        <v>0.2847058823529412</v>
      </c>
    </row>
    <row r="27" spans="1:7" ht="15" x14ac:dyDescent="0.2">
      <c r="A27" s="578" t="s">
        <v>76</v>
      </c>
      <c r="B27" s="578"/>
      <c r="C27" s="578"/>
      <c r="D27" s="578"/>
      <c r="E27" s="578"/>
      <c r="F27" s="578"/>
    </row>
    <row r="28" spans="1:7" ht="15" thickBot="1" x14ac:dyDescent="0.25"/>
    <row r="29" spans="1:7" ht="15.75" thickBot="1" x14ac:dyDescent="0.25">
      <c r="A29" s="175" t="s">
        <v>67</v>
      </c>
      <c r="B29" s="13" t="s">
        <v>38</v>
      </c>
      <c r="C29" s="174" t="s">
        <v>68</v>
      </c>
      <c r="D29" s="176" t="s">
        <v>51</v>
      </c>
      <c r="E29" s="176" t="s">
        <v>195</v>
      </c>
      <c r="F29" s="174" t="s">
        <v>52</v>
      </c>
    </row>
    <row r="30" spans="1:7" x14ac:dyDescent="0.2">
      <c r="A30" s="181" t="s">
        <v>65</v>
      </c>
      <c r="B30" s="17" t="s">
        <v>69</v>
      </c>
      <c r="C30" s="11">
        <v>5000000</v>
      </c>
      <c r="D30" s="169"/>
      <c r="E30" s="169">
        <f>+C30-D30</f>
        <v>5000000</v>
      </c>
      <c r="F30" s="256">
        <f t="shared" ref="F30:F36" si="2">+D30/C30</f>
        <v>0</v>
      </c>
    </row>
    <row r="31" spans="1:7" x14ac:dyDescent="0.2">
      <c r="A31" s="5" t="s">
        <v>65</v>
      </c>
      <c r="B31" s="7" t="s">
        <v>44</v>
      </c>
      <c r="C31" s="11">
        <v>5000000</v>
      </c>
      <c r="D31" s="169"/>
      <c r="E31" s="169">
        <f t="shared" ref="E31:E36" si="3">+C31-D31</f>
        <v>5000000</v>
      </c>
      <c r="F31" s="256">
        <f t="shared" si="2"/>
        <v>0</v>
      </c>
    </row>
    <row r="32" spans="1:7" x14ac:dyDescent="0.2">
      <c r="A32" s="5" t="s">
        <v>65</v>
      </c>
      <c r="B32" s="7" t="s">
        <v>70</v>
      </c>
      <c r="C32" s="11">
        <v>5000000</v>
      </c>
      <c r="D32" s="169"/>
      <c r="E32" s="169">
        <f t="shared" si="3"/>
        <v>5000000</v>
      </c>
      <c r="F32" s="15">
        <f t="shared" si="2"/>
        <v>0</v>
      </c>
    </row>
    <row r="33" spans="1:7" x14ac:dyDescent="0.2">
      <c r="A33" s="5" t="s">
        <v>65</v>
      </c>
      <c r="B33" s="7" t="s">
        <v>71</v>
      </c>
      <c r="C33" s="11">
        <v>5000000</v>
      </c>
      <c r="D33" s="169"/>
      <c r="E33" s="169">
        <f t="shared" si="3"/>
        <v>5000000</v>
      </c>
      <c r="F33" s="15">
        <f t="shared" si="2"/>
        <v>0</v>
      </c>
    </row>
    <row r="34" spans="1:7" x14ac:dyDescent="0.2">
      <c r="A34" s="5" t="s">
        <v>65</v>
      </c>
      <c r="B34" s="7" t="s">
        <v>72</v>
      </c>
      <c r="C34" s="11">
        <v>5000000</v>
      </c>
      <c r="D34" s="169"/>
      <c r="E34" s="169">
        <f t="shared" si="3"/>
        <v>5000000</v>
      </c>
      <c r="F34" s="256">
        <f t="shared" si="2"/>
        <v>0</v>
      </c>
    </row>
    <row r="35" spans="1:7" x14ac:dyDescent="0.2">
      <c r="A35" s="5" t="s">
        <v>65</v>
      </c>
      <c r="B35" s="7" t="s">
        <v>73</v>
      </c>
      <c r="C35" s="11">
        <v>5000000</v>
      </c>
      <c r="D35" s="169"/>
      <c r="E35" s="169">
        <f t="shared" si="3"/>
        <v>5000000</v>
      </c>
      <c r="F35" s="15">
        <f t="shared" si="2"/>
        <v>0</v>
      </c>
    </row>
    <row r="36" spans="1:7" ht="15" thickBot="1" x14ac:dyDescent="0.25">
      <c r="A36" s="6" t="s">
        <v>65</v>
      </c>
      <c r="B36" s="8" t="s">
        <v>74</v>
      </c>
      <c r="C36" s="19">
        <v>5000000</v>
      </c>
      <c r="D36" s="173"/>
      <c r="E36" s="169">
        <f t="shared" si="3"/>
        <v>5000000</v>
      </c>
      <c r="F36" s="16">
        <f t="shared" si="2"/>
        <v>0</v>
      </c>
    </row>
    <row r="37" spans="1:7" ht="15.75" thickBot="1" x14ac:dyDescent="0.25">
      <c r="A37" s="579" t="s">
        <v>77</v>
      </c>
      <c r="B37" s="580"/>
      <c r="C37" s="178">
        <f>SUM(C30:C36)</f>
        <v>35000000</v>
      </c>
      <c r="D37" s="179">
        <f>SUM(D30:D36)</f>
        <v>0</v>
      </c>
      <c r="E37" s="179"/>
      <c r="F37" s="186">
        <f>+D37/C37</f>
        <v>0</v>
      </c>
    </row>
    <row r="39" spans="1:7" ht="15" x14ac:dyDescent="0.2">
      <c r="A39" s="578" t="s">
        <v>181</v>
      </c>
      <c r="B39" s="578"/>
      <c r="C39" s="578"/>
      <c r="D39" s="578"/>
      <c r="E39" s="578"/>
      <c r="F39" s="578"/>
    </row>
    <row r="40" spans="1:7" ht="15" thickBot="1" x14ac:dyDescent="0.25"/>
    <row r="41" spans="1:7" ht="15.75" thickBot="1" x14ac:dyDescent="0.25">
      <c r="A41" s="20" t="s">
        <v>67</v>
      </c>
      <c r="B41" s="13" t="s">
        <v>38</v>
      </c>
      <c r="C41" s="13" t="s">
        <v>68</v>
      </c>
      <c r="D41" s="171" t="s">
        <v>51</v>
      </c>
      <c r="E41" s="171" t="s">
        <v>195</v>
      </c>
      <c r="F41" s="13" t="s">
        <v>52</v>
      </c>
    </row>
    <row r="42" spans="1:7" x14ac:dyDescent="0.2">
      <c r="A42" s="21" t="s">
        <v>65</v>
      </c>
      <c r="B42" s="17" t="s">
        <v>156</v>
      </c>
      <c r="C42" s="18">
        <v>5000000</v>
      </c>
      <c r="D42" s="172">
        <f>+'SALDOS DIARIOS DE REPORTES'!F61+'SALDOS DIARIOS DE REPORTES'!F68</f>
        <v>760283</v>
      </c>
      <c r="E42" s="172">
        <f>+C42-D42</f>
        <v>4239717</v>
      </c>
      <c r="F42" s="14">
        <f t="shared" ref="F42" si="4">+D42/C42</f>
        <v>0.15205659999999999</v>
      </c>
    </row>
    <row r="43" spans="1:7" x14ac:dyDescent="0.2">
      <c r="A43" s="21" t="s">
        <v>65</v>
      </c>
      <c r="B43" s="17" t="s">
        <v>182</v>
      </c>
      <c r="C43" s="18">
        <v>5000000</v>
      </c>
      <c r="D43" s="18">
        <v>0</v>
      </c>
      <c r="E43" s="172">
        <f>+C43-D43</f>
        <v>5000000</v>
      </c>
      <c r="F43" s="14">
        <f t="shared" ref="F43" si="5">+D43/C43</f>
        <v>0</v>
      </c>
      <c r="G43" s="190"/>
    </row>
    <row r="45" spans="1:7" ht="15" x14ac:dyDescent="0.2">
      <c r="A45" s="578" t="s">
        <v>157</v>
      </c>
      <c r="B45" s="578"/>
      <c r="C45" s="578"/>
      <c r="D45" s="578"/>
      <c r="E45" s="578"/>
      <c r="F45" s="578"/>
    </row>
    <row r="46" spans="1:7" ht="15" thickBot="1" x14ac:dyDescent="0.25"/>
    <row r="47" spans="1:7" ht="15.75" thickBot="1" x14ac:dyDescent="0.25">
      <c r="A47" s="20" t="s">
        <v>67</v>
      </c>
      <c r="B47" s="13" t="s">
        <v>38</v>
      </c>
      <c r="C47" s="13" t="s">
        <v>68</v>
      </c>
      <c r="D47" s="171" t="s">
        <v>51</v>
      </c>
      <c r="E47" s="171"/>
      <c r="F47" s="13" t="s">
        <v>52</v>
      </c>
    </row>
    <row r="48" spans="1:7" x14ac:dyDescent="0.2">
      <c r="A48" s="21" t="s">
        <v>66</v>
      </c>
      <c r="B48" s="17" t="s">
        <v>139</v>
      </c>
      <c r="C48" s="18">
        <v>5000000</v>
      </c>
      <c r="D48" s="172"/>
      <c r="E48" s="172"/>
      <c r="F48" s="14">
        <f t="shared" ref="F48" si="6">+D48/C48</f>
        <v>0</v>
      </c>
    </row>
    <row r="51" spans="4:5" ht="15.75" thickBot="1" x14ac:dyDescent="0.25">
      <c r="D51" s="170">
        <f>+D48+D42+D37+D23+D43</f>
        <v>24960283</v>
      </c>
      <c r="E51" s="302"/>
    </row>
    <row r="52" spans="4:5" x14ac:dyDescent="0.2">
      <c r="D52" s="194">
        <f>+'SALDOS DIARIOS DE REPORTES'!F70</f>
        <v>24960283</v>
      </c>
      <c r="E52" s="194"/>
    </row>
    <row r="53" spans="4:5" x14ac:dyDescent="0.2">
      <c r="D53" s="3">
        <f>+D51-D52</f>
        <v>0</v>
      </c>
    </row>
  </sheetData>
  <mergeCells count="6">
    <mergeCell ref="A45:F45"/>
    <mergeCell ref="A3:F3"/>
    <mergeCell ref="A27:F27"/>
    <mergeCell ref="A23:B23"/>
    <mergeCell ref="A37:B37"/>
    <mergeCell ref="A39:F39"/>
  </mergeCells>
  <conditionalFormatting sqref="F6:F22">
    <cfRule type="cellIs" dxfId="2" priority="3" operator="equal">
      <formula>1</formula>
    </cfRule>
  </conditionalFormatting>
  <conditionalFormatting sqref="F42 F48 F30:F36">
    <cfRule type="cellIs" dxfId="1" priority="2" operator="equal">
      <formula>1</formula>
    </cfRule>
  </conditionalFormatting>
  <conditionalFormatting sqref="F43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showGridLines="0" workbookViewId="0">
      <selection activeCell="A2" sqref="A2:J2"/>
    </sheetView>
  </sheetViews>
  <sheetFormatPr baseColWidth="10" defaultRowHeight="15.75" x14ac:dyDescent="0.25"/>
  <cols>
    <col min="1" max="1" width="24" style="410" customWidth="1"/>
    <col min="2" max="3" width="16.5703125" style="411" customWidth="1"/>
    <col min="4" max="4" width="13.5703125" style="411" bestFit="1" customWidth="1"/>
    <col min="5" max="5" width="11.85546875" style="411" customWidth="1"/>
    <col min="6" max="6" width="12.85546875" style="411" customWidth="1"/>
    <col min="7" max="7" width="14.140625" style="410" customWidth="1"/>
    <col min="8" max="8" width="11.85546875" style="410" customWidth="1"/>
    <col min="9" max="9" width="15.7109375" style="482" customWidth="1"/>
    <col min="10" max="10" width="18.7109375" style="410" customWidth="1"/>
    <col min="11" max="16384" width="11.42578125" style="410"/>
  </cols>
  <sheetData>
    <row r="2" spans="1:10" x14ac:dyDescent="0.25">
      <c r="A2" s="581" t="s">
        <v>204</v>
      </c>
      <c r="B2" s="581"/>
      <c r="C2" s="581"/>
      <c r="D2" s="581"/>
      <c r="E2" s="581"/>
      <c r="F2" s="581"/>
      <c r="G2" s="581"/>
      <c r="H2" s="581"/>
      <c r="I2" s="581"/>
      <c r="J2" s="581"/>
    </row>
    <row r="4" spans="1:10" ht="16.5" thickBot="1" x14ac:dyDescent="0.3"/>
    <row r="5" spans="1:10" ht="16.5" thickBot="1" x14ac:dyDescent="0.3">
      <c r="A5" s="419"/>
      <c r="B5" s="424" t="s">
        <v>201</v>
      </c>
      <c r="C5" s="425" t="s">
        <v>202</v>
      </c>
      <c r="D5" s="425" t="s">
        <v>203</v>
      </c>
      <c r="E5" s="425" t="s">
        <v>205</v>
      </c>
      <c r="F5" s="499" t="s">
        <v>77</v>
      </c>
      <c r="G5" s="501" t="s">
        <v>207</v>
      </c>
      <c r="H5" s="500" t="s">
        <v>208</v>
      </c>
      <c r="I5" s="426" t="s">
        <v>215</v>
      </c>
      <c r="J5" s="502" t="s">
        <v>216</v>
      </c>
    </row>
    <row r="6" spans="1:10" x14ac:dyDescent="0.25">
      <c r="A6" s="421" t="s">
        <v>206</v>
      </c>
      <c r="B6" s="427">
        <v>125470656</v>
      </c>
      <c r="C6" s="428">
        <v>141963496</v>
      </c>
      <c r="D6" s="428">
        <v>161518380</v>
      </c>
      <c r="E6" s="429"/>
      <c r="F6" s="451"/>
      <c r="G6" s="430"/>
      <c r="H6" s="431"/>
      <c r="I6" s="431"/>
      <c r="J6" s="431"/>
    </row>
    <row r="7" spans="1:10" x14ac:dyDescent="0.25">
      <c r="A7" s="422" t="s">
        <v>151</v>
      </c>
      <c r="B7" s="432">
        <f>+B6*1%</f>
        <v>1254706.56</v>
      </c>
      <c r="C7" s="412">
        <f>+C6*1%</f>
        <v>1419634.96</v>
      </c>
      <c r="D7" s="412">
        <f>+D6*1%</f>
        <v>1615183.8</v>
      </c>
      <c r="E7" s="413"/>
      <c r="F7" s="452">
        <f>SUM(B7:E7)</f>
        <v>4289525.32</v>
      </c>
      <c r="G7" s="414">
        <f>+'SALDOS DIARIOS DE REPORTES'!F66+'SALDOS DIARIOS DE REPORTES'!F67+'SALDOS DIARIOS DE REPORTES'!F68+'SALDOS DIARIOS DE REPORTES'!F69</f>
        <v>4109686</v>
      </c>
      <c r="H7" s="415">
        <f>+F7-G7</f>
        <v>179839.3200000003</v>
      </c>
      <c r="I7" s="415">
        <f>+'INVERSIONES FONDOS'!L3+'INVERSIONES FONDOS'!L4+'INVERSIONES FONDOS'!L5+'INVERSIONES FONDOS'!L6+'INVERSIONES FONDOS'!L8+'INVERSIONES FONDOS'!L9+'INVERSIONES FONDOS'!L10</f>
        <v>334626.00007967593</v>
      </c>
      <c r="J7" s="415">
        <f>+H7+I7</f>
        <v>514465.32007967622</v>
      </c>
    </row>
    <row r="8" spans="1:10" ht="16.5" thickBot="1" x14ac:dyDescent="0.3">
      <c r="A8" s="423" t="s">
        <v>152</v>
      </c>
      <c r="B8" s="433">
        <v>379329.6</v>
      </c>
      <c r="C8" s="416">
        <v>466337.76500000001</v>
      </c>
      <c r="D8" s="416">
        <v>613789.77600000007</v>
      </c>
      <c r="E8" s="416">
        <v>388121.58199999999</v>
      </c>
      <c r="F8" s="453">
        <f>SUM(B8:E8)</f>
        <v>1847578.723</v>
      </c>
      <c r="G8" s="417">
        <f>+'SALDOS DIARIOS DE REPORTES'!F62+'SALDOS DIARIOS DE REPORTES'!F61+'SALDOS DIARIOS DE REPORTES'!F60</f>
        <v>1350597</v>
      </c>
      <c r="H8" s="418">
        <f>+F8-G8</f>
        <v>496981.723</v>
      </c>
      <c r="I8" s="418">
        <f>+'INVERSIONES FONDOS'!L7</f>
        <v>101507</v>
      </c>
      <c r="J8" s="418">
        <f>+H8+I8</f>
        <v>598488.723</v>
      </c>
    </row>
    <row r="9" spans="1:10" x14ac:dyDescent="0.25">
      <c r="A9" s="419"/>
      <c r="B9" s="420"/>
      <c r="C9" s="420"/>
      <c r="D9" s="420"/>
      <c r="E9" s="420"/>
      <c r="F9" s="420"/>
      <c r="G9" s="419"/>
      <c r="H9" s="419"/>
      <c r="I9" s="498"/>
    </row>
  </sheetData>
  <mergeCells count="1">
    <mergeCell ref="A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workbookViewId="0">
      <selection activeCell="L16" sqref="L16"/>
    </sheetView>
  </sheetViews>
  <sheetFormatPr baseColWidth="10" defaultRowHeight="15.75" x14ac:dyDescent="0.25"/>
  <cols>
    <col min="1" max="1" width="20.5703125" style="410" customWidth="1"/>
    <col min="2" max="2" width="19.140625" style="410" customWidth="1"/>
    <col min="3" max="3" width="21.42578125" style="410" bestFit="1" customWidth="1"/>
    <col min="4" max="4" width="21.7109375" style="410" bestFit="1" customWidth="1"/>
    <col min="5" max="5" width="21.42578125" style="410" bestFit="1" customWidth="1"/>
    <col min="6" max="6" width="14" style="410" customWidth="1"/>
    <col min="7" max="7" width="10.28515625" style="410" customWidth="1"/>
    <col min="8" max="8" width="15" style="410" bestFit="1" customWidth="1"/>
    <col min="9" max="9" width="17.85546875" style="410" bestFit="1" customWidth="1"/>
    <col min="10" max="10" width="17.7109375" style="410" bestFit="1" customWidth="1"/>
    <col min="11" max="11" width="19.140625" style="410" customWidth="1"/>
    <col min="12" max="12" width="16.5703125" style="483" bestFit="1" customWidth="1"/>
    <col min="13" max="16384" width="11.42578125" style="410"/>
  </cols>
  <sheetData>
    <row r="1" spans="1:12" ht="16.5" thickBot="1" x14ac:dyDescent="0.3"/>
    <row r="2" spans="1:12" ht="16.5" thickBot="1" x14ac:dyDescent="0.3">
      <c r="A2" s="480" t="s">
        <v>144</v>
      </c>
      <c r="B2" s="481" t="s">
        <v>38</v>
      </c>
      <c r="C2" s="481" t="s">
        <v>213</v>
      </c>
      <c r="D2" s="481" t="s">
        <v>141</v>
      </c>
      <c r="E2" s="481" t="s">
        <v>142</v>
      </c>
      <c r="F2" s="481" t="s">
        <v>39</v>
      </c>
      <c r="G2" s="481" t="s">
        <v>40</v>
      </c>
      <c r="H2" s="481" t="s">
        <v>113</v>
      </c>
      <c r="I2" s="481" t="s">
        <v>145</v>
      </c>
      <c r="J2" s="481" t="s">
        <v>146</v>
      </c>
      <c r="K2" s="481" t="s">
        <v>49</v>
      </c>
      <c r="L2" s="484" t="s">
        <v>214</v>
      </c>
    </row>
    <row r="3" spans="1:12" x14ac:dyDescent="0.25">
      <c r="A3" s="471" t="s">
        <v>151</v>
      </c>
      <c r="B3" s="472" t="s">
        <v>115</v>
      </c>
      <c r="C3" s="473">
        <v>41935</v>
      </c>
      <c r="D3" s="473">
        <v>42568</v>
      </c>
      <c r="E3" s="473">
        <v>41995</v>
      </c>
      <c r="F3" s="474">
        <v>144248</v>
      </c>
      <c r="G3" s="475">
        <v>633</v>
      </c>
      <c r="H3" s="476" t="s">
        <v>114</v>
      </c>
      <c r="I3" s="477">
        <v>6.25E-2</v>
      </c>
      <c r="J3" s="478">
        <v>2.5084418716835533E-2</v>
      </c>
      <c r="K3" s="479" t="s">
        <v>150</v>
      </c>
      <c r="L3" s="485">
        <f>30332000/1000</f>
        <v>30332</v>
      </c>
    </row>
    <row r="4" spans="1:12" x14ac:dyDescent="0.25">
      <c r="A4" s="454" t="s">
        <v>151</v>
      </c>
      <c r="B4" s="455" t="s">
        <v>115</v>
      </c>
      <c r="C4" s="456">
        <v>40101</v>
      </c>
      <c r="D4" s="456">
        <v>42697</v>
      </c>
      <c r="E4" s="456">
        <v>41995</v>
      </c>
      <c r="F4" s="470">
        <v>121985</v>
      </c>
      <c r="G4" s="457">
        <v>2596</v>
      </c>
      <c r="H4" s="458" t="s">
        <v>114</v>
      </c>
      <c r="I4" s="459">
        <v>6.25E-2</v>
      </c>
      <c r="J4" s="460">
        <v>2.5084418716835533E-2</v>
      </c>
      <c r="K4" s="461" t="s">
        <v>150</v>
      </c>
      <c r="L4" s="486">
        <f>87941999.6866855/1000</f>
        <v>87941.999686685507</v>
      </c>
    </row>
    <row r="5" spans="1:12" x14ac:dyDescent="0.25">
      <c r="A5" s="454" t="s">
        <v>151</v>
      </c>
      <c r="B5" s="455" t="s">
        <v>115</v>
      </c>
      <c r="C5" s="456">
        <v>41935</v>
      </c>
      <c r="D5" s="456">
        <v>42728</v>
      </c>
      <c r="E5" s="456">
        <v>41995</v>
      </c>
      <c r="F5" s="470">
        <v>221900</v>
      </c>
      <c r="G5" s="457">
        <v>793</v>
      </c>
      <c r="H5" s="458" t="s">
        <v>212</v>
      </c>
      <c r="I5" s="459">
        <v>6.3E-2</v>
      </c>
      <c r="J5" s="460">
        <v>2.5566811384466925E-2</v>
      </c>
      <c r="K5" s="461" t="s">
        <v>150</v>
      </c>
      <c r="L5" s="486">
        <f>4616200039.29904%/1000</f>
        <v>46162.000392990398</v>
      </c>
    </row>
    <row r="6" spans="1:12" x14ac:dyDescent="0.25">
      <c r="A6" s="454" t="s">
        <v>151</v>
      </c>
      <c r="B6" s="455" t="s">
        <v>115</v>
      </c>
      <c r="C6" s="456">
        <v>41963</v>
      </c>
      <c r="D6" s="456">
        <v>42738</v>
      </c>
      <c r="E6" s="456">
        <v>41996</v>
      </c>
      <c r="F6" s="470">
        <v>161278</v>
      </c>
      <c r="G6" s="457">
        <v>775</v>
      </c>
      <c r="H6" s="458" t="s">
        <v>212</v>
      </c>
      <c r="I6" s="459">
        <v>6.4500000000000002E-2</v>
      </c>
      <c r="J6" s="460">
        <v>2.7013989387361326E-2</v>
      </c>
      <c r="K6" s="461" t="s">
        <v>150</v>
      </c>
      <c r="L6" s="486">
        <f>33122000/1000</f>
        <v>33122</v>
      </c>
    </row>
    <row r="7" spans="1:12" x14ac:dyDescent="0.25">
      <c r="A7" s="488" t="s">
        <v>152</v>
      </c>
      <c r="B7" s="489" t="s">
        <v>115</v>
      </c>
      <c r="C7" s="490">
        <v>41536</v>
      </c>
      <c r="D7" s="490">
        <v>42745</v>
      </c>
      <c r="E7" s="490">
        <v>42115</v>
      </c>
      <c r="F7" s="491">
        <v>304043</v>
      </c>
      <c r="G7" s="492">
        <v>1209</v>
      </c>
      <c r="H7" s="493" t="s">
        <v>114</v>
      </c>
      <c r="I7" s="494">
        <v>7.1220000000000006E-2</v>
      </c>
      <c r="J7" s="495">
        <v>2.4502677888293745E-2</v>
      </c>
      <c r="K7" s="496" t="s">
        <v>150</v>
      </c>
      <c r="L7" s="497">
        <f>101507000/1000</f>
        <v>101507</v>
      </c>
    </row>
    <row r="8" spans="1:12" x14ac:dyDescent="0.25">
      <c r="A8" s="454" t="s">
        <v>151</v>
      </c>
      <c r="B8" s="455" t="s">
        <v>115</v>
      </c>
      <c r="C8" s="456">
        <v>41963</v>
      </c>
      <c r="D8" s="456">
        <v>42777</v>
      </c>
      <c r="E8" s="456">
        <v>41996</v>
      </c>
      <c r="F8" s="470">
        <v>161665</v>
      </c>
      <c r="G8" s="457">
        <v>814</v>
      </c>
      <c r="H8" s="458" t="s">
        <v>114</v>
      </c>
      <c r="I8" s="459">
        <v>6.4500000000000002E-2</v>
      </c>
      <c r="J8" s="460">
        <v>2.7013989387361326E-2</v>
      </c>
      <c r="K8" s="461" t="s">
        <v>150</v>
      </c>
      <c r="L8" s="486">
        <f>40369000/1000</f>
        <v>40369</v>
      </c>
    </row>
    <row r="9" spans="1:12" x14ac:dyDescent="0.25">
      <c r="A9" s="454" t="s">
        <v>151</v>
      </c>
      <c r="B9" s="455" t="s">
        <v>115</v>
      </c>
      <c r="C9" s="456">
        <v>41935</v>
      </c>
      <c r="D9" s="456">
        <v>42875</v>
      </c>
      <c r="E9" s="456">
        <v>41996</v>
      </c>
      <c r="F9" s="470">
        <v>146070</v>
      </c>
      <c r="G9" s="457">
        <v>940</v>
      </c>
      <c r="H9" s="458" t="s">
        <v>114</v>
      </c>
      <c r="I9" s="459">
        <v>6.4500000000000002E-2</v>
      </c>
      <c r="J9" s="460">
        <v>2.7013989387361326E-2</v>
      </c>
      <c r="K9" s="461" t="s">
        <v>150</v>
      </c>
      <c r="L9" s="486">
        <f>43038000/1000</f>
        <v>43038</v>
      </c>
    </row>
    <row r="10" spans="1:12" x14ac:dyDescent="0.25">
      <c r="A10" s="454" t="s">
        <v>151</v>
      </c>
      <c r="B10" s="455" t="s">
        <v>115</v>
      </c>
      <c r="C10" s="456">
        <v>41963</v>
      </c>
      <c r="D10" s="456">
        <v>42893</v>
      </c>
      <c r="E10" s="456">
        <v>41996</v>
      </c>
      <c r="F10" s="470">
        <v>183776</v>
      </c>
      <c r="G10" s="457">
        <v>930</v>
      </c>
      <c r="H10" s="458" t="s">
        <v>114</v>
      </c>
      <c r="I10" s="459">
        <v>6.4500000000000002E-2</v>
      </c>
      <c r="J10" s="460">
        <v>2.7013989387361326E-2</v>
      </c>
      <c r="K10" s="461" t="s">
        <v>150</v>
      </c>
      <c r="L10" s="486">
        <f>53661000/1000</f>
        <v>53661</v>
      </c>
    </row>
    <row r="11" spans="1:12" x14ac:dyDescent="0.25">
      <c r="A11" s="454" t="s">
        <v>151</v>
      </c>
      <c r="B11" s="455" t="s">
        <v>112</v>
      </c>
      <c r="C11" s="456">
        <v>42431</v>
      </c>
      <c r="D11" s="456">
        <v>43161</v>
      </c>
      <c r="E11" s="456">
        <v>42460</v>
      </c>
      <c r="F11" s="457">
        <v>700000</v>
      </c>
      <c r="G11" s="457">
        <v>730</v>
      </c>
      <c r="H11" s="458">
        <v>8.9899999999999994E-2</v>
      </c>
      <c r="I11" s="459">
        <v>8.5999999999999993E-2</v>
      </c>
      <c r="J11" s="460">
        <v>0</v>
      </c>
      <c r="K11" s="461" t="s">
        <v>150</v>
      </c>
      <c r="L11" s="486"/>
    </row>
    <row r="12" spans="1:12" x14ac:dyDescent="0.25">
      <c r="A12" s="454" t="s">
        <v>152</v>
      </c>
      <c r="B12" s="455" t="s">
        <v>129</v>
      </c>
      <c r="C12" s="456">
        <v>42446</v>
      </c>
      <c r="D12" s="456">
        <v>43176</v>
      </c>
      <c r="E12" s="456">
        <v>42446</v>
      </c>
      <c r="F12" s="457">
        <v>300000</v>
      </c>
      <c r="G12" s="457">
        <v>730</v>
      </c>
      <c r="H12" s="458">
        <v>9.1899999999999996E-2</v>
      </c>
      <c r="I12" s="459">
        <v>9.1899999999999996E-2</v>
      </c>
      <c r="J12" s="460">
        <v>0</v>
      </c>
      <c r="K12" s="461" t="s">
        <v>150</v>
      </c>
      <c r="L12" s="486"/>
    </row>
    <row r="13" spans="1:12" x14ac:dyDescent="0.25">
      <c r="A13" s="454" t="s">
        <v>151</v>
      </c>
      <c r="B13" s="455" t="s">
        <v>129</v>
      </c>
      <c r="C13" s="456">
        <v>42446</v>
      </c>
      <c r="D13" s="456">
        <v>43176</v>
      </c>
      <c r="E13" s="456">
        <v>42446</v>
      </c>
      <c r="F13" s="457">
        <v>700000</v>
      </c>
      <c r="G13" s="457">
        <v>730</v>
      </c>
      <c r="H13" s="458">
        <v>9.1899999999999996E-2</v>
      </c>
      <c r="I13" s="459">
        <v>9.1899999999999996E-2</v>
      </c>
      <c r="J13" s="460">
        <v>0</v>
      </c>
      <c r="K13" s="461" t="s">
        <v>150</v>
      </c>
      <c r="L13" s="486"/>
    </row>
    <row r="14" spans="1:12" x14ac:dyDescent="0.25">
      <c r="A14" s="454" t="s">
        <v>151</v>
      </c>
      <c r="B14" s="455" t="s">
        <v>115</v>
      </c>
      <c r="C14" s="456">
        <v>42355</v>
      </c>
      <c r="D14" s="456">
        <v>43369</v>
      </c>
      <c r="E14" s="456">
        <v>42578</v>
      </c>
      <c r="F14" s="457">
        <v>309686</v>
      </c>
      <c r="G14" s="457">
        <v>1014</v>
      </c>
      <c r="H14" s="458" t="s">
        <v>114</v>
      </c>
      <c r="I14" s="459">
        <v>0.1273</v>
      </c>
      <c r="J14" s="460">
        <v>8.0203142966653873E-2</v>
      </c>
      <c r="K14" s="461" t="s">
        <v>150</v>
      </c>
      <c r="L14" s="486"/>
    </row>
    <row r="15" spans="1:12" ht="16.5" thickBot="1" x14ac:dyDescent="0.3">
      <c r="A15" s="462" t="s">
        <v>152</v>
      </c>
      <c r="B15" s="463" t="s">
        <v>115</v>
      </c>
      <c r="C15" s="464">
        <v>42544</v>
      </c>
      <c r="D15" s="464">
        <v>43404</v>
      </c>
      <c r="E15" s="464">
        <v>42585</v>
      </c>
      <c r="F15" s="465">
        <v>450597</v>
      </c>
      <c r="G15" s="465">
        <v>860</v>
      </c>
      <c r="H15" s="466" t="s">
        <v>114</v>
      </c>
      <c r="I15" s="467">
        <v>0.12748999999999999</v>
      </c>
      <c r="J15" s="468">
        <v>7.8318668706962358E-2</v>
      </c>
      <c r="K15" s="469" t="s">
        <v>150</v>
      </c>
      <c r="L15" s="487"/>
    </row>
  </sheetData>
  <sortState ref="A3:L15">
    <sortCondition ref="D3:D15"/>
    <sortCondition ref="A3:A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25"/>
  <sheetViews>
    <sheetView workbookViewId="0">
      <selection activeCell="F15" sqref="F15"/>
    </sheetView>
  </sheetViews>
  <sheetFormatPr baseColWidth="10" defaultRowHeight="12.75" x14ac:dyDescent="0.2"/>
  <sheetData>
    <row r="1" spans="1:6" ht="13.5" thickBot="1" x14ac:dyDescent="0.25">
      <c r="A1" s="582">
        <v>2014</v>
      </c>
      <c r="B1" s="195" t="s">
        <v>160</v>
      </c>
      <c r="C1" s="196">
        <v>114.53677999999999</v>
      </c>
      <c r="D1" s="197">
        <v>4.8999999999999998E-3</v>
      </c>
      <c r="E1" s="197">
        <v>4.8999999999999998E-3</v>
      </c>
      <c r="F1" s="198">
        <v>2.1299999999999999E-2</v>
      </c>
    </row>
    <row r="2" spans="1:6" ht="13.5" thickBot="1" x14ac:dyDescent="0.25">
      <c r="A2" s="583"/>
      <c r="B2" s="195" t="s">
        <v>161</v>
      </c>
      <c r="C2" s="196">
        <v>115.25924000000001</v>
      </c>
      <c r="D2" s="197">
        <v>6.3E-3</v>
      </c>
      <c r="E2" s="197">
        <v>1.12E-2</v>
      </c>
      <c r="F2" s="198">
        <v>2.3199999999999998E-2</v>
      </c>
    </row>
    <row r="3" spans="1:6" ht="13.5" thickBot="1" x14ac:dyDescent="0.25">
      <c r="A3" s="583"/>
      <c r="B3" s="195" t="s">
        <v>162</v>
      </c>
      <c r="C3" s="196">
        <v>115.71357999999999</v>
      </c>
      <c r="D3" s="197">
        <v>3.8999999999999998E-3</v>
      </c>
      <c r="E3" s="197">
        <v>1.52E-2</v>
      </c>
      <c r="F3" s="198">
        <v>2.5100000000000001E-2</v>
      </c>
    </row>
    <row r="4" spans="1:6" ht="13.5" thickBot="1" x14ac:dyDescent="0.25">
      <c r="A4" s="583"/>
      <c r="B4" s="195" t="s">
        <v>163</v>
      </c>
      <c r="C4" s="196">
        <v>116.24321</v>
      </c>
      <c r="D4" s="197">
        <v>4.5999999999999999E-3</v>
      </c>
      <c r="E4" s="197">
        <v>1.9800000000000002E-2</v>
      </c>
      <c r="F4" s="198">
        <v>2.7199999999999998E-2</v>
      </c>
    </row>
    <row r="5" spans="1:6" ht="13.5" thickBot="1" x14ac:dyDescent="0.25">
      <c r="A5" s="583"/>
      <c r="B5" s="195" t="s">
        <v>164</v>
      </c>
      <c r="C5" s="196">
        <v>116.80555</v>
      </c>
      <c r="D5" s="197">
        <v>4.7999999999999996E-3</v>
      </c>
      <c r="E5" s="197">
        <v>2.4799999999999999E-2</v>
      </c>
      <c r="F5" s="198">
        <v>2.93E-2</v>
      </c>
    </row>
    <row r="6" spans="1:6" ht="13.5" thickBot="1" x14ac:dyDescent="0.25">
      <c r="A6" s="583"/>
      <c r="B6" s="195" t="s">
        <v>165</v>
      </c>
      <c r="C6" s="196">
        <v>116.91441</v>
      </c>
      <c r="D6" s="197">
        <v>8.9999999999999998E-4</v>
      </c>
      <c r="E6" s="197">
        <v>2.5700000000000001E-2</v>
      </c>
      <c r="F6" s="198">
        <v>2.7900000000000001E-2</v>
      </c>
    </row>
    <row r="7" spans="1:6" ht="13.5" thickBot="1" x14ac:dyDescent="0.25">
      <c r="A7" s="583"/>
      <c r="B7" s="195" t="s">
        <v>166</v>
      </c>
      <c r="C7" s="196">
        <v>117.0913</v>
      </c>
      <c r="D7" s="197">
        <v>1.5E-3</v>
      </c>
      <c r="E7" s="197">
        <v>2.7300000000000001E-2</v>
      </c>
      <c r="F7" s="198">
        <v>2.8899999999999999E-2</v>
      </c>
    </row>
    <row r="8" spans="1:6" ht="13.5" thickBot="1" x14ac:dyDescent="0.25">
      <c r="A8" s="583"/>
      <c r="B8" s="195" t="s">
        <v>167</v>
      </c>
      <c r="C8" s="196">
        <v>117.32919</v>
      </c>
      <c r="D8" s="197">
        <v>2E-3</v>
      </c>
      <c r="E8" s="197">
        <v>2.9399999999999999E-2</v>
      </c>
      <c r="F8" s="198">
        <v>3.0200000000000001E-2</v>
      </c>
    </row>
    <row r="9" spans="1:6" ht="13.5" thickBot="1" x14ac:dyDescent="0.25">
      <c r="A9" s="583"/>
      <c r="B9" s="195" t="s">
        <v>168</v>
      </c>
      <c r="C9" s="196">
        <v>117.48858</v>
      </c>
      <c r="D9" s="197">
        <v>1.4E-3</v>
      </c>
      <c r="E9" s="197">
        <v>3.0800000000000001E-2</v>
      </c>
      <c r="F9" s="198">
        <v>2.86E-2</v>
      </c>
    </row>
    <row r="10" spans="1:6" ht="13.5" thickBot="1" x14ac:dyDescent="0.25">
      <c r="A10" s="583"/>
      <c r="B10" s="195" t="s">
        <v>169</v>
      </c>
      <c r="C10" s="196">
        <v>117.68219000000001</v>
      </c>
      <c r="D10" s="197">
        <v>1.6000000000000001E-3</v>
      </c>
      <c r="E10" s="197">
        <v>3.2500000000000001E-2</v>
      </c>
      <c r="F10" s="198">
        <v>3.2899999999999999E-2</v>
      </c>
    </row>
    <row r="11" spans="1:6" ht="13.5" thickBot="1" x14ac:dyDescent="0.25">
      <c r="A11" s="583"/>
      <c r="B11" s="212" t="s">
        <v>170</v>
      </c>
      <c r="C11" s="213">
        <v>117.8373</v>
      </c>
      <c r="D11" s="214">
        <v>1.2999999999999999E-3</v>
      </c>
      <c r="E11" s="214">
        <v>3.3799999999999997E-2</v>
      </c>
      <c r="F11" s="215">
        <v>3.6499999999999998E-2</v>
      </c>
    </row>
    <row r="12" spans="1:6" ht="13.5" thickBot="1" x14ac:dyDescent="0.25">
      <c r="A12" s="584"/>
      <c r="B12" s="195" t="s">
        <v>171</v>
      </c>
      <c r="C12" s="196">
        <v>118.15166000000001</v>
      </c>
      <c r="D12" s="197">
        <v>2.7000000000000001E-3</v>
      </c>
      <c r="E12" s="197">
        <v>3.6600000000000001E-2</v>
      </c>
      <c r="F12" s="198">
        <v>3.6600000000000001E-2</v>
      </c>
    </row>
    <row r="13" spans="1:6" ht="13.5" thickBot="1" x14ac:dyDescent="0.25">
      <c r="A13" s="582">
        <v>2015</v>
      </c>
      <c r="B13" s="195" t="s">
        <v>160</v>
      </c>
      <c r="C13" s="196">
        <v>118.91289</v>
      </c>
      <c r="D13" s="197">
        <v>6.4000000000000003E-3</v>
      </c>
      <c r="E13" s="197">
        <v>6.4000000000000003E-3</v>
      </c>
      <c r="F13" s="198">
        <v>3.8199999999999998E-2</v>
      </c>
    </row>
    <row r="14" spans="1:6" ht="13.5" thickBot="1" x14ac:dyDescent="0.25">
      <c r="A14" s="583"/>
      <c r="B14" s="212" t="s">
        <v>161</v>
      </c>
      <c r="C14" s="213">
        <v>120.27992999999999</v>
      </c>
      <c r="D14" s="214">
        <v>1.15E-2</v>
      </c>
      <c r="E14" s="214">
        <v>1.7999999999999999E-2</v>
      </c>
      <c r="F14" s="215">
        <v>4.36E-2</v>
      </c>
    </row>
    <row r="15" spans="1:6" ht="13.5" thickBot="1" x14ac:dyDescent="0.25">
      <c r="A15" s="583"/>
      <c r="B15" s="195" t="s">
        <v>162</v>
      </c>
      <c r="C15" s="196">
        <v>120.98456</v>
      </c>
      <c r="D15" s="197">
        <v>5.8999999999999999E-3</v>
      </c>
      <c r="E15" s="197">
        <v>2.4E-2</v>
      </c>
      <c r="F15" s="198">
        <v>4.5600000000000002E-2</v>
      </c>
    </row>
    <row r="16" spans="1:6" ht="13.5" thickBot="1" x14ac:dyDescent="0.25">
      <c r="A16" s="583"/>
      <c r="B16" s="195" t="s">
        <v>163</v>
      </c>
      <c r="C16" s="196">
        <v>121.63437</v>
      </c>
      <c r="D16" s="197">
        <v>5.4000000000000003E-3</v>
      </c>
      <c r="E16" s="197">
        <v>2.9499999999999998E-2</v>
      </c>
      <c r="F16" s="198">
        <v>4.6399999999999997E-2</v>
      </c>
    </row>
    <row r="17" spans="1:6" ht="13.5" thickBot="1" x14ac:dyDescent="0.25">
      <c r="A17" s="583"/>
      <c r="B17" s="195" t="s">
        <v>164</v>
      </c>
      <c r="C17" s="196">
        <v>121.95433</v>
      </c>
      <c r="D17" s="197">
        <v>2.5999999999999999E-3</v>
      </c>
      <c r="E17" s="197">
        <v>3.2199999999999999E-2</v>
      </c>
      <c r="F17" s="198">
        <v>4.41E-2</v>
      </c>
    </row>
    <row r="18" spans="1:6" ht="13.5" thickBot="1" x14ac:dyDescent="0.25">
      <c r="A18" s="583"/>
      <c r="B18" s="195" t="s">
        <v>165</v>
      </c>
      <c r="C18" s="196">
        <v>122.08235999999999</v>
      </c>
      <c r="D18" s="197">
        <v>1E-3</v>
      </c>
      <c r="E18" s="197">
        <v>3.3300000000000003E-2</v>
      </c>
      <c r="F18" s="198">
        <v>4.4200000000000003E-2</v>
      </c>
    </row>
    <row r="19" spans="1:6" ht="13.5" thickBot="1" x14ac:dyDescent="0.25">
      <c r="A19" s="583"/>
      <c r="B19" s="195" t="s">
        <v>166</v>
      </c>
      <c r="C19" s="196">
        <v>122.30851</v>
      </c>
      <c r="D19" s="197">
        <v>1.9E-3</v>
      </c>
      <c r="E19" s="197">
        <v>3.5200000000000002E-2</v>
      </c>
      <c r="F19" s="198">
        <v>4.4600000000000001E-2</v>
      </c>
    </row>
    <row r="20" spans="1:6" ht="13.5" thickBot="1" x14ac:dyDescent="0.25">
      <c r="A20" s="583"/>
      <c r="B20" s="195" t="s">
        <v>167</v>
      </c>
      <c r="C20" s="196">
        <v>122.89561</v>
      </c>
      <c r="D20" s="197">
        <v>4.7999999999999996E-3</v>
      </c>
      <c r="E20" s="197">
        <v>4.02E-2</v>
      </c>
      <c r="F20" s="198">
        <v>4.7399999999999998E-2</v>
      </c>
    </row>
    <row r="21" spans="1:6" ht="13.5" thickBot="1" x14ac:dyDescent="0.25">
      <c r="A21" s="583"/>
      <c r="B21" s="195" t="s">
        <v>168</v>
      </c>
      <c r="C21" s="196">
        <v>123.77500999999999</v>
      </c>
      <c r="D21" s="197">
        <v>7.1999999999999998E-3</v>
      </c>
      <c r="E21" s="197">
        <v>4.7600000000000003E-2</v>
      </c>
      <c r="F21" s="198">
        <v>5.3499999999999999E-2</v>
      </c>
    </row>
    <row r="22" spans="1:6" ht="13.5" thickBot="1" x14ac:dyDescent="0.25">
      <c r="A22" s="583"/>
      <c r="B22" s="195" t="s">
        <v>169</v>
      </c>
      <c r="C22" s="196">
        <v>124.61929000000001</v>
      </c>
      <c r="D22" s="197">
        <v>6.7999999999999996E-3</v>
      </c>
      <c r="E22" s="197">
        <v>5.4699999999999999E-2</v>
      </c>
      <c r="F22" s="198">
        <v>5.8900000000000001E-2</v>
      </c>
    </row>
    <row r="23" spans="1:6" ht="13.5" thickBot="1" x14ac:dyDescent="0.25">
      <c r="A23" s="583"/>
      <c r="B23" s="240" t="s">
        <v>170</v>
      </c>
      <c r="C23" s="241">
        <v>125.37075</v>
      </c>
      <c r="D23" s="242">
        <v>6.0000000000000001E-3</v>
      </c>
      <c r="E23" s="242">
        <v>6.1100000000000002E-2</v>
      </c>
      <c r="F23" s="243">
        <v>6.3899999999999998E-2</v>
      </c>
    </row>
    <row r="24" spans="1:6" ht="13.5" thickBot="1" x14ac:dyDescent="0.25">
      <c r="A24" s="584"/>
      <c r="B24" s="240" t="s">
        <v>171</v>
      </c>
      <c r="C24" s="241">
        <v>126.14945</v>
      </c>
      <c r="D24" s="242">
        <v>6.1999999999999998E-3</v>
      </c>
      <c r="E24" s="242">
        <v>6.7699999999999996E-2</v>
      </c>
      <c r="F24" s="243">
        <v>6.7699999999999996E-2</v>
      </c>
    </row>
    <row r="25" spans="1:6" x14ac:dyDescent="0.2">
      <c r="A25" s="199">
        <v>2016</v>
      </c>
      <c r="B25" s="200" t="s">
        <v>160</v>
      </c>
      <c r="C25" s="201">
        <v>127.77754</v>
      </c>
      <c r="D25" s="202">
        <v>1.29E-2</v>
      </c>
      <c r="E25" s="202">
        <v>1.29E-2</v>
      </c>
      <c r="F25" s="203">
        <v>7.4499999999999997E-2</v>
      </c>
    </row>
  </sheetData>
  <mergeCells count="2">
    <mergeCell ref="A1:A12"/>
    <mergeCell ref="A13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7"/>
  <sheetViews>
    <sheetView workbookViewId="0">
      <selection activeCell="C4" sqref="C4"/>
    </sheetView>
  </sheetViews>
  <sheetFormatPr baseColWidth="10" defaultRowHeight="12.75" x14ac:dyDescent="0.2"/>
  <sheetData>
    <row r="1" spans="1:6" s="204" customFormat="1" ht="12" thickBot="1" x14ac:dyDescent="0.25">
      <c r="A1" s="585"/>
      <c r="B1" s="586"/>
      <c r="C1" s="587" t="s">
        <v>172</v>
      </c>
      <c r="D1" s="588"/>
      <c r="E1" s="588"/>
      <c r="F1" s="589"/>
    </row>
    <row r="2" spans="1:6" s="204" customFormat="1" ht="23.25" thickBot="1" x14ac:dyDescent="0.25">
      <c r="A2" s="205" t="s">
        <v>173</v>
      </c>
      <c r="B2" s="206" t="s">
        <v>174</v>
      </c>
      <c r="C2" s="207" t="s">
        <v>175</v>
      </c>
      <c r="D2" s="207" t="s">
        <v>176</v>
      </c>
      <c r="E2" s="207" t="s">
        <v>177</v>
      </c>
      <c r="F2" s="208" t="s">
        <v>178</v>
      </c>
    </row>
    <row r="3" spans="1:6" s="204" customFormat="1" ht="12" thickBot="1" x14ac:dyDescent="0.25">
      <c r="A3" s="209">
        <v>42415</v>
      </c>
      <c r="B3" s="210">
        <v>42421</v>
      </c>
      <c r="C3" s="197">
        <v>6.1800000000000001E-2</v>
      </c>
      <c r="D3" s="197">
        <v>6.88E-2</v>
      </c>
      <c r="E3" s="197">
        <v>7.6600000000000001E-2</v>
      </c>
      <c r="F3" s="198">
        <v>3.56E-2</v>
      </c>
    </row>
    <row r="4" spans="1:6" s="204" customFormat="1" ht="12" thickBot="1" x14ac:dyDescent="0.25">
      <c r="A4" s="244">
        <v>42408</v>
      </c>
      <c r="B4" s="245">
        <v>42414</v>
      </c>
      <c r="C4" s="214">
        <v>5.9200000000000003E-2</v>
      </c>
      <c r="D4" s="197">
        <v>6.1800000000000001E-2</v>
      </c>
      <c r="E4" s="197">
        <v>7.9000000000000001E-2</v>
      </c>
      <c r="F4" s="198">
        <v>0.1087</v>
      </c>
    </row>
    <row r="5" spans="1:6" s="204" customFormat="1" ht="12" thickBot="1" x14ac:dyDescent="0.25">
      <c r="A5" s="209">
        <v>42401</v>
      </c>
      <c r="B5" s="210">
        <v>42407</v>
      </c>
      <c r="C5" s="197">
        <v>5.8700000000000002E-2</v>
      </c>
      <c r="D5" s="197">
        <v>6.4399999999999999E-2</v>
      </c>
      <c r="E5" s="197">
        <v>7.6899999999999996E-2</v>
      </c>
      <c r="F5" s="211"/>
    </row>
    <row r="6" spans="1:6" s="204" customFormat="1" ht="12" thickBot="1" x14ac:dyDescent="0.25">
      <c r="A6" s="209">
        <v>42394</v>
      </c>
      <c r="B6" s="210">
        <v>42400</v>
      </c>
      <c r="C6" s="197">
        <v>6.08E-2</v>
      </c>
      <c r="D6" s="197">
        <v>6.2600000000000003E-2</v>
      </c>
      <c r="E6" s="197">
        <v>7.4899999999999994E-2</v>
      </c>
      <c r="F6" s="198">
        <v>4.3099999999999999E-2</v>
      </c>
    </row>
    <row r="7" spans="1:6" s="204" customFormat="1" ht="12" thickBot="1" x14ac:dyDescent="0.25">
      <c r="A7" s="209">
        <v>42387</v>
      </c>
      <c r="B7" s="210">
        <v>42393</v>
      </c>
      <c r="C7" s="197">
        <v>5.3199999999999997E-2</v>
      </c>
      <c r="D7" s="197">
        <v>6.4199999999999993E-2</v>
      </c>
      <c r="E7" s="197">
        <v>7.6499999999999999E-2</v>
      </c>
      <c r="F7" s="198">
        <v>4.3099999999999999E-2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SALDOS DIARIOS DE REPORTES</vt:lpstr>
      <vt:lpstr>MOVIMIENTOS POR CUENTA</vt:lpstr>
      <vt:lpstr>CUPOS POR EMISOR</vt:lpstr>
      <vt:lpstr>VALOR FONDOS</vt:lpstr>
      <vt:lpstr>INVERSIONES FONDOS</vt:lpstr>
      <vt:lpstr>IPC</vt:lpstr>
      <vt:lpstr>DTF</vt:lpstr>
    </vt:vector>
  </TitlesOfParts>
  <Company>OMAR ALVAREZ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ALVAREZ</dc:creator>
  <cp:lastModifiedBy>Alicia Vera Naranjo</cp:lastModifiedBy>
  <cp:lastPrinted>2016-02-26T20:51:38Z</cp:lastPrinted>
  <dcterms:created xsi:type="dcterms:W3CDTF">2000-06-01T23:21:57Z</dcterms:created>
  <dcterms:modified xsi:type="dcterms:W3CDTF">2017-12-29T15:21:39Z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