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ovie\Desktop\chromedriver_win32_2\"/>
    </mc:Choice>
  </mc:AlternateContent>
  <xr:revisionPtr revIDLastSave="0" documentId="13_ncr:1_{A1DB2B72-3B7F-4693-999A-AFEE09123A64}" xr6:coauthVersionLast="45" xr6:coauthVersionMax="45" xr10:uidLastSave="{00000000-0000-0000-0000-000000000000}"/>
  <bookViews>
    <workbookView xWindow="4800" yWindow="1032" windowWidth="16572" windowHeight="9420" tabRatio="918" activeTab="1" xr2:uid="{00000000-000D-0000-FFFF-FFFF00000000}"/>
  </bookViews>
  <sheets>
    <sheet name="Cover" sheetId="43" r:id="rId1"/>
    <sheet name="FLAG" sheetId="44" r:id="rId2"/>
    <sheet name="Guidance Notes " sheetId="47" r:id="rId3"/>
    <sheet name="Bespoke" sheetId="48" r:id="rId4"/>
    <sheet name="IP1" sheetId="26" r:id="rId5"/>
    <sheet name="IP2" sheetId="32" r:id="rId6"/>
    <sheet name="Sales" sheetId="17" r:id="rId7"/>
    <sheet name="OvrH" sheetId="39" r:id="rId8"/>
    <sheet name="P&amp;L" sheetId="4" r:id="rId9"/>
    <sheet name="BS" sheetId="5" r:id="rId10"/>
    <sheet name="Cash" sheetId="12" r:id="rId11"/>
    <sheet name="Summary" sheetId="33" r:id="rId12"/>
    <sheet name="CFlow" sheetId="38" r:id="rId13"/>
    <sheet name="Patterns" sheetId="36" state="veryHidden" r:id="rId14"/>
    <sheet name="OH" sheetId="31" state="veryHidden" r:id="rId15"/>
    <sheet name="Loans" sheetId="27" state="veryHidden" r:id="rId16"/>
    <sheet name="XLoan" sheetId="41" state="veryHidden" r:id="rId17"/>
    <sheet name="Leases" sheetId="30" state="veryHidden" r:id="rId18"/>
    <sheet name="XLease" sheetId="42" state="veryHidden" r:id="rId19"/>
    <sheet name="VAT" sheetId="37" state="veryHidden" r:id="rId20"/>
    <sheet name="Balances" sheetId="6" state="hidden" r:id="rId21"/>
    <sheet name="OH_sum" sheetId="35" state="veryHidden" r:id="rId22"/>
    <sheet name="Further Information" sheetId="45" r:id="rId23"/>
  </sheets>
  <definedNames>
    <definedName name="_Fill" hidden="1">#REF!</definedName>
    <definedName name="_xlnm._FilterDatabase" localSheetId="14" hidden="1">OH!$A$2:$AB$62</definedName>
    <definedName name="_xlnm._FilterDatabase" localSheetId="7" hidden="1">OvrH!$A$3:$AB$3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CorpTax">'IP1'!$F$155</definedName>
    <definedName name="CorpTax2">'IP1'!$G$155</definedName>
    <definedName name="CoS">'IP1'!$B$29:$F$31</definedName>
    <definedName name="Mths">'IP2'!$E$4:$AB$4</definedName>
    <definedName name="Pattern">Patterns!$A$2:$N$28</definedName>
    <definedName name="Patterns">Patterns!$A$2:$A$28</definedName>
    <definedName name="Sales_Price">'IP1'!$B$23:$G$25</definedName>
    <definedName name="Sales_Vol">'IP1'!#REF!</definedName>
    <definedName name="VAT">'IP1'!$B$158:$B$163</definedName>
    <definedName name="VATrates">'IP1'!$B$158:$G$163</definedName>
    <definedName name="wrn.MONTHLY._.PERFORMANCE." localSheetId="0" hidden="1">{"cover2",#N/A,FALSE,"Cover";"outlook",#N/A,FALSE,"Outlook";"ep_p&amp;l",#N/A,FALSE," EP P&amp;L";"gross_profit",#N/A,FALSE,"Gross Profit";"overheads",#N/A,FALSE,"Overheads";"ep_bal_sheet",#N/A,FALSE,"EP Bal Sheet";"cap_chg",#N/A,FALSE,"Cap chg";"cash",#N/A,FALSE,"Cash";"work_cap",#N/A,FALSE,"Work Cap";"debtors",#N/A,FALSE,"Debtors";"add_info",#N/A,FALSE,"Add Info";"p&amp;l_trad",#N/A,FALSE,"P&amp;L trad";"bs_trad",#N/A,FALSE,"BS trad";"interco",#N/A,FALSE,"Interco"}</definedName>
    <definedName name="wrn.MONTHLY._.PERFORMANCE." localSheetId="1" hidden="1">{"cover2",#N/A,FALSE,"Cover";"outlook",#N/A,FALSE,"Outlook";"ep_p&amp;l",#N/A,FALSE," EP P&amp;L";"gross_profit",#N/A,FALSE,"Gross Profit";"overheads",#N/A,FALSE,"Overheads";"ep_bal_sheet",#N/A,FALSE,"EP Bal Sheet";"cap_chg",#N/A,FALSE,"Cap chg";"cash",#N/A,FALSE,"Cash";"work_cap",#N/A,FALSE,"Work Cap";"debtors",#N/A,FALSE,"Debtors";"add_info",#N/A,FALSE,"Add Info";"p&amp;l_trad",#N/A,FALSE,"P&amp;L trad";"bs_trad",#N/A,FALSE,"BS trad";"interco",#N/A,FALSE,"Interco"}</definedName>
    <definedName name="wrn.MONTHLY._.PERFORMANCE." localSheetId="22" hidden="1">{"cover2",#N/A,FALSE,"Cover";"outlook",#N/A,FALSE,"Outlook";"ep_p&amp;l",#N/A,FALSE," EP P&amp;L";"gross_profit",#N/A,FALSE,"Gross Profit";"overheads",#N/A,FALSE,"Overheads";"ep_bal_sheet",#N/A,FALSE,"EP Bal Sheet";"cap_chg",#N/A,FALSE,"Cap chg";"cash",#N/A,FALSE,"Cash";"work_cap",#N/A,FALSE,"Work Cap";"debtors",#N/A,FALSE,"Debtors";"add_info",#N/A,FALSE,"Add Info";"p&amp;l_trad",#N/A,FALSE,"P&amp;L trad";"bs_trad",#N/A,FALSE,"BS trad";"interco",#N/A,FALSE,"Interco"}</definedName>
    <definedName name="wrn.MONTHLY._.PERFORMANCE." localSheetId="2" hidden="1">{"cover2",#N/A,FALSE,"Cover";"outlook",#N/A,FALSE,"Outlook";"ep_p&amp;l",#N/A,FALSE," EP P&amp;L";"gross_profit",#N/A,FALSE,"Gross Profit";"overheads",#N/A,FALSE,"Overheads";"ep_bal_sheet",#N/A,FALSE,"EP Bal Sheet";"cap_chg",#N/A,FALSE,"Cap chg";"cash",#N/A,FALSE,"Cash";"work_cap",#N/A,FALSE,"Work Cap";"debtors",#N/A,FALSE,"Debtors";"add_info",#N/A,FALSE,"Add Info";"p&amp;l_trad",#N/A,FALSE,"P&amp;L trad";"bs_trad",#N/A,FALSE,"BS trad";"interco",#N/A,FALSE,"Interco"}</definedName>
    <definedName name="wrn.MONTHLY._.PERFORMANCE." hidden="1">{"cover2",#N/A,FALSE,"Cover";"outlook",#N/A,FALSE,"Outlook";"ep_p&amp;l",#N/A,FALSE," EP P&amp;L";"gross_profit",#N/A,FALSE,"Gross Profit";"overheads",#N/A,FALSE,"Overheads";"ep_bal_sheet",#N/A,FALSE,"EP Bal Sheet";"cap_chg",#N/A,FALSE,"Cap chg";"cash",#N/A,FALSE,"Cash";"work_cap",#N/A,FALSE,"Work Cap";"debtors",#N/A,FALSE,"Debtors";"add_info",#N/A,FALSE,"Add Info";"p&amp;l_trad",#N/A,FALSE,"P&amp;L trad";"bs_trad",#N/A,FALSE,"BS trad";"interco",#N/A,FALSE,"Interco"}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48" l="1"/>
  <c r="B7" i="48"/>
  <c r="D15" i="36"/>
  <c r="E15" i="36"/>
  <c r="F15" i="36"/>
  <c r="G15" i="36"/>
  <c r="H15" i="36"/>
  <c r="I15" i="36"/>
  <c r="J15" i="36"/>
  <c r="K15" i="36"/>
  <c r="L15" i="36"/>
  <c r="M15" i="36"/>
  <c r="N15" i="36"/>
  <c r="D16" i="36"/>
  <c r="E16" i="36"/>
  <c r="F16" i="36"/>
  <c r="G16" i="36"/>
  <c r="H16" i="36"/>
  <c r="I16" i="36"/>
  <c r="J16" i="36"/>
  <c r="K16" i="36"/>
  <c r="L16" i="36"/>
  <c r="M16" i="36"/>
  <c r="N16" i="36"/>
  <c r="C16" i="36"/>
  <c r="C15" i="36"/>
  <c r="C8" i="48"/>
  <c r="C7" i="48"/>
  <c r="B1" i="48"/>
  <c r="C1" i="48" s="1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G160" i="26"/>
  <c r="R4" i="39"/>
  <c r="S4" i="39"/>
  <c r="T4" i="39"/>
  <c r="U4" i="39"/>
  <c r="V4" i="39"/>
  <c r="W4" i="39"/>
  <c r="X4" i="39"/>
  <c r="Y4" i="39"/>
  <c r="Z4" i="39"/>
  <c r="AA4" i="39"/>
  <c r="AB4" i="39"/>
  <c r="R11" i="39"/>
  <c r="S11" i="39"/>
  <c r="T11" i="39"/>
  <c r="U11" i="39"/>
  <c r="V11" i="39"/>
  <c r="W11" i="39"/>
  <c r="X11" i="39"/>
  <c r="Y11" i="39"/>
  <c r="Z11" i="39"/>
  <c r="AA11" i="39"/>
  <c r="AB11" i="39"/>
  <c r="R39" i="39"/>
  <c r="S39" i="39"/>
  <c r="T39" i="39"/>
  <c r="U39" i="39"/>
  <c r="V39" i="39"/>
  <c r="W39" i="39"/>
  <c r="X39" i="39"/>
  <c r="Y39" i="39"/>
  <c r="Z39" i="39"/>
  <c r="AA39" i="39"/>
  <c r="AB39" i="39"/>
  <c r="R57" i="39"/>
  <c r="S57" i="39"/>
  <c r="T57" i="39"/>
  <c r="U57" i="39"/>
  <c r="V57" i="39"/>
  <c r="W57" i="39"/>
  <c r="X57" i="39"/>
  <c r="Y57" i="39"/>
  <c r="Z57" i="39"/>
  <c r="AA57" i="39"/>
  <c r="AB57" i="39"/>
  <c r="Q39" i="39"/>
  <c r="Q57" i="39"/>
  <c r="Q11" i="39"/>
  <c r="Q4" i="39"/>
  <c r="F4" i="39"/>
  <c r="G4" i="39"/>
  <c r="H4" i="39"/>
  <c r="I4" i="39"/>
  <c r="J4" i="39"/>
  <c r="K4" i="39"/>
  <c r="L4" i="39"/>
  <c r="M4" i="39"/>
  <c r="N4" i="39"/>
  <c r="O4" i="39"/>
  <c r="P4" i="39"/>
  <c r="F11" i="39"/>
  <c r="G11" i="39"/>
  <c r="H11" i="39"/>
  <c r="I11" i="39"/>
  <c r="J11" i="39"/>
  <c r="K11" i="39"/>
  <c r="L11" i="39"/>
  <c r="M11" i="39"/>
  <c r="N11" i="39"/>
  <c r="O11" i="39"/>
  <c r="P11" i="39"/>
  <c r="F39" i="39"/>
  <c r="G39" i="39"/>
  <c r="H39" i="39"/>
  <c r="I39" i="39"/>
  <c r="J39" i="39"/>
  <c r="K39" i="39"/>
  <c r="L39" i="39"/>
  <c r="M39" i="39"/>
  <c r="N39" i="39"/>
  <c r="O39" i="39"/>
  <c r="P39" i="39"/>
  <c r="F57" i="39"/>
  <c r="G57" i="39"/>
  <c r="H57" i="39"/>
  <c r="I57" i="39"/>
  <c r="J57" i="39"/>
  <c r="K57" i="39"/>
  <c r="L57" i="39"/>
  <c r="M57" i="39"/>
  <c r="N57" i="39"/>
  <c r="O57" i="39"/>
  <c r="P57" i="39"/>
  <c r="E11" i="39"/>
  <c r="E39" i="39"/>
  <c r="E57" i="39"/>
  <c r="E4" i="39"/>
  <c r="G163" i="26"/>
  <c r="G162" i="26"/>
  <c r="G161" i="26"/>
  <c r="G159" i="26"/>
  <c r="F15" i="32"/>
  <c r="G15" i="32"/>
  <c r="H15" i="32"/>
  <c r="E15" i="32"/>
  <c r="A74" i="37"/>
  <c r="A80" i="37"/>
  <c r="A75" i="37"/>
  <c r="A81" i="37"/>
  <c r="A76" i="37"/>
  <c r="A82" i="37"/>
  <c r="A73" i="37"/>
  <c r="A79" i="37" s="1"/>
  <c r="A9" i="37"/>
  <c r="A10" i="37"/>
  <c r="A11" i="37"/>
  <c r="A8" i="37"/>
  <c r="A5" i="39"/>
  <c r="A6" i="39"/>
  <c r="A7" i="39"/>
  <c r="A8" i="39"/>
  <c r="O8" i="39" s="1"/>
  <c r="A9" i="39"/>
  <c r="A10" i="39"/>
  <c r="I10" i="39" s="1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E26" i="39" s="1"/>
  <c r="A27" i="39"/>
  <c r="A28" i="39"/>
  <c r="E28" i="39" s="1"/>
  <c r="A29" i="39"/>
  <c r="A30" i="39"/>
  <c r="A31" i="39"/>
  <c r="A32" i="39"/>
  <c r="M32" i="39" s="1"/>
  <c r="A33" i="39"/>
  <c r="A34" i="39"/>
  <c r="G34" i="39" s="1"/>
  <c r="A35" i="39"/>
  <c r="A36" i="39"/>
  <c r="A37" i="39"/>
  <c r="A38" i="39"/>
  <c r="A39" i="39"/>
  <c r="A40" i="39"/>
  <c r="A41" i="39"/>
  <c r="A42" i="39"/>
  <c r="E42" i="39" s="1"/>
  <c r="A43" i="39"/>
  <c r="A44" i="39"/>
  <c r="A45" i="39"/>
  <c r="A46" i="39"/>
  <c r="A47" i="39"/>
  <c r="A48" i="39"/>
  <c r="S48" i="39" s="1"/>
  <c r="A49" i="39"/>
  <c r="A50" i="39"/>
  <c r="J50" i="39" s="1"/>
  <c r="A51" i="39"/>
  <c r="A52" i="39"/>
  <c r="A53" i="39"/>
  <c r="A54" i="39"/>
  <c r="A55" i="39"/>
  <c r="A56" i="39"/>
  <c r="H56" i="39" s="1"/>
  <c r="A57" i="39"/>
  <c r="A58" i="39"/>
  <c r="A59" i="39"/>
  <c r="A60" i="39"/>
  <c r="A61" i="39"/>
  <c r="A62" i="39"/>
  <c r="A63" i="39"/>
  <c r="A64" i="39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20" i="31"/>
  <c r="A21" i="31"/>
  <c r="A22" i="31"/>
  <c r="A23" i="31"/>
  <c r="A24" i="31"/>
  <c r="A25" i="31"/>
  <c r="A26" i="31"/>
  <c r="A27" i="31"/>
  <c r="A28" i="31"/>
  <c r="A29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30" i="31"/>
  <c r="A31" i="31"/>
  <c r="A32" i="31"/>
  <c r="A33" i="31"/>
  <c r="A34" i="31"/>
  <c r="A35" i="31"/>
  <c r="A36" i="31"/>
  <c r="A37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Z37" i="31"/>
  <c r="AA37" i="31"/>
  <c r="AB37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Z38" i="31"/>
  <c r="AA38" i="31"/>
  <c r="AB38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55" i="31"/>
  <c r="A56" i="31"/>
  <c r="A57" i="31"/>
  <c r="A58" i="31"/>
  <c r="A59" i="31"/>
  <c r="A60" i="31"/>
  <c r="A61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38" i="31"/>
  <c r="E2" i="31"/>
  <c r="E43" i="26"/>
  <c r="D43" i="26"/>
  <c r="A11" i="17"/>
  <c r="A10" i="17"/>
  <c r="A9" i="17"/>
  <c r="A5" i="17"/>
  <c r="A4" i="17"/>
  <c r="A3" i="17"/>
  <c r="A16" i="17" s="1"/>
  <c r="A2" i="17"/>
  <c r="B31" i="26"/>
  <c r="B29" i="26"/>
  <c r="B38" i="5"/>
  <c r="A91" i="26"/>
  <c r="F129" i="26"/>
  <c r="F130" i="26"/>
  <c r="F131" i="26"/>
  <c r="F128" i="26"/>
  <c r="E143" i="26"/>
  <c r="D3" i="42"/>
  <c r="D13" i="42" s="1"/>
  <c r="E10" i="42" s="1"/>
  <c r="E11" i="42" s="1"/>
  <c r="C5" i="42"/>
  <c r="C8" i="42" s="1"/>
  <c r="D12" i="42" s="1"/>
  <c r="C4" i="42"/>
  <c r="C3" i="42"/>
  <c r="E1" i="42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R1" i="42" s="1"/>
  <c r="S1" i="42" s="1"/>
  <c r="T1" i="42" s="1"/>
  <c r="U1" i="42" s="1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J1" i="42" s="1"/>
  <c r="AK1" i="42" s="1"/>
  <c r="AL1" i="42" s="1"/>
  <c r="AM1" i="42" s="1"/>
  <c r="AN1" i="42" s="1"/>
  <c r="B108" i="6"/>
  <c r="E17" i="41"/>
  <c r="E26" i="41" s="1"/>
  <c r="F23" i="41" s="1"/>
  <c r="D4" i="41"/>
  <c r="E2" i="41"/>
  <c r="F31" i="41"/>
  <c r="G31" i="41" s="1"/>
  <c r="H31" i="41" s="1"/>
  <c r="I31" i="41" s="1"/>
  <c r="J31" i="41" s="1"/>
  <c r="K31" i="41" s="1"/>
  <c r="L31" i="41" s="1"/>
  <c r="M31" i="41" s="1"/>
  <c r="N31" i="41" s="1"/>
  <c r="O31" i="41" s="1"/>
  <c r="P31" i="41" s="1"/>
  <c r="Q31" i="41" s="1"/>
  <c r="R31" i="41" s="1"/>
  <c r="S31" i="41" s="1"/>
  <c r="T31" i="41" s="1"/>
  <c r="U31" i="41" s="1"/>
  <c r="V31" i="41" s="1"/>
  <c r="W31" i="41" s="1"/>
  <c r="X31" i="41" s="1"/>
  <c r="Y31" i="41" s="1"/>
  <c r="Z31" i="41" s="1"/>
  <c r="AA31" i="41" s="1"/>
  <c r="AB31" i="41" s="1"/>
  <c r="AC31" i="41" s="1"/>
  <c r="AD31" i="41" s="1"/>
  <c r="AE31" i="41" s="1"/>
  <c r="AF31" i="41" s="1"/>
  <c r="AG31" i="41" s="1"/>
  <c r="AH31" i="41" s="1"/>
  <c r="AI31" i="41" s="1"/>
  <c r="AJ31" i="41" s="1"/>
  <c r="AK31" i="41" s="1"/>
  <c r="AL31" i="41" s="1"/>
  <c r="AM31" i="41" s="1"/>
  <c r="AN31" i="41" s="1"/>
  <c r="AO31" i="41" s="1"/>
  <c r="D19" i="41"/>
  <c r="D18" i="41"/>
  <c r="D17" i="41"/>
  <c r="D3" i="41"/>
  <c r="D2" i="41"/>
  <c r="D6" i="41" s="1"/>
  <c r="F16" i="41"/>
  <c r="G16" i="41" s="1"/>
  <c r="H16" i="41" s="1"/>
  <c r="I16" i="41" s="1"/>
  <c r="J16" i="41" s="1"/>
  <c r="K16" i="41" s="1"/>
  <c r="L16" i="41" s="1"/>
  <c r="M16" i="41" s="1"/>
  <c r="N16" i="41" s="1"/>
  <c r="O16" i="41" s="1"/>
  <c r="P16" i="41" s="1"/>
  <c r="Q16" i="41" s="1"/>
  <c r="R16" i="41" s="1"/>
  <c r="S16" i="41" s="1"/>
  <c r="T16" i="41" s="1"/>
  <c r="U16" i="41" s="1"/>
  <c r="V16" i="41" s="1"/>
  <c r="W16" i="41" s="1"/>
  <c r="X16" i="41" s="1"/>
  <c r="Y16" i="41" s="1"/>
  <c r="Z16" i="41" s="1"/>
  <c r="AA16" i="41" s="1"/>
  <c r="AB16" i="41" s="1"/>
  <c r="AC16" i="41" s="1"/>
  <c r="AD16" i="41" s="1"/>
  <c r="AE16" i="41" s="1"/>
  <c r="AF16" i="41" s="1"/>
  <c r="AG16" i="41" s="1"/>
  <c r="AH16" i="41" s="1"/>
  <c r="AI16" i="41" s="1"/>
  <c r="AJ16" i="41" s="1"/>
  <c r="AK16" i="41" s="1"/>
  <c r="AL16" i="41" s="1"/>
  <c r="AM16" i="41" s="1"/>
  <c r="AN16" i="41" s="1"/>
  <c r="AO16" i="41" s="1"/>
  <c r="F1" i="41"/>
  <c r="G22" i="26"/>
  <c r="F22" i="26"/>
  <c r="H18" i="32"/>
  <c r="G18" i="32"/>
  <c r="F18" i="32"/>
  <c r="E18" i="32"/>
  <c r="H17" i="32"/>
  <c r="F17" i="32"/>
  <c r="G17" i="32"/>
  <c r="E17" i="32"/>
  <c r="C18" i="6"/>
  <c r="C6" i="6"/>
  <c r="B131" i="6"/>
  <c r="B132" i="6" s="1"/>
  <c r="B121" i="6"/>
  <c r="B123" i="6" s="1"/>
  <c r="B36" i="5" s="1"/>
  <c r="B114" i="6"/>
  <c r="B117" i="6" s="1"/>
  <c r="B118" i="6" s="1"/>
  <c r="B103" i="6"/>
  <c r="B105" i="6"/>
  <c r="B16" i="5" s="1"/>
  <c r="B96" i="6"/>
  <c r="B99" i="6"/>
  <c r="B88" i="6"/>
  <c r="B81" i="6"/>
  <c r="B77" i="6"/>
  <c r="B78" i="6" s="1"/>
  <c r="B8" i="5" s="1"/>
  <c r="B70" i="6"/>
  <c r="B74" i="6" s="1"/>
  <c r="C70" i="6" s="1"/>
  <c r="B62" i="6"/>
  <c r="B57" i="6"/>
  <c r="E4" i="32"/>
  <c r="F4" i="32" s="1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E3" i="39"/>
  <c r="E95" i="26"/>
  <c r="D95" i="26"/>
  <c r="E36" i="26"/>
  <c r="D36" i="26"/>
  <c r="C2" i="38"/>
  <c r="A1" i="33"/>
  <c r="U2" i="39"/>
  <c r="Q1" i="39"/>
  <c r="A1" i="32"/>
  <c r="D2" i="39"/>
  <c r="C2" i="4"/>
  <c r="B1" i="39"/>
  <c r="A65" i="39"/>
  <c r="A4" i="39"/>
  <c r="C35" i="38"/>
  <c r="C36" i="38"/>
  <c r="C37" i="38"/>
  <c r="C34" i="38"/>
  <c r="C30" i="38"/>
  <c r="C31" i="38"/>
  <c r="C29" i="38"/>
  <c r="G14" i="33"/>
  <c r="H14" i="33"/>
  <c r="C39" i="12"/>
  <c r="A38" i="12"/>
  <c r="C2" i="12"/>
  <c r="A1" i="12"/>
  <c r="C45" i="5"/>
  <c r="A44" i="5"/>
  <c r="C2" i="5"/>
  <c r="A1" i="5"/>
  <c r="C34" i="4"/>
  <c r="A33" i="4"/>
  <c r="A1" i="4"/>
  <c r="F163" i="26"/>
  <c r="F162" i="26"/>
  <c r="F161" i="26"/>
  <c r="F160" i="26"/>
  <c r="F159" i="26"/>
  <c r="F158" i="26"/>
  <c r="B90" i="6"/>
  <c r="D14" i="33"/>
  <c r="C14" i="33"/>
  <c r="H1" i="33"/>
  <c r="G1" i="33"/>
  <c r="D1" i="33"/>
  <c r="C1" i="33"/>
  <c r="C40" i="12"/>
  <c r="D40" i="12" s="1"/>
  <c r="C3" i="12"/>
  <c r="D3" i="12" s="1"/>
  <c r="C46" i="5"/>
  <c r="D46" i="5" s="1"/>
  <c r="E46" i="5" s="1"/>
  <c r="F46" i="5" s="1"/>
  <c r="G46" i="5" s="1"/>
  <c r="H46" i="5" s="1"/>
  <c r="I46" i="5" s="1"/>
  <c r="J46" i="5" s="1"/>
  <c r="K46" i="5" s="1"/>
  <c r="L46" i="5" s="1"/>
  <c r="M46" i="5" s="1"/>
  <c r="N46" i="5" s="1"/>
  <c r="C3" i="5"/>
  <c r="D3" i="5" s="1"/>
  <c r="E3" i="5"/>
  <c r="F3" i="5" s="1"/>
  <c r="G3" i="5" s="1"/>
  <c r="H3" i="5" s="1"/>
  <c r="I3" i="5" s="1"/>
  <c r="J3" i="5" s="1"/>
  <c r="K3" i="5" s="1"/>
  <c r="L3" i="5" s="1"/>
  <c r="M3" i="5" s="1"/>
  <c r="N3" i="5" s="1"/>
  <c r="C35" i="4"/>
  <c r="D35" i="4" s="1"/>
  <c r="E35" i="4"/>
  <c r="F35" i="4" s="1"/>
  <c r="G35" i="4" s="1"/>
  <c r="H35" i="4" s="1"/>
  <c r="I35" i="4" s="1"/>
  <c r="J35" i="4" s="1"/>
  <c r="K35" i="4" s="1"/>
  <c r="L35" i="4" s="1"/>
  <c r="M35" i="4" s="1"/>
  <c r="N35" i="4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B59" i="35"/>
  <c r="C59" i="35" s="1"/>
  <c r="D59" i="35" s="1"/>
  <c r="E59" i="35" s="1"/>
  <c r="F59" i="35" s="1"/>
  <c r="G59" i="35" s="1"/>
  <c r="H59" i="35" s="1"/>
  <c r="I59" i="35" s="1"/>
  <c r="J59" i="35" s="1"/>
  <c r="K59" i="35" s="1"/>
  <c r="L59" i="35" s="1"/>
  <c r="M59" i="35" s="1"/>
  <c r="B1" i="35"/>
  <c r="C1" i="35" s="1"/>
  <c r="D1" i="35" s="1"/>
  <c r="E1" i="35" s="1"/>
  <c r="F1" i="35" s="1"/>
  <c r="G1" i="35" s="1"/>
  <c r="H1" i="35" s="1"/>
  <c r="I1" i="35" s="1"/>
  <c r="J1" i="35" s="1"/>
  <c r="K1" i="35" s="1"/>
  <c r="L1" i="35" s="1"/>
  <c r="M1" i="35" s="1"/>
  <c r="C1" i="6"/>
  <c r="E1" i="31"/>
  <c r="F1" i="31"/>
  <c r="G1" i="31" s="1"/>
  <c r="H1" i="31" s="1"/>
  <c r="I1" i="31" s="1"/>
  <c r="J1" i="31" s="1"/>
  <c r="K1" i="31" s="1"/>
  <c r="L1" i="31" s="1"/>
  <c r="M1" i="31" s="1"/>
  <c r="N1" i="31" s="1"/>
  <c r="O1" i="31" s="1"/>
  <c r="P1" i="31" s="1"/>
  <c r="Q1" i="31" s="1"/>
  <c r="R1" i="31" s="1"/>
  <c r="S1" i="31" s="1"/>
  <c r="T1" i="31" s="1"/>
  <c r="U1" i="31" s="1"/>
  <c r="V1" i="31" s="1"/>
  <c r="W1" i="31" s="1"/>
  <c r="X1" i="31" s="1"/>
  <c r="Y1" i="31" s="1"/>
  <c r="Z1" i="31" s="1"/>
  <c r="AA1" i="31" s="1"/>
  <c r="AB1" i="31" s="1"/>
  <c r="D72" i="37"/>
  <c r="E72" i="37"/>
  <c r="F72" i="37" s="1"/>
  <c r="G72" i="37" s="1"/>
  <c r="H72" i="37" s="1"/>
  <c r="I72" i="37" s="1"/>
  <c r="J72" i="37" s="1"/>
  <c r="K72" i="37" s="1"/>
  <c r="L72" i="37" s="1"/>
  <c r="M72" i="37" s="1"/>
  <c r="N72" i="37" s="1"/>
  <c r="O72" i="37" s="1"/>
  <c r="D1" i="37"/>
  <c r="E1" i="37"/>
  <c r="F1" i="37" s="1"/>
  <c r="G1" i="37" s="1"/>
  <c r="H1" i="37" s="1"/>
  <c r="I1" i="37" s="1"/>
  <c r="J1" i="37" s="1"/>
  <c r="K1" i="37" s="1"/>
  <c r="L1" i="37" s="1"/>
  <c r="M1" i="37" s="1"/>
  <c r="N1" i="37" s="1"/>
  <c r="O1" i="37" s="1"/>
  <c r="B14" i="17"/>
  <c r="C14" i="17" s="1"/>
  <c r="D14" i="17" s="1"/>
  <c r="E14" i="17" s="1"/>
  <c r="F14" i="17" s="1"/>
  <c r="G14" i="17" s="1"/>
  <c r="H14" i="17" s="1"/>
  <c r="I14" i="17" s="1"/>
  <c r="J14" i="17" s="1"/>
  <c r="K14" i="17" s="1"/>
  <c r="L14" i="17" s="1"/>
  <c r="M14" i="17" s="1"/>
  <c r="B1" i="17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E37" i="30"/>
  <c r="E19" i="30"/>
  <c r="F19" i="30" s="1"/>
  <c r="G19" i="30" s="1"/>
  <c r="H19" i="30" s="1"/>
  <c r="I19" i="30" s="1"/>
  <c r="J19" i="30" s="1"/>
  <c r="K19" i="30" s="1"/>
  <c r="L19" i="30" s="1"/>
  <c r="M19" i="30" s="1"/>
  <c r="N19" i="30" s="1"/>
  <c r="O19" i="30" s="1"/>
  <c r="P19" i="30" s="1"/>
  <c r="Q19" i="30" s="1"/>
  <c r="R19" i="30" s="1"/>
  <c r="S19" i="30" s="1"/>
  <c r="T19" i="30" s="1"/>
  <c r="U19" i="30" s="1"/>
  <c r="V19" i="30" s="1"/>
  <c r="W19" i="30" s="1"/>
  <c r="X19" i="30" s="1"/>
  <c r="Y19" i="30" s="1"/>
  <c r="Z19" i="30" s="1"/>
  <c r="AA19" i="30" s="1"/>
  <c r="AB19" i="30" s="1"/>
  <c r="AC19" i="30" s="1"/>
  <c r="AD19" i="30" s="1"/>
  <c r="AE19" i="30" s="1"/>
  <c r="AF19" i="30" s="1"/>
  <c r="AG19" i="30" s="1"/>
  <c r="AH19" i="30" s="1"/>
  <c r="AI19" i="30" s="1"/>
  <c r="AJ19" i="30" s="1"/>
  <c r="AK19" i="30" s="1"/>
  <c r="AL19" i="30" s="1"/>
  <c r="AM19" i="30" s="1"/>
  <c r="AN19" i="30" s="1"/>
  <c r="E1" i="30"/>
  <c r="E29" i="30" s="1"/>
  <c r="E57" i="27"/>
  <c r="E60" i="27" s="1"/>
  <c r="C7" i="12" s="1"/>
  <c r="E41" i="27"/>
  <c r="E21" i="27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P21" i="27" s="1"/>
  <c r="Q21" i="27" s="1"/>
  <c r="R21" i="27" s="1"/>
  <c r="S21" i="27" s="1"/>
  <c r="T21" i="27" s="1"/>
  <c r="U21" i="27" s="1"/>
  <c r="V21" i="27" s="1"/>
  <c r="W21" i="27" s="1"/>
  <c r="X21" i="27" s="1"/>
  <c r="Y21" i="27" s="1"/>
  <c r="Z21" i="27" s="1"/>
  <c r="AA21" i="27" s="1"/>
  <c r="AB21" i="27" s="1"/>
  <c r="AC21" i="27" s="1"/>
  <c r="AD21" i="27" s="1"/>
  <c r="AE21" i="27" s="1"/>
  <c r="AF21" i="27" s="1"/>
  <c r="AG21" i="27" s="1"/>
  <c r="AH21" i="27" s="1"/>
  <c r="AI21" i="27" s="1"/>
  <c r="AJ21" i="27" s="1"/>
  <c r="AK21" i="27" s="1"/>
  <c r="AL21" i="27" s="1"/>
  <c r="AM21" i="27" s="1"/>
  <c r="AN21" i="27" s="1"/>
  <c r="E1" i="27"/>
  <c r="E33" i="27" s="1"/>
  <c r="R2" i="31"/>
  <c r="S2" i="31"/>
  <c r="T2" i="31"/>
  <c r="U2" i="31"/>
  <c r="V2" i="31"/>
  <c r="W2" i="31"/>
  <c r="X2" i="31"/>
  <c r="Y2" i="31"/>
  <c r="Z2" i="31"/>
  <c r="AA2" i="31"/>
  <c r="AB2" i="31"/>
  <c r="Q2" i="31"/>
  <c r="F2" i="31"/>
  <c r="G2" i="31"/>
  <c r="H2" i="31"/>
  <c r="I2" i="31"/>
  <c r="J2" i="31"/>
  <c r="K2" i="31"/>
  <c r="L2" i="31"/>
  <c r="M2" i="31"/>
  <c r="N2" i="31"/>
  <c r="O2" i="31"/>
  <c r="P2" i="31"/>
  <c r="B3" i="36"/>
  <c r="B4" i="36"/>
  <c r="B5" i="36"/>
  <c r="B6" i="36"/>
  <c r="B7" i="36"/>
  <c r="B8" i="36"/>
  <c r="B9" i="36"/>
  <c r="B10" i="36"/>
  <c r="B11" i="36"/>
  <c r="B12" i="36"/>
  <c r="B13" i="36"/>
  <c r="B14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" i="36"/>
  <c r="A37" i="26"/>
  <c r="A3" i="31"/>
  <c r="A4" i="31"/>
  <c r="A5" i="31"/>
  <c r="A6" i="31"/>
  <c r="A7" i="31"/>
  <c r="A62" i="31"/>
  <c r="A2" i="31"/>
  <c r="B5" i="6"/>
  <c r="B7" i="6"/>
  <c r="C5" i="6" s="1"/>
  <c r="D6" i="6"/>
  <c r="E6" i="6"/>
  <c r="E57" i="6" s="1"/>
  <c r="E16" i="12" s="1"/>
  <c r="F6" i="6"/>
  <c r="G6" i="6"/>
  <c r="H6" i="6"/>
  <c r="I6" i="6"/>
  <c r="I57" i="6" s="1"/>
  <c r="I16" i="12" s="1"/>
  <c r="J6" i="6"/>
  <c r="K6" i="6"/>
  <c r="L6" i="6"/>
  <c r="M6" i="6"/>
  <c r="M57" i="6" s="1"/>
  <c r="M16" i="12" s="1"/>
  <c r="N6" i="6"/>
  <c r="O6" i="6"/>
  <c r="P6" i="6"/>
  <c r="Q6" i="6"/>
  <c r="R6" i="6"/>
  <c r="S6" i="6"/>
  <c r="T6" i="6"/>
  <c r="U6" i="6"/>
  <c r="V6" i="6"/>
  <c r="W6" i="6"/>
  <c r="W57" i="6" s="1"/>
  <c r="K53" i="12" s="1"/>
  <c r="X6" i="6"/>
  <c r="Y6" i="6"/>
  <c r="Z6" i="6"/>
  <c r="B10" i="6"/>
  <c r="B12" i="6" s="1"/>
  <c r="B17" i="6"/>
  <c r="D18" i="6"/>
  <c r="E18" i="6"/>
  <c r="F18" i="6"/>
  <c r="F57" i="6" s="1"/>
  <c r="F16" i="12" s="1"/>
  <c r="G18" i="6"/>
  <c r="H18" i="6"/>
  <c r="I18" i="6"/>
  <c r="J18" i="6"/>
  <c r="K18" i="6"/>
  <c r="L18" i="6"/>
  <c r="L57" i="6" s="1"/>
  <c r="L16" i="12" s="1"/>
  <c r="M18" i="6"/>
  <c r="N18" i="6"/>
  <c r="N57" i="6" s="1"/>
  <c r="N16" i="12" s="1"/>
  <c r="O18" i="6"/>
  <c r="P18" i="6"/>
  <c r="P57" i="6" s="1"/>
  <c r="D53" i="12" s="1"/>
  <c r="Q18" i="6"/>
  <c r="R18" i="6"/>
  <c r="S18" i="6"/>
  <c r="T18" i="6"/>
  <c r="T57" i="6" s="1"/>
  <c r="H53" i="12" s="1"/>
  <c r="U18" i="6"/>
  <c r="V18" i="6"/>
  <c r="W18" i="6"/>
  <c r="X18" i="6"/>
  <c r="X57" i="6" s="1"/>
  <c r="L53" i="12" s="1"/>
  <c r="Y18" i="6"/>
  <c r="Z18" i="6"/>
  <c r="B22" i="6"/>
  <c r="B24" i="6"/>
  <c r="C22" i="6" s="1"/>
  <c r="B30" i="6"/>
  <c r="B32" i="6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B35" i="6"/>
  <c r="B37" i="6" s="1"/>
  <c r="B43" i="6"/>
  <c r="B46" i="6" s="1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B49" i="6"/>
  <c r="C77" i="6"/>
  <c r="C78" i="6" s="1"/>
  <c r="C8" i="5" s="1"/>
  <c r="C96" i="6"/>
  <c r="C102" i="6"/>
  <c r="C104" i="6"/>
  <c r="C20" i="12" s="1"/>
  <c r="C114" i="6"/>
  <c r="C121" i="6"/>
  <c r="C122" i="6"/>
  <c r="C10" i="12" s="1"/>
  <c r="D122" i="6"/>
  <c r="D10" i="12" s="1"/>
  <c r="E122" i="6"/>
  <c r="E10" i="12" s="1"/>
  <c r="F122" i="6"/>
  <c r="F10" i="12" s="1"/>
  <c r="G122" i="6"/>
  <c r="G10" i="12" s="1"/>
  <c r="H122" i="6"/>
  <c r="H10" i="12" s="1"/>
  <c r="I122" i="6"/>
  <c r="I10" i="12" s="1"/>
  <c r="J122" i="6"/>
  <c r="J10" i="12" s="1"/>
  <c r="K122" i="6"/>
  <c r="K10" i="12" s="1"/>
  <c r="L122" i="6"/>
  <c r="L10" i="12" s="1"/>
  <c r="M122" i="6"/>
  <c r="M10" i="12" s="1"/>
  <c r="N122" i="6"/>
  <c r="N10" i="12" s="1"/>
  <c r="O122" i="6"/>
  <c r="C47" i="12" s="1"/>
  <c r="P122" i="6"/>
  <c r="D47" i="12" s="1"/>
  <c r="Q122" i="6"/>
  <c r="E47" i="12" s="1"/>
  <c r="R122" i="6"/>
  <c r="F47" i="12" s="1"/>
  <c r="S122" i="6"/>
  <c r="G47" i="12" s="1"/>
  <c r="T122" i="6"/>
  <c r="H47" i="12" s="1"/>
  <c r="U122" i="6"/>
  <c r="I47" i="12" s="1"/>
  <c r="V122" i="6"/>
  <c r="J47" i="12" s="1"/>
  <c r="W122" i="6"/>
  <c r="K47" i="12" s="1"/>
  <c r="X122" i="6"/>
  <c r="L47" i="12" s="1"/>
  <c r="Y122" i="6"/>
  <c r="M47" i="12" s="1"/>
  <c r="Z122" i="6"/>
  <c r="N47" i="12" s="1"/>
  <c r="D3" i="30"/>
  <c r="D4" i="30"/>
  <c r="D8" i="30" s="1"/>
  <c r="D5" i="30"/>
  <c r="D21" i="30"/>
  <c r="D22" i="30"/>
  <c r="D23" i="30"/>
  <c r="D3" i="27"/>
  <c r="D4" i="27"/>
  <c r="D5" i="27"/>
  <c r="D6" i="27"/>
  <c r="D23" i="27"/>
  <c r="D24" i="27"/>
  <c r="D25" i="27"/>
  <c r="D26" i="27"/>
  <c r="D43" i="27"/>
  <c r="D44" i="27"/>
  <c r="D45" i="27"/>
  <c r="C45" i="6"/>
  <c r="D45" i="6"/>
  <c r="D123" i="26"/>
  <c r="E123" i="26"/>
  <c r="F123" i="26"/>
  <c r="B19" i="6"/>
  <c r="B56" i="6"/>
  <c r="B58" i="6" s="1"/>
  <c r="V57" i="6"/>
  <c r="J53" i="12" s="1"/>
  <c r="R57" i="6"/>
  <c r="F53" i="12" s="1"/>
  <c r="B93" i="6"/>
  <c r="C88" i="6" s="1"/>
  <c r="U57" i="6"/>
  <c r="I53" i="12" s="1"/>
  <c r="D21" i="41"/>
  <c r="F24" i="41" s="1"/>
  <c r="F25" i="41" s="1"/>
  <c r="F26" i="41" s="1"/>
  <c r="E24" i="41"/>
  <c r="G1" i="41"/>
  <c r="H1" i="41" s="1"/>
  <c r="I1" i="41" s="1"/>
  <c r="J1" i="41" s="1"/>
  <c r="K1" i="41" s="1"/>
  <c r="L1" i="41" s="1"/>
  <c r="M1" i="41" s="1"/>
  <c r="N1" i="41" s="1"/>
  <c r="O1" i="41" s="1"/>
  <c r="P1" i="41" s="1"/>
  <c r="Q1" i="41" s="1"/>
  <c r="R1" i="41" s="1"/>
  <c r="S1" i="41" s="1"/>
  <c r="T1" i="41" s="1"/>
  <c r="U1" i="41" s="1"/>
  <c r="V1" i="41" s="1"/>
  <c r="W1" i="41" s="1"/>
  <c r="X1" i="41" s="1"/>
  <c r="Y1" i="41" s="1"/>
  <c r="Z1" i="41" s="1"/>
  <c r="AA1" i="41" s="1"/>
  <c r="AB1" i="41" s="1"/>
  <c r="AC1" i="41" s="1"/>
  <c r="AD1" i="41" s="1"/>
  <c r="AE1" i="41" s="1"/>
  <c r="AF1" i="41" s="1"/>
  <c r="AG1" i="41" s="1"/>
  <c r="AH1" i="41" s="1"/>
  <c r="AI1" i="41" s="1"/>
  <c r="AJ1" i="41" s="1"/>
  <c r="AK1" i="41" s="1"/>
  <c r="AL1" i="41" s="1"/>
  <c r="AM1" i="41" s="1"/>
  <c r="AN1" i="41" s="1"/>
  <c r="AO1" i="41" s="1"/>
  <c r="B83" i="6"/>
  <c r="B85" i="6" s="1"/>
  <c r="B111" i="6"/>
  <c r="B19" i="5" s="1"/>
  <c r="C17" i="6"/>
  <c r="C19" i="6" s="1"/>
  <c r="D17" i="6" s="1"/>
  <c r="D19" i="6" s="1"/>
  <c r="E17" i="6" s="1"/>
  <c r="E19" i="6" s="1"/>
  <c r="F17" i="6" s="1"/>
  <c r="F19" i="6" s="1"/>
  <c r="G17" i="6" s="1"/>
  <c r="G19" i="6" s="1"/>
  <c r="H17" i="6" s="1"/>
  <c r="C6" i="42"/>
  <c r="D11" i="42" s="1"/>
  <c r="D10" i="42" s="1"/>
  <c r="D14" i="42" s="1"/>
  <c r="B51" i="6"/>
  <c r="C49" i="6" s="1"/>
  <c r="B18" i="5"/>
  <c r="C108" i="6"/>
  <c r="U39" i="38"/>
  <c r="D29" i="38" s="1"/>
  <c r="B9" i="5"/>
  <c r="B10" i="5"/>
  <c r="N127" i="6"/>
  <c r="N21" i="12" s="1"/>
  <c r="P127" i="6"/>
  <c r="D58" i="12" s="1"/>
  <c r="Q127" i="6"/>
  <c r="E58" i="12" s="1"/>
  <c r="R127" i="6"/>
  <c r="F58" i="12" s="1"/>
  <c r="S127" i="6"/>
  <c r="G58" i="12"/>
  <c r="T127" i="6"/>
  <c r="H58" i="12"/>
  <c r="U127" i="6"/>
  <c r="I58" i="12" s="1"/>
  <c r="V127" i="6"/>
  <c r="J58" i="12"/>
  <c r="W127" i="6"/>
  <c r="K58" i="12"/>
  <c r="X127" i="6"/>
  <c r="L58" i="12" s="1"/>
  <c r="Y127" i="6"/>
  <c r="M58" i="12" s="1"/>
  <c r="Z127" i="6"/>
  <c r="N58" i="12"/>
  <c r="O127" i="6"/>
  <c r="C81" i="5" s="1"/>
  <c r="D127" i="6"/>
  <c r="D21" i="12"/>
  <c r="E127" i="6"/>
  <c r="E21" i="12" s="1"/>
  <c r="F127" i="6"/>
  <c r="F21" i="12" s="1"/>
  <c r="G127" i="6"/>
  <c r="G21" i="12"/>
  <c r="H127" i="6"/>
  <c r="H21" i="12" s="1"/>
  <c r="I127" i="6"/>
  <c r="I21" i="12" s="1"/>
  <c r="J127" i="6"/>
  <c r="J21" i="12"/>
  <c r="K127" i="6"/>
  <c r="K21" i="12"/>
  <c r="L127" i="6"/>
  <c r="L21" i="12" s="1"/>
  <c r="M127" i="6"/>
  <c r="M21" i="12"/>
  <c r="C127" i="6"/>
  <c r="E58" i="27"/>
  <c r="D27" i="27"/>
  <c r="D28" i="27" s="1"/>
  <c r="D29" i="27" s="1"/>
  <c r="D26" i="30"/>
  <c r="D24" i="30"/>
  <c r="D25" i="30" s="1"/>
  <c r="F1" i="27"/>
  <c r="G1" i="27" s="1"/>
  <c r="H1" i="27" s="1"/>
  <c r="I1" i="27" s="1"/>
  <c r="J1" i="27" s="1"/>
  <c r="K1" i="27" s="1"/>
  <c r="L1" i="27" s="1"/>
  <c r="M1" i="27" s="1"/>
  <c r="N1" i="27" s="1"/>
  <c r="O1" i="27" s="1"/>
  <c r="P1" i="27" s="1"/>
  <c r="Q1" i="27" s="1"/>
  <c r="R1" i="27" s="1"/>
  <c r="S1" i="27" s="1"/>
  <c r="T1" i="27" s="1"/>
  <c r="U1" i="27" s="1"/>
  <c r="V1" i="27" s="1"/>
  <c r="W1" i="27" s="1"/>
  <c r="X1" i="27" s="1"/>
  <c r="Y1" i="27" s="1"/>
  <c r="Z1" i="27" s="1"/>
  <c r="AA1" i="27" s="1"/>
  <c r="AB1" i="27" s="1"/>
  <c r="AC1" i="27" s="1"/>
  <c r="AD1" i="27" s="1"/>
  <c r="AE1" i="27" s="1"/>
  <c r="AF1" i="27" s="1"/>
  <c r="AG1" i="27" s="1"/>
  <c r="AH1" i="27" s="1"/>
  <c r="AI1" i="27" s="1"/>
  <c r="AJ1" i="27" s="1"/>
  <c r="AK1" i="27" s="1"/>
  <c r="AL1" i="27" s="1"/>
  <c r="AM1" i="27" s="1"/>
  <c r="AN1" i="27" s="1"/>
  <c r="F41" i="27"/>
  <c r="F1" i="30"/>
  <c r="F37" i="30"/>
  <c r="F39" i="30" s="1"/>
  <c r="E38" i="30"/>
  <c r="D1" i="6"/>
  <c r="E1" i="6" s="1"/>
  <c r="C116" i="6"/>
  <c r="C22" i="12" s="1"/>
  <c r="C110" i="6"/>
  <c r="C23" i="12" s="1"/>
  <c r="E47" i="27"/>
  <c r="E48" i="27" s="1"/>
  <c r="E49" i="27" s="1"/>
  <c r="C24" i="12" s="1"/>
  <c r="E39" i="30"/>
  <c r="E11" i="30"/>
  <c r="B53" i="6"/>
  <c r="C43" i="6"/>
  <c r="C30" i="6"/>
  <c r="C32" i="6" s="1"/>
  <c r="D30" i="6" s="1"/>
  <c r="B15" i="5"/>
  <c r="AG39" i="38"/>
  <c r="D34" i="38" s="1"/>
  <c r="G41" i="27"/>
  <c r="H41" i="27" s="1"/>
  <c r="I41" i="27" s="1"/>
  <c r="J41" i="27" s="1"/>
  <c r="K41" i="27" s="1"/>
  <c r="L41" i="27" s="1"/>
  <c r="M41" i="27" s="1"/>
  <c r="N41" i="27" s="1"/>
  <c r="O41" i="27" s="1"/>
  <c r="P41" i="27" s="1"/>
  <c r="Q41" i="27" s="1"/>
  <c r="R41" i="27" s="1"/>
  <c r="S41" i="27" s="1"/>
  <c r="T41" i="27" s="1"/>
  <c r="U41" i="27" s="1"/>
  <c r="V41" i="27" s="1"/>
  <c r="W41" i="27" s="1"/>
  <c r="X41" i="27" s="1"/>
  <c r="Y41" i="27" s="1"/>
  <c r="Z41" i="27" s="1"/>
  <c r="AA41" i="27" s="1"/>
  <c r="AB41" i="27" s="1"/>
  <c r="AC41" i="27" s="1"/>
  <c r="AD41" i="27" s="1"/>
  <c r="AE41" i="27" s="1"/>
  <c r="AF41" i="27" s="1"/>
  <c r="AG41" i="27" s="1"/>
  <c r="AH41" i="27" s="1"/>
  <c r="AI41" i="27" s="1"/>
  <c r="AJ41" i="27" s="1"/>
  <c r="AK41" i="27" s="1"/>
  <c r="AL41" i="27" s="1"/>
  <c r="AM41" i="27" s="1"/>
  <c r="AN41" i="27" s="1"/>
  <c r="F57" i="27"/>
  <c r="E59" i="27"/>
  <c r="C8" i="12" s="1"/>
  <c r="A15" i="17"/>
  <c r="L21" i="17" s="1"/>
  <c r="A8" i="17"/>
  <c r="A21" i="17" s="1"/>
  <c r="E30" i="30"/>
  <c r="A17" i="17"/>
  <c r="A18" i="17"/>
  <c r="A22" i="17"/>
  <c r="A23" i="17"/>
  <c r="A24" i="17"/>
  <c r="D32" i="6"/>
  <c r="E30" i="6" s="1"/>
  <c r="E32" i="6" s="1"/>
  <c r="F30" i="6" s="1"/>
  <c r="F32" i="6" s="1"/>
  <c r="G30" i="6" s="1"/>
  <c r="G32" i="6" s="1"/>
  <c r="H30" i="6" s="1"/>
  <c r="H32" i="6" s="1"/>
  <c r="I30" i="6" s="1"/>
  <c r="I32" i="6" s="1"/>
  <c r="J30" i="6" s="1"/>
  <c r="J32" i="6" s="1"/>
  <c r="K30" i="6" s="1"/>
  <c r="K32" i="6" s="1"/>
  <c r="L30" i="6" s="1"/>
  <c r="L32" i="6" s="1"/>
  <c r="M30" i="6" s="1"/>
  <c r="M32" i="6" s="1"/>
  <c r="N30" i="6" s="1"/>
  <c r="N32" i="6" s="1"/>
  <c r="O30" i="6" s="1"/>
  <c r="O32" i="6" s="1"/>
  <c r="P30" i="6" s="1"/>
  <c r="P32" i="6" s="1"/>
  <c r="Q30" i="6" s="1"/>
  <c r="Q32" i="6" s="1"/>
  <c r="R30" i="6" s="1"/>
  <c r="R32" i="6" s="1"/>
  <c r="S30" i="6" s="1"/>
  <c r="S32" i="6" s="1"/>
  <c r="T30" i="6" s="1"/>
  <c r="T32" i="6" s="1"/>
  <c r="U30" i="6" s="1"/>
  <c r="U32" i="6" s="1"/>
  <c r="V30" i="6" s="1"/>
  <c r="V32" i="6" s="1"/>
  <c r="W30" i="6" s="1"/>
  <c r="W32" i="6" s="1"/>
  <c r="X30" i="6" s="1"/>
  <c r="X32" i="6" s="1"/>
  <c r="Y30" i="6" s="1"/>
  <c r="Y32" i="6" s="1"/>
  <c r="Z30" i="6" s="1"/>
  <c r="Z32" i="6" s="1"/>
  <c r="F60" i="27"/>
  <c r="D7" i="12" s="1"/>
  <c r="G57" i="27"/>
  <c r="H57" i="27" s="1"/>
  <c r="F58" i="27"/>
  <c r="D8" i="12" s="1"/>
  <c r="F59" i="27"/>
  <c r="E3" i="12"/>
  <c r="V39" i="38"/>
  <c r="E29" i="38" s="1"/>
  <c r="G59" i="27"/>
  <c r="E25" i="31"/>
  <c r="D33" i="37" s="1"/>
  <c r="Z21" i="31"/>
  <c r="M100" i="37" s="1"/>
  <c r="V21" i="31"/>
  <c r="I100" i="37" s="1"/>
  <c r="R21" i="31"/>
  <c r="E100" i="37" s="1"/>
  <c r="N21" i="31"/>
  <c r="M29" i="37" s="1"/>
  <c r="J21" i="31"/>
  <c r="I29" i="37" s="1"/>
  <c r="F21" i="31"/>
  <c r="E29" i="37" s="1"/>
  <c r="Y23" i="31"/>
  <c r="L102" i="37" s="1"/>
  <c r="U23" i="31"/>
  <c r="H102" i="37" s="1"/>
  <c r="Q23" i="31"/>
  <c r="D102" i="37" s="1"/>
  <c r="M23" i="31"/>
  <c r="L31" i="37" s="1"/>
  <c r="I23" i="31"/>
  <c r="H31" i="37" s="1"/>
  <c r="AA25" i="31"/>
  <c r="N104" i="37" s="1"/>
  <c r="W25" i="31"/>
  <c r="J104" i="37" s="1"/>
  <c r="S25" i="31"/>
  <c r="F104" i="37" s="1"/>
  <c r="O25" i="31"/>
  <c r="N33" i="37" s="1"/>
  <c r="K25" i="31"/>
  <c r="J33" i="37" s="1"/>
  <c r="G25" i="31"/>
  <c r="F33" i="37" s="1"/>
  <c r="Z16" i="31"/>
  <c r="M95" i="37" s="1"/>
  <c r="V16" i="31"/>
  <c r="I95" i="37" s="1"/>
  <c r="E24" i="31"/>
  <c r="D32" i="37" s="1"/>
  <c r="E26" i="31"/>
  <c r="D34" i="37" s="1"/>
  <c r="E28" i="31"/>
  <c r="D36" i="37" s="1"/>
  <c r="E30" i="31"/>
  <c r="D38" i="37" s="1"/>
  <c r="R4" i="31"/>
  <c r="E85" i="37" s="1"/>
  <c r="T4" i="31"/>
  <c r="G85" i="37" s="1"/>
  <c r="V4" i="31"/>
  <c r="I85" i="37" s="1"/>
  <c r="X4" i="31"/>
  <c r="K85" i="37" s="1"/>
  <c r="Z4" i="31"/>
  <c r="M85" i="37" s="1"/>
  <c r="AB4" i="31"/>
  <c r="O85" i="37" s="1"/>
  <c r="E27" i="31"/>
  <c r="D35" i="37" s="1"/>
  <c r="E29" i="31"/>
  <c r="D37" i="37" s="1"/>
  <c r="E4" i="31"/>
  <c r="D14" i="37" s="1"/>
  <c r="F4" i="31"/>
  <c r="E14" i="37" s="1"/>
  <c r="G4" i="31"/>
  <c r="F14" i="37" s="1"/>
  <c r="H4" i="31"/>
  <c r="G14" i="37" s="1"/>
  <c r="I4" i="31"/>
  <c r="H14" i="37" s="1"/>
  <c r="J4" i="31"/>
  <c r="I14" i="37" s="1"/>
  <c r="K4" i="31"/>
  <c r="J14" i="37" s="1"/>
  <c r="L4" i="31"/>
  <c r="K14" i="37" s="1"/>
  <c r="M4" i="31"/>
  <c r="L14" i="37" s="1"/>
  <c r="N4" i="31"/>
  <c r="M14" i="37" s="1"/>
  <c r="O4" i="31"/>
  <c r="N14" i="37" s="1"/>
  <c r="P4" i="31"/>
  <c r="O14" i="37" s="1"/>
  <c r="Q4" i="31"/>
  <c r="D85" i="37" s="1"/>
  <c r="S4" i="31"/>
  <c r="F85" i="37" s="1"/>
  <c r="U4" i="31"/>
  <c r="H85" i="37" s="1"/>
  <c r="W4" i="31"/>
  <c r="J85" i="37" s="1"/>
  <c r="Y4" i="31"/>
  <c r="L85" i="37" s="1"/>
  <c r="AA4" i="31"/>
  <c r="N85" i="37" s="1"/>
  <c r="E5" i="31"/>
  <c r="D15" i="37" s="1"/>
  <c r="F5" i="31"/>
  <c r="E15" i="37" s="1"/>
  <c r="G5" i="31"/>
  <c r="F15" i="37" s="1"/>
  <c r="H5" i="31"/>
  <c r="G15" i="37" s="1"/>
  <c r="I5" i="31"/>
  <c r="H15" i="37" s="1"/>
  <c r="J5" i="31"/>
  <c r="I15" i="37" s="1"/>
  <c r="K5" i="31"/>
  <c r="J15" i="37" s="1"/>
  <c r="L5" i="31"/>
  <c r="K15" i="37" s="1"/>
  <c r="M5" i="31"/>
  <c r="L15" i="37" s="1"/>
  <c r="N5" i="31"/>
  <c r="M15" i="37" s="1"/>
  <c r="O5" i="31"/>
  <c r="N15" i="37" s="1"/>
  <c r="P5" i="31"/>
  <c r="O15" i="37" s="1"/>
  <c r="Q5" i="31"/>
  <c r="D86" i="37" s="1"/>
  <c r="R5" i="31"/>
  <c r="E86" i="37" s="1"/>
  <c r="S5" i="31"/>
  <c r="F86" i="37" s="1"/>
  <c r="T5" i="31"/>
  <c r="G86" i="37" s="1"/>
  <c r="U5" i="31"/>
  <c r="H86" i="37" s="1"/>
  <c r="V5" i="31"/>
  <c r="I86" i="37" s="1"/>
  <c r="W5" i="31"/>
  <c r="J86" i="37" s="1"/>
  <c r="X5" i="31"/>
  <c r="K86" i="37" s="1"/>
  <c r="Y5" i="31"/>
  <c r="L86" i="37" s="1"/>
  <c r="Z5" i="31"/>
  <c r="M86" i="37" s="1"/>
  <c r="AA5" i="31"/>
  <c r="N86" i="37" s="1"/>
  <c r="AB5" i="31"/>
  <c r="O86" i="37" s="1"/>
  <c r="E6" i="31"/>
  <c r="D16" i="37" s="1"/>
  <c r="F6" i="31"/>
  <c r="E16" i="37" s="1"/>
  <c r="G6" i="31"/>
  <c r="F16" i="37" s="1"/>
  <c r="H6" i="31"/>
  <c r="G16" i="37" s="1"/>
  <c r="I6" i="31"/>
  <c r="H16" i="37" s="1"/>
  <c r="J6" i="31"/>
  <c r="I16" i="37" s="1"/>
  <c r="K6" i="31"/>
  <c r="J16" i="37" s="1"/>
  <c r="L6" i="31"/>
  <c r="K16" i="37" s="1"/>
  <c r="M6" i="31"/>
  <c r="L16" i="37" s="1"/>
  <c r="N6" i="31"/>
  <c r="M16" i="37" s="1"/>
  <c r="O6" i="31"/>
  <c r="N16" i="37" s="1"/>
  <c r="P6" i="31"/>
  <c r="O16" i="37" s="1"/>
  <c r="Q6" i="31"/>
  <c r="D87" i="37" s="1"/>
  <c r="R6" i="31"/>
  <c r="E87" i="37" s="1"/>
  <c r="S6" i="31"/>
  <c r="F87" i="37" s="1"/>
  <c r="T6" i="31"/>
  <c r="G87" i="37" s="1"/>
  <c r="U6" i="31"/>
  <c r="H87" i="37" s="1"/>
  <c r="V6" i="31"/>
  <c r="I87" i="37" s="1"/>
  <c r="W6" i="31"/>
  <c r="J87" i="37" s="1"/>
  <c r="X6" i="31"/>
  <c r="K87" i="37" s="1"/>
  <c r="Y6" i="31"/>
  <c r="L87" i="37" s="1"/>
  <c r="Z6" i="31"/>
  <c r="M87" i="37" s="1"/>
  <c r="AA6" i="31"/>
  <c r="N87" i="37" s="1"/>
  <c r="AB6" i="31"/>
  <c r="O87" i="37" s="1"/>
  <c r="E7" i="31"/>
  <c r="D17" i="37" s="1"/>
  <c r="F7" i="31"/>
  <c r="E17" i="37" s="1"/>
  <c r="G7" i="31"/>
  <c r="F17" i="37" s="1"/>
  <c r="H7" i="31"/>
  <c r="G17" i="37" s="1"/>
  <c r="I7" i="31"/>
  <c r="H17" i="37" s="1"/>
  <c r="J7" i="31"/>
  <c r="I17" i="37" s="1"/>
  <c r="K7" i="31"/>
  <c r="J17" i="37" s="1"/>
  <c r="L7" i="31"/>
  <c r="K17" i="37" s="1"/>
  <c r="M7" i="31"/>
  <c r="L17" i="37" s="1"/>
  <c r="N7" i="31"/>
  <c r="M17" i="37" s="1"/>
  <c r="O7" i="31"/>
  <c r="N17" i="37" s="1"/>
  <c r="P7" i="31"/>
  <c r="O17" i="37" s="1"/>
  <c r="Q7" i="31"/>
  <c r="D88" i="37" s="1"/>
  <c r="R7" i="31"/>
  <c r="E88" i="37" s="1"/>
  <c r="S7" i="31"/>
  <c r="F88" i="37" s="1"/>
  <c r="T7" i="31"/>
  <c r="G88" i="37" s="1"/>
  <c r="U7" i="31"/>
  <c r="H88" i="37" s="1"/>
  <c r="V7" i="31"/>
  <c r="I88" i="37" s="1"/>
  <c r="W7" i="31"/>
  <c r="J88" i="37" s="1"/>
  <c r="X7" i="31"/>
  <c r="K88" i="37" s="1"/>
  <c r="Y7" i="31"/>
  <c r="L88" i="37" s="1"/>
  <c r="Z7" i="31"/>
  <c r="M88" i="37" s="1"/>
  <c r="AA7" i="31"/>
  <c r="N88" i="37" s="1"/>
  <c r="AB7" i="31"/>
  <c r="O88" i="37" s="1"/>
  <c r="E8" i="31"/>
  <c r="D18" i="37" s="1"/>
  <c r="F8" i="31"/>
  <c r="E18" i="37" s="1"/>
  <c r="G8" i="31"/>
  <c r="F18" i="37" s="1"/>
  <c r="H8" i="31"/>
  <c r="G18" i="37" s="1"/>
  <c r="I8" i="31"/>
  <c r="H18" i="37" s="1"/>
  <c r="J8" i="31"/>
  <c r="I18" i="37" s="1"/>
  <c r="K8" i="31"/>
  <c r="J18" i="37" s="1"/>
  <c r="L8" i="31"/>
  <c r="K18" i="37" s="1"/>
  <c r="M8" i="31"/>
  <c r="L18" i="37" s="1"/>
  <c r="N8" i="31"/>
  <c r="M18" i="37" s="1"/>
  <c r="O8" i="31"/>
  <c r="N18" i="37" s="1"/>
  <c r="P8" i="31"/>
  <c r="O18" i="37" s="1"/>
  <c r="Q8" i="31"/>
  <c r="D89" i="37" s="1"/>
  <c r="R8" i="31"/>
  <c r="E89" i="37" s="1"/>
  <c r="S8" i="31"/>
  <c r="F89" i="37" s="1"/>
  <c r="T8" i="31"/>
  <c r="G89" i="37" s="1"/>
  <c r="U8" i="31"/>
  <c r="H89" i="37" s="1"/>
  <c r="V8" i="31"/>
  <c r="I89" i="37" s="1"/>
  <c r="W8" i="31"/>
  <c r="J89" i="37" s="1"/>
  <c r="X8" i="31"/>
  <c r="K89" i="37" s="1"/>
  <c r="Y8" i="31"/>
  <c r="L89" i="37" s="1"/>
  <c r="Z8" i="31"/>
  <c r="M89" i="37" s="1"/>
  <c r="AA8" i="31"/>
  <c r="N89" i="37" s="1"/>
  <c r="AB8" i="31"/>
  <c r="O89" i="37" s="1"/>
  <c r="E11" i="31"/>
  <c r="D19" i="37" s="1"/>
  <c r="F11" i="31"/>
  <c r="E19" i="37" s="1"/>
  <c r="G11" i="31"/>
  <c r="F19" i="37" s="1"/>
  <c r="H11" i="31"/>
  <c r="G19" i="37" s="1"/>
  <c r="I11" i="31"/>
  <c r="H19" i="37" s="1"/>
  <c r="J11" i="31"/>
  <c r="I19" i="37" s="1"/>
  <c r="K11" i="31"/>
  <c r="J19" i="37" s="1"/>
  <c r="L11" i="31"/>
  <c r="K19" i="37" s="1"/>
  <c r="M11" i="31"/>
  <c r="L19" i="37" s="1"/>
  <c r="N11" i="31"/>
  <c r="M19" i="37" s="1"/>
  <c r="O11" i="31"/>
  <c r="N19" i="37" s="1"/>
  <c r="P11" i="31"/>
  <c r="O19" i="37" s="1"/>
  <c r="Q11" i="31"/>
  <c r="D90" i="37" s="1"/>
  <c r="R11" i="31"/>
  <c r="E90" i="37" s="1"/>
  <c r="S11" i="31"/>
  <c r="F90" i="37" s="1"/>
  <c r="T11" i="31"/>
  <c r="G90" i="37" s="1"/>
  <c r="U11" i="31"/>
  <c r="H90" i="37" s="1"/>
  <c r="V11" i="31"/>
  <c r="I90" i="37" s="1"/>
  <c r="W11" i="31"/>
  <c r="J90" i="37" s="1"/>
  <c r="X11" i="31"/>
  <c r="K90" i="37" s="1"/>
  <c r="Y11" i="31"/>
  <c r="L90" i="37" s="1"/>
  <c r="Z11" i="31"/>
  <c r="M90" i="37" s="1"/>
  <c r="AA11" i="31"/>
  <c r="N90" i="37" s="1"/>
  <c r="AB11" i="31"/>
  <c r="O90" i="37" s="1"/>
  <c r="E13" i="31"/>
  <c r="D21" i="37" s="1"/>
  <c r="F13" i="31"/>
  <c r="E21" i="37" s="1"/>
  <c r="G13" i="31"/>
  <c r="F21" i="37" s="1"/>
  <c r="H13" i="31"/>
  <c r="G21" i="37" s="1"/>
  <c r="I13" i="31"/>
  <c r="H21" i="37" s="1"/>
  <c r="J13" i="31"/>
  <c r="I21" i="37" s="1"/>
  <c r="K13" i="31"/>
  <c r="J21" i="37" s="1"/>
  <c r="L13" i="31"/>
  <c r="K21" i="37" s="1"/>
  <c r="M13" i="31"/>
  <c r="L21" i="37" s="1"/>
  <c r="N13" i="31"/>
  <c r="M21" i="37" s="1"/>
  <c r="O13" i="31"/>
  <c r="N21" i="37" s="1"/>
  <c r="P13" i="31"/>
  <c r="O21" i="37" s="1"/>
  <c r="Q13" i="31"/>
  <c r="D92" i="37" s="1"/>
  <c r="R13" i="31"/>
  <c r="E92" i="37" s="1"/>
  <c r="S13" i="31"/>
  <c r="F92" i="37" s="1"/>
  <c r="T13" i="31"/>
  <c r="G92" i="37" s="1"/>
  <c r="U13" i="31"/>
  <c r="H92" i="37" s="1"/>
  <c r="V13" i="31"/>
  <c r="I92" i="37" s="1"/>
  <c r="W13" i="31"/>
  <c r="J92" i="37" s="1"/>
  <c r="X13" i="31"/>
  <c r="K92" i="37" s="1"/>
  <c r="Y13" i="31"/>
  <c r="L92" i="37" s="1"/>
  <c r="Z13" i="31"/>
  <c r="M92" i="37" s="1"/>
  <c r="AA13" i="31"/>
  <c r="N92" i="37" s="1"/>
  <c r="AB13" i="31"/>
  <c r="O92" i="37" s="1"/>
  <c r="E16" i="31"/>
  <c r="D24" i="37" s="1"/>
  <c r="G16" i="31"/>
  <c r="F24" i="37" s="1"/>
  <c r="I16" i="31"/>
  <c r="H24" i="37" s="1"/>
  <c r="K16" i="31"/>
  <c r="J24" i="37" s="1"/>
  <c r="M16" i="31"/>
  <c r="L24" i="37" s="1"/>
  <c r="O16" i="31"/>
  <c r="N24" i="37" s="1"/>
  <c r="Q16" i="31"/>
  <c r="D95" i="37" s="1"/>
  <c r="S16" i="31"/>
  <c r="F95" i="37" s="1"/>
  <c r="U16" i="31"/>
  <c r="H95" i="37" s="1"/>
  <c r="W16" i="31"/>
  <c r="J95" i="37" s="1"/>
  <c r="Y16" i="31"/>
  <c r="L95" i="37" s="1"/>
  <c r="AA16" i="31"/>
  <c r="N95" i="37" s="1"/>
  <c r="E17" i="31"/>
  <c r="D25" i="37" s="1"/>
  <c r="F17" i="31"/>
  <c r="E25" i="37" s="1"/>
  <c r="G17" i="31"/>
  <c r="F25" i="37" s="1"/>
  <c r="H17" i="31"/>
  <c r="G25" i="37" s="1"/>
  <c r="I17" i="31"/>
  <c r="H25" i="37" s="1"/>
  <c r="J17" i="31"/>
  <c r="I25" i="37" s="1"/>
  <c r="K17" i="31"/>
  <c r="J25" i="37" s="1"/>
  <c r="L17" i="31"/>
  <c r="K25" i="37" s="1"/>
  <c r="M17" i="31"/>
  <c r="L25" i="37" s="1"/>
  <c r="N17" i="31"/>
  <c r="M25" i="37" s="1"/>
  <c r="O17" i="31"/>
  <c r="N25" i="37" s="1"/>
  <c r="P17" i="31"/>
  <c r="O25" i="37" s="1"/>
  <c r="Q17" i="31"/>
  <c r="D96" i="37" s="1"/>
  <c r="R17" i="31"/>
  <c r="E96" i="37" s="1"/>
  <c r="S17" i="31"/>
  <c r="F96" i="37" s="1"/>
  <c r="T17" i="31"/>
  <c r="G96" i="37" s="1"/>
  <c r="U17" i="31"/>
  <c r="H96" i="37" s="1"/>
  <c r="V17" i="31"/>
  <c r="I96" i="37" s="1"/>
  <c r="W17" i="31"/>
  <c r="J96" i="37" s="1"/>
  <c r="X17" i="31"/>
  <c r="K96" i="37" s="1"/>
  <c r="Y17" i="31"/>
  <c r="L96" i="37" s="1"/>
  <c r="Z17" i="31"/>
  <c r="M96" i="37" s="1"/>
  <c r="AA17" i="31"/>
  <c r="N96" i="37" s="1"/>
  <c r="AB17" i="31"/>
  <c r="O96" i="37" s="1"/>
  <c r="E18" i="31"/>
  <c r="D26" i="37" s="1"/>
  <c r="G18" i="31"/>
  <c r="F26" i="37" s="1"/>
  <c r="I18" i="31"/>
  <c r="H26" i="37" s="1"/>
  <c r="K18" i="31"/>
  <c r="J26" i="37" s="1"/>
  <c r="M18" i="31"/>
  <c r="L26" i="37" s="1"/>
  <c r="O18" i="31"/>
  <c r="N26" i="37" s="1"/>
  <c r="Q18" i="31"/>
  <c r="D97" i="37" s="1"/>
  <c r="S18" i="31"/>
  <c r="F97" i="37" s="1"/>
  <c r="U18" i="31"/>
  <c r="H97" i="37" s="1"/>
  <c r="W18" i="31"/>
  <c r="J97" i="37" s="1"/>
  <c r="Y18" i="31"/>
  <c r="L97" i="37" s="1"/>
  <c r="AA18" i="31"/>
  <c r="N97" i="37" s="1"/>
  <c r="E20" i="31"/>
  <c r="D28" i="37" s="1"/>
  <c r="F20" i="31"/>
  <c r="E28" i="37" s="1"/>
  <c r="G20" i="31"/>
  <c r="F28" i="37" s="1"/>
  <c r="H20" i="31"/>
  <c r="G28" i="37" s="1"/>
  <c r="I20" i="31"/>
  <c r="H28" i="37" s="1"/>
  <c r="J20" i="31"/>
  <c r="I28" i="37" s="1"/>
  <c r="K20" i="31"/>
  <c r="J28" i="37" s="1"/>
  <c r="L20" i="31"/>
  <c r="K28" i="37" s="1"/>
  <c r="M20" i="31"/>
  <c r="L28" i="37" s="1"/>
  <c r="N20" i="31"/>
  <c r="M28" i="37" s="1"/>
  <c r="O20" i="31"/>
  <c r="N28" i="37" s="1"/>
  <c r="P20" i="31"/>
  <c r="O28" i="37" s="1"/>
  <c r="Q20" i="31"/>
  <c r="D99" i="37" s="1"/>
  <c r="R20" i="31"/>
  <c r="E99" i="37" s="1"/>
  <c r="S20" i="31"/>
  <c r="F99" i="37" s="1"/>
  <c r="T20" i="31"/>
  <c r="G99" i="37" s="1"/>
  <c r="U20" i="31"/>
  <c r="H99" i="37" s="1"/>
  <c r="V20" i="31"/>
  <c r="I99" i="37" s="1"/>
  <c r="W20" i="31"/>
  <c r="J99" i="37" s="1"/>
  <c r="X20" i="31"/>
  <c r="K99" i="37" s="1"/>
  <c r="Y20" i="31"/>
  <c r="L99" i="37" s="1"/>
  <c r="Z20" i="31"/>
  <c r="M99" i="37" s="1"/>
  <c r="AA20" i="31"/>
  <c r="N99" i="37" s="1"/>
  <c r="AB20" i="31"/>
  <c r="O99" i="37" s="1"/>
  <c r="E21" i="31"/>
  <c r="D29" i="37" s="1"/>
  <c r="G21" i="31"/>
  <c r="F29" i="37" s="1"/>
  <c r="I21" i="31"/>
  <c r="H29" i="37" s="1"/>
  <c r="K21" i="31"/>
  <c r="J29" i="37" s="1"/>
  <c r="M21" i="31"/>
  <c r="L29" i="37" s="1"/>
  <c r="O21" i="31"/>
  <c r="N29" i="37" s="1"/>
  <c r="Q21" i="31"/>
  <c r="D100" i="37" s="1"/>
  <c r="S21" i="31"/>
  <c r="F100" i="37" s="1"/>
  <c r="U21" i="31"/>
  <c r="H100" i="37" s="1"/>
  <c r="W21" i="31"/>
  <c r="J100" i="37" s="1"/>
  <c r="Y21" i="31"/>
  <c r="L100" i="37" s="1"/>
  <c r="AA21" i="31"/>
  <c r="N100" i="37" s="1"/>
  <c r="E22" i="31"/>
  <c r="D30" i="37" s="1"/>
  <c r="F22" i="31"/>
  <c r="E30" i="37" s="1"/>
  <c r="G22" i="31"/>
  <c r="F30" i="37" s="1"/>
  <c r="H22" i="31"/>
  <c r="G30" i="37" s="1"/>
  <c r="I22" i="31"/>
  <c r="H30" i="37" s="1"/>
  <c r="J22" i="31"/>
  <c r="I30" i="37" s="1"/>
  <c r="K22" i="31"/>
  <c r="J30" i="37" s="1"/>
  <c r="L22" i="31"/>
  <c r="K30" i="37" s="1"/>
  <c r="M22" i="31"/>
  <c r="L30" i="37" s="1"/>
  <c r="N22" i="31"/>
  <c r="M30" i="37" s="1"/>
  <c r="O22" i="31"/>
  <c r="N30" i="37" s="1"/>
  <c r="P22" i="31"/>
  <c r="O30" i="37" s="1"/>
  <c r="Q22" i="31"/>
  <c r="D101" i="37" s="1"/>
  <c r="R22" i="31"/>
  <c r="E101" i="37" s="1"/>
  <c r="S22" i="31"/>
  <c r="F101" i="37" s="1"/>
  <c r="T22" i="31"/>
  <c r="G101" i="37" s="1"/>
  <c r="U22" i="31"/>
  <c r="H101" i="37" s="1"/>
  <c r="V22" i="31"/>
  <c r="I101" i="37" s="1"/>
  <c r="W22" i="31"/>
  <c r="J101" i="37" s="1"/>
  <c r="X22" i="31"/>
  <c r="K101" i="37" s="1"/>
  <c r="Y22" i="31"/>
  <c r="L101" i="37" s="1"/>
  <c r="Z22" i="31"/>
  <c r="M101" i="37" s="1"/>
  <c r="AA22" i="31"/>
  <c r="N101" i="37" s="1"/>
  <c r="AB22" i="31"/>
  <c r="O101" i="37" s="1"/>
  <c r="F23" i="31"/>
  <c r="E31" i="37" s="1"/>
  <c r="H23" i="31"/>
  <c r="G31" i="37" s="1"/>
  <c r="J23" i="31"/>
  <c r="I31" i="37" s="1"/>
  <c r="L23" i="31"/>
  <c r="K31" i="37" s="1"/>
  <c r="N23" i="31"/>
  <c r="M31" i="37" s="1"/>
  <c r="P23" i="31"/>
  <c r="O31" i="37" s="1"/>
  <c r="R23" i="31"/>
  <c r="E102" i="37" s="1"/>
  <c r="T23" i="31"/>
  <c r="G102" i="37" s="1"/>
  <c r="V23" i="31"/>
  <c r="I102" i="37" s="1"/>
  <c r="X23" i="31"/>
  <c r="K102" i="37" s="1"/>
  <c r="Z23" i="31"/>
  <c r="M102" i="37" s="1"/>
  <c r="AB23" i="31"/>
  <c r="O102" i="37" s="1"/>
  <c r="F24" i="31"/>
  <c r="E32" i="37" s="1"/>
  <c r="G24" i="31"/>
  <c r="F32" i="37" s="1"/>
  <c r="H24" i="31"/>
  <c r="G32" i="37" s="1"/>
  <c r="I24" i="31"/>
  <c r="H32" i="37" s="1"/>
  <c r="J24" i="31"/>
  <c r="I32" i="37" s="1"/>
  <c r="K24" i="31"/>
  <c r="J32" i="37" s="1"/>
  <c r="L24" i="31"/>
  <c r="K32" i="37" s="1"/>
  <c r="M24" i="31"/>
  <c r="L32" i="37" s="1"/>
  <c r="N24" i="31"/>
  <c r="M32" i="37" s="1"/>
  <c r="O24" i="31"/>
  <c r="N32" i="37" s="1"/>
  <c r="P24" i="31"/>
  <c r="O32" i="37" s="1"/>
  <c r="Q24" i="31"/>
  <c r="D103" i="37" s="1"/>
  <c r="R24" i="31"/>
  <c r="E103" i="37" s="1"/>
  <c r="S24" i="31"/>
  <c r="F103" i="37" s="1"/>
  <c r="T24" i="31"/>
  <c r="G103" i="37" s="1"/>
  <c r="U24" i="31"/>
  <c r="H103" i="37" s="1"/>
  <c r="V24" i="31"/>
  <c r="I103" i="37" s="1"/>
  <c r="W24" i="31"/>
  <c r="J103" i="37" s="1"/>
  <c r="X24" i="31"/>
  <c r="K103" i="37" s="1"/>
  <c r="Y24" i="31"/>
  <c r="L103" i="37" s="1"/>
  <c r="Z24" i="31"/>
  <c r="M103" i="37" s="1"/>
  <c r="AA24" i="31"/>
  <c r="N103" i="37" s="1"/>
  <c r="AB24" i="31"/>
  <c r="O103" i="37" s="1"/>
  <c r="F25" i="31"/>
  <c r="E33" i="37" s="1"/>
  <c r="H25" i="31"/>
  <c r="G33" i="37" s="1"/>
  <c r="J25" i="31"/>
  <c r="I33" i="37" s="1"/>
  <c r="L25" i="31"/>
  <c r="K33" i="37" s="1"/>
  <c r="N25" i="31"/>
  <c r="M33" i="37" s="1"/>
  <c r="P25" i="31"/>
  <c r="O33" i="37" s="1"/>
  <c r="R25" i="31"/>
  <c r="E104" i="37" s="1"/>
  <c r="T25" i="31"/>
  <c r="G104" i="37" s="1"/>
  <c r="V25" i="31"/>
  <c r="I104" i="37" s="1"/>
  <c r="X25" i="31"/>
  <c r="K104" i="37" s="1"/>
  <c r="Z25" i="31"/>
  <c r="M104" i="37" s="1"/>
  <c r="AB25" i="31"/>
  <c r="O104" i="37" s="1"/>
  <c r="F26" i="31"/>
  <c r="E34" i="37" s="1"/>
  <c r="G26" i="31"/>
  <c r="F34" i="37" s="1"/>
  <c r="H26" i="31"/>
  <c r="G34" i="37" s="1"/>
  <c r="I26" i="31"/>
  <c r="H34" i="37" s="1"/>
  <c r="J26" i="31"/>
  <c r="I34" i="37" s="1"/>
  <c r="K26" i="31"/>
  <c r="J34" i="37" s="1"/>
  <c r="L26" i="31"/>
  <c r="K34" i="37" s="1"/>
  <c r="M26" i="31"/>
  <c r="L34" i="37" s="1"/>
  <c r="N26" i="31"/>
  <c r="M34" i="37" s="1"/>
  <c r="O26" i="31"/>
  <c r="N34" i="37" s="1"/>
  <c r="P26" i="31"/>
  <c r="O34" i="37" s="1"/>
  <c r="Q26" i="31"/>
  <c r="D105" i="37" s="1"/>
  <c r="R26" i="31"/>
  <c r="E105" i="37" s="1"/>
  <c r="S26" i="31"/>
  <c r="F105" i="37" s="1"/>
  <c r="T26" i="31"/>
  <c r="G105" i="37" s="1"/>
  <c r="U26" i="31"/>
  <c r="H105" i="37" s="1"/>
  <c r="V26" i="31"/>
  <c r="I105" i="37" s="1"/>
  <c r="W26" i="31"/>
  <c r="J105" i="37" s="1"/>
  <c r="X26" i="31"/>
  <c r="K105" i="37" s="1"/>
  <c r="Y26" i="31"/>
  <c r="L105" i="37" s="1"/>
  <c r="Z26" i="31"/>
  <c r="M105" i="37" s="1"/>
  <c r="AA26" i="31"/>
  <c r="N105" i="37" s="1"/>
  <c r="AB26" i="31"/>
  <c r="O105" i="37" s="1"/>
  <c r="F27" i="31"/>
  <c r="E35" i="37" s="1"/>
  <c r="G27" i="31"/>
  <c r="F35" i="37" s="1"/>
  <c r="H27" i="31"/>
  <c r="G35" i="37" s="1"/>
  <c r="I27" i="31"/>
  <c r="H35" i="37" s="1"/>
  <c r="J27" i="31"/>
  <c r="I35" i="37" s="1"/>
  <c r="K27" i="31"/>
  <c r="J35" i="37" s="1"/>
  <c r="L27" i="31"/>
  <c r="K35" i="37" s="1"/>
  <c r="M27" i="31"/>
  <c r="L35" i="37" s="1"/>
  <c r="N27" i="31"/>
  <c r="M35" i="37" s="1"/>
  <c r="O27" i="31"/>
  <c r="N35" i="37" s="1"/>
  <c r="P27" i="31"/>
  <c r="O35" i="37" s="1"/>
  <c r="Q27" i="31"/>
  <c r="D106" i="37" s="1"/>
  <c r="R27" i="31"/>
  <c r="E106" i="37" s="1"/>
  <c r="S27" i="31"/>
  <c r="F106" i="37" s="1"/>
  <c r="T27" i="31"/>
  <c r="G106" i="37" s="1"/>
  <c r="U27" i="31"/>
  <c r="H106" i="37" s="1"/>
  <c r="V27" i="31"/>
  <c r="I106" i="37" s="1"/>
  <c r="W27" i="31"/>
  <c r="J106" i="37" s="1"/>
  <c r="X27" i="31"/>
  <c r="K106" i="37" s="1"/>
  <c r="Y27" i="31"/>
  <c r="L106" i="37" s="1"/>
  <c r="Z27" i="31"/>
  <c r="M106" i="37" s="1"/>
  <c r="AA27" i="31"/>
  <c r="N106" i="37" s="1"/>
  <c r="AB27" i="31"/>
  <c r="O106" i="37" s="1"/>
  <c r="F28" i="31"/>
  <c r="E36" i="37" s="1"/>
  <c r="G28" i="31"/>
  <c r="F36" i="37" s="1"/>
  <c r="H28" i="31"/>
  <c r="G36" i="37" s="1"/>
  <c r="I28" i="31"/>
  <c r="H36" i="37" s="1"/>
  <c r="J28" i="31"/>
  <c r="I36" i="37" s="1"/>
  <c r="K28" i="31"/>
  <c r="J36" i="37" s="1"/>
  <c r="L28" i="31"/>
  <c r="K36" i="37" s="1"/>
  <c r="M28" i="31"/>
  <c r="L36" i="37" s="1"/>
  <c r="N28" i="31"/>
  <c r="M36" i="37" s="1"/>
  <c r="O28" i="31"/>
  <c r="N36" i="37" s="1"/>
  <c r="P28" i="31"/>
  <c r="O36" i="37" s="1"/>
  <c r="Q28" i="31"/>
  <c r="D107" i="37" s="1"/>
  <c r="R28" i="31"/>
  <c r="E107" i="37" s="1"/>
  <c r="S28" i="31"/>
  <c r="F107" i="37" s="1"/>
  <c r="T28" i="31"/>
  <c r="G107" i="37" s="1"/>
  <c r="U28" i="31"/>
  <c r="H107" i="37" s="1"/>
  <c r="V28" i="31"/>
  <c r="I107" i="37" s="1"/>
  <c r="W28" i="31"/>
  <c r="J107" i="37" s="1"/>
  <c r="X28" i="31"/>
  <c r="K107" i="37" s="1"/>
  <c r="Y28" i="31"/>
  <c r="L107" i="37" s="1"/>
  <c r="Z28" i="31"/>
  <c r="M107" i="37" s="1"/>
  <c r="AA28" i="31"/>
  <c r="N107" i="37" s="1"/>
  <c r="AB28" i="31"/>
  <c r="O107" i="37" s="1"/>
  <c r="F29" i="31"/>
  <c r="E37" i="37" s="1"/>
  <c r="H29" i="31"/>
  <c r="G37" i="37" s="1"/>
  <c r="J29" i="31"/>
  <c r="I37" i="37" s="1"/>
  <c r="L29" i="31"/>
  <c r="K37" i="37" s="1"/>
  <c r="N29" i="31"/>
  <c r="M37" i="37" s="1"/>
  <c r="P29" i="31"/>
  <c r="O37" i="37" s="1"/>
  <c r="G30" i="31"/>
  <c r="F38" i="37" s="1"/>
  <c r="I30" i="31"/>
  <c r="H38" i="37" s="1"/>
  <c r="K30" i="31"/>
  <c r="J38" i="37" s="1"/>
  <c r="M30" i="31"/>
  <c r="L38" i="37" s="1"/>
  <c r="O30" i="31"/>
  <c r="N38" i="37" s="1"/>
  <c r="Q30" i="31"/>
  <c r="D109" i="37" s="1"/>
  <c r="R30" i="31"/>
  <c r="E109" i="37" s="1"/>
  <c r="S30" i="31"/>
  <c r="F109" i="37" s="1"/>
  <c r="T30" i="31"/>
  <c r="G109" i="37" s="1"/>
  <c r="U30" i="31"/>
  <c r="H109" i="37" s="1"/>
  <c r="V30" i="31"/>
  <c r="I109" i="37" s="1"/>
  <c r="W30" i="31"/>
  <c r="J109" i="37" s="1"/>
  <c r="X30" i="31"/>
  <c r="K109" i="37" s="1"/>
  <c r="Y30" i="31"/>
  <c r="L109" i="37" s="1"/>
  <c r="Z30" i="31"/>
  <c r="M109" i="37" s="1"/>
  <c r="AA30" i="31"/>
  <c r="N109" i="37" s="1"/>
  <c r="AB30" i="31"/>
  <c r="O109" i="37" s="1"/>
  <c r="E31" i="31"/>
  <c r="D39" i="37" s="1"/>
  <c r="G31" i="31"/>
  <c r="F39" i="37" s="1"/>
  <c r="I31" i="31"/>
  <c r="H39" i="37" s="1"/>
  <c r="K31" i="31"/>
  <c r="J39" i="37" s="1"/>
  <c r="M31" i="31"/>
  <c r="L39" i="37" s="1"/>
  <c r="O31" i="31"/>
  <c r="N39" i="37" s="1"/>
  <c r="Q31" i="31"/>
  <c r="D110" i="37" s="1"/>
  <c r="R31" i="31"/>
  <c r="E110" i="37" s="1"/>
  <c r="S31" i="31"/>
  <c r="F110" i="37" s="1"/>
  <c r="T31" i="31"/>
  <c r="G110" i="37" s="1"/>
  <c r="U31" i="31"/>
  <c r="H110" i="37" s="1"/>
  <c r="V31" i="31"/>
  <c r="I110" i="37" s="1"/>
  <c r="W31" i="31"/>
  <c r="J110" i="37" s="1"/>
  <c r="X31" i="31"/>
  <c r="K110" i="37" s="1"/>
  <c r="Y31" i="31"/>
  <c r="L110" i="37" s="1"/>
  <c r="Z31" i="31"/>
  <c r="M110" i="37" s="1"/>
  <c r="AA31" i="31"/>
  <c r="N110" i="37" s="1"/>
  <c r="AB31" i="31"/>
  <c r="O110" i="37" s="1"/>
  <c r="E32" i="31"/>
  <c r="D40" i="37" s="1"/>
  <c r="G32" i="31"/>
  <c r="F40" i="37" s="1"/>
  <c r="I32" i="31"/>
  <c r="H40" i="37" s="1"/>
  <c r="K32" i="31"/>
  <c r="J40" i="37" s="1"/>
  <c r="M32" i="31"/>
  <c r="L40" i="37" s="1"/>
  <c r="O32" i="31"/>
  <c r="N40" i="37" s="1"/>
  <c r="Q32" i="31"/>
  <c r="D111" i="37" s="1"/>
  <c r="R32" i="31"/>
  <c r="E111" i="37" s="1"/>
  <c r="S32" i="31"/>
  <c r="F111" i="37" s="1"/>
  <c r="T32" i="31"/>
  <c r="G111" i="37" s="1"/>
  <c r="U32" i="31"/>
  <c r="H111" i="37" s="1"/>
  <c r="V32" i="31"/>
  <c r="I111" i="37" s="1"/>
  <c r="W32" i="31"/>
  <c r="J111" i="37" s="1"/>
  <c r="X32" i="31"/>
  <c r="K111" i="37" s="1"/>
  <c r="Y32" i="31"/>
  <c r="L111" i="37" s="1"/>
  <c r="Z32" i="31"/>
  <c r="M111" i="37" s="1"/>
  <c r="AA32" i="31"/>
  <c r="N111" i="37" s="1"/>
  <c r="AB32" i="31"/>
  <c r="O111" i="37" s="1"/>
  <c r="E33" i="31"/>
  <c r="D41" i="37" s="1"/>
  <c r="G33" i="31"/>
  <c r="F41" i="37" s="1"/>
  <c r="I33" i="31"/>
  <c r="H41" i="37" s="1"/>
  <c r="K33" i="31"/>
  <c r="J41" i="37" s="1"/>
  <c r="M33" i="31"/>
  <c r="L41" i="37" s="1"/>
  <c r="O33" i="31"/>
  <c r="N41" i="37" s="1"/>
  <c r="Q33" i="31"/>
  <c r="D112" i="37" s="1"/>
  <c r="R33" i="31"/>
  <c r="E112" i="37" s="1"/>
  <c r="S33" i="31"/>
  <c r="F112" i="37" s="1"/>
  <c r="T33" i="31"/>
  <c r="G112" i="37" s="1"/>
  <c r="U33" i="31"/>
  <c r="H112" i="37" s="1"/>
  <c r="V33" i="31"/>
  <c r="I112" i="37" s="1"/>
  <c r="W33" i="31"/>
  <c r="J112" i="37" s="1"/>
  <c r="X33" i="31"/>
  <c r="K112" i="37" s="1"/>
  <c r="Y33" i="31"/>
  <c r="L112" i="37" s="1"/>
  <c r="Z33" i="31"/>
  <c r="M112" i="37" s="1"/>
  <c r="AA33" i="31"/>
  <c r="N112" i="37" s="1"/>
  <c r="AB33" i="31"/>
  <c r="O112" i="37" s="1"/>
  <c r="E34" i="31"/>
  <c r="D42" i="37" s="1"/>
  <c r="G34" i="31"/>
  <c r="F42" i="37" s="1"/>
  <c r="G29" i="31"/>
  <c r="F37" i="37" s="1"/>
  <c r="I29" i="31"/>
  <c r="H37" i="37" s="1"/>
  <c r="M29" i="31"/>
  <c r="L37" i="37" s="1"/>
  <c r="Q29" i="31"/>
  <c r="D108" i="37" s="1"/>
  <c r="S29" i="31"/>
  <c r="F108" i="37" s="1"/>
  <c r="U29" i="31"/>
  <c r="H108" i="37" s="1"/>
  <c r="W29" i="31"/>
  <c r="J108" i="37" s="1"/>
  <c r="Y29" i="31"/>
  <c r="L108" i="37" s="1"/>
  <c r="AA29" i="31"/>
  <c r="N108" i="37" s="1"/>
  <c r="F30" i="31"/>
  <c r="E38" i="37" s="1"/>
  <c r="J30" i="31"/>
  <c r="I38" i="37" s="1"/>
  <c r="N30" i="31"/>
  <c r="M38" i="37" s="1"/>
  <c r="F31" i="31"/>
  <c r="E39" i="37" s="1"/>
  <c r="J31" i="31"/>
  <c r="I39" i="37" s="1"/>
  <c r="N31" i="31"/>
  <c r="M39" i="37" s="1"/>
  <c r="F32" i="31"/>
  <c r="E40" i="37" s="1"/>
  <c r="J32" i="31"/>
  <c r="I40" i="37" s="1"/>
  <c r="N32" i="31"/>
  <c r="M40" i="37" s="1"/>
  <c r="F33" i="31"/>
  <c r="E41" i="37" s="1"/>
  <c r="J33" i="31"/>
  <c r="I41" i="37" s="1"/>
  <c r="N33" i="31"/>
  <c r="M41" i="37" s="1"/>
  <c r="F34" i="31"/>
  <c r="E42" i="37" s="1"/>
  <c r="I34" i="31"/>
  <c r="H42" i="37" s="1"/>
  <c r="K34" i="31"/>
  <c r="J42" i="37" s="1"/>
  <c r="M34" i="31"/>
  <c r="L42" i="37" s="1"/>
  <c r="O34" i="31"/>
  <c r="N42" i="37" s="1"/>
  <c r="Q34" i="31"/>
  <c r="D113" i="37" s="1"/>
  <c r="R34" i="31"/>
  <c r="E113" i="37" s="1"/>
  <c r="S34" i="31"/>
  <c r="F113" i="37" s="1"/>
  <c r="T34" i="31"/>
  <c r="G113" i="37" s="1"/>
  <c r="U34" i="31"/>
  <c r="H113" i="37" s="1"/>
  <c r="V34" i="31"/>
  <c r="I113" i="37" s="1"/>
  <c r="W34" i="31"/>
  <c r="J113" i="37" s="1"/>
  <c r="X34" i="31"/>
  <c r="K113" i="37" s="1"/>
  <c r="Y34" i="31"/>
  <c r="L113" i="37" s="1"/>
  <c r="Z34" i="31"/>
  <c r="M113" i="37" s="1"/>
  <c r="AA34" i="31"/>
  <c r="N113" i="37" s="1"/>
  <c r="AB34" i="31"/>
  <c r="O113" i="37" s="1"/>
  <c r="E35" i="31"/>
  <c r="D43" i="37" s="1"/>
  <c r="G35" i="31"/>
  <c r="F43" i="37" s="1"/>
  <c r="I35" i="31"/>
  <c r="H43" i="37" s="1"/>
  <c r="K35" i="31"/>
  <c r="J43" i="37" s="1"/>
  <c r="M35" i="31"/>
  <c r="L43" i="37" s="1"/>
  <c r="O35" i="31"/>
  <c r="N43" i="37" s="1"/>
  <c r="Q35" i="31"/>
  <c r="D114" i="37" s="1"/>
  <c r="R35" i="31"/>
  <c r="E114" i="37" s="1"/>
  <c r="S35" i="31"/>
  <c r="F114" i="37" s="1"/>
  <c r="T35" i="31"/>
  <c r="G114" i="37" s="1"/>
  <c r="U35" i="31"/>
  <c r="H114" i="37" s="1"/>
  <c r="V35" i="31"/>
  <c r="I114" i="37" s="1"/>
  <c r="W35" i="31"/>
  <c r="J114" i="37" s="1"/>
  <c r="X35" i="31"/>
  <c r="K114" i="37" s="1"/>
  <c r="Y35" i="31"/>
  <c r="L114" i="37" s="1"/>
  <c r="Z35" i="31"/>
  <c r="M114" i="37" s="1"/>
  <c r="AA35" i="31"/>
  <c r="N114" i="37" s="1"/>
  <c r="AB35" i="31"/>
  <c r="O114" i="37" s="1"/>
  <c r="E36" i="31"/>
  <c r="D44" i="37" s="1"/>
  <c r="G36" i="31"/>
  <c r="F44" i="37" s="1"/>
  <c r="I36" i="31"/>
  <c r="H44" i="37" s="1"/>
  <c r="K36" i="31"/>
  <c r="J44" i="37" s="1"/>
  <c r="M36" i="31"/>
  <c r="L44" i="37" s="1"/>
  <c r="O36" i="31"/>
  <c r="N44" i="37" s="1"/>
  <c r="Q36" i="31"/>
  <c r="D115" i="37" s="1"/>
  <c r="R36" i="31"/>
  <c r="E115" i="37" s="1"/>
  <c r="S36" i="31"/>
  <c r="F115" i="37" s="1"/>
  <c r="T36" i="31"/>
  <c r="G115" i="37" s="1"/>
  <c r="U36" i="31"/>
  <c r="H115" i="37" s="1"/>
  <c r="V36" i="31"/>
  <c r="I115" i="37" s="1"/>
  <c r="W36" i="31"/>
  <c r="J115" i="37" s="1"/>
  <c r="X36" i="31"/>
  <c r="K115" i="37" s="1"/>
  <c r="Y36" i="31"/>
  <c r="L115" i="37" s="1"/>
  <c r="Z36" i="31"/>
  <c r="M115" i="37" s="1"/>
  <c r="AA36" i="31"/>
  <c r="N115" i="37" s="1"/>
  <c r="AB36" i="31"/>
  <c r="O115" i="37" s="1"/>
  <c r="E39" i="31"/>
  <c r="D45" i="37" s="1"/>
  <c r="G39" i="31"/>
  <c r="F45" i="37" s="1"/>
  <c r="I39" i="31"/>
  <c r="H45" i="37" s="1"/>
  <c r="K39" i="31"/>
  <c r="J45" i="37" s="1"/>
  <c r="M39" i="31"/>
  <c r="L45" i="37" s="1"/>
  <c r="O39" i="31"/>
  <c r="N45" i="37" s="1"/>
  <c r="Q39" i="31"/>
  <c r="D116" i="37" s="1"/>
  <c r="R39" i="31"/>
  <c r="E116" i="37" s="1"/>
  <c r="S39" i="31"/>
  <c r="F116" i="37" s="1"/>
  <c r="T39" i="31"/>
  <c r="G116" i="37" s="1"/>
  <c r="U39" i="31"/>
  <c r="H116" i="37" s="1"/>
  <c r="V39" i="31"/>
  <c r="I116" i="37" s="1"/>
  <c r="W39" i="31"/>
  <c r="J116" i="37" s="1"/>
  <c r="X39" i="31"/>
  <c r="K116" i="37" s="1"/>
  <c r="Y39" i="31"/>
  <c r="L116" i="37" s="1"/>
  <c r="Z39" i="31"/>
  <c r="M116" i="37" s="1"/>
  <c r="AA39" i="31"/>
  <c r="N116" i="37" s="1"/>
  <c r="AB39" i="31"/>
  <c r="O116" i="37" s="1"/>
  <c r="E40" i="31"/>
  <c r="D46" i="37" s="1"/>
  <c r="G40" i="31"/>
  <c r="F46" i="37" s="1"/>
  <c r="I40" i="31"/>
  <c r="H46" i="37" s="1"/>
  <c r="K40" i="31"/>
  <c r="J46" i="37" s="1"/>
  <c r="M40" i="31"/>
  <c r="L46" i="37" s="1"/>
  <c r="O40" i="31"/>
  <c r="N46" i="37" s="1"/>
  <c r="Q40" i="31"/>
  <c r="D117" i="37" s="1"/>
  <c r="R40" i="31"/>
  <c r="E117" i="37" s="1"/>
  <c r="S40" i="31"/>
  <c r="F117" i="37" s="1"/>
  <c r="T40" i="31"/>
  <c r="G117" i="37" s="1"/>
  <c r="U40" i="31"/>
  <c r="H117" i="37" s="1"/>
  <c r="V40" i="31"/>
  <c r="I117" i="37" s="1"/>
  <c r="W40" i="31"/>
  <c r="J117" i="37" s="1"/>
  <c r="X40" i="31"/>
  <c r="K117" i="37" s="1"/>
  <c r="Y40" i="31"/>
  <c r="L117" i="37" s="1"/>
  <c r="Z40" i="31"/>
  <c r="M117" i="37" s="1"/>
  <c r="AA40" i="31"/>
  <c r="N117" i="37" s="1"/>
  <c r="AB40" i="31"/>
  <c r="O117" i="37" s="1"/>
  <c r="E41" i="31"/>
  <c r="D47" i="37" s="1"/>
  <c r="G41" i="31"/>
  <c r="F47" i="37" s="1"/>
  <c r="I41" i="31"/>
  <c r="H47" i="37" s="1"/>
  <c r="K41" i="31"/>
  <c r="J47" i="37" s="1"/>
  <c r="M41" i="31"/>
  <c r="L47" i="37" s="1"/>
  <c r="O41" i="31"/>
  <c r="N47" i="37" s="1"/>
  <c r="Q41" i="31"/>
  <c r="D118" i="37" s="1"/>
  <c r="R41" i="31"/>
  <c r="E118" i="37" s="1"/>
  <c r="S41" i="31"/>
  <c r="F118" i="37" s="1"/>
  <c r="T41" i="31"/>
  <c r="G118" i="37" s="1"/>
  <c r="U41" i="31"/>
  <c r="H118" i="37" s="1"/>
  <c r="V41" i="31"/>
  <c r="I118" i="37" s="1"/>
  <c r="W41" i="31"/>
  <c r="J118" i="37" s="1"/>
  <c r="X41" i="31"/>
  <c r="K118" i="37" s="1"/>
  <c r="Y41" i="31"/>
  <c r="L118" i="37" s="1"/>
  <c r="Z41" i="31"/>
  <c r="M118" i="37" s="1"/>
  <c r="AA41" i="31"/>
  <c r="N118" i="37" s="1"/>
  <c r="AB41" i="31"/>
  <c r="O118" i="37" s="1"/>
  <c r="E42" i="31"/>
  <c r="D48" i="37" s="1"/>
  <c r="G42" i="31"/>
  <c r="F48" i="37" s="1"/>
  <c r="I42" i="31"/>
  <c r="H48" i="37" s="1"/>
  <c r="K42" i="31"/>
  <c r="J48" i="37" s="1"/>
  <c r="M42" i="31"/>
  <c r="L48" i="37" s="1"/>
  <c r="O42" i="31"/>
  <c r="N48" i="37" s="1"/>
  <c r="Q42" i="31"/>
  <c r="D119" i="37" s="1"/>
  <c r="R42" i="31"/>
  <c r="E119" i="37" s="1"/>
  <c r="S42" i="31"/>
  <c r="F119" i="37" s="1"/>
  <c r="T42" i="31"/>
  <c r="G119" i="37" s="1"/>
  <c r="U42" i="31"/>
  <c r="H119" i="37" s="1"/>
  <c r="V42" i="31"/>
  <c r="I119" i="37" s="1"/>
  <c r="W42" i="31"/>
  <c r="J119" i="37" s="1"/>
  <c r="X42" i="31"/>
  <c r="K119" i="37" s="1"/>
  <c r="Y42" i="31"/>
  <c r="L119" i="37" s="1"/>
  <c r="Z42" i="31"/>
  <c r="M119" i="37" s="1"/>
  <c r="AA42" i="31"/>
  <c r="N119" i="37" s="1"/>
  <c r="AB42" i="31"/>
  <c r="O119" i="37" s="1"/>
  <c r="E43" i="31"/>
  <c r="D49" i="37" s="1"/>
  <c r="G43" i="31"/>
  <c r="F49" i="37" s="1"/>
  <c r="I43" i="31"/>
  <c r="H49" i="37" s="1"/>
  <c r="K43" i="31"/>
  <c r="J49" i="37" s="1"/>
  <c r="M43" i="31"/>
  <c r="L49" i="37" s="1"/>
  <c r="O43" i="31"/>
  <c r="N49" i="37" s="1"/>
  <c r="Q43" i="31"/>
  <c r="D120" i="37" s="1"/>
  <c r="R43" i="31"/>
  <c r="E120" i="37" s="1"/>
  <c r="S43" i="31"/>
  <c r="F120" i="37" s="1"/>
  <c r="T43" i="31"/>
  <c r="G120" i="37" s="1"/>
  <c r="U43" i="31"/>
  <c r="H120" i="37" s="1"/>
  <c r="V43" i="31"/>
  <c r="I120" i="37" s="1"/>
  <c r="W43" i="31"/>
  <c r="J120" i="37" s="1"/>
  <c r="X43" i="31"/>
  <c r="K120" i="37" s="1"/>
  <c r="Y43" i="31"/>
  <c r="L120" i="37" s="1"/>
  <c r="Z43" i="31"/>
  <c r="M120" i="37" s="1"/>
  <c r="AA43" i="31"/>
  <c r="N120" i="37" s="1"/>
  <c r="AB43" i="31"/>
  <c r="O120" i="37" s="1"/>
  <c r="E44" i="31"/>
  <c r="D50" i="37" s="1"/>
  <c r="G44" i="31"/>
  <c r="F50" i="37" s="1"/>
  <c r="I44" i="31"/>
  <c r="H50" i="37" s="1"/>
  <c r="K44" i="31"/>
  <c r="J50" i="37" s="1"/>
  <c r="M44" i="31"/>
  <c r="L50" i="37" s="1"/>
  <c r="O44" i="31"/>
  <c r="N50" i="37" s="1"/>
  <c r="Q44" i="31"/>
  <c r="D121" i="37" s="1"/>
  <c r="R44" i="31"/>
  <c r="E121" i="37" s="1"/>
  <c r="S44" i="31"/>
  <c r="F121" i="37" s="1"/>
  <c r="T44" i="31"/>
  <c r="G121" i="37" s="1"/>
  <c r="U44" i="31"/>
  <c r="H121" i="37" s="1"/>
  <c r="V44" i="31"/>
  <c r="I121" i="37" s="1"/>
  <c r="W44" i="31"/>
  <c r="J121" i="37" s="1"/>
  <c r="X44" i="31"/>
  <c r="K121" i="37" s="1"/>
  <c r="Y44" i="31"/>
  <c r="L121" i="37" s="1"/>
  <c r="Z44" i="31"/>
  <c r="M121" i="37" s="1"/>
  <c r="AA44" i="31"/>
  <c r="N121" i="37" s="1"/>
  <c r="AB44" i="31"/>
  <c r="O121" i="37" s="1"/>
  <c r="E45" i="31"/>
  <c r="D51" i="37" s="1"/>
  <c r="G45" i="31"/>
  <c r="F51" i="37" s="1"/>
  <c r="I45" i="31"/>
  <c r="H51" i="37" s="1"/>
  <c r="K45" i="31"/>
  <c r="J51" i="37" s="1"/>
  <c r="M45" i="31"/>
  <c r="L51" i="37" s="1"/>
  <c r="O45" i="31"/>
  <c r="N51" i="37" s="1"/>
  <c r="Q45" i="31"/>
  <c r="D122" i="37" s="1"/>
  <c r="R45" i="31"/>
  <c r="E122" i="37" s="1"/>
  <c r="S45" i="31"/>
  <c r="F122" i="37" s="1"/>
  <c r="T45" i="31"/>
  <c r="G122" i="37" s="1"/>
  <c r="U45" i="31"/>
  <c r="H122" i="37" s="1"/>
  <c r="V45" i="31"/>
  <c r="I122" i="37" s="1"/>
  <c r="W45" i="31"/>
  <c r="J122" i="37" s="1"/>
  <c r="X45" i="31"/>
  <c r="K122" i="37" s="1"/>
  <c r="Y45" i="31"/>
  <c r="L122" i="37" s="1"/>
  <c r="Z45" i="31"/>
  <c r="M122" i="37" s="1"/>
  <c r="AA45" i="31"/>
  <c r="N122" i="37" s="1"/>
  <c r="AB45" i="31"/>
  <c r="O122" i="37" s="1"/>
  <c r="E46" i="31"/>
  <c r="D52" i="37" s="1"/>
  <c r="G46" i="31"/>
  <c r="F52" i="37" s="1"/>
  <c r="I46" i="31"/>
  <c r="H52" i="37" s="1"/>
  <c r="K46" i="31"/>
  <c r="J52" i="37" s="1"/>
  <c r="M46" i="31"/>
  <c r="L52" i="37" s="1"/>
  <c r="O46" i="31"/>
  <c r="N52" i="37" s="1"/>
  <c r="Q46" i="31"/>
  <c r="D123" i="37" s="1"/>
  <c r="R46" i="31"/>
  <c r="E123" i="37" s="1"/>
  <c r="S46" i="31"/>
  <c r="F123" i="37" s="1"/>
  <c r="T46" i="31"/>
  <c r="G123" i="37" s="1"/>
  <c r="U46" i="31"/>
  <c r="H123" i="37" s="1"/>
  <c r="V46" i="31"/>
  <c r="I123" i="37" s="1"/>
  <c r="W46" i="31"/>
  <c r="J123" i="37" s="1"/>
  <c r="X46" i="31"/>
  <c r="K123" i="37" s="1"/>
  <c r="Y46" i="31"/>
  <c r="L123" i="37" s="1"/>
  <c r="Z46" i="31"/>
  <c r="M123" i="37" s="1"/>
  <c r="AA46" i="31"/>
  <c r="N123" i="37" s="1"/>
  <c r="AB46" i="31"/>
  <c r="O123" i="37" s="1"/>
  <c r="E47" i="31"/>
  <c r="D53" i="37" s="1"/>
  <c r="G47" i="31"/>
  <c r="F53" i="37" s="1"/>
  <c r="I47" i="31"/>
  <c r="H53" i="37" s="1"/>
  <c r="K47" i="31"/>
  <c r="J53" i="37" s="1"/>
  <c r="M47" i="31"/>
  <c r="L53" i="37" s="1"/>
  <c r="O47" i="31"/>
  <c r="N53" i="37" s="1"/>
  <c r="Q47" i="31"/>
  <c r="D124" i="37" s="1"/>
  <c r="R47" i="31"/>
  <c r="E124" i="37" s="1"/>
  <c r="S47" i="31"/>
  <c r="F124" i="37" s="1"/>
  <c r="T47" i="31"/>
  <c r="G124" i="37" s="1"/>
  <c r="U47" i="31"/>
  <c r="H124" i="37" s="1"/>
  <c r="V47" i="31"/>
  <c r="I124" i="37" s="1"/>
  <c r="W47" i="31"/>
  <c r="J124" i="37" s="1"/>
  <c r="X47" i="31"/>
  <c r="K124" i="37" s="1"/>
  <c r="Y47" i="31"/>
  <c r="L124" i="37" s="1"/>
  <c r="Z47" i="31"/>
  <c r="M124" i="37" s="1"/>
  <c r="AA47" i="31"/>
  <c r="N124" i="37" s="1"/>
  <c r="AB47" i="31"/>
  <c r="O124" i="37" s="1"/>
  <c r="E48" i="31"/>
  <c r="D54" i="37" s="1"/>
  <c r="G48" i="31"/>
  <c r="F54" i="37" s="1"/>
  <c r="I48" i="31"/>
  <c r="H54" i="37" s="1"/>
  <c r="K48" i="31"/>
  <c r="J54" i="37" s="1"/>
  <c r="M48" i="31"/>
  <c r="L54" i="37" s="1"/>
  <c r="O48" i="31"/>
  <c r="N54" i="37" s="1"/>
  <c r="Q48" i="31"/>
  <c r="D125" i="37" s="1"/>
  <c r="R48" i="31"/>
  <c r="E125" i="37" s="1"/>
  <c r="S48" i="31"/>
  <c r="F125" i="37" s="1"/>
  <c r="T48" i="31"/>
  <c r="G125" i="37" s="1"/>
  <c r="U48" i="31"/>
  <c r="H125" i="37" s="1"/>
  <c r="V48" i="31"/>
  <c r="I125" i="37" s="1"/>
  <c r="W48" i="31"/>
  <c r="J125" i="37" s="1"/>
  <c r="X48" i="31"/>
  <c r="K125" i="37" s="1"/>
  <c r="Y48" i="31"/>
  <c r="L125" i="37" s="1"/>
  <c r="Z48" i="31"/>
  <c r="M125" i="37" s="1"/>
  <c r="AA48" i="31"/>
  <c r="N125" i="37" s="1"/>
  <c r="AB48" i="31"/>
  <c r="O125" i="37" s="1"/>
  <c r="E49" i="31"/>
  <c r="D55" i="37" s="1"/>
  <c r="G49" i="31"/>
  <c r="F55" i="37" s="1"/>
  <c r="I49" i="31"/>
  <c r="H55" i="37" s="1"/>
  <c r="K49" i="31"/>
  <c r="J55" i="37" s="1"/>
  <c r="M49" i="31"/>
  <c r="L55" i="37" s="1"/>
  <c r="O49" i="31"/>
  <c r="N55" i="37" s="1"/>
  <c r="Q49" i="31"/>
  <c r="D126" i="37" s="1"/>
  <c r="R49" i="31"/>
  <c r="E126" i="37" s="1"/>
  <c r="S49" i="31"/>
  <c r="F126" i="37" s="1"/>
  <c r="T49" i="31"/>
  <c r="G126" i="37" s="1"/>
  <c r="U49" i="31"/>
  <c r="H126" i="37" s="1"/>
  <c r="V49" i="31"/>
  <c r="I126" i="37" s="1"/>
  <c r="W49" i="31"/>
  <c r="J126" i="37" s="1"/>
  <c r="X49" i="31"/>
  <c r="K126" i="37" s="1"/>
  <c r="Y49" i="31"/>
  <c r="L126" i="37" s="1"/>
  <c r="Z49" i="31"/>
  <c r="M126" i="37" s="1"/>
  <c r="AA49" i="31"/>
  <c r="N126" i="37" s="1"/>
  <c r="AB49" i="31"/>
  <c r="O126" i="37" s="1"/>
  <c r="E50" i="31"/>
  <c r="D56" i="37" s="1"/>
  <c r="G50" i="31"/>
  <c r="F56" i="37" s="1"/>
  <c r="I50" i="31"/>
  <c r="H56" i="37" s="1"/>
  <c r="K50" i="31"/>
  <c r="J56" i="37" s="1"/>
  <c r="M50" i="31"/>
  <c r="L56" i="37" s="1"/>
  <c r="O50" i="31"/>
  <c r="N56" i="37" s="1"/>
  <c r="Q50" i="31"/>
  <c r="D127" i="37" s="1"/>
  <c r="R50" i="31"/>
  <c r="E127" i="37" s="1"/>
  <c r="S50" i="31"/>
  <c r="F127" i="37" s="1"/>
  <c r="T50" i="31"/>
  <c r="G127" i="37" s="1"/>
  <c r="U50" i="31"/>
  <c r="H127" i="37" s="1"/>
  <c r="V50" i="31"/>
  <c r="I127" i="37" s="1"/>
  <c r="W50" i="31"/>
  <c r="J127" i="37" s="1"/>
  <c r="X50" i="31"/>
  <c r="K127" i="37" s="1"/>
  <c r="Y50" i="31"/>
  <c r="L127" i="37" s="1"/>
  <c r="Z50" i="31"/>
  <c r="M127" i="37" s="1"/>
  <c r="AA50" i="31"/>
  <c r="N127" i="37" s="1"/>
  <c r="AB50" i="31"/>
  <c r="O127" i="37" s="1"/>
  <c r="E51" i="31"/>
  <c r="D57" i="37" s="1"/>
  <c r="G51" i="31"/>
  <c r="F57" i="37" s="1"/>
  <c r="I51" i="31"/>
  <c r="H57" i="37" s="1"/>
  <c r="K51" i="31"/>
  <c r="J57" i="37" s="1"/>
  <c r="M51" i="31"/>
  <c r="L57" i="37" s="1"/>
  <c r="O51" i="31"/>
  <c r="N57" i="37" s="1"/>
  <c r="Q51" i="31"/>
  <c r="D128" i="37" s="1"/>
  <c r="R51" i="31"/>
  <c r="E128" i="37" s="1"/>
  <c r="S51" i="31"/>
  <c r="F128" i="37" s="1"/>
  <c r="T51" i="31"/>
  <c r="G128" i="37" s="1"/>
  <c r="U51" i="31"/>
  <c r="H128" i="37" s="1"/>
  <c r="V51" i="31"/>
  <c r="I128" i="37" s="1"/>
  <c r="W51" i="31"/>
  <c r="J128" i="37" s="1"/>
  <c r="X51" i="31"/>
  <c r="K128" i="37" s="1"/>
  <c r="Y51" i="31"/>
  <c r="L128" i="37" s="1"/>
  <c r="Z51" i="31"/>
  <c r="M128" i="37" s="1"/>
  <c r="AA51" i="31"/>
  <c r="N128" i="37" s="1"/>
  <c r="AB51" i="31"/>
  <c r="O128" i="37" s="1"/>
  <c r="E52" i="31"/>
  <c r="D58" i="37" s="1"/>
  <c r="G52" i="31"/>
  <c r="F58" i="37" s="1"/>
  <c r="I52" i="31"/>
  <c r="H58" i="37" s="1"/>
  <c r="K52" i="31"/>
  <c r="J58" i="37" s="1"/>
  <c r="M52" i="31"/>
  <c r="L58" i="37" s="1"/>
  <c r="O52" i="31"/>
  <c r="N58" i="37" s="1"/>
  <c r="Q52" i="31"/>
  <c r="D129" i="37" s="1"/>
  <c r="R52" i="31"/>
  <c r="E129" i="37" s="1"/>
  <c r="S52" i="31"/>
  <c r="F129" i="37" s="1"/>
  <c r="T52" i="31"/>
  <c r="G129" i="37" s="1"/>
  <c r="U52" i="31"/>
  <c r="H129" i="37" s="1"/>
  <c r="V52" i="31"/>
  <c r="I129" i="37" s="1"/>
  <c r="W52" i="31"/>
  <c r="J129" i="37" s="1"/>
  <c r="X52" i="31"/>
  <c r="K129" i="37" s="1"/>
  <c r="Y52" i="31"/>
  <c r="L129" i="37" s="1"/>
  <c r="Z52" i="31"/>
  <c r="M129" i="37" s="1"/>
  <c r="AA52" i="31"/>
  <c r="N129" i="37" s="1"/>
  <c r="AB52" i="31"/>
  <c r="O129" i="37" s="1"/>
  <c r="E53" i="31"/>
  <c r="D59" i="37" s="1"/>
  <c r="G53" i="31"/>
  <c r="F59" i="37" s="1"/>
  <c r="I53" i="31"/>
  <c r="H59" i="37" s="1"/>
  <c r="K53" i="31"/>
  <c r="J59" i="37" s="1"/>
  <c r="M53" i="31"/>
  <c r="L59" i="37" s="1"/>
  <c r="O53" i="31"/>
  <c r="N59" i="37" s="1"/>
  <c r="Q53" i="31"/>
  <c r="D130" i="37" s="1"/>
  <c r="R53" i="31"/>
  <c r="E130" i="37" s="1"/>
  <c r="S53" i="31"/>
  <c r="F130" i="37" s="1"/>
  <c r="T53" i="31"/>
  <c r="G130" i="37" s="1"/>
  <c r="U53" i="31"/>
  <c r="H130" i="37" s="1"/>
  <c r="V53" i="31"/>
  <c r="I130" i="37" s="1"/>
  <c r="W53" i="31"/>
  <c r="J130" i="37" s="1"/>
  <c r="X53" i="31"/>
  <c r="K130" i="37" s="1"/>
  <c r="Y53" i="31"/>
  <c r="L130" i="37" s="1"/>
  <c r="Z53" i="31"/>
  <c r="M130" i="37" s="1"/>
  <c r="AA53" i="31"/>
  <c r="N130" i="37" s="1"/>
  <c r="AB53" i="31"/>
  <c r="O130" i="37" s="1"/>
  <c r="E54" i="31"/>
  <c r="D60" i="37" s="1"/>
  <c r="G54" i="31"/>
  <c r="F60" i="37" s="1"/>
  <c r="I54" i="31"/>
  <c r="H60" i="37" s="1"/>
  <c r="K54" i="31"/>
  <c r="J60" i="37" s="1"/>
  <c r="M54" i="31"/>
  <c r="L60" i="37" s="1"/>
  <c r="O54" i="31"/>
  <c r="N60" i="37" s="1"/>
  <c r="Q54" i="31"/>
  <c r="D131" i="37" s="1"/>
  <c r="R54" i="31"/>
  <c r="E131" i="37" s="1"/>
  <c r="S54" i="31"/>
  <c r="F131" i="37" s="1"/>
  <c r="T54" i="31"/>
  <c r="G131" i="37" s="1"/>
  <c r="U54" i="31"/>
  <c r="H131" i="37" s="1"/>
  <c r="V54" i="31"/>
  <c r="I131" i="37" s="1"/>
  <c r="W54" i="31"/>
  <c r="J131" i="37" s="1"/>
  <c r="X54" i="31"/>
  <c r="K131" i="37" s="1"/>
  <c r="Y54" i="31"/>
  <c r="L131" i="37" s="1"/>
  <c r="Z54" i="31"/>
  <c r="M131" i="37" s="1"/>
  <c r="AA54" i="31"/>
  <c r="N131" i="37" s="1"/>
  <c r="AB54" i="31"/>
  <c r="O131" i="37" s="1"/>
  <c r="E57" i="31"/>
  <c r="D61" i="37" s="1"/>
  <c r="G57" i="31"/>
  <c r="F61" i="37" s="1"/>
  <c r="I57" i="31"/>
  <c r="H61" i="37" s="1"/>
  <c r="K57" i="31"/>
  <c r="J61" i="37" s="1"/>
  <c r="M57" i="31"/>
  <c r="L61" i="37" s="1"/>
  <c r="O57" i="31"/>
  <c r="N61" i="37" s="1"/>
  <c r="Q57" i="31"/>
  <c r="D132" i="37" s="1"/>
  <c r="R57" i="31"/>
  <c r="E132" i="37" s="1"/>
  <c r="S57" i="31"/>
  <c r="F132" i="37" s="1"/>
  <c r="T57" i="31"/>
  <c r="G132" i="37" s="1"/>
  <c r="U57" i="31"/>
  <c r="H132" i="37" s="1"/>
  <c r="V57" i="31"/>
  <c r="I132" i="37" s="1"/>
  <c r="W57" i="31"/>
  <c r="J132" i="37" s="1"/>
  <c r="X57" i="31"/>
  <c r="K132" i="37" s="1"/>
  <c r="Y57" i="31"/>
  <c r="L132" i="37" s="1"/>
  <c r="Z57" i="31"/>
  <c r="M132" i="37" s="1"/>
  <c r="AA57" i="31"/>
  <c r="N132" i="37" s="1"/>
  <c r="AB57" i="31"/>
  <c r="O132" i="37" s="1"/>
  <c r="K29" i="31"/>
  <c r="J37" i="37" s="1"/>
  <c r="O29" i="31"/>
  <c r="N37" i="37" s="1"/>
  <c r="R29" i="31"/>
  <c r="E108" i="37" s="1"/>
  <c r="T29" i="31"/>
  <c r="G108" i="37" s="1"/>
  <c r="V29" i="31"/>
  <c r="I108" i="37" s="1"/>
  <c r="X29" i="31"/>
  <c r="K108" i="37" s="1"/>
  <c r="Z29" i="31"/>
  <c r="M108" i="37" s="1"/>
  <c r="AB29" i="31"/>
  <c r="O108" i="37" s="1"/>
  <c r="H30" i="31"/>
  <c r="G38" i="37" s="1"/>
  <c r="L30" i="31"/>
  <c r="K38" i="37" s="1"/>
  <c r="P30" i="31"/>
  <c r="O38" i="37" s="1"/>
  <c r="H31" i="31"/>
  <c r="G39" i="37" s="1"/>
  <c r="L31" i="31"/>
  <c r="K39" i="37" s="1"/>
  <c r="P31" i="31"/>
  <c r="O39" i="37" s="1"/>
  <c r="H32" i="31"/>
  <c r="G40" i="37" s="1"/>
  <c r="L32" i="31"/>
  <c r="K40" i="37" s="1"/>
  <c r="P32" i="31"/>
  <c r="O40" i="37" s="1"/>
  <c r="H33" i="31"/>
  <c r="G41" i="37" s="1"/>
  <c r="L33" i="31"/>
  <c r="K41" i="37" s="1"/>
  <c r="P33" i="31"/>
  <c r="O41" i="37" s="1"/>
  <c r="H34" i="31"/>
  <c r="G42" i="37" s="1"/>
  <c r="J34" i="31"/>
  <c r="I42" i="37" s="1"/>
  <c r="L34" i="31"/>
  <c r="K42" i="37" s="1"/>
  <c r="N34" i="31"/>
  <c r="M42" i="37" s="1"/>
  <c r="P34" i="31"/>
  <c r="O42" i="37" s="1"/>
  <c r="F35" i="31"/>
  <c r="E43" i="37" s="1"/>
  <c r="H35" i="31"/>
  <c r="G43" i="37" s="1"/>
  <c r="J35" i="31"/>
  <c r="I43" i="37" s="1"/>
  <c r="L35" i="31"/>
  <c r="K43" i="37" s="1"/>
  <c r="N35" i="31"/>
  <c r="M43" i="37" s="1"/>
  <c r="P35" i="31"/>
  <c r="O43" i="37" s="1"/>
  <c r="F36" i="31"/>
  <c r="E44" i="37" s="1"/>
  <c r="H36" i="31"/>
  <c r="G44" i="37" s="1"/>
  <c r="J36" i="31"/>
  <c r="I44" i="37" s="1"/>
  <c r="L36" i="31"/>
  <c r="K44" i="37" s="1"/>
  <c r="N36" i="31"/>
  <c r="M44" i="37" s="1"/>
  <c r="P36" i="31"/>
  <c r="O44" i="37" s="1"/>
  <c r="F39" i="31"/>
  <c r="E45" i="37" s="1"/>
  <c r="H39" i="31"/>
  <c r="G45" i="37" s="1"/>
  <c r="J39" i="31"/>
  <c r="I45" i="37" s="1"/>
  <c r="L39" i="31"/>
  <c r="K45" i="37" s="1"/>
  <c r="N39" i="31"/>
  <c r="M45" i="37" s="1"/>
  <c r="P39" i="31"/>
  <c r="O45" i="37" s="1"/>
  <c r="F40" i="31"/>
  <c r="E46" i="37" s="1"/>
  <c r="H40" i="31"/>
  <c r="G46" i="37" s="1"/>
  <c r="J40" i="31"/>
  <c r="I46" i="37" s="1"/>
  <c r="L40" i="31"/>
  <c r="K46" i="37" s="1"/>
  <c r="N40" i="31"/>
  <c r="M46" i="37" s="1"/>
  <c r="P40" i="31"/>
  <c r="O46" i="37" s="1"/>
  <c r="F41" i="31"/>
  <c r="E47" i="37" s="1"/>
  <c r="H41" i="31"/>
  <c r="G47" i="37" s="1"/>
  <c r="J41" i="31"/>
  <c r="I47" i="37" s="1"/>
  <c r="L41" i="31"/>
  <c r="K47" i="37" s="1"/>
  <c r="N41" i="31"/>
  <c r="M47" i="37" s="1"/>
  <c r="P41" i="31"/>
  <c r="O47" i="37" s="1"/>
  <c r="F42" i="31"/>
  <c r="E48" i="37" s="1"/>
  <c r="H42" i="31"/>
  <c r="G48" i="37" s="1"/>
  <c r="J42" i="31"/>
  <c r="I48" i="37" s="1"/>
  <c r="L42" i="31"/>
  <c r="K48" i="37" s="1"/>
  <c r="N42" i="31"/>
  <c r="M48" i="37" s="1"/>
  <c r="P42" i="31"/>
  <c r="O48" i="37" s="1"/>
  <c r="F43" i="31"/>
  <c r="E49" i="37" s="1"/>
  <c r="H43" i="31"/>
  <c r="G49" i="37" s="1"/>
  <c r="J43" i="31"/>
  <c r="I49" i="37" s="1"/>
  <c r="L43" i="31"/>
  <c r="K49" i="37" s="1"/>
  <c r="N43" i="31"/>
  <c r="M49" i="37" s="1"/>
  <c r="P43" i="31"/>
  <c r="O49" i="37" s="1"/>
  <c r="F44" i="31"/>
  <c r="E50" i="37" s="1"/>
  <c r="H44" i="31"/>
  <c r="G50" i="37" s="1"/>
  <c r="J44" i="31"/>
  <c r="I50" i="37" s="1"/>
  <c r="L44" i="31"/>
  <c r="K50" i="37" s="1"/>
  <c r="N44" i="31"/>
  <c r="M50" i="37" s="1"/>
  <c r="P44" i="31"/>
  <c r="O50" i="37" s="1"/>
  <c r="F45" i="31"/>
  <c r="E51" i="37" s="1"/>
  <c r="H45" i="31"/>
  <c r="G51" i="37" s="1"/>
  <c r="J45" i="31"/>
  <c r="I51" i="37" s="1"/>
  <c r="L45" i="31"/>
  <c r="K51" i="37" s="1"/>
  <c r="N45" i="31"/>
  <c r="M51" i="37" s="1"/>
  <c r="P45" i="31"/>
  <c r="O51" i="37" s="1"/>
  <c r="F46" i="31"/>
  <c r="E52" i="37" s="1"/>
  <c r="H46" i="31"/>
  <c r="G52" i="37" s="1"/>
  <c r="J46" i="31"/>
  <c r="I52" i="37" s="1"/>
  <c r="L46" i="31"/>
  <c r="K52" i="37" s="1"/>
  <c r="N46" i="31"/>
  <c r="M52" i="37" s="1"/>
  <c r="P46" i="31"/>
  <c r="O52" i="37" s="1"/>
  <c r="F47" i="31"/>
  <c r="E53" i="37" s="1"/>
  <c r="H47" i="31"/>
  <c r="G53" i="37" s="1"/>
  <c r="J47" i="31"/>
  <c r="I53" i="37" s="1"/>
  <c r="L47" i="31"/>
  <c r="K53" i="37" s="1"/>
  <c r="N47" i="31"/>
  <c r="M53" i="37" s="1"/>
  <c r="P47" i="31"/>
  <c r="O53" i="37" s="1"/>
  <c r="F48" i="31"/>
  <c r="E54" i="37" s="1"/>
  <c r="H48" i="31"/>
  <c r="G54" i="37" s="1"/>
  <c r="J48" i="31"/>
  <c r="I54" i="37" s="1"/>
  <c r="L48" i="31"/>
  <c r="K54" i="37" s="1"/>
  <c r="N48" i="31"/>
  <c r="M54" i="37" s="1"/>
  <c r="P48" i="31"/>
  <c r="O54" i="37" s="1"/>
  <c r="F49" i="31"/>
  <c r="E55" i="37" s="1"/>
  <c r="H49" i="31"/>
  <c r="G55" i="37" s="1"/>
  <c r="J49" i="31"/>
  <c r="I55" i="37" s="1"/>
  <c r="L49" i="31"/>
  <c r="K55" i="37" s="1"/>
  <c r="N49" i="31"/>
  <c r="M55" i="37" s="1"/>
  <c r="P49" i="31"/>
  <c r="O55" i="37" s="1"/>
  <c r="F50" i="31"/>
  <c r="E56" i="37" s="1"/>
  <c r="H50" i="31"/>
  <c r="G56" i="37" s="1"/>
  <c r="J50" i="31"/>
  <c r="I56" i="37" s="1"/>
  <c r="L50" i="31"/>
  <c r="K56" i="37" s="1"/>
  <c r="N50" i="31"/>
  <c r="M56" i="37" s="1"/>
  <c r="P50" i="31"/>
  <c r="O56" i="37" s="1"/>
  <c r="F51" i="31"/>
  <c r="E57" i="37" s="1"/>
  <c r="H51" i="31"/>
  <c r="G57" i="37" s="1"/>
  <c r="J51" i="31"/>
  <c r="I57" i="37" s="1"/>
  <c r="L51" i="31"/>
  <c r="K57" i="37" s="1"/>
  <c r="N51" i="31"/>
  <c r="M57" i="37" s="1"/>
  <c r="P51" i="31"/>
  <c r="O57" i="37" s="1"/>
  <c r="F52" i="31"/>
  <c r="E58" i="37" s="1"/>
  <c r="H52" i="31"/>
  <c r="G58" i="37" s="1"/>
  <c r="J52" i="31"/>
  <c r="I58" i="37" s="1"/>
  <c r="L52" i="31"/>
  <c r="K58" i="37" s="1"/>
  <c r="N52" i="31"/>
  <c r="M58" i="37" s="1"/>
  <c r="P52" i="31"/>
  <c r="O58" i="37" s="1"/>
  <c r="F53" i="31"/>
  <c r="E59" i="37" s="1"/>
  <c r="H53" i="31"/>
  <c r="G59" i="37" s="1"/>
  <c r="J53" i="31"/>
  <c r="I59" i="37" s="1"/>
  <c r="L53" i="31"/>
  <c r="K59" i="37" s="1"/>
  <c r="N53" i="31"/>
  <c r="M59" i="37" s="1"/>
  <c r="P53" i="31"/>
  <c r="O59" i="37" s="1"/>
  <c r="F54" i="31"/>
  <c r="E60" i="37" s="1"/>
  <c r="H54" i="31"/>
  <c r="G60" i="37" s="1"/>
  <c r="J54" i="31"/>
  <c r="I60" i="37" s="1"/>
  <c r="L54" i="31"/>
  <c r="K60" i="37" s="1"/>
  <c r="N54" i="31"/>
  <c r="M60" i="37" s="1"/>
  <c r="P54" i="31"/>
  <c r="O60" i="37" s="1"/>
  <c r="F57" i="31"/>
  <c r="E61" i="37" s="1"/>
  <c r="H57" i="31"/>
  <c r="G61" i="37" s="1"/>
  <c r="J57" i="31"/>
  <c r="I61" i="37" s="1"/>
  <c r="L57" i="31"/>
  <c r="K61" i="37" s="1"/>
  <c r="N57" i="31"/>
  <c r="M61" i="37" s="1"/>
  <c r="P57" i="31"/>
  <c r="O61" i="37" s="1"/>
  <c r="F18" i="31"/>
  <c r="E26" i="37"/>
  <c r="H18" i="31"/>
  <c r="G26" i="37" s="1"/>
  <c r="J18" i="31"/>
  <c r="I26" i="37" s="1"/>
  <c r="L18" i="31"/>
  <c r="K26" i="37"/>
  <c r="N18" i="31"/>
  <c r="M26" i="37"/>
  <c r="P18" i="31"/>
  <c r="O26" i="37" s="1"/>
  <c r="R18" i="31"/>
  <c r="E97" i="37" s="1"/>
  <c r="T18" i="31"/>
  <c r="G97" i="37"/>
  <c r="V18" i="31"/>
  <c r="I97" i="37" s="1"/>
  <c r="X18" i="31"/>
  <c r="K97" i="37" s="1"/>
  <c r="Z18" i="31"/>
  <c r="M97" i="37" s="1"/>
  <c r="AB18" i="31"/>
  <c r="O97" i="37" s="1"/>
  <c r="F16" i="31"/>
  <c r="E24" i="37" s="1"/>
  <c r="H16" i="31"/>
  <c r="G24" i="37" s="1"/>
  <c r="J16" i="31"/>
  <c r="I24" i="37" s="1"/>
  <c r="L16" i="31"/>
  <c r="K24" i="37" s="1"/>
  <c r="N16" i="31"/>
  <c r="P16" i="31"/>
  <c r="O24" i="37"/>
  <c r="E23" i="31"/>
  <c r="D31" i="37"/>
  <c r="AB21" i="31"/>
  <c r="O100" i="37" s="1"/>
  <c r="X21" i="31"/>
  <c r="K100" i="37"/>
  <c r="T21" i="31"/>
  <c r="G100" i="37"/>
  <c r="P21" i="31"/>
  <c r="O29" i="37"/>
  <c r="L21" i="31"/>
  <c r="K29" i="37" s="1"/>
  <c r="H21" i="31"/>
  <c r="G29" i="37"/>
  <c r="AA23" i="31"/>
  <c r="N102" i="37"/>
  <c r="W23" i="31"/>
  <c r="S23" i="31"/>
  <c r="F102" i="37" s="1"/>
  <c r="O23" i="31"/>
  <c r="N31" i="37" s="1"/>
  <c r="K23" i="31"/>
  <c r="J31" i="37" s="1"/>
  <c r="G23" i="31"/>
  <c r="F31" i="37" s="1"/>
  <c r="Y25" i="31"/>
  <c r="L104" i="37" s="1"/>
  <c r="U25" i="31"/>
  <c r="H104" i="37" s="1"/>
  <c r="Q25" i="31"/>
  <c r="D104" i="37" s="1"/>
  <c r="M25" i="31"/>
  <c r="L33" i="37" s="1"/>
  <c r="I25" i="31"/>
  <c r="H33" i="37" s="1"/>
  <c r="AB16" i="31"/>
  <c r="O95" i="37" s="1"/>
  <c r="X16" i="31"/>
  <c r="K95" i="37"/>
  <c r="T16" i="31"/>
  <c r="G95" i="37"/>
  <c r="F3" i="12"/>
  <c r="G3" i="12" s="1"/>
  <c r="W39" i="38"/>
  <c r="F29" i="38" s="1"/>
  <c r="B16" i="36"/>
  <c r="E4" i="37" s="1"/>
  <c r="L75" i="37"/>
  <c r="F18" i="17"/>
  <c r="C58" i="12"/>
  <c r="D81" i="5"/>
  <c r="F81" i="5"/>
  <c r="F38" i="5"/>
  <c r="C38" i="5"/>
  <c r="I38" i="5"/>
  <c r="L38" i="5"/>
  <c r="D38" i="5"/>
  <c r="M38" i="5"/>
  <c r="K38" i="5"/>
  <c r="E38" i="5"/>
  <c r="I81" i="5"/>
  <c r="H81" i="5"/>
  <c r="N81" i="5"/>
  <c r="M81" i="5"/>
  <c r="G81" i="5"/>
  <c r="J81" i="5"/>
  <c r="E81" i="5"/>
  <c r="L81" i="5"/>
  <c r="K81" i="5"/>
  <c r="J38" i="5"/>
  <c r="H38" i="5"/>
  <c r="C21" i="12"/>
  <c r="G38" i="5"/>
  <c r="N38" i="5"/>
  <c r="H19" i="6"/>
  <c r="I17" i="6" s="1"/>
  <c r="I19" i="6" s="1"/>
  <c r="J17" i="6" s="1"/>
  <c r="J19" i="6" s="1"/>
  <c r="K17" i="6" s="1"/>
  <c r="K19" i="6" s="1"/>
  <c r="C35" i="6"/>
  <c r="C36" i="6" s="1"/>
  <c r="C37" i="6" s="1"/>
  <c r="B39" i="6"/>
  <c r="C23" i="6"/>
  <c r="C24" i="6" s="1"/>
  <c r="D22" i="6" s="1"/>
  <c r="D23" i="6" s="1"/>
  <c r="E12" i="31"/>
  <c r="G14" i="39"/>
  <c r="C26" i="6"/>
  <c r="M24" i="37"/>
  <c r="E4" i="17"/>
  <c r="G10" i="37" s="1"/>
  <c r="C5" i="17"/>
  <c r="E11" i="37" s="1"/>
  <c r="F4" i="37"/>
  <c r="O76" i="37"/>
  <c r="D3" i="37"/>
  <c r="H3" i="37"/>
  <c r="B15" i="36"/>
  <c r="G73" i="37"/>
  <c r="N74" i="37"/>
  <c r="K75" i="37"/>
  <c r="J3" i="37"/>
  <c r="G4" i="37"/>
  <c r="D3" i="17"/>
  <c r="D9" i="17" s="1"/>
  <c r="L3" i="17"/>
  <c r="L9" i="17" s="1"/>
  <c r="B5" i="17"/>
  <c r="D11" i="37" s="1"/>
  <c r="G4" i="17"/>
  <c r="G10" i="17" s="1"/>
  <c r="G18" i="17"/>
  <c r="E17" i="17"/>
  <c r="E74" i="37"/>
  <c r="M74" i="37"/>
  <c r="M5" i="37"/>
  <c r="E5" i="37"/>
  <c r="D75" i="37"/>
  <c r="I76" i="37"/>
  <c r="F4" i="17"/>
  <c r="F10" i="17" s="1"/>
  <c r="F3" i="17"/>
  <c r="H9" i="37" s="1"/>
  <c r="J76" i="37"/>
  <c r="E73" i="37"/>
  <c r="M73" i="37"/>
  <c r="I2" i="37"/>
  <c r="C15" i="17"/>
  <c r="M15" i="17"/>
  <c r="M21" i="17" s="1"/>
  <c r="G2" i="17"/>
  <c r="G8" i="17" s="1"/>
  <c r="M2" i="17"/>
  <c r="M8" i="17" s="1"/>
  <c r="J73" i="37"/>
  <c r="F2" i="37"/>
  <c r="N2" i="37"/>
  <c r="I15" i="17"/>
  <c r="I21" i="17" s="1"/>
  <c r="E2" i="17"/>
  <c r="G8" i="37" s="1"/>
  <c r="K2" i="17"/>
  <c r="M8" i="37" s="1"/>
  <c r="K15" i="17"/>
  <c r="G15" i="17"/>
  <c r="J2" i="37"/>
  <c r="N73" i="37"/>
  <c r="F73" i="37"/>
  <c r="I2" i="17"/>
  <c r="I8" i="17" s="1"/>
  <c r="C2" i="17"/>
  <c r="C8" i="17" s="1"/>
  <c r="E15" i="17"/>
  <c r="E21" i="17" s="1"/>
  <c r="M2" i="37"/>
  <c r="E2" i="37"/>
  <c r="I73" i="37"/>
  <c r="L2" i="17"/>
  <c r="L8" i="17" s="1"/>
  <c r="F2" i="17"/>
  <c r="H8" i="37" s="1"/>
  <c r="L15" i="17"/>
  <c r="J15" i="17"/>
  <c r="J21" i="17" s="1"/>
  <c r="H15" i="17"/>
  <c r="D2" i="37"/>
  <c r="L2" i="37"/>
  <c r="H2" i="37"/>
  <c r="D73" i="37"/>
  <c r="L73" i="37"/>
  <c r="H73" i="37"/>
  <c r="B2" i="17"/>
  <c r="B8" i="17" s="1"/>
  <c r="J2" i="17"/>
  <c r="J8" i="17" s="1"/>
  <c r="H2" i="17"/>
  <c r="J8" i="37"/>
  <c r="D2" i="17"/>
  <c r="B15" i="17"/>
  <c r="F15" i="17"/>
  <c r="D15" i="17"/>
  <c r="O2" i="37"/>
  <c r="K2" i="37"/>
  <c r="G2" i="37"/>
  <c r="O73" i="37"/>
  <c r="K73" i="37"/>
  <c r="I10" i="37"/>
  <c r="F9" i="37"/>
  <c r="D8" i="17"/>
  <c r="F8" i="37"/>
  <c r="H21" i="17"/>
  <c r="F21" i="17"/>
  <c r="K21" i="17"/>
  <c r="O8" i="37"/>
  <c r="K8" i="37"/>
  <c r="I8" i="37"/>
  <c r="C21" i="17"/>
  <c r="H8" i="17"/>
  <c r="E35" i="27"/>
  <c r="J102" i="37"/>
  <c r="E79" i="37" l="1"/>
  <c r="F79" i="37"/>
  <c r="O79" i="37"/>
  <c r="G79" i="37"/>
  <c r="B14" i="5"/>
  <c r="C81" i="6"/>
  <c r="Y39" i="38"/>
  <c r="H29" i="38" s="1"/>
  <c r="H3" i="12"/>
  <c r="I3" i="12" s="1"/>
  <c r="D30" i="27"/>
  <c r="D79" i="37"/>
  <c r="D74" i="37"/>
  <c r="D77" i="37" s="1"/>
  <c r="O72" i="6" s="1"/>
  <c r="C18" i="17"/>
  <c r="K12" i="31"/>
  <c r="J20" i="37" s="1"/>
  <c r="I4" i="17"/>
  <c r="N8" i="37"/>
  <c r="C11" i="17"/>
  <c r="L3" i="37"/>
  <c r="J17" i="17"/>
  <c r="F74" i="37"/>
  <c r="F77" i="37" s="1"/>
  <c r="Q72" i="6" s="1"/>
  <c r="U12" i="31"/>
  <c r="B11" i="17"/>
  <c r="O3" i="37"/>
  <c r="H18" i="17"/>
  <c r="L76" i="37"/>
  <c r="C3" i="17"/>
  <c r="H14" i="39"/>
  <c r="C4" i="17"/>
  <c r="L59" i="39"/>
  <c r="E41" i="39"/>
  <c r="J49" i="39"/>
  <c r="H59" i="39"/>
  <c r="R19" i="39"/>
  <c r="R16" i="31"/>
  <c r="E95" i="37" s="1"/>
  <c r="X55" i="39"/>
  <c r="Y55" i="39"/>
  <c r="R55" i="39"/>
  <c r="Z55" i="39"/>
  <c r="Q55" i="39"/>
  <c r="S55" i="39"/>
  <c r="AA55" i="39"/>
  <c r="U55" i="39"/>
  <c r="W55" i="39"/>
  <c r="L55" i="39"/>
  <c r="M55" i="39"/>
  <c r="T55" i="39"/>
  <c r="F55" i="39"/>
  <c r="N55" i="39"/>
  <c r="V55" i="39"/>
  <c r="G55" i="39"/>
  <c r="O55" i="39"/>
  <c r="AB55" i="39"/>
  <c r="I55" i="39"/>
  <c r="J55" i="39"/>
  <c r="X47" i="39"/>
  <c r="Y47" i="39"/>
  <c r="R47" i="39"/>
  <c r="Z47" i="39"/>
  <c r="Q47" i="39"/>
  <c r="S47" i="39"/>
  <c r="AA47" i="39"/>
  <c r="U47" i="39"/>
  <c r="V47" i="39"/>
  <c r="W47" i="39"/>
  <c r="L47" i="39"/>
  <c r="M47" i="39"/>
  <c r="F47" i="39"/>
  <c r="N47" i="39"/>
  <c r="G47" i="39"/>
  <c r="O47" i="39"/>
  <c r="H47" i="39"/>
  <c r="P47" i="39"/>
  <c r="T47" i="39"/>
  <c r="I47" i="39"/>
  <c r="AB47" i="39"/>
  <c r="J47" i="39"/>
  <c r="U31" i="39"/>
  <c r="V31" i="39"/>
  <c r="W31" i="39"/>
  <c r="X31" i="39"/>
  <c r="Q31" i="39"/>
  <c r="R31" i="39"/>
  <c r="Z31" i="39"/>
  <c r="S31" i="39"/>
  <c r="AA31" i="39"/>
  <c r="T31" i="39"/>
  <c r="AB31" i="39"/>
  <c r="I31" i="39"/>
  <c r="J31" i="39"/>
  <c r="K31" i="39"/>
  <c r="E31" i="39"/>
  <c r="L31" i="39"/>
  <c r="M31" i="39"/>
  <c r="F31" i="39"/>
  <c r="N31" i="39"/>
  <c r="G31" i="39"/>
  <c r="O31" i="39"/>
  <c r="U23" i="39"/>
  <c r="V23" i="39"/>
  <c r="W23" i="39"/>
  <c r="X23" i="39"/>
  <c r="Q23" i="39"/>
  <c r="L23" i="39"/>
  <c r="R23" i="39"/>
  <c r="Z23" i="39"/>
  <c r="F23" i="39"/>
  <c r="N23" i="39"/>
  <c r="S23" i="39"/>
  <c r="AA23" i="39"/>
  <c r="T23" i="39"/>
  <c r="AB23" i="39"/>
  <c r="M23" i="39"/>
  <c r="O23" i="39"/>
  <c r="P23" i="39"/>
  <c r="E23" i="39"/>
  <c r="G23" i="39"/>
  <c r="Y23" i="39"/>
  <c r="H23" i="39"/>
  <c r="I23" i="39"/>
  <c r="J23" i="39"/>
  <c r="T15" i="39"/>
  <c r="AB15" i="39"/>
  <c r="U15" i="39"/>
  <c r="I15" i="39"/>
  <c r="V15" i="39"/>
  <c r="J15" i="39"/>
  <c r="W15" i="39"/>
  <c r="K15" i="39"/>
  <c r="Y15" i="39"/>
  <c r="M15" i="39"/>
  <c r="R15" i="39"/>
  <c r="Z15" i="39"/>
  <c r="S15" i="39"/>
  <c r="AA15" i="39"/>
  <c r="Q15" i="39"/>
  <c r="O15" i="39"/>
  <c r="P15" i="39"/>
  <c r="F15" i="39"/>
  <c r="G15" i="39"/>
  <c r="X15" i="39"/>
  <c r="H15" i="39"/>
  <c r="L15" i="39"/>
  <c r="V7" i="39"/>
  <c r="W7" i="39"/>
  <c r="K7" i="39"/>
  <c r="X7" i="39"/>
  <c r="L7" i="39"/>
  <c r="Y7" i="39"/>
  <c r="M7" i="39"/>
  <c r="S7" i="39"/>
  <c r="AA7" i="39"/>
  <c r="G7" i="39"/>
  <c r="O7" i="39"/>
  <c r="T7" i="39"/>
  <c r="AB7" i="39"/>
  <c r="U7" i="39"/>
  <c r="Q7" i="39"/>
  <c r="N7" i="39"/>
  <c r="P7" i="39"/>
  <c r="R7" i="39"/>
  <c r="Z7" i="39"/>
  <c r="F7" i="39"/>
  <c r="H7" i="39"/>
  <c r="I7" i="39"/>
  <c r="E59" i="39"/>
  <c r="E45" i="39"/>
  <c r="E30" i="39"/>
  <c r="N54" i="39"/>
  <c r="O51" i="39"/>
  <c r="H48" i="39"/>
  <c r="J42" i="39"/>
  <c r="I36" i="39"/>
  <c r="K30" i="39"/>
  <c r="L24" i="39"/>
  <c r="E8" i="17"/>
  <c r="G3" i="37"/>
  <c r="B17" i="17"/>
  <c r="J4" i="17"/>
  <c r="J74" i="37"/>
  <c r="J77" i="37" s="1"/>
  <c r="U72" i="6" s="1"/>
  <c r="D16" i="17"/>
  <c r="N9" i="37"/>
  <c r="E5" i="17"/>
  <c r="E11" i="17" s="1"/>
  <c r="L18" i="17"/>
  <c r="L5" i="37"/>
  <c r="D76" i="37"/>
  <c r="K5" i="37"/>
  <c r="V14" i="39"/>
  <c r="L5" i="17"/>
  <c r="N11" i="37" s="1"/>
  <c r="K8" i="17"/>
  <c r="H10" i="37"/>
  <c r="I79" i="37"/>
  <c r="I4" i="37"/>
  <c r="K74" i="37"/>
  <c r="N75" i="37"/>
  <c r="F17" i="17"/>
  <c r="H16" i="17"/>
  <c r="H5" i="37"/>
  <c r="M5" i="17"/>
  <c r="D17" i="17"/>
  <c r="D19" i="17" s="1"/>
  <c r="X39" i="38"/>
  <c r="G29" i="38" s="1"/>
  <c r="E10" i="17"/>
  <c r="M79" i="37"/>
  <c r="H74" i="37"/>
  <c r="F5" i="37"/>
  <c r="H75" i="37"/>
  <c r="H4" i="37"/>
  <c r="H6" i="37" s="1"/>
  <c r="G72" i="6" s="1"/>
  <c r="J75" i="37"/>
  <c r="M17" i="17"/>
  <c r="D18" i="17"/>
  <c r="F16" i="17"/>
  <c r="F19" i="17" s="1"/>
  <c r="O4" i="37"/>
  <c r="H76" i="37"/>
  <c r="O74" i="37"/>
  <c r="K3" i="17"/>
  <c r="P14" i="39"/>
  <c r="I16" i="17"/>
  <c r="Y57" i="6"/>
  <c r="M53" i="12" s="1"/>
  <c r="E11" i="41"/>
  <c r="F8" i="41" s="1"/>
  <c r="E9" i="41"/>
  <c r="E12" i="42"/>
  <c r="E13" i="42" s="1"/>
  <c r="S54" i="39"/>
  <c r="AA54" i="39"/>
  <c r="T54" i="39"/>
  <c r="AB54" i="39"/>
  <c r="Q54" i="39"/>
  <c r="U54" i="39"/>
  <c r="V54" i="39"/>
  <c r="X54" i="39"/>
  <c r="R54" i="39"/>
  <c r="Z54" i="39"/>
  <c r="W54" i="39"/>
  <c r="G54" i="39"/>
  <c r="O54" i="39"/>
  <c r="E54" i="39"/>
  <c r="Y54" i="39"/>
  <c r="H54" i="39"/>
  <c r="P54" i="39"/>
  <c r="I54" i="39"/>
  <c r="J54" i="39"/>
  <c r="L54" i="39"/>
  <c r="M54" i="39"/>
  <c r="S46" i="39"/>
  <c r="AA46" i="39"/>
  <c r="T46" i="39"/>
  <c r="AB46" i="39"/>
  <c r="Q46" i="39"/>
  <c r="U46" i="39"/>
  <c r="V46" i="39"/>
  <c r="X46" i="39"/>
  <c r="Y46" i="39"/>
  <c r="R46" i="39"/>
  <c r="Z46" i="39"/>
  <c r="G46" i="39"/>
  <c r="O46" i="39"/>
  <c r="E46" i="39"/>
  <c r="H46" i="39"/>
  <c r="P46" i="39"/>
  <c r="I46" i="39"/>
  <c r="J46" i="39"/>
  <c r="W46" i="39"/>
  <c r="K46" i="39"/>
  <c r="L46" i="39"/>
  <c r="M46" i="39"/>
  <c r="X38" i="39"/>
  <c r="Y38" i="39"/>
  <c r="R38" i="39"/>
  <c r="Z38" i="39"/>
  <c r="Q38" i="39"/>
  <c r="S38" i="39"/>
  <c r="AA38" i="39"/>
  <c r="U38" i="39"/>
  <c r="V38" i="39"/>
  <c r="W38" i="39"/>
  <c r="T38" i="39"/>
  <c r="L38" i="39"/>
  <c r="AB38" i="39"/>
  <c r="M38" i="39"/>
  <c r="F38" i="39"/>
  <c r="N38" i="39"/>
  <c r="G38" i="39"/>
  <c r="O38" i="39"/>
  <c r="H38" i="39"/>
  <c r="P38" i="39"/>
  <c r="I38" i="39"/>
  <c r="J38" i="39"/>
  <c r="X30" i="39"/>
  <c r="Y30" i="39"/>
  <c r="R30" i="39"/>
  <c r="Z30" i="39"/>
  <c r="Q30" i="39"/>
  <c r="S30" i="39"/>
  <c r="AA30" i="39"/>
  <c r="U30" i="39"/>
  <c r="V30" i="39"/>
  <c r="W30" i="39"/>
  <c r="L30" i="39"/>
  <c r="M30" i="39"/>
  <c r="F30" i="39"/>
  <c r="N30" i="39"/>
  <c r="G30" i="39"/>
  <c r="O30" i="39"/>
  <c r="H30" i="39"/>
  <c r="P30" i="39"/>
  <c r="T30" i="39"/>
  <c r="I30" i="39"/>
  <c r="AB30" i="39"/>
  <c r="J30" i="39"/>
  <c r="X22" i="39"/>
  <c r="Y22" i="39"/>
  <c r="R22" i="39"/>
  <c r="Z22" i="39"/>
  <c r="Q22" i="39"/>
  <c r="S22" i="39"/>
  <c r="AA22" i="39"/>
  <c r="G22" i="39"/>
  <c r="O22" i="39"/>
  <c r="U22" i="39"/>
  <c r="I22" i="39"/>
  <c r="V22" i="39"/>
  <c r="W22" i="39"/>
  <c r="M22" i="39"/>
  <c r="N22" i="39"/>
  <c r="T22" i="39"/>
  <c r="P22" i="39"/>
  <c r="AB22" i="39"/>
  <c r="F22" i="39"/>
  <c r="H22" i="39"/>
  <c r="J22" i="39"/>
  <c r="K22" i="39"/>
  <c r="Y6" i="39"/>
  <c r="R6" i="39"/>
  <c r="Z6" i="39"/>
  <c r="F6" i="39"/>
  <c r="N6" i="39"/>
  <c r="S6" i="39"/>
  <c r="AA6" i="39"/>
  <c r="G6" i="39"/>
  <c r="O6" i="39"/>
  <c r="T6" i="39"/>
  <c r="AB6" i="39"/>
  <c r="H6" i="39"/>
  <c r="P6" i="39"/>
  <c r="V6" i="39"/>
  <c r="J6" i="39"/>
  <c r="W6" i="39"/>
  <c r="X6" i="39"/>
  <c r="Q6" i="39"/>
  <c r="I6" i="39"/>
  <c r="U6" i="39"/>
  <c r="K6" i="39"/>
  <c r="L6" i="39"/>
  <c r="M6" i="39"/>
  <c r="E6" i="39"/>
  <c r="E43" i="39"/>
  <c r="E9" i="39"/>
  <c r="K54" i="39"/>
  <c r="L51" i="39"/>
  <c r="K47" i="39"/>
  <c r="M41" i="39"/>
  <c r="L35" i="39"/>
  <c r="N29" i="39"/>
  <c r="K23" i="39"/>
  <c r="Y56" i="39"/>
  <c r="W37" i="39"/>
  <c r="J79" i="37"/>
  <c r="E75" i="37"/>
  <c r="E77" i="37" s="1"/>
  <c r="P72" i="6" s="1"/>
  <c r="N5" i="37"/>
  <c r="E76" i="37"/>
  <c r="L4" i="37"/>
  <c r="L6" i="37" s="1"/>
  <c r="K72" i="6" s="1"/>
  <c r="F75" i="37"/>
  <c r="I17" i="17"/>
  <c r="I5" i="17"/>
  <c r="B3" i="17"/>
  <c r="K4" i="37"/>
  <c r="O75" i="37"/>
  <c r="F76" i="37"/>
  <c r="G76" i="37"/>
  <c r="G16" i="17"/>
  <c r="W14" i="39"/>
  <c r="J4" i="37"/>
  <c r="G60" i="27"/>
  <c r="E7" i="12" s="1"/>
  <c r="D6" i="30"/>
  <c r="H57" i="6"/>
  <c r="H16" i="12" s="1"/>
  <c r="M53" i="39"/>
  <c r="Z45" i="39"/>
  <c r="J37" i="39"/>
  <c r="J29" i="39"/>
  <c r="S13" i="39"/>
  <c r="E55" i="39"/>
  <c r="E7" i="39"/>
  <c r="P56" i="39"/>
  <c r="F54" i="39"/>
  <c r="G51" i="39"/>
  <c r="N46" i="39"/>
  <c r="O34" i="39"/>
  <c r="F29" i="39"/>
  <c r="L22" i="39"/>
  <c r="AB53" i="39"/>
  <c r="Y31" i="39"/>
  <c r="C57" i="6"/>
  <c r="C16" i="12" s="1"/>
  <c r="O57" i="6"/>
  <c r="C53" i="12" s="1"/>
  <c r="Y52" i="39"/>
  <c r="R52" i="39"/>
  <c r="Z52" i="39"/>
  <c r="S52" i="39"/>
  <c r="AA52" i="39"/>
  <c r="T52" i="39"/>
  <c r="AB52" i="39"/>
  <c r="V52" i="39"/>
  <c r="X52" i="39"/>
  <c r="Q52" i="39"/>
  <c r="M52" i="39"/>
  <c r="F52" i="39"/>
  <c r="N52" i="39"/>
  <c r="U52" i="39"/>
  <c r="G52" i="39"/>
  <c r="O52" i="39"/>
  <c r="W52" i="39"/>
  <c r="H52" i="39"/>
  <c r="P52" i="39"/>
  <c r="J52" i="39"/>
  <c r="K52" i="39"/>
  <c r="E52" i="39"/>
  <c r="Y44" i="39"/>
  <c r="R44" i="39"/>
  <c r="Z44" i="39"/>
  <c r="S44" i="39"/>
  <c r="AA44" i="39"/>
  <c r="T44" i="39"/>
  <c r="AB44" i="39"/>
  <c r="V44" i="39"/>
  <c r="W44" i="39"/>
  <c r="X44" i="39"/>
  <c r="Q44" i="39"/>
  <c r="M44" i="39"/>
  <c r="U44" i="39"/>
  <c r="F44" i="39"/>
  <c r="N44" i="39"/>
  <c r="G44" i="39"/>
  <c r="O44" i="39"/>
  <c r="H44" i="39"/>
  <c r="P44" i="39"/>
  <c r="I44" i="39"/>
  <c r="J44" i="39"/>
  <c r="K44" i="39"/>
  <c r="E44" i="39"/>
  <c r="V36" i="39"/>
  <c r="W36" i="39"/>
  <c r="X36" i="39"/>
  <c r="Y36" i="39"/>
  <c r="S36" i="39"/>
  <c r="AA36" i="39"/>
  <c r="T36" i="39"/>
  <c r="AB36" i="39"/>
  <c r="U36" i="39"/>
  <c r="J36" i="39"/>
  <c r="K36" i="39"/>
  <c r="L36" i="39"/>
  <c r="M36" i="39"/>
  <c r="F36" i="39"/>
  <c r="N36" i="39"/>
  <c r="R36" i="39"/>
  <c r="G36" i="39"/>
  <c r="O36" i="39"/>
  <c r="Z36" i="39"/>
  <c r="H36" i="39"/>
  <c r="P36" i="39"/>
  <c r="V28" i="39"/>
  <c r="W28" i="39"/>
  <c r="X28" i="39"/>
  <c r="Y28" i="39"/>
  <c r="S28" i="39"/>
  <c r="AA28" i="39"/>
  <c r="T28" i="39"/>
  <c r="AB28" i="39"/>
  <c r="U28" i="39"/>
  <c r="J28" i="39"/>
  <c r="K28" i="39"/>
  <c r="R28" i="39"/>
  <c r="L28" i="39"/>
  <c r="Z28" i="39"/>
  <c r="M28" i="39"/>
  <c r="Q28" i="39"/>
  <c r="F28" i="39"/>
  <c r="N28" i="39"/>
  <c r="G28" i="39"/>
  <c r="O28" i="39"/>
  <c r="H28" i="39"/>
  <c r="P28" i="39"/>
  <c r="S20" i="39"/>
  <c r="AA20" i="39"/>
  <c r="T20" i="39"/>
  <c r="AB20" i="39"/>
  <c r="Q20" i="39"/>
  <c r="H20" i="39"/>
  <c r="U20" i="39"/>
  <c r="I20" i="39"/>
  <c r="V20" i="39"/>
  <c r="J20" i="39"/>
  <c r="X20" i="39"/>
  <c r="L20" i="39"/>
  <c r="Y20" i="39"/>
  <c r="R20" i="39"/>
  <c r="Z20" i="39"/>
  <c r="N20" i="39"/>
  <c r="E20" i="39"/>
  <c r="W20" i="39"/>
  <c r="O20" i="39"/>
  <c r="P20" i="39"/>
  <c r="F20" i="39"/>
  <c r="G20" i="39"/>
  <c r="K20" i="39"/>
  <c r="E53" i="39"/>
  <c r="E25" i="39"/>
  <c r="P59" i="39"/>
  <c r="M56" i="39"/>
  <c r="N53" i="39"/>
  <c r="O50" i="39"/>
  <c r="F46" i="39"/>
  <c r="I28" i="39"/>
  <c r="M20" i="39"/>
  <c r="R51" i="39"/>
  <c r="AA25" i="39"/>
  <c r="B6" i="17"/>
  <c r="H77" i="37"/>
  <c r="S72" i="6" s="1"/>
  <c r="N79" i="37"/>
  <c r="M75" i="37"/>
  <c r="M77" i="37" s="1"/>
  <c r="X72" i="6" s="1"/>
  <c r="B16" i="17"/>
  <c r="M76" i="37"/>
  <c r="I5" i="37"/>
  <c r="I74" i="37"/>
  <c r="K18" i="17"/>
  <c r="F5" i="17"/>
  <c r="H3" i="17"/>
  <c r="N3" i="37"/>
  <c r="G75" i="37"/>
  <c r="M4" i="37"/>
  <c r="I3" i="37"/>
  <c r="I6" i="37" s="1"/>
  <c r="H72" i="6" s="1"/>
  <c r="D4" i="17"/>
  <c r="O14" i="39"/>
  <c r="J16" i="17"/>
  <c r="D7" i="27"/>
  <c r="M59" i="39"/>
  <c r="Z51" i="39"/>
  <c r="I43" i="39"/>
  <c r="F35" i="39"/>
  <c r="U27" i="39"/>
  <c r="Q19" i="39"/>
  <c r="E51" i="39"/>
  <c r="E38" i="39"/>
  <c r="E22" i="39"/>
  <c r="O59" i="39"/>
  <c r="I53" i="39"/>
  <c r="I45" i="39"/>
  <c r="J33" i="39"/>
  <c r="L27" i="39"/>
  <c r="H19" i="39"/>
  <c r="J7" i="39"/>
  <c r="Q36" i="39"/>
  <c r="W50" i="39"/>
  <c r="X50" i="39"/>
  <c r="Y50" i="39"/>
  <c r="R50" i="39"/>
  <c r="Z50" i="39"/>
  <c r="T50" i="39"/>
  <c r="AB50" i="39"/>
  <c r="Q50" i="39"/>
  <c r="V50" i="39"/>
  <c r="K50" i="39"/>
  <c r="L50" i="39"/>
  <c r="M50" i="39"/>
  <c r="F50" i="39"/>
  <c r="N50" i="39"/>
  <c r="S50" i="39"/>
  <c r="U50" i="39"/>
  <c r="H50" i="39"/>
  <c r="P50" i="39"/>
  <c r="AA50" i="39"/>
  <c r="I50" i="39"/>
  <c r="W42" i="39"/>
  <c r="X42" i="39"/>
  <c r="Y42" i="39"/>
  <c r="R42" i="39"/>
  <c r="Z42" i="39"/>
  <c r="T42" i="39"/>
  <c r="AB42" i="39"/>
  <c r="Q42" i="39"/>
  <c r="U42" i="39"/>
  <c r="V42" i="39"/>
  <c r="K42" i="39"/>
  <c r="L42" i="39"/>
  <c r="M42" i="39"/>
  <c r="F42" i="39"/>
  <c r="N42" i="39"/>
  <c r="G42" i="39"/>
  <c r="O42" i="39"/>
  <c r="H42" i="39"/>
  <c r="P42" i="39"/>
  <c r="S42" i="39"/>
  <c r="I42" i="39"/>
  <c r="T34" i="39"/>
  <c r="AB34" i="39"/>
  <c r="U34" i="39"/>
  <c r="V34" i="39"/>
  <c r="W34" i="39"/>
  <c r="Y34" i="39"/>
  <c r="R34" i="39"/>
  <c r="Z34" i="39"/>
  <c r="S34" i="39"/>
  <c r="AA34" i="39"/>
  <c r="H34" i="39"/>
  <c r="P34" i="39"/>
  <c r="I34" i="39"/>
  <c r="J34" i="39"/>
  <c r="X34" i="39"/>
  <c r="K34" i="39"/>
  <c r="L34" i="39"/>
  <c r="M34" i="39"/>
  <c r="Q34" i="39"/>
  <c r="F34" i="39"/>
  <c r="N34" i="39"/>
  <c r="T26" i="39"/>
  <c r="AB26" i="39"/>
  <c r="U26" i="39"/>
  <c r="V26" i="39"/>
  <c r="W26" i="39"/>
  <c r="Y26" i="39"/>
  <c r="R26" i="39"/>
  <c r="Z26" i="39"/>
  <c r="S26" i="39"/>
  <c r="AA26" i="39"/>
  <c r="X26" i="39"/>
  <c r="H26" i="39"/>
  <c r="P26" i="39"/>
  <c r="I26" i="39"/>
  <c r="J26" i="39"/>
  <c r="Q26" i="39"/>
  <c r="K26" i="39"/>
  <c r="L26" i="39"/>
  <c r="M26" i="39"/>
  <c r="F26" i="39"/>
  <c r="N26" i="39"/>
  <c r="Y18" i="39"/>
  <c r="R18" i="39"/>
  <c r="Z18" i="39"/>
  <c r="F18" i="39"/>
  <c r="N18" i="39"/>
  <c r="S18" i="39"/>
  <c r="AA18" i="39"/>
  <c r="G18" i="39"/>
  <c r="O18" i="39"/>
  <c r="T18" i="39"/>
  <c r="AB18" i="39"/>
  <c r="H18" i="39"/>
  <c r="P18" i="39"/>
  <c r="V18" i="39"/>
  <c r="J18" i="39"/>
  <c r="W18" i="39"/>
  <c r="X18" i="39"/>
  <c r="Q18" i="39"/>
  <c r="I18" i="39"/>
  <c r="K18" i="39"/>
  <c r="L18" i="39"/>
  <c r="M18" i="39"/>
  <c r="U18" i="39"/>
  <c r="E18" i="39"/>
  <c r="U10" i="39"/>
  <c r="V10" i="39"/>
  <c r="J10" i="39"/>
  <c r="W10" i="39"/>
  <c r="Q10" i="39"/>
  <c r="K10" i="39"/>
  <c r="X10" i="39"/>
  <c r="L10" i="39"/>
  <c r="R10" i="39"/>
  <c r="Z10" i="39"/>
  <c r="F10" i="39"/>
  <c r="N10" i="39"/>
  <c r="S10" i="39"/>
  <c r="AA10" i="39"/>
  <c r="T10" i="39"/>
  <c r="AB10" i="39"/>
  <c r="M10" i="39"/>
  <c r="O10" i="39"/>
  <c r="P10" i="39"/>
  <c r="E10" i="39"/>
  <c r="G10" i="39"/>
  <c r="H10" i="39"/>
  <c r="Y10" i="39"/>
  <c r="E50" i="39"/>
  <c r="E36" i="39"/>
  <c r="E19" i="39"/>
  <c r="J59" i="39"/>
  <c r="P55" i="39"/>
  <c r="F53" i="39"/>
  <c r="G50" i="39"/>
  <c r="L44" i="39"/>
  <c r="K38" i="39"/>
  <c r="O26" i="39"/>
  <c r="N15" i="39"/>
  <c r="AA59" i="39"/>
  <c r="AA42" i="39"/>
  <c r="K4" i="17"/>
  <c r="D5" i="37"/>
  <c r="N4" i="37"/>
  <c r="B26" i="6"/>
  <c r="E49" i="39"/>
  <c r="E34" i="39"/>
  <c r="E15" i="39"/>
  <c r="G59" i="39"/>
  <c r="K55" i="39"/>
  <c r="L52" i="39"/>
  <c r="M49" i="39"/>
  <c r="O43" i="39"/>
  <c r="N37" i="39"/>
  <c r="P31" i="39"/>
  <c r="G26" i="39"/>
  <c r="I13" i="39"/>
  <c r="H79" i="37"/>
  <c r="E34" i="27"/>
  <c r="E36" i="27" s="1"/>
  <c r="E37" i="27" s="1"/>
  <c r="D4" i="37"/>
  <c r="D6" i="37" s="1"/>
  <c r="C72" i="6" s="1"/>
  <c r="F3" i="37"/>
  <c r="F6" i="37" s="1"/>
  <c r="E72" i="6" s="1"/>
  <c r="E18" i="17"/>
  <c r="K3" i="37"/>
  <c r="K6" i="37" s="1"/>
  <c r="J72" i="6" s="1"/>
  <c r="L16" i="17"/>
  <c r="B4" i="17"/>
  <c r="G17" i="17"/>
  <c r="G58" i="27"/>
  <c r="Z57" i="6"/>
  <c r="N53" i="12" s="1"/>
  <c r="J57" i="6"/>
  <c r="J16" i="12" s="1"/>
  <c r="K57" i="6"/>
  <c r="K16" i="12" s="1"/>
  <c r="V56" i="39"/>
  <c r="W56" i="39"/>
  <c r="X56" i="39"/>
  <c r="Q56" i="39"/>
  <c r="R56" i="39"/>
  <c r="Z56" i="39"/>
  <c r="T56" i="39"/>
  <c r="AB56" i="39"/>
  <c r="AA56" i="39"/>
  <c r="I56" i="39"/>
  <c r="J56" i="39"/>
  <c r="K56" i="39"/>
  <c r="E56" i="39"/>
  <c r="L56" i="39"/>
  <c r="S56" i="39"/>
  <c r="F56" i="39"/>
  <c r="N56" i="39"/>
  <c r="U56" i="39"/>
  <c r="G56" i="39"/>
  <c r="O56" i="39"/>
  <c r="U48" i="39"/>
  <c r="V48" i="39"/>
  <c r="W48" i="39"/>
  <c r="X48" i="39"/>
  <c r="Q48" i="39"/>
  <c r="R48" i="39"/>
  <c r="Z48" i="39"/>
  <c r="T48" i="39"/>
  <c r="AB48" i="39"/>
  <c r="Y48" i="39"/>
  <c r="I48" i="39"/>
  <c r="AA48" i="39"/>
  <c r="J48" i="39"/>
  <c r="K48" i="39"/>
  <c r="E48" i="39"/>
  <c r="L48" i="39"/>
  <c r="M48" i="39"/>
  <c r="F48" i="39"/>
  <c r="N48" i="39"/>
  <c r="G48" i="39"/>
  <c r="O48" i="39"/>
  <c r="R32" i="39"/>
  <c r="Z32" i="39"/>
  <c r="S32" i="39"/>
  <c r="AA32" i="39"/>
  <c r="T32" i="39"/>
  <c r="AB32" i="39"/>
  <c r="U32" i="39"/>
  <c r="W32" i="39"/>
  <c r="X32" i="39"/>
  <c r="Y32" i="39"/>
  <c r="V32" i="39"/>
  <c r="F32" i="39"/>
  <c r="N32" i="39"/>
  <c r="G32" i="39"/>
  <c r="O32" i="39"/>
  <c r="H32" i="39"/>
  <c r="P32" i="39"/>
  <c r="I32" i="39"/>
  <c r="E32" i="39"/>
  <c r="J32" i="39"/>
  <c r="Q32" i="39"/>
  <c r="K32" i="39"/>
  <c r="L32" i="39"/>
  <c r="R24" i="39"/>
  <c r="Z24" i="39"/>
  <c r="S24" i="39"/>
  <c r="AA24" i="39"/>
  <c r="T24" i="39"/>
  <c r="AB24" i="39"/>
  <c r="U24" i="39"/>
  <c r="I24" i="39"/>
  <c r="W24" i="39"/>
  <c r="K24" i="39"/>
  <c r="X24" i="39"/>
  <c r="Y24" i="39"/>
  <c r="M24" i="39"/>
  <c r="N24" i="39"/>
  <c r="Q24" i="39"/>
  <c r="O24" i="39"/>
  <c r="F24" i="39"/>
  <c r="P24" i="39"/>
  <c r="E24" i="39"/>
  <c r="G24" i="39"/>
  <c r="V24" i="39"/>
  <c r="H24" i="39"/>
  <c r="J24" i="39"/>
  <c r="S8" i="39"/>
  <c r="AA8" i="39"/>
  <c r="T8" i="39"/>
  <c r="AB8" i="39"/>
  <c r="H8" i="39"/>
  <c r="P8" i="39"/>
  <c r="U8" i="39"/>
  <c r="I8" i="39"/>
  <c r="V8" i="39"/>
  <c r="J8" i="39"/>
  <c r="X8" i="39"/>
  <c r="L8" i="39"/>
  <c r="Y8" i="39"/>
  <c r="R8" i="39"/>
  <c r="Z8" i="39"/>
  <c r="E8" i="39"/>
  <c r="Q8" i="39"/>
  <c r="F8" i="39"/>
  <c r="G8" i="39"/>
  <c r="W8" i="39"/>
  <c r="K8" i="39"/>
  <c r="M8" i="39"/>
  <c r="N8" i="39"/>
  <c r="E47" i="39"/>
  <c r="E33" i="39"/>
  <c r="E13" i="39"/>
  <c r="H55" i="39"/>
  <c r="I52" i="39"/>
  <c r="P48" i="39"/>
  <c r="G43" i="39"/>
  <c r="F37" i="39"/>
  <c r="H31" i="39"/>
  <c r="J25" i="39"/>
  <c r="E28" i="30"/>
  <c r="F28" i="30" s="1"/>
  <c r="R49" i="39"/>
  <c r="Z49" i="39"/>
  <c r="S49" i="39"/>
  <c r="AA49" i="39"/>
  <c r="T49" i="39"/>
  <c r="AB49" i="39"/>
  <c r="U49" i="39"/>
  <c r="W49" i="39"/>
  <c r="Y49" i="39"/>
  <c r="R41" i="39"/>
  <c r="Z41" i="39"/>
  <c r="S41" i="39"/>
  <c r="AA41" i="39"/>
  <c r="T41" i="39"/>
  <c r="AB41" i="39"/>
  <c r="U41" i="39"/>
  <c r="W41" i="39"/>
  <c r="X41" i="39"/>
  <c r="Y41" i="39"/>
  <c r="W33" i="39"/>
  <c r="X33" i="39"/>
  <c r="Y33" i="39"/>
  <c r="R33" i="39"/>
  <c r="Z33" i="39"/>
  <c r="T33" i="39"/>
  <c r="AB33" i="39"/>
  <c r="Q33" i="39"/>
  <c r="U33" i="39"/>
  <c r="V33" i="39"/>
  <c r="W25" i="39"/>
  <c r="X25" i="39"/>
  <c r="Y25" i="39"/>
  <c r="R25" i="39"/>
  <c r="Z25" i="39"/>
  <c r="T25" i="39"/>
  <c r="AB25" i="39"/>
  <c r="Q25" i="39"/>
  <c r="H25" i="39"/>
  <c r="U25" i="39"/>
  <c r="V25" i="39"/>
  <c r="X9" i="39"/>
  <c r="Y9" i="39"/>
  <c r="Q9" i="39"/>
  <c r="M9" i="39"/>
  <c r="R9" i="39"/>
  <c r="Z9" i="39"/>
  <c r="F9" i="39"/>
  <c r="N9" i="39"/>
  <c r="S9" i="39"/>
  <c r="AA9" i="39"/>
  <c r="G9" i="39"/>
  <c r="O9" i="39"/>
  <c r="U9" i="39"/>
  <c r="I9" i="39"/>
  <c r="V9" i="39"/>
  <c r="W9" i="39"/>
  <c r="E35" i="39"/>
  <c r="E27" i="39"/>
  <c r="I59" i="39"/>
  <c r="P53" i="39"/>
  <c r="H53" i="39"/>
  <c r="N51" i="39"/>
  <c r="F51" i="39"/>
  <c r="L49" i="39"/>
  <c r="P45" i="39"/>
  <c r="H45" i="39"/>
  <c r="N43" i="39"/>
  <c r="F43" i="39"/>
  <c r="L41" i="39"/>
  <c r="M37" i="39"/>
  <c r="K35" i="39"/>
  <c r="I33" i="39"/>
  <c r="M29" i="39"/>
  <c r="K27" i="39"/>
  <c r="I25" i="39"/>
  <c r="F19" i="39"/>
  <c r="G13" i="39"/>
  <c r="Q53" i="39"/>
  <c r="W59" i="39"/>
  <c r="Z53" i="39"/>
  <c r="S25" i="39"/>
  <c r="AB9" i="39"/>
  <c r="O53" i="39"/>
  <c r="G53" i="39"/>
  <c r="M51" i="39"/>
  <c r="K49" i="39"/>
  <c r="O45" i="39"/>
  <c r="G45" i="39"/>
  <c r="M43" i="39"/>
  <c r="K41" i="39"/>
  <c r="L37" i="39"/>
  <c r="J35" i="39"/>
  <c r="P33" i="39"/>
  <c r="H33" i="39"/>
  <c r="L29" i="39"/>
  <c r="J27" i="39"/>
  <c r="P25" i="39"/>
  <c r="G25" i="39"/>
  <c r="Q51" i="39"/>
  <c r="U59" i="39"/>
  <c r="T53" i="39"/>
  <c r="V41" i="39"/>
  <c r="T9" i="39"/>
  <c r="N45" i="39"/>
  <c r="F45" i="39"/>
  <c r="L43" i="39"/>
  <c r="J41" i="39"/>
  <c r="K37" i="39"/>
  <c r="I35" i="39"/>
  <c r="O33" i="39"/>
  <c r="G33" i="39"/>
  <c r="K29" i="39"/>
  <c r="I27" i="39"/>
  <c r="O25" i="39"/>
  <c r="F25" i="39"/>
  <c r="P9" i="39"/>
  <c r="Q49" i="39"/>
  <c r="S59" i="39"/>
  <c r="R53" i="39"/>
  <c r="U35" i="39"/>
  <c r="W29" i="39"/>
  <c r="AA13" i="39"/>
  <c r="N59" i="39"/>
  <c r="F59" i="39"/>
  <c r="K51" i="39"/>
  <c r="I49" i="39"/>
  <c r="M45" i="39"/>
  <c r="K43" i="39"/>
  <c r="I41" i="39"/>
  <c r="P35" i="39"/>
  <c r="H35" i="39"/>
  <c r="N33" i="39"/>
  <c r="F33" i="39"/>
  <c r="P27" i="39"/>
  <c r="H27" i="39"/>
  <c r="N25" i="39"/>
  <c r="P19" i="39"/>
  <c r="L9" i="39"/>
  <c r="Q13" i="39"/>
  <c r="Q45" i="39"/>
  <c r="X49" i="39"/>
  <c r="V53" i="39"/>
  <c r="W53" i="39"/>
  <c r="X53" i="39"/>
  <c r="Y53" i="39"/>
  <c r="S53" i="39"/>
  <c r="AA53" i="39"/>
  <c r="U53" i="39"/>
  <c r="V45" i="39"/>
  <c r="W45" i="39"/>
  <c r="X45" i="39"/>
  <c r="Y45" i="39"/>
  <c r="S45" i="39"/>
  <c r="AA45" i="39"/>
  <c r="T45" i="39"/>
  <c r="AB45" i="39"/>
  <c r="U45" i="39"/>
  <c r="S37" i="39"/>
  <c r="AA37" i="39"/>
  <c r="T37" i="39"/>
  <c r="AB37" i="39"/>
  <c r="Q37" i="39"/>
  <c r="U37" i="39"/>
  <c r="V37" i="39"/>
  <c r="X37" i="39"/>
  <c r="Y37" i="39"/>
  <c r="R37" i="39"/>
  <c r="Z37" i="39"/>
  <c r="S29" i="39"/>
  <c r="AA29" i="39"/>
  <c r="T29" i="39"/>
  <c r="AB29" i="39"/>
  <c r="Q29" i="39"/>
  <c r="U29" i="39"/>
  <c r="V29" i="39"/>
  <c r="X29" i="39"/>
  <c r="Y29" i="39"/>
  <c r="R29" i="39"/>
  <c r="Z29" i="39"/>
  <c r="W13" i="39"/>
  <c r="X13" i="39"/>
  <c r="L13" i="39"/>
  <c r="Y13" i="39"/>
  <c r="M13" i="39"/>
  <c r="R13" i="39"/>
  <c r="Z13" i="39"/>
  <c r="F13" i="39"/>
  <c r="N13" i="39"/>
  <c r="T13" i="39"/>
  <c r="AB13" i="39"/>
  <c r="H13" i="39"/>
  <c r="P13" i="39"/>
  <c r="U13" i="39"/>
  <c r="V13" i="39"/>
  <c r="L53" i="39"/>
  <c r="J51" i="39"/>
  <c r="P49" i="39"/>
  <c r="H49" i="39"/>
  <c r="L45" i="39"/>
  <c r="J43" i="39"/>
  <c r="P41" i="39"/>
  <c r="H41" i="39"/>
  <c r="I37" i="39"/>
  <c r="O35" i="39"/>
  <c r="G35" i="39"/>
  <c r="M33" i="39"/>
  <c r="I29" i="39"/>
  <c r="O27" i="39"/>
  <c r="G27" i="39"/>
  <c r="M25" i="39"/>
  <c r="N19" i="39"/>
  <c r="O13" i="39"/>
  <c r="K9" i="39"/>
  <c r="Q43" i="39"/>
  <c r="V49" i="39"/>
  <c r="R45" i="39"/>
  <c r="AA33" i="39"/>
  <c r="K53" i="39"/>
  <c r="I51" i="39"/>
  <c r="O49" i="39"/>
  <c r="G49" i="39"/>
  <c r="K45" i="39"/>
  <c r="O41" i="39"/>
  <c r="G41" i="39"/>
  <c r="P37" i="39"/>
  <c r="H37" i="39"/>
  <c r="N35" i="39"/>
  <c r="L33" i="39"/>
  <c r="P29" i="39"/>
  <c r="H29" i="39"/>
  <c r="N27" i="39"/>
  <c r="F27" i="39"/>
  <c r="L25" i="39"/>
  <c r="J19" i="39"/>
  <c r="K13" i="39"/>
  <c r="J9" i="39"/>
  <c r="Q41" i="39"/>
  <c r="S33" i="39"/>
  <c r="X59" i="39"/>
  <c r="Y59" i="39"/>
  <c r="R59" i="39"/>
  <c r="Z59" i="39"/>
  <c r="T59" i="39"/>
  <c r="AB59" i="39"/>
  <c r="Q59" i="39"/>
  <c r="V59" i="39"/>
  <c r="T51" i="39"/>
  <c r="AB51" i="39"/>
  <c r="U51" i="39"/>
  <c r="V51" i="39"/>
  <c r="W51" i="39"/>
  <c r="Y51" i="39"/>
  <c r="S51" i="39"/>
  <c r="AA51" i="39"/>
  <c r="T43" i="39"/>
  <c r="AB43" i="39"/>
  <c r="U43" i="39"/>
  <c r="V43" i="39"/>
  <c r="W43" i="39"/>
  <c r="Y43" i="39"/>
  <c r="R43" i="39"/>
  <c r="Z43" i="39"/>
  <c r="S43" i="39"/>
  <c r="AA43" i="39"/>
  <c r="Y35" i="39"/>
  <c r="R35" i="39"/>
  <c r="Z35" i="39"/>
  <c r="S35" i="39"/>
  <c r="AA35" i="39"/>
  <c r="T35" i="39"/>
  <c r="AB35" i="39"/>
  <c r="V35" i="39"/>
  <c r="W35" i="39"/>
  <c r="X35" i="39"/>
  <c r="Q35" i="39"/>
  <c r="Y27" i="39"/>
  <c r="R27" i="39"/>
  <c r="Z27" i="39"/>
  <c r="S27" i="39"/>
  <c r="AA27" i="39"/>
  <c r="T27" i="39"/>
  <c r="AB27" i="39"/>
  <c r="V27" i="39"/>
  <c r="W27" i="39"/>
  <c r="X27" i="39"/>
  <c r="Q27" i="39"/>
  <c r="V19" i="39"/>
  <c r="W19" i="39"/>
  <c r="K19" i="39"/>
  <c r="X19" i="39"/>
  <c r="L19" i="39"/>
  <c r="Y19" i="39"/>
  <c r="M19" i="39"/>
  <c r="S19" i="39"/>
  <c r="AA19" i="39"/>
  <c r="G19" i="39"/>
  <c r="O19" i="39"/>
  <c r="T19" i="39"/>
  <c r="AB19" i="39"/>
  <c r="U19" i="39"/>
  <c r="E37" i="39"/>
  <c r="E29" i="39"/>
  <c r="K59" i="39"/>
  <c r="J53" i="39"/>
  <c r="P51" i="39"/>
  <c r="H51" i="39"/>
  <c r="N49" i="39"/>
  <c r="F49" i="39"/>
  <c r="J45" i="39"/>
  <c r="P43" i="39"/>
  <c r="H43" i="39"/>
  <c r="N41" i="39"/>
  <c r="F41" i="39"/>
  <c r="O37" i="39"/>
  <c r="G37" i="39"/>
  <c r="M35" i="39"/>
  <c r="K33" i="39"/>
  <c r="O29" i="39"/>
  <c r="G29" i="39"/>
  <c r="M27" i="39"/>
  <c r="K25" i="39"/>
  <c r="I19" i="39"/>
  <c r="J13" i="39"/>
  <c r="H9" i="39"/>
  <c r="X51" i="39"/>
  <c r="X43" i="39"/>
  <c r="Z19" i="39"/>
  <c r="D10" i="27"/>
  <c r="D8" i="27"/>
  <c r="D7" i="30"/>
  <c r="E12" i="30"/>
  <c r="E40" i="12"/>
  <c r="AH39" i="38"/>
  <c r="E34" i="38" s="1"/>
  <c r="I22" i="17"/>
  <c r="H82" i="37"/>
  <c r="J22" i="17"/>
  <c r="D22" i="17"/>
  <c r="G23" i="17"/>
  <c r="H24" i="17"/>
  <c r="L81" i="37"/>
  <c r="E23" i="17"/>
  <c r="N82" i="37"/>
  <c r="L22" i="17"/>
  <c r="F81" i="37"/>
  <c r="D23" i="17"/>
  <c r="F80" i="37"/>
  <c r="I80" i="37"/>
  <c r="G82" i="37"/>
  <c r="I81" i="37"/>
  <c r="I83" i="37" s="1"/>
  <c r="T83" i="6" s="1"/>
  <c r="F23" i="17"/>
  <c r="K24" i="17"/>
  <c r="J82" i="37"/>
  <c r="H22" i="17"/>
  <c r="D80" i="37"/>
  <c r="J23" i="17"/>
  <c r="M23" i="17"/>
  <c r="G81" i="37"/>
  <c r="I82" i="37"/>
  <c r="L24" i="17"/>
  <c r="D24" i="17"/>
  <c r="N80" i="37"/>
  <c r="H80" i="37"/>
  <c r="G22" i="17"/>
  <c r="E24" i="17"/>
  <c r="B23" i="17"/>
  <c r="I23" i="17"/>
  <c r="C24" i="17"/>
  <c r="J80" i="37"/>
  <c r="B22" i="17"/>
  <c r="O81" i="37"/>
  <c r="G24" i="17"/>
  <c r="F82" i="37"/>
  <c r="F83" i="37" s="1"/>
  <c r="Q83" i="6" s="1"/>
  <c r="F22" i="17"/>
  <c r="C39" i="6"/>
  <c r="D35" i="6"/>
  <c r="B17" i="5"/>
  <c r="B11" i="5"/>
  <c r="B12" i="5" s="1"/>
  <c r="C33" i="12"/>
  <c r="E14" i="42"/>
  <c r="F10" i="42"/>
  <c r="F11" i="42" s="1"/>
  <c r="E8" i="37"/>
  <c r="K79" i="37"/>
  <c r="D21" i="17"/>
  <c r="D25" i="17" s="1"/>
  <c r="E37" i="4" s="1"/>
  <c r="Q82" i="6" s="1"/>
  <c r="L79" i="37"/>
  <c r="G11" i="37"/>
  <c r="F9" i="17"/>
  <c r="N6" i="37"/>
  <c r="M72" i="6" s="1"/>
  <c r="G3" i="17"/>
  <c r="C16" i="17"/>
  <c r="E80" i="37" s="1"/>
  <c r="K16" i="17"/>
  <c r="K22" i="17" s="1"/>
  <c r="L4" i="17"/>
  <c r="H5" i="17"/>
  <c r="M4" i="17"/>
  <c r="G5" i="17"/>
  <c r="J18" i="17"/>
  <c r="L82" i="37" s="1"/>
  <c r="M18" i="17"/>
  <c r="O82" i="37" s="1"/>
  <c r="L17" i="17"/>
  <c r="L19" i="17" s="1"/>
  <c r="L11" i="17"/>
  <c r="Z14" i="39"/>
  <c r="L14" i="39"/>
  <c r="S14" i="39"/>
  <c r="AA14" i="39"/>
  <c r="K14" i="39"/>
  <c r="L12" i="31"/>
  <c r="K20" i="37" s="1"/>
  <c r="P12" i="31"/>
  <c r="O20" i="37" s="1"/>
  <c r="F12" i="31"/>
  <c r="E20" i="37" s="1"/>
  <c r="Z12" i="31"/>
  <c r="M91" i="37" s="1"/>
  <c r="Y12" i="31"/>
  <c r="L91" i="37" s="1"/>
  <c r="K5" i="17"/>
  <c r="D5" i="17"/>
  <c r="H4" i="17"/>
  <c r="M16" i="17"/>
  <c r="O5" i="37"/>
  <c r="O6" i="37" s="1"/>
  <c r="N72" i="6" s="1"/>
  <c r="E3" i="37"/>
  <c r="E6" i="37" s="1"/>
  <c r="D72" i="6" s="1"/>
  <c r="J5" i="17"/>
  <c r="Z39" i="38"/>
  <c r="I29" i="38" s="1"/>
  <c r="E8" i="12"/>
  <c r="D116" i="6"/>
  <c r="D22" i="12" s="1"/>
  <c r="C6" i="12"/>
  <c r="C46" i="6"/>
  <c r="C9" i="12"/>
  <c r="E10" i="30"/>
  <c r="C7" i="42"/>
  <c r="B61" i="6"/>
  <c r="B63" i="6" s="1"/>
  <c r="D77" i="6"/>
  <c r="D78" i="6" s="1"/>
  <c r="D81" i="37"/>
  <c r="H81" i="37"/>
  <c r="H83" i="37" s="1"/>
  <c r="S83" i="6" s="1"/>
  <c r="K81" i="37"/>
  <c r="M82" i="37"/>
  <c r="E82" i="37"/>
  <c r="D31" i="27"/>
  <c r="F24" i="17"/>
  <c r="K80" i="37"/>
  <c r="L80" i="37"/>
  <c r="S57" i="6"/>
  <c r="G53" i="12" s="1"/>
  <c r="D57" i="6"/>
  <c r="D16" i="12" s="1"/>
  <c r="Q57" i="6"/>
  <c r="E53" i="12" s="1"/>
  <c r="G57" i="6"/>
  <c r="G16" i="12" s="1"/>
  <c r="L17" i="6"/>
  <c r="L19" i="6" s="1"/>
  <c r="R17" i="39"/>
  <c r="T17" i="39"/>
  <c r="V17" i="39"/>
  <c r="X17" i="39"/>
  <c r="Z17" i="39"/>
  <c r="AB17" i="39"/>
  <c r="R21" i="39"/>
  <c r="T21" i="39"/>
  <c r="V21" i="39"/>
  <c r="X21" i="39"/>
  <c r="Z21" i="39"/>
  <c r="AB21" i="39"/>
  <c r="Q17" i="39"/>
  <c r="Q21" i="39"/>
  <c r="F17" i="39"/>
  <c r="H17" i="39"/>
  <c r="J17" i="39"/>
  <c r="L17" i="39"/>
  <c r="N17" i="39"/>
  <c r="P17" i="39"/>
  <c r="F21" i="39"/>
  <c r="H21" i="39"/>
  <c r="J21" i="39"/>
  <c r="L21" i="39"/>
  <c r="N21" i="39"/>
  <c r="P21" i="39"/>
  <c r="S17" i="39"/>
  <c r="U17" i="39"/>
  <c r="W17" i="39"/>
  <c r="Y17" i="39"/>
  <c r="AA17" i="39"/>
  <c r="S21" i="39"/>
  <c r="U21" i="39"/>
  <c r="W21" i="39"/>
  <c r="Y21" i="39"/>
  <c r="AA21" i="39"/>
  <c r="G17" i="39"/>
  <c r="I17" i="39"/>
  <c r="K17" i="39"/>
  <c r="M17" i="39"/>
  <c r="O17" i="39"/>
  <c r="G21" i="39"/>
  <c r="I21" i="39"/>
  <c r="K21" i="39"/>
  <c r="M21" i="39"/>
  <c r="O21" i="39"/>
  <c r="E17" i="39"/>
  <c r="E21" i="39"/>
  <c r="E15" i="31"/>
  <c r="D23" i="37" s="1"/>
  <c r="F15" i="31"/>
  <c r="E23" i="37" s="1"/>
  <c r="G15" i="31"/>
  <c r="F23" i="37" s="1"/>
  <c r="H15" i="31"/>
  <c r="G23" i="37" s="1"/>
  <c r="I15" i="31"/>
  <c r="H23" i="37" s="1"/>
  <c r="J15" i="31"/>
  <c r="I23" i="37" s="1"/>
  <c r="K15" i="31"/>
  <c r="J23" i="37" s="1"/>
  <c r="L15" i="31"/>
  <c r="K23" i="37" s="1"/>
  <c r="M15" i="31"/>
  <c r="L23" i="37" s="1"/>
  <c r="N15" i="31"/>
  <c r="M23" i="37" s="1"/>
  <c r="O15" i="31"/>
  <c r="N23" i="37" s="1"/>
  <c r="P15" i="31"/>
  <c r="O23" i="37" s="1"/>
  <c r="Q15" i="31"/>
  <c r="D94" i="37" s="1"/>
  <c r="R15" i="31"/>
  <c r="E94" i="37" s="1"/>
  <c r="S15" i="31"/>
  <c r="F94" i="37" s="1"/>
  <c r="T15" i="31"/>
  <c r="G94" i="37" s="1"/>
  <c r="U15" i="31"/>
  <c r="H94" i="37" s="1"/>
  <c r="V15" i="31"/>
  <c r="I94" i="37" s="1"/>
  <c r="W15" i="31"/>
  <c r="J94" i="37" s="1"/>
  <c r="X15" i="31"/>
  <c r="K94" i="37" s="1"/>
  <c r="Y15" i="31"/>
  <c r="L94" i="37" s="1"/>
  <c r="Z15" i="31"/>
  <c r="M94" i="37" s="1"/>
  <c r="AA15" i="31"/>
  <c r="N94" i="37" s="1"/>
  <c r="AB15" i="31"/>
  <c r="O94" i="37" s="1"/>
  <c r="E19" i="31"/>
  <c r="D27" i="37" s="1"/>
  <c r="F19" i="31"/>
  <c r="E27" i="37" s="1"/>
  <c r="G19" i="31"/>
  <c r="F27" i="37" s="1"/>
  <c r="H19" i="31"/>
  <c r="G27" i="37" s="1"/>
  <c r="I19" i="31"/>
  <c r="H27" i="37" s="1"/>
  <c r="J19" i="31"/>
  <c r="I27" i="37" s="1"/>
  <c r="K19" i="31"/>
  <c r="J27" i="37" s="1"/>
  <c r="L19" i="31"/>
  <c r="K27" i="37" s="1"/>
  <c r="M19" i="31"/>
  <c r="L27" i="37" s="1"/>
  <c r="N19" i="31"/>
  <c r="M27" i="37" s="1"/>
  <c r="O19" i="31"/>
  <c r="N27" i="37" s="1"/>
  <c r="P19" i="31"/>
  <c r="O27" i="37" s="1"/>
  <c r="Q19" i="31"/>
  <c r="D98" i="37" s="1"/>
  <c r="R19" i="31"/>
  <c r="E98" i="37" s="1"/>
  <c r="S19" i="31"/>
  <c r="F98" i="37" s="1"/>
  <c r="T19" i="31"/>
  <c r="G98" i="37" s="1"/>
  <c r="U19" i="31"/>
  <c r="H98" i="37" s="1"/>
  <c r="V19" i="31"/>
  <c r="I98" i="37" s="1"/>
  <c r="W19" i="31"/>
  <c r="J98" i="37" s="1"/>
  <c r="X19" i="31"/>
  <c r="K98" i="37" s="1"/>
  <c r="Y19" i="31"/>
  <c r="L98" i="37" s="1"/>
  <c r="Z19" i="31"/>
  <c r="M98" i="37" s="1"/>
  <c r="AA19" i="31"/>
  <c r="N98" i="37" s="1"/>
  <c r="AB19" i="31"/>
  <c r="O98" i="37" s="1"/>
  <c r="H91" i="37"/>
  <c r="S16" i="39"/>
  <c r="U16" i="39"/>
  <c r="W16" i="39"/>
  <c r="Y16" i="39"/>
  <c r="AA16" i="39"/>
  <c r="S60" i="39"/>
  <c r="U60" i="39"/>
  <c r="W60" i="39"/>
  <c r="Y60" i="39"/>
  <c r="AA60" i="39"/>
  <c r="R61" i="39"/>
  <c r="T61" i="39"/>
  <c r="V61" i="39"/>
  <c r="X61" i="39"/>
  <c r="Z61" i="39"/>
  <c r="AB61" i="39"/>
  <c r="S62" i="39"/>
  <c r="U62" i="39"/>
  <c r="W62" i="39"/>
  <c r="Y62" i="39"/>
  <c r="AA62" i="39"/>
  <c r="R63" i="39"/>
  <c r="T63" i="39"/>
  <c r="V63" i="39"/>
  <c r="X63" i="39"/>
  <c r="Z63" i="39"/>
  <c r="AB63" i="39"/>
  <c r="S64" i="39"/>
  <c r="U64" i="39"/>
  <c r="W64" i="39"/>
  <c r="Y64" i="39"/>
  <c r="AA64" i="39"/>
  <c r="Q61" i="39"/>
  <c r="Q63" i="39"/>
  <c r="G16" i="39"/>
  <c r="I16" i="39"/>
  <c r="K16" i="39"/>
  <c r="M16" i="39"/>
  <c r="O16" i="39"/>
  <c r="G60" i="39"/>
  <c r="I60" i="39"/>
  <c r="K60" i="39"/>
  <c r="M60" i="39"/>
  <c r="O60" i="39"/>
  <c r="F61" i="39"/>
  <c r="H61" i="39"/>
  <c r="J61" i="39"/>
  <c r="L61" i="39"/>
  <c r="N61" i="39"/>
  <c r="P61" i="39"/>
  <c r="G62" i="39"/>
  <c r="I62" i="39"/>
  <c r="K62" i="39"/>
  <c r="M62" i="39"/>
  <c r="O62" i="39"/>
  <c r="F63" i="39"/>
  <c r="H63" i="39"/>
  <c r="J63" i="39"/>
  <c r="L63" i="39"/>
  <c r="N63" i="39"/>
  <c r="P63" i="39"/>
  <c r="G64" i="39"/>
  <c r="I64" i="39"/>
  <c r="K64" i="39"/>
  <c r="M64" i="39"/>
  <c r="O64" i="39"/>
  <c r="E16" i="39"/>
  <c r="E60" i="39"/>
  <c r="E62" i="39"/>
  <c r="E64" i="39"/>
  <c r="R14" i="39"/>
  <c r="R16" i="39"/>
  <c r="T16" i="39"/>
  <c r="V16" i="39"/>
  <c r="X16" i="39"/>
  <c r="Z16" i="39"/>
  <c r="AB16" i="39"/>
  <c r="R60" i="39"/>
  <c r="T60" i="39"/>
  <c r="V60" i="39"/>
  <c r="X60" i="39"/>
  <c r="Z60" i="39"/>
  <c r="AB60" i="39"/>
  <c r="S61" i="39"/>
  <c r="U61" i="39"/>
  <c r="W61" i="39"/>
  <c r="Y61" i="39"/>
  <c r="AA61" i="39"/>
  <c r="R62" i="39"/>
  <c r="T62" i="39"/>
  <c r="V62" i="39"/>
  <c r="X62" i="39"/>
  <c r="Z62" i="39"/>
  <c r="AB62" i="39"/>
  <c r="S63" i="39"/>
  <c r="U63" i="39"/>
  <c r="W63" i="39"/>
  <c r="Y63" i="39"/>
  <c r="AA63" i="39"/>
  <c r="R64" i="39"/>
  <c r="T64" i="39"/>
  <c r="V64" i="39"/>
  <c r="X64" i="39"/>
  <c r="Z64" i="39"/>
  <c r="AB64" i="39"/>
  <c r="Q16" i="39"/>
  <c r="Q60" i="39"/>
  <c r="Q62" i="39"/>
  <c r="Q64" i="39"/>
  <c r="F16" i="39"/>
  <c r="H16" i="39"/>
  <c r="J16" i="39"/>
  <c r="L16" i="39"/>
  <c r="N16" i="39"/>
  <c r="P16" i="39"/>
  <c r="F60" i="39"/>
  <c r="H60" i="39"/>
  <c r="J60" i="39"/>
  <c r="L60" i="39"/>
  <c r="N60" i="39"/>
  <c r="P60" i="39"/>
  <c r="G61" i="39"/>
  <c r="I61" i="39"/>
  <c r="K61" i="39"/>
  <c r="M61" i="39"/>
  <c r="O61" i="39"/>
  <c r="F62" i="39"/>
  <c r="H62" i="39"/>
  <c r="J62" i="39"/>
  <c r="L62" i="39"/>
  <c r="N62" i="39"/>
  <c r="P62" i="39"/>
  <c r="G63" i="39"/>
  <c r="I63" i="39"/>
  <c r="K63" i="39"/>
  <c r="M63" i="39"/>
  <c r="O63" i="39"/>
  <c r="F64" i="39"/>
  <c r="H64" i="39"/>
  <c r="J64" i="39"/>
  <c r="L64" i="39"/>
  <c r="N64" i="39"/>
  <c r="P64" i="39"/>
  <c r="E61" i="39"/>
  <c r="E63" i="39"/>
  <c r="Z14" i="31"/>
  <c r="V14" i="31"/>
  <c r="I93" i="37" s="1"/>
  <c r="R14" i="31"/>
  <c r="E93" i="37" s="1"/>
  <c r="N14" i="31"/>
  <c r="M22" i="37" s="1"/>
  <c r="J14" i="31"/>
  <c r="I22" i="37" s="1"/>
  <c r="F14" i="31"/>
  <c r="S12" i="31"/>
  <c r="W12" i="31"/>
  <c r="AA12" i="31"/>
  <c r="E14" i="31"/>
  <c r="G14" i="31"/>
  <c r="F22" i="37" s="1"/>
  <c r="I14" i="31"/>
  <c r="H22" i="37" s="1"/>
  <c r="K14" i="31"/>
  <c r="M14" i="31"/>
  <c r="L22" i="37" s="1"/>
  <c r="O14" i="31"/>
  <c r="N22" i="37" s="1"/>
  <c r="Q14" i="31"/>
  <c r="D93" i="37" s="1"/>
  <c r="S14" i="31"/>
  <c r="F93" i="37" s="1"/>
  <c r="U14" i="31"/>
  <c r="W14" i="31"/>
  <c r="J93" i="37" s="1"/>
  <c r="Y14" i="31"/>
  <c r="AA14" i="31"/>
  <c r="N93" i="37" s="1"/>
  <c r="V12" i="31"/>
  <c r="N12" i="31"/>
  <c r="E58" i="31"/>
  <c r="D62" i="37" s="1"/>
  <c r="G58" i="31"/>
  <c r="F62" i="37" s="1"/>
  <c r="I58" i="31"/>
  <c r="H62" i="37" s="1"/>
  <c r="K58" i="31"/>
  <c r="J62" i="37" s="1"/>
  <c r="M58" i="31"/>
  <c r="L62" i="37" s="1"/>
  <c r="O58" i="31"/>
  <c r="N62" i="37" s="1"/>
  <c r="Q58" i="31"/>
  <c r="D133" i="37" s="1"/>
  <c r="R58" i="31"/>
  <c r="E133" i="37" s="1"/>
  <c r="S58" i="31"/>
  <c r="F133" i="37" s="1"/>
  <c r="T58" i="31"/>
  <c r="G133" i="37" s="1"/>
  <c r="U58" i="31"/>
  <c r="H133" i="37" s="1"/>
  <c r="V58" i="31"/>
  <c r="I133" i="37" s="1"/>
  <c r="W58" i="31"/>
  <c r="J133" i="37" s="1"/>
  <c r="X58" i="31"/>
  <c r="K133" i="37" s="1"/>
  <c r="Y58" i="31"/>
  <c r="L133" i="37" s="1"/>
  <c r="Z58" i="31"/>
  <c r="M133" i="37" s="1"/>
  <c r="AA58" i="31"/>
  <c r="N133" i="37" s="1"/>
  <c r="AB58" i="31"/>
  <c r="O133" i="37" s="1"/>
  <c r="E59" i="31"/>
  <c r="D63" i="37" s="1"/>
  <c r="G59" i="31"/>
  <c r="F63" i="37" s="1"/>
  <c r="I59" i="31"/>
  <c r="H63" i="37" s="1"/>
  <c r="K59" i="31"/>
  <c r="J63" i="37" s="1"/>
  <c r="M59" i="31"/>
  <c r="L63" i="37" s="1"/>
  <c r="O59" i="31"/>
  <c r="N63" i="37" s="1"/>
  <c r="Q59" i="31"/>
  <c r="D134" i="37" s="1"/>
  <c r="R59" i="31"/>
  <c r="E134" i="37" s="1"/>
  <c r="S59" i="31"/>
  <c r="F134" i="37" s="1"/>
  <c r="T59" i="31"/>
  <c r="G134" i="37" s="1"/>
  <c r="U59" i="31"/>
  <c r="H134" i="37" s="1"/>
  <c r="V59" i="31"/>
  <c r="I134" i="37" s="1"/>
  <c r="W59" i="31"/>
  <c r="J134" i="37" s="1"/>
  <c r="X59" i="31"/>
  <c r="K134" i="37" s="1"/>
  <c r="Y59" i="31"/>
  <c r="L134" i="37" s="1"/>
  <c r="Z59" i="31"/>
  <c r="M134" i="37" s="1"/>
  <c r="AA59" i="31"/>
  <c r="N134" i="37" s="1"/>
  <c r="AB59" i="31"/>
  <c r="O134" i="37" s="1"/>
  <c r="E60" i="31"/>
  <c r="D64" i="37" s="1"/>
  <c r="G60" i="31"/>
  <c r="F64" i="37" s="1"/>
  <c r="I60" i="31"/>
  <c r="H64" i="37" s="1"/>
  <c r="K60" i="31"/>
  <c r="J64" i="37" s="1"/>
  <c r="M60" i="31"/>
  <c r="L64" i="37" s="1"/>
  <c r="O60" i="31"/>
  <c r="N64" i="37" s="1"/>
  <c r="Q60" i="31"/>
  <c r="D135" i="37" s="1"/>
  <c r="R60" i="31"/>
  <c r="E135" i="37" s="1"/>
  <c r="S60" i="31"/>
  <c r="F135" i="37" s="1"/>
  <c r="T60" i="31"/>
  <c r="G135" i="37" s="1"/>
  <c r="U60" i="31"/>
  <c r="H135" i="37" s="1"/>
  <c r="V60" i="31"/>
  <c r="I135" i="37" s="1"/>
  <c r="W60" i="31"/>
  <c r="J135" i="37" s="1"/>
  <c r="X60" i="31"/>
  <c r="K135" i="37" s="1"/>
  <c r="Y60" i="31"/>
  <c r="L135" i="37" s="1"/>
  <c r="Z60" i="31"/>
  <c r="M135" i="37" s="1"/>
  <c r="AA60" i="31"/>
  <c r="N135" i="37" s="1"/>
  <c r="AB60" i="31"/>
  <c r="O135" i="37" s="1"/>
  <c r="E61" i="31"/>
  <c r="D65" i="37" s="1"/>
  <c r="G61" i="31"/>
  <c r="F65" i="37" s="1"/>
  <c r="I61" i="31"/>
  <c r="H65" i="37" s="1"/>
  <c r="K61" i="31"/>
  <c r="J65" i="37" s="1"/>
  <c r="M61" i="31"/>
  <c r="L65" i="37" s="1"/>
  <c r="O61" i="31"/>
  <c r="N65" i="37" s="1"/>
  <c r="Q61" i="31"/>
  <c r="D136" i="37" s="1"/>
  <c r="R61" i="31"/>
  <c r="E136" i="37" s="1"/>
  <c r="S61" i="31"/>
  <c r="F136" i="37" s="1"/>
  <c r="T61" i="31"/>
  <c r="G136" i="37" s="1"/>
  <c r="U61" i="31"/>
  <c r="H136" i="37" s="1"/>
  <c r="V61" i="31"/>
  <c r="I136" i="37" s="1"/>
  <c r="W61" i="31"/>
  <c r="J136" i="37" s="1"/>
  <c r="X61" i="31"/>
  <c r="K136" i="37" s="1"/>
  <c r="Y61" i="31"/>
  <c r="L136" i="37" s="1"/>
  <c r="Z61" i="31"/>
  <c r="M136" i="37" s="1"/>
  <c r="AA61" i="31"/>
  <c r="N136" i="37" s="1"/>
  <c r="AB61" i="31"/>
  <c r="O136" i="37" s="1"/>
  <c r="E62" i="31"/>
  <c r="D66" i="37" s="1"/>
  <c r="G62" i="31"/>
  <c r="F66" i="37" s="1"/>
  <c r="I62" i="31"/>
  <c r="H66" i="37" s="1"/>
  <c r="K62" i="31"/>
  <c r="J66" i="37" s="1"/>
  <c r="M62" i="31"/>
  <c r="L66" i="37" s="1"/>
  <c r="O62" i="31"/>
  <c r="N66" i="37" s="1"/>
  <c r="Q62" i="31"/>
  <c r="D137" i="37" s="1"/>
  <c r="R62" i="31"/>
  <c r="E137" i="37" s="1"/>
  <c r="S62" i="31"/>
  <c r="F137" i="37" s="1"/>
  <c r="T62" i="31"/>
  <c r="G137" i="37" s="1"/>
  <c r="U62" i="31"/>
  <c r="H137" i="37" s="1"/>
  <c r="V62" i="31"/>
  <c r="I137" i="37" s="1"/>
  <c r="W62" i="31"/>
  <c r="J137" i="37" s="1"/>
  <c r="X62" i="31"/>
  <c r="K137" i="37" s="1"/>
  <c r="Y62" i="31"/>
  <c r="L137" i="37" s="1"/>
  <c r="Z62" i="31"/>
  <c r="M137" i="37" s="1"/>
  <c r="AA62" i="31"/>
  <c r="N137" i="37" s="1"/>
  <c r="AB62" i="31"/>
  <c r="O137" i="37" s="1"/>
  <c r="F58" i="31"/>
  <c r="E62" i="37" s="1"/>
  <c r="H58" i="31"/>
  <c r="G62" i="37" s="1"/>
  <c r="J58" i="31"/>
  <c r="I62" i="37" s="1"/>
  <c r="L58" i="31"/>
  <c r="K62" i="37" s="1"/>
  <c r="N58" i="31"/>
  <c r="M62" i="37" s="1"/>
  <c r="P58" i="31"/>
  <c r="O62" i="37" s="1"/>
  <c r="F59" i="31"/>
  <c r="E63" i="37" s="1"/>
  <c r="H59" i="31"/>
  <c r="G63" i="37" s="1"/>
  <c r="J59" i="31"/>
  <c r="I63" i="37" s="1"/>
  <c r="L59" i="31"/>
  <c r="K63" i="37" s="1"/>
  <c r="N59" i="31"/>
  <c r="M63" i="37" s="1"/>
  <c r="P59" i="31"/>
  <c r="O63" i="37" s="1"/>
  <c r="F60" i="31"/>
  <c r="E64" i="37" s="1"/>
  <c r="H60" i="31"/>
  <c r="G64" i="37" s="1"/>
  <c r="J60" i="31"/>
  <c r="I64" i="37" s="1"/>
  <c r="L60" i="31"/>
  <c r="K64" i="37" s="1"/>
  <c r="N60" i="31"/>
  <c r="M64" i="37" s="1"/>
  <c r="P60" i="31"/>
  <c r="O64" i="37" s="1"/>
  <c r="F61" i="31"/>
  <c r="E65" i="37" s="1"/>
  <c r="H61" i="31"/>
  <c r="G65" i="37" s="1"/>
  <c r="J61" i="31"/>
  <c r="I65" i="37" s="1"/>
  <c r="L61" i="31"/>
  <c r="K65" i="37" s="1"/>
  <c r="N61" i="31"/>
  <c r="M65" i="37" s="1"/>
  <c r="P61" i="31"/>
  <c r="O65" i="37" s="1"/>
  <c r="F62" i="31"/>
  <c r="E66" i="37" s="1"/>
  <c r="H62" i="31"/>
  <c r="G66" i="37" s="1"/>
  <c r="J62" i="31"/>
  <c r="I66" i="37" s="1"/>
  <c r="L62" i="31"/>
  <c r="K66" i="37" s="1"/>
  <c r="N62" i="31"/>
  <c r="M66" i="37" s="1"/>
  <c r="AB12" i="31"/>
  <c r="X14" i="31"/>
  <c r="K93" i="37" s="1"/>
  <c r="P62" i="31"/>
  <c r="O66" i="37" s="1"/>
  <c r="X12" i="31"/>
  <c r="T12" i="31"/>
  <c r="AB14" i="31"/>
  <c r="O93" i="37" s="1"/>
  <c r="T14" i="31"/>
  <c r="G93" i="37" s="1"/>
  <c r="P14" i="31"/>
  <c r="L14" i="31"/>
  <c r="H14" i="31"/>
  <c r="G22" i="37" s="1"/>
  <c r="L74" i="37"/>
  <c r="L77" i="37" s="1"/>
  <c r="N76" i="37"/>
  <c r="N77" i="37" s="1"/>
  <c r="J5" i="37"/>
  <c r="J6" i="37" s="1"/>
  <c r="G74" i="37"/>
  <c r="G77" i="37" s="1"/>
  <c r="K76" i="37"/>
  <c r="K77" i="37" s="1"/>
  <c r="M3" i="37"/>
  <c r="M6" i="37" s="1"/>
  <c r="G5" i="37"/>
  <c r="G6" i="37" s="1"/>
  <c r="E3" i="17"/>
  <c r="I3" i="17"/>
  <c r="M3" i="17"/>
  <c r="E16" i="17"/>
  <c r="B18" i="17"/>
  <c r="I18" i="17"/>
  <c r="C17" i="17"/>
  <c r="K17" i="17"/>
  <c r="K19" i="17" s="1"/>
  <c r="H17" i="17"/>
  <c r="Q12" i="31"/>
  <c r="R12" i="31"/>
  <c r="F14" i="39"/>
  <c r="G12" i="31"/>
  <c r="O12" i="31"/>
  <c r="H12" i="31"/>
  <c r="M12" i="31"/>
  <c r="I12" i="31"/>
  <c r="J12" i="31"/>
  <c r="M14" i="39"/>
  <c r="I14" i="39"/>
  <c r="Q14" i="39"/>
  <c r="Y14" i="39"/>
  <c r="U14" i="39"/>
  <c r="E14" i="39"/>
  <c r="N14" i="39"/>
  <c r="J14" i="39"/>
  <c r="AB14" i="39"/>
  <c r="X14" i="39"/>
  <c r="T14" i="39"/>
  <c r="F6" i="17"/>
  <c r="I6" i="17"/>
  <c r="G19" i="17"/>
  <c r="G21" i="17"/>
  <c r="G25" i="17" s="1"/>
  <c r="H37" i="4" s="1"/>
  <c r="T82" i="6" s="1"/>
  <c r="B21" i="17"/>
  <c r="D8" i="37"/>
  <c r="L8" i="37"/>
  <c r="F8" i="17"/>
  <c r="D24" i="6"/>
  <c r="D20" i="37"/>
  <c r="B2" i="35"/>
  <c r="B32" i="35"/>
  <c r="B53" i="35"/>
  <c r="B8" i="35"/>
  <c r="B5" i="35"/>
  <c r="B4" i="35"/>
  <c r="B3" i="35"/>
  <c r="B31" i="35"/>
  <c r="B38" i="35"/>
  <c r="C12" i="4"/>
  <c r="B33" i="35"/>
  <c r="B55" i="35"/>
  <c r="B48" i="35"/>
  <c r="B18" i="35"/>
  <c r="B22" i="35"/>
  <c r="C97" i="6"/>
  <c r="C98" i="6" s="1"/>
  <c r="B37" i="35"/>
  <c r="B52" i="35"/>
  <c r="B23" i="35"/>
  <c r="B15" i="35"/>
  <c r="B41" i="35"/>
  <c r="B29" i="35"/>
  <c r="B10" i="35"/>
  <c r="J67" i="35"/>
  <c r="J92" i="35"/>
  <c r="J64" i="35"/>
  <c r="J84" i="35"/>
  <c r="J68" i="35"/>
  <c r="J88" i="35"/>
  <c r="W103" i="6"/>
  <c r="J90" i="35"/>
  <c r="W97" i="6"/>
  <c r="J86" i="35"/>
  <c r="J91" i="35"/>
  <c r="J95" i="35"/>
  <c r="J81" i="35"/>
  <c r="J102" i="35"/>
  <c r="J80" i="35"/>
  <c r="J62" i="35"/>
  <c r="J111" i="35"/>
  <c r="J107" i="35"/>
  <c r="E10" i="37"/>
  <c r="C10" i="17"/>
  <c r="AA39" i="38"/>
  <c r="J29" i="38" s="1"/>
  <c r="J3" i="12"/>
  <c r="J3" i="17"/>
  <c r="I75" i="37"/>
  <c r="I77" i="37" s="1"/>
  <c r="H59" i="27"/>
  <c r="H58" i="27"/>
  <c r="H60" i="27"/>
  <c r="F7" i="12" s="1"/>
  <c r="I57" i="27"/>
  <c r="E116" i="6"/>
  <c r="E22" i="12" s="1"/>
  <c r="F1" i="6"/>
  <c r="C56" i="6"/>
  <c r="C58" i="6" s="1"/>
  <c r="C7" i="6"/>
  <c r="F38" i="30"/>
  <c r="D9" i="12" s="1"/>
  <c r="G37" i="30"/>
  <c r="G1" i="30"/>
  <c r="F10" i="30"/>
  <c r="C10" i="6"/>
  <c r="B13" i="6"/>
  <c r="F27" i="41"/>
  <c r="G23" i="41"/>
  <c r="B65" i="6"/>
  <c r="F33" i="27"/>
  <c r="E5" i="39"/>
  <c r="E40" i="39"/>
  <c r="E58" i="39"/>
  <c r="E12" i="39"/>
  <c r="F3" i="39"/>
  <c r="C123" i="6"/>
  <c r="E13" i="27"/>
  <c r="E50" i="27"/>
  <c r="Q71" i="6" l="1"/>
  <c r="E36" i="4"/>
  <c r="S71" i="6"/>
  <c r="G36" i="4"/>
  <c r="F10" i="37"/>
  <c r="D10" i="17"/>
  <c r="C71" i="6"/>
  <c r="C4" i="4"/>
  <c r="D9" i="37"/>
  <c r="B9" i="17"/>
  <c r="M9" i="37"/>
  <c r="K9" i="17"/>
  <c r="C9" i="17"/>
  <c r="C12" i="17" s="1"/>
  <c r="D5" i="4" s="1"/>
  <c r="D82" i="6" s="1"/>
  <c r="E9" i="37"/>
  <c r="E12" i="37" s="1"/>
  <c r="D83" i="6" s="1"/>
  <c r="E31" i="30"/>
  <c r="E32" i="30" s="1"/>
  <c r="I11" i="17"/>
  <c r="K11" i="37"/>
  <c r="O77" i="37"/>
  <c r="Z72" i="6" s="1"/>
  <c r="O11" i="37"/>
  <c r="M11" i="17"/>
  <c r="K10" i="17"/>
  <c r="M10" i="37"/>
  <c r="B10" i="17"/>
  <c r="D10" i="37"/>
  <c r="D12" i="37" s="1"/>
  <c r="C83" i="6" s="1"/>
  <c r="F9" i="41"/>
  <c r="F34" i="41" s="1"/>
  <c r="H9" i="17"/>
  <c r="J9" i="37"/>
  <c r="K10" i="37"/>
  <c r="I10" i="17"/>
  <c r="F12" i="42"/>
  <c r="F13" i="42" s="1"/>
  <c r="I3" i="35"/>
  <c r="H11" i="37"/>
  <c r="H12" i="37" s="1"/>
  <c r="G83" i="6" s="1"/>
  <c r="F11" i="17"/>
  <c r="F12" i="17" s="1"/>
  <c r="G5" i="4" s="1"/>
  <c r="G82" i="6" s="1"/>
  <c r="C6" i="17"/>
  <c r="G10" i="30"/>
  <c r="F25" i="17"/>
  <c r="G37" i="4" s="1"/>
  <c r="J10" i="17"/>
  <c r="L10" i="37"/>
  <c r="S82" i="6"/>
  <c r="G38" i="4"/>
  <c r="L11" i="37"/>
  <c r="J11" i="17"/>
  <c r="H10" i="17"/>
  <c r="J10" i="37"/>
  <c r="H6" i="17"/>
  <c r="K11" i="17"/>
  <c r="K12" i="17" s="1"/>
  <c r="L5" i="4" s="1"/>
  <c r="L82" i="6" s="1"/>
  <c r="M11" i="37"/>
  <c r="M12" i="37" s="1"/>
  <c r="L83" i="6" s="1"/>
  <c r="K6" i="17"/>
  <c r="Y71" i="6"/>
  <c r="M36" i="4"/>
  <c r="O10" i="37"/>
  <c r="M10" i="17"/>
  <c r="L10" i="17"/>
  <c r="L12" i="17" s="1"/>
  <c r="M5" i="4" s="1"/>
  <c r="M82" i="6" s="1"/>
  <c r="N10" i="37"/>
  <c r="N12" i="37" s="1"/>
  <c r="M83" i="6" s="1"/>
  <c r="L6" i="17"/>
  <c r="D36" i="6"/>
  <c r="D37" i="6" s="1"/>
  <c r="F40" i="12"/>
  <c r="AI39" i="38"/>
  <c r="F34" i="38" s="1"/>
  <c r="J19" i="17"/>
  <c r="C22" i="17"/>
  <c r="J24" i="17"/>
  <c r="J25" i="17" s="1"/>
  <c r="K37" i="4" s="1"/>
  <c r="W82" i="6" s="1"/>
  <c r="M80" i="37"/>
  <c r="L23" i="17"/>
  <c r="L25" i="17" s="1"/>
  <c r="M37" i="4" s="1"/>
  <c r="Y82" i="6" s="1"/>
  <c r="M24" i="17"/>
  <c r="D8" i="5"/>
  <c r="E77" i="6"/>
  <c r="E78" i="6" s="1"/>
  <c r="D43" i="6"/>
  <c r="D46" i="6" s="1"/>
  <c r="C50" i="6"/>
  <c r="C51" i="6" s="1"/>
  <c r="O80" i="37"/>
  <c r="O83" i="37" s="1"/>
  <c r="Z83" i="6" s="1"/>
  <c r="M19" i="17"/>
  <c r="F11" i="37"/>
  <c r="F12" i="37" s="1"/>
  <c r="E83" i="6" s="1"/>
  <c r="D11" i="17"/>
  <c r="D12" i="17" s="1"/>
  <c r="E5" i="4" s="1"/>
  <c r="E82" i="6" s="1"/>
  <c r="D6" i="17"/>
  <c r="I11" i="37"/>
  <c r="G11" i="17"/>
  <c r="H11" i="17"/>
  <c r="J11" i="37"/>
  <c r="I9" i="37"/>
  <c r="I12" i="37" s="1"/>
  <c r="H83" i="6" s="1"/>
  <c r="G9" i="17"/>
  <c r="G12" i="17" s="1"/>
  <c r="H5" i="4" s="1"/>
  <c r="H82" i="6" s="1"/>
  <c r="G6" i="17"/>
  <c r="G3" i="33"/>
  <c r="C35" i="12"/>
  <c r="C23" i="4" s="1"/>
  <c r="E13" i="30"/>
  <c r="C27" i="12"/>
  <c r="D11" i="27"/>
  <c r="D9" i="27"/>
  <c r="K109" i="35"/>
  <c r="L83" i="37"/>
  <c r="W83" i="6" s="1"/>
  <c r="E38" i="4"/>
  <c r="N81" i="37"/>
  <c r="N83" i="37" s="1"/>
  <c r="Y83" i="6" s="1"/>
  <c r="M22" i="17"/>
  <c r="M25" i="17" s="1"/>
  <c r="N37" i="4" s="1"/>
  <c r="Z82" i="6" s="1"/>
  <c r="G10" i="42"/>
  <c r="F14" i="42"/>
  <c r="F72" i="6"/>
  <c r="V72" i="6"/>
  <c r="W72" i="6"/>
  <c r="T72" i="6"/>
  <c r="L72" i="6"/>
  <c r="Y72" i="6"/>
  <c r="C25" i="12"/>
  <c r="E51" i="27"/>
  <c r="F47" i="27" s="1"/>
  <c r="C36" i="5"/>
  <c r="D121" i="6"/>
  <c r="D123" i="6" s="1"/>
  <c r="F34" i="27"/>
  <c r="F35" i="27"/>
  <c r="C11" i="6"/>
  <c r="C62" i="6" s="1"/>
  <c r="C18" i="4" s="1"/>
  <c r="C61" i="6"/>
  <c r="G39" i="30"/>
  <c r="H37" i="30"/>
  <c r="G38" i="30"/>
  <c r="E9" i="12" s="1"/>
  <c r="D5" i="6"/>
  <c r="E14" i="27"/>
  <c r="C26" i="12" s="1"/>
  <c r="E15" i="27"/>
  <c r="F12" i="39"/>
  <c r="F5" i="39"/>
  <c r="F40" i="39"/>
  <c r="F58" i="39"/>
  <c r="G3" i="39"/>
  <c r="B5" i="5"/>
  <c r="G24" i="41"/>
  <c r="G25" i="41" s="1"/>
  <c r="E25" i="41" s="1"/>
  <c r="E23" i="41" s="1"/>
  <c r="G28" i="30"/>
  <c r="H1" i="30"/>
  <c r="I1" i="30" s="1"/>
  <c r="J1" i="30" s="1"/>
  <c r="K1" i="30" s="1"/>
  <c r="L1" i="30" s="1"/>
  <c r="M1" i="30" s="1"/>
  <c r="N1" i="30" s="1"/>
  <c r="O1" i="30" s="1"/>
  <c r="P1" i="30" s="1"/>
  <c r="Q1" i="30" s="1"/>
  <c r="R1" i="30" s="1"/>
  <c r="S1" i="30" s="1"/>
  <c r="T1" i="30" s="1"/>
  <c r="U1" i="30" s="1"/>
  <c r="V1" i="30" s="1"/>
  <c r="W1" i="30" s="1"/>
  <c r="X1" i="30" s="1"/>
  <c r="Y1" i="30" s="1"/>
  <c r="Z1" i="30" s="1"/>
  <c r="AA1" i="30" s="1"/>
  <c r="AB1" i="30" s="1"/>
  <c r="AC1" i="30" s="1"/>
  <c r="AD1" i="30" s="1"/>
  <c r="AE1" i="30" s="1"/>
  <c r="AF1" i="30" s="1"/>
  <c r="AG1" i="30" s="1"/>
  <c r="AH1" i="30" s="1"/>
  <c r="AI1" i="30" s="1"/>
  <c r="AJ1" i="30" s="1"/>
  <c r="AK1" i="30" s="1"/>
  <c r="AL1" i="30" s="1"/>
  <c r="AM1" i="30" s="1"/>
  <c r="AN1" i="30" s="1"/>
  <c r="I58" i="27"/>
  <c r="I59" i="27"/>
  <c r="I60" i="27"/>
  <c r="G7" i="12" s="1"/>
  <c r="J57" i="27"/>
  <c r="AB39" i="38"/>
  <c r="K29" i="38" s="1"/>
  <c r="K3" i="12"/>
  <c r="D26" i="6"/>
  <c r="E22" i="6"/>
  <c r="T71" i="6"/>
  <c r="H36" i="4"/>
  <c r="H38" i="4" s="1"/>
  <c r="X71" i="6"/>
  <c r="L36" i="4"/>
  <c r="F8" i="35"/>
  <c r="F44" i="35"/>
  <c r="F17" i="35"/>
  <c r="F23" i="35"/>
  <c r="F26" i="35"/>
  <c r="G10" i="4"/>
  <c r="F29" i="35"/>
  <c r="G97" i="6"/>
  <c r="F34" i="35"/>
  <c r="F50" i="35"/>
  <c r="F15" i="35"/>
  <c r="G8" i="4"/>
  <c r="F12" i="35"/>
  <c r="F21" i="35"/>
  <c r="F46" i="35"/>
  <c r="F31" i="35"/>
  <c r="F38" i="35"/>
  <c r="G103" i="6"/>
  <c r="F4" i="35"/>
  <c r="F32" i="35"/>
  <c r="F36" i="35"/>
  <c r="F48" i="35"/>
  <c r="F9" i="35"/>
  <c r="F13" i="35"/>
  <c r="F39" i="35"/>
  <c r="G89" i="6"/>
  <c r="F14" i="35"/>
  <c r="F45" i="35"/>
  <c r="F3" i="35"/>
  <c r="F22" i="35"/>
  <c r="G9" i="4"/>
  <c r="F41" i="35"/>
  <c r="F7" i="35"/>
  <c r="F30" i="35"/>
  <c r="F55" i="35"/>
  <c r="F33" i="35"/>
  <c r="F40" i="35"/>
  <c r="G11" i="4"/>
  <c r="F56" i="35"/>
  <c r="F2" i="35"/>
  <c r="F19" i="35"/>
  <c r="F6" i="35"/>
  <c r="F11" i="35"/>
  <c r="H20" i="37"/>
  <c r="H67" i="37" s="1"/>
  <c r="F16" i="35"/>
  <c r="F20" i="35"/>
  <c r="F52" i="35"/>
  <c r="G12" i="4"/>
  <c r="F25" i="35"/>
  <c r="F37" i="35"/>
  <c r="F49" i="35"/>
  <c r="F51" i="35"/>
  <c r="F10" i="35"/>
  <c r="F47" i="35"/>
  <c r="F27" i="35"/>
  <c r="F54" i="35"/>
  <c r="F18" i="35"/>
  <c r="F43" i="35"/>
  <c r="F35" i="35"/>
  <c r="F42" i="35"/>
  <c r="G13" i="4"/>
  <c r="F53" i="35"/>
  <c r="F5" i="35"/>
  <c r="F28" i="35"/>
  <c r="F24" i="35"/>
  <c r="G20" i="37"/>
  <c r="G67" i="37" s="1"/>
  <c r="F90" i="6" s="1"/>
  <c r="F10" i="4"/>
  <c r="E7" i="35"/>
  <c r="E23" i="35"/>
  <c r="E17" i="35"/>
  <c r="E33" i="35"/>
  <c r="E49" i="35"/>
  <c r="E46" i="35"/>
  <c r="E10" i="35"/>
  <c r="E4" i="35"/>
  <c r="E20" i="35"/>
  <c r="E36" i="35"/>
  <c r="E26" i="35"/>
  <c r="F12" i="4"/>
  <c r="E29" i="35"/>
  <c r="E35" i="35"/>
  <c r="E52" i="35"/>
  <c r="E6" i="35"/>
  <c r="E16" i="35"/>
  <c r="E42" i="35"/>
  <c r="E39" i="35"/>
  <c r="E55" i="35"/>
  <c r="F97" i="6"/>
  <c r="E21" i="35"/>
  <c r="E44" i="35"/>
  <c r="E30" i="35"/>
  <c r="E56" i="35"/>
  <c r="F8" i="4"/>
  <c r="E43" i="35"/>
  <c r="E48" i="35"/>
  <c r="E37" i="35"/>
  <c r="E24" i="35"/>
  <c r="E2" i="35"/>
  <c r="E9" i="35"/>
  <c r="E15" i="35"/>
  <c r="E25" i="35"/>
  <c r="E38" i="35"/>
  <c r="F11" i="4"/>
  <c r="E28" i="35"/>
  <c r="E34" i="35"/>
  <c r="E19" i="35"/>
  <c r="F9" i="4"/>
  <c r="E32" i="35"/>
  <c r="E47" i="35"/>
  <c r="E11" i="35"/>
  <c r="F13" i="4"/>
  <c r="E53" i="35"/>
  <c r="E14" i="35"/>
  <c r="E8" i="35"/>
  <c r="E3" i="35"/>
  <c r="E31" i="35"/>
  <c r="E41" i="35"/>
  <c r="E54" i="35"/>
  <c r="E12" i="35"/>
  <c r="E18" i="35"/>
  <c r="E13" i="35"/>
  <c r="E51" i="35"/>
  <c r="E22" i="35"/>
  <c r="E50" i="35"/>
  <c r="F103" i="6"/>
  <c r="E27" i="35"/>
  <c r="E40" i="35"/>
  <c r="E5" i="35"/>
  <c r="F89" i="6"/>
  <c r="E45" i="35"/>
  <c r="F20" i="37"/>
  <c r="F67" i="37" s="1"/>
  <c r="D5" i="35"/>
  <c r="D24" i="35"/>
  <c r="D9" i="35"/>
  <c r="D21" i="35"/>
  <c r="D38" i="35"/>
  <c r="D54" i="35"/>
  <c r="D49" i="35"/>
  <c r="D6" i="35"/>
  <c r="D10" i="35"/>
  <c r="D39" i="35"/>
  <c r="D50" i="35"/>
  <c r="D4" i="35"/>
  <c r="D35" i="35"/>
  <c r="D36" i="35"/>
  <c r="D48" i="35"/>
  <c r="E103" i="6"/>
  <c r="D7" i="35"/>
  <c r="D11" i="35"/>
  <c r="D44" i="35"/>
  <c r="D51" i="35"/>
  <c r="D14" i="35"/>
  <c r="D18" i="35"/>
  <c r="D15" i="35"/>
  <c r="D52" i="35"/>
  <c r="E13" i="4"/>
  <c r="D47" i="35"/>
  <c r="D8" i="35"/>
  <c r="D45" i="35"/>
  <c r="D30" i="35"/>
  <c r="E11" i="4"/>
  <c r="D28" i="35"/>
  <c r="E8" i="4"/>
  <c r="D16" i="35"/>
  <c r="D13" i="35"/>
  <c r="D46" i="35"/>
  <c r="E9" i="4"/>
  <c r="D22" i="35"/>
  <c r="E97" i="6"/>
  <c r="D20" i="35"/>
  <c r="D2" i="35"/>
  <c r="D26" i="35"/>
  <c r="D37" i="35"/>
  <c r="D3" i="35"/>
  <c r="D31" i="35"/>
  <c r="D33" i="35"/>
  <c r="D12" i="35"/>
  <c r="D42" i="35"/>
  <c r="D40" i="35"/>
  <c r="E12" i="4"/>
  <c r="D32" i="35"/>
  <c r="D29" i="35"/>
  <c r="D41" i="35"/>
  <c r="D25" i="35"/>
  <c r="D55" i="35"/>
  <c r="D19" i="35"/>
  <c r="D53" i="35"/>
  <c r="E10" i="4"/>
  <c r="D23" i="35"/>
  <c r="D17" i="35"/>
  <c r="D34" i="35"/>
  <c r="D43" i="35"/>
  <c r="E89" i="6"/>
  <c r="D56" i="35"/>
  <c r="D27" i="35"/>
  <c r="D41" i="4"/>
  <c r="C91" i="35"/>
  <c r="C106" i="35"/>
  <c r="C72" i="35"/>
  <c r="C77" i="35"/>
  <c r="P89" i="6"/>
  <c r="C90" i="35"/>
  <c r="C79" i="35"/>
  <c r="C107" i="35"/>
  <c r="C102" i="35"/>
  <c r="C78" i="35"/>
  <c r="C93" i="35"/>
  <c r="C92" i="35"/>
  <c r="C83" i="35"/>
  <c r="C100" i="35"/>
  <c r="C113" i="35"/>
  <c r="C85" i="35"/>
  <c r="C70" i="35"/>
  <c r="C86" i="35"/>
  <c r="C81" i="35"/>
  <c r="E91" i="37"/>
  <c r="E138" i="37" s="1"/>
  <c r="P90" i="6" s="1"/>
  <c r="C87" i="35"/>
  <c r="C69" i="35"/>
  <c r="C99" i="35"/>
  <c r="D45" i="4"/>
  <c r="C67" i="35"/>
  <c r="D43" i="4"/>
  <c r="C112" i="35"/>
  <c r="C104" i="35"/>
  <c r="C74" i="35"/>
  <c r="C94" i="35"/>
  <c r="C62" i="35"/>
  <c r="C103" i="35"/>
  <c r="D40" i="4"/>
  <c r="D42" i="4"/>
  <c r="C109" i="35"/>
  <c r="C66" i="35"/>
  <c r="C89" i="35"/>
  <c r="P103" i="6"/>
  <c r="C75" i="35"/>
  <c r="C71" i="35"/>
  <c r="C105" i="35"/>
  <c r="C60" i="35"/>
  <c r="C111" i="35"/>
  <c r="C88" i="35"/>
  <c r="P97" i="6"/>
  <c r="C61" i="35"/>
  <c r="C96" i="35"/>
  <c r="C65" i="35"/>
  <c r="C73" i="35"/>
  <c r="C95" i="35"/>
  <c r="C63" i="35"/>
  <c r="C80" i="35"/>
  <c r="C64" i="35"/>
  <c r="C110" i="35"/>
  <c r="C98" i="35"/>
  <c r="D44" i="4"/>
  <c r="C97" i="35"/>
  <c r="C101" i="35"/>
  <c r="C68" i="35"/>
  <c r="C114" i="35"/>
  <c r="C82" i="35"/>
  <c r="C84" i="35"/>
  <c r="C76" i="35"/>
  <c r="C108" i="35"/>
  <c r="H19" i="17"/>
  <c r="J81" i="37"/>
  <c r="J83" i="37" s="1"/>
  <c r="H23" i="17"/>
  <c r="H25" i="17" s="1"/>
  <c r="I37" i="4" s="1"/>
  <c r="U82" i="6" s="1"/>
  <c r="C19" i="17"/>
  <c r="E81" i="37"/>
  <c r="E83" i="37" s="1"/>
  <c r="C23" i="17"/>
  <c r="C25" i="17" s="1"/>
  <c r="D37" i="4" s="1"/>
  <c r="P82" i="6" s="1"/>
  <c r="D82" i="37"/>
  <c r="D83" i="37" s="1"/>
  <c r="B24" i="17"/>
  <c r="O9" i="37"/>
  <c r="O12" i="37" s="1"/>
  <c r="M9" i="17"/>
  <c r="M12" i="17" s="1"/>
  <c r="N5" i="4" s="1"/>
  <c r="N82" i="6" s="1"/>
  <c r="E9" i="17"/>
  <c r="E12" i="17" s="1"/>
  <c r="F5" i="4" s="1"/>
  <c r="F82" i="6" s="1"/>
  <c r="G9" i="37"/>
  <c r="G12" i="37" s="1"/>
  <c r="F83" i="6" s="1"/>
  <c r="E6" i="17"/>
  <c r="R72" i="6"/>
  <c r="O22" i="37"/>
  <c r="O67" i="37" s="1"/>
  <c r="N90" i="6" s="1"/>
  <c r="M9" i="35"/>
  <c r="M3" i="35"/>
  <c r="M15" i="35"/>
  <c r="M31" i="35"/>
  <c r="M25" i="35"/>
  <c r="M41" i="35"/>
  <c r="M38" i="35"/>
  <c r="M54" i="35"/>
  <c r="N11" i="4"/>
  <c r="M12" i="35"/>
  <c r="M28" i="35"/>
  <c r="M18" i="35"/>
  <c r="M34" i="35"/>
  <c r="M50" i="35"/>
  <c r="M47" i="35"/>
  <c r="M2" i="35"/>
  <c r="N12" i="4"/>
  <c r="M29" i="35"/>
  <c r="M35" i="35"/>
  <c r="M52" i="35"/>
  <c r="M6" i="35"/>
  <c r="M16" i="35"/>
  <c r="M48" i="35"/>
  <c r="N8" i="4"/>
  <c r="M11" i="35"/>
  <c r="M27" i="35"/>
  <c r="N13" i="4"/>
  <c r="M40" i="35"/>
  <c r="M5" i="35"/>
  <c r="M14" i="35"/>
  <c r="M37" i="35"/>
  <c r="M24" i="35"/>
  <c r="N10" i="4"/>
  <c r="M7" i="35"/>
  <c r="M23" i="35"/>
  <c r="M17" i="35"/>
  <c r="M33" i="35"/>
  <c r="M49" i="35"/>
  <c r="M46" i="35"/>
  <c r="M10" i="35"/>
  <c r="M4" i="35"/>
  <c r="M20" i="35"/>
  <c r="M36" i="35"/>
  <c r="M26" i="35"/>
  <c r="M42" i="35"/>
  <c r="M39" i="35"/>
  <c r="M55" i="35"/>
  <c r="N97" i="6"/>
  <c r="M13" i="35"/>
  <c r="M19" i="35"/>
  <c r="M51" i="35"/>
  <c r="N9" i="4"/>
  <c r="M22" i="35"/>
  <c r="M32" i="35"/>
  <c r="M45" i="35"/>
  <c r="N103" i="6"/>
  <c r="M21" i="35"/>
  <c r="M44" i="35"/>
  <c r="M30" i="35"/>
  <c r="M53" i="35"/>
  <c r="M43" i="35"/>
  <c r="M56" i="35"/>
  <c r="M8" i="35"/>
  <c r="N89" i="6"/>
  <c r="K91" i="37"/>
  <c r="K138" i="37" s="1"/>
  <c r="V90" i="6" s="1"/>
  <c r="I66" i="35"/>
  <c r="J40" i="4"/>
  <c r="I98" i="35"/>
  <c r="V103" i="6"/>
  <c r="I71" i="35"/>
  <c r="J44" i="4"/>
  <c r="V97" i="6"/>
  <c r="I88" i="35"/>
  <c r="I69" i="35"/>
  <c r="I62" i="35"/>
  <c r="I81" i="35"/>
  <c r="I110" i="35"/>
  <c r="I102" i="35"/>
  <c r="I114" i="35"/>
  <c r="I73" i="35"/>
  <c r="I82" i="35"/>
  <c r="J45" i="4"/>
  <c r="I76" i="35"/>
  <c r="J42" i="4"/>
  <c r="I94" i="35"/>
  <c r="I91" i="35"/>
  <c r="I78" i="35"/>
  <c r="I67" i="35"/>
  <c r="I84" i="35"/>
  <c r="I87" i="35"/>
  <c r="I112" i="35"/>
  <c r="I111" i="35"/>
  <c r="I86" i="35"/>
  <c r="I72" i="35"/>
  <c r="I101" i="35"/>
  <c r="I64" i="35"/>
  <c r="I107" i="35"/>
  <c r="I106" i="35"/>
  <c r="I113" i="35"/>
  <c r="J43" i="4"/>
  <c r="I96" i="35"/>
  <c r="I92" i="35"/>
  <c r="I103" i="35"/>
  <c r="I105" i="35"/>
  <c r="I70" i="35"/>
  <c r="I93" i="35"/>
  <c r="I83" i="35"/>
  <c r="I108" i="35"/>
  <c r="I68" i="35"/>
  <c r="I63" i="35"/>
  <c r="V89" i="6"/>
  <c r="I75" i="35"/>
  <c r="I109" i="35"/>
  <c r="I99" i="35"/>
  <c r="I100" i="35"/>
  <c r="I89" i="35"/>
  <c r="J41" i="4"/>
  <c r="I95" i="35"/>
  <c r="I60" i="35"/>
  <c r="I80" i="35"/>
  <c r="I104" i="35"/>
  <c r="I77" i="35"/>
  <c r="I74" i="35"/>
  <c r="I65" i="35"/>
  <c r="I97" i="35"/>
  <c r="I85" i="35"/>
  <c r="I90" i="35"/>
  <c r="I79" i="35"/>
  <c r="I61" i="35"/>
  <c r="I91" i="37"/>
  <c r="I138" i="37" s="1"/>
  <c r="T90" i="6" s="1"/>
  <c r="G68" i="35"/>
  <c r="G98" i="35"/>
  <c r="T103" i="6"/>
  <c r="G78" i="35"/>
  <c r="G89" i="35"/>
  <c r="G93" i="35"/>
  <c r="G91" i="35"/>
  <c r="G60" i="35"/>
  <c r="G96" i="35"/>
  <c r="H44" i="4"/>
  <c r="G97" i="35"/>
  <c r="G66" i="35"/>
  <c r="G64" i="35"/>
  <c r="G65" i="35"/>
  <c r="G105" i="35"/>
  <c r="G104" i="35"/>
  <c r="G72" i="35"/>
  <c r="G90" i="35"/>
  <c r="G112" i="35"/>
  <c r="H42" i="4"/>
  <c r="G74" i="35"/>
  <c r="G71" i="35"/>
  <c r="G114" i="35"/>
  <c r="G83" i="35"/>
  <c r="H40" i="4"/>
  <c r="G75" i="35"/>
  <c r="G107" i="35"/>
  <c r="G87" i="35"/>
  <c r="H45" i="4"/>
  <c r="G67" i="35"/>
  <c r="G92" i="35"/>
  <c r="G109" i="35"/>
  <c r="G113" i="35"/>
  <c r="G99" i="35"/>
  <c r="G73" i="35"/>
  <c r="G103" i="35"/>
  <c r="G85" i="35"/>
  <c r="T97" i="6"/>
  <c r="G101" i="35"/>
  <c r="G108" i="35"/>
  <c r="G77" i="35"/>
  <c r="G70" i="35"/>
  <c r="G86" i="35"/>
  <c r="G79" i="35"/>
  <c r="G76" i="35"/>
  <c r="H41" i="4"/>
  <c r="G111" i="35"/>
  <c r="G84" i="35"/>
  <c r="G94" i="35"/>
  <c r="G62" i="35"/>
  <c r="G100" i="35"/>
  <c r="G88" i="35"/>
  <c r="G110" i="35"/>
  <c r="G106" i="35"/>
  <c r="G102" i="35"/>
  <c r="G82" i="35"/>
  <c r="G69" i="35"/>
  <c r="G61" i="35"/>
  <c r="G63" i="35"/>
  <c r="G95" i="35"/>
  <c r="H43" i="4"/>
  <c r="G81" i="35"/>
  <c r="G80" i="35"/>
  <c r="T89" i="6"/>
  <c r="L93" i="37"/>
  <c r="L138" i="37" s="1"/>
  <c r="W90" i="6" s="1"/>
  <c r="J78" i="35"/>
  <c r="J73" i="35"/>
  <c r="J77" i="35"/>
  <c r="J97" i="35"/>
  <c r="J93" i="35"/>
  <c r="K42" i="4"/>
  <c r="J61" i="35"/>
  <c r="J100" i="35"/>
  <c r="J70" i="35"/>
  <c r="J82" i="35"/>
  <c r="K43" i="4"/>
  <c r="J99" i="35"/>
  <c r="K45" i="4"/>
  <c r="J103" i="35"/>
  <c r="W89" i="6"/>
  <c r="J98" i="35"/>
  <c r="K41" i="4"/>
  <c r="J94" i="35"/>
  <c r="J114" i="35"/>
  <c r="J109" i="35"/>
  <c r="J79" i="35"/>
  <c r="J75" i="35"/>
  <c r="J60" i="35"/>
  <c r="K44" i="4"/>
  <c r="J104" i="35"/>
  <c r="J66" i="35"/>
  <c r="J65" i="35"/>
  <c r="J106" i="35"/>
  <c r="J69" i="35"/>
  <c r="J110" i="35"/>
  <c r="J105" i="35"/>
  <c r="J63" i="35"/>
  <c r="J101" i="35"/>
  <c r="J96" i="35"/>
  <c r="J74" i="35"/>
  <c r="J72" i="35"/>
  <c r="J108" i="35"/>
  <c r="J83" i="35"/>
  <c r="J87" i="35"/>
  <c r="K40" i="4"/>
  <c r="J71" i="35"/>
  <c r="J76" i="35"/>
  <c r="J112" i="35"/>
  <c r="J113" i="35"/>
  <c r="J89" i="35"/>
  <c r="J85" i="35"/>
  <c r="H93" i="37"/>
  <c r="F90" i="35"/>
  <c r="F97" i="35"/>
  <c r="F65" i="35"/>
  <c r="F81" i="35"/>
  <c r="F101" i="35"/>
  <c r="F83" i="35"/>
  <c r="F77" i="35"/>
  <c r="F64" i="35"/>
  <c r="F112" i="35"/>
  <c r="F66" i="35"/>
  <c r="F107" i="35"/>
  <c r="F100" i="35"/>
  <c r="F96" i="35"/>
  <c r="F68" i="35"/>
  <c r="F98" i="35"/>
  <c r="F93" i="35"/>
  <c r="F91" i="35"/>
  <c r="F87" i="35"/>
  <c r="F80" i="35"/>
  <c r="F105" i="35"/>
  <c r="F95" i="35"/>
  <c r="F108" i="35"/>
  <c r="F62" i="35"/>
  <c r="F61" i="35"/>
  <c r="F82" i="35"/>
  <c r="F113" i="35"/>
  <c r="F109" i="35"/>
  <c r="G45" i="4"/>
  <c r="S89" i="6"/>
  <c r="F110" i="35"/>
  <c r="F69" i="35"/>
  <c r="F86" i="35"/>
  <c r="G44" i="4"/>
  <c r="F75" i="35"/>
  <c r="S103" i="6"/>
  <c r="G42" i="4"/>
  <c r="F76" i="35"/>
  <c r="S97" i="6"/>
  <c r="F67" i="35"/>
  <c r="G43" i="4"/>
  <c r="F85" i="35"/>
  <c r="G41" i="4"/>
  <c r="F63" i="35"/>
  <c r="D22" i="37"/>
  <c r="C103" i="6"/>
  <c r="C105" i="6" s="1"/>
  <c r="D102" i="6" s="1"/>
  <c r="D104" i="6" s="1"/>
  <c r="B51" i="35"/>
  <c r="B12" i="35"/>
  <c r="B20" i="35"/>
  <c r="B50" i="35"/>
  <c r="B17" i="35"/>
  <c r="B39" i="35"/>
  <c r="B34" i="35"/>
  <c r="C89" i="6"/>
  <c r="B28" i="35"/>
  <c r="C11" i="4"/>
  <c r="B56" i="35"/>
  <c r="B46" i="35"/>
  <c r="C10" i="4"/>
  <c r="B42" i="35"/>
  <c r="C13" i="4"/>
  <c r="B11" i="35"/>
  <c r="B40" i="35"/>
  <c r="B13" i="35"/>
  <c r="C9" i="4"/>
  <c r="B30" i="35"/>
  <c r="B19" i="35"/>
  <c r="B16" i="35"/>
  <c r="B36" i="35"/>
  <c r="B27" i="35"/>
  <c r="B49" i="35"/>
  <c r="B21" i="35"/>
  <c r="B6" i="35"/>
  <c r="B54" i="35"/>
  <c r="B35" i="35"/>
  <c r="B43" i="35"/>
  <c r="B25" i="35"/>
  <c r="B14" i="35"/>
  <c r="C8" i="4"/>
  <c r="B44" i="35"/>
  <c r="B24" i="35"/>
  <c r="B7" i="35"/>
  <c r="B45" i="35"/>
  <c r="B9" i="35"/>
  <c r="B47" i="35"/>
  <c r="B26" i="35"/>
  <c r="J91" i="37"/>
  <c r="J138" i="37" s="1"/>
  <c r="U90" i="6" s="1"/>
  <c r="H75" i="35"/>
  <c r="I43" i="4"/>
  <c r="H94" i="35"/>
  <c r="H67" i="35"/>
  <c r="H108" i="35"/>
  <c r="I41" i="4"/>
  <c r="H91" i="35"/>
  <c r="H76" i="35"/>
  <c r="U103" i="6"/>
  <c r="H60" i="35"/>
  <c r="H64" i="35"/>
  <c r="H77" i="35"/>
  <c r="H79" i="35"/>
  <c r="H68" i="35"/>
  <c r="H97" i="35"/>
  <c r="H69" i="35"/>
  <c r="I42" i="4"/>
  <c r="H61" i="35"/>
  <c r="H99" i="35"/>
  <c r="U89" i="6"/>
  <c r="H90" i="35"/>
  <c r="H84" i="35"/>
  <c r="H78" i="35"/>
  <c r="H95" i="35"/>
  <c r="H113" i="35"/>
  <c r="H105" i="35"/>
  <c r="H93" i="35"/>
  <c r="H66" i="35"/>
  <c r="H110" i="35"/>
  <c r="H71" i="35"/>
  <c r="H83" i="35"/>
  <c r="H89" i="35"/>
  <c r="I40" i="4"/>
  <c r="H65" i="35"/>
  <c r="H72" i="35"/>
  <c r="H82" i="35"/>
  <c r="H73" i="35"/>
  <c r="H96" i="35"/>
  <c r="H80" i="35"/>
  <c r="U97" i="6"/>
  <c r="H85" i="35"/>
  <c r="I45" i="4"/>
  <c r="H98" i="35"/>
  <c r="H92" i="35"/>
  <c r="H87" i="35"/>
  <c r="H111" i="35"/>
  <c r="H62" i="35"/>
  <c r="H104" i="35"/>
  <c r="H86" i="35"/>
  <c r="H63" i="35"/>
  <c r="H74" i="35"/>
  <c r="H100" i="35"/>
  <c r="I44" i="4"/>
  <c r="H103" i="35"/>
  <c r="H112" i="35"/>
  <c r="H107" i="35"/>
  <c r="H102" i="35"/>
  <c r="H109" i="35"/>
  <c r="H88" i="35"/>
  <c r="H81" i="35"/>
  <c r="H101" i="35"/>
  <c r="H70" i="35"/>
  <c r="H114" i="35"/>
  <c r="H106" i="35"/>
  <c r="E22" i="37"/>
  <c r="E67" i="37" s="1"/>
  <c r="D90" i="6" s="1"/>
  <c r="C8" i="35"/>
  <c r="D13" i="4"/>
  <c r="C14" i="35"/>
  <c r="C30" i="35"/>
  <c r="C24" i="35"/>
  <c r="C40" i="35"/>
  <c r="C56" i="35"/>
  <c r="C53" i="35"/>
  <c r="D10" i="4"/>
  <c r="C7" i="35"/>
  <c r="C23" i="35"/>
  <c r="C17" i="35"/>
  <c r="C33" i="35"/>
  <c r="C49" i="35"/>
  <c r="C46" i="35"/>
  <c r="D103" i="6"/>
  <c r="C10" i="35"/>
  <c r="C20" i="35"/>
  <c r="C26" i="35"/>
  <c r="C39" i="35"/>
  <c r="D12" i="4"/>
  <c r="C29" i="35"/>
  <c r="C35" i="35"/>
  <c r="C52" i="35"/>
  <c r="D11" i="4"/>
  <c r="C50" i="35"/>
  <c r="C5" i="35"/>
  <c r="C43" i="35"/>
  <c r="C12" i="35"/>
  <c r="C34" i="35"/>
  <c r="C21" i="35"/>
  <c r="C44" i="35"/>
  <c r="D9" i="4"/>
  <c r="C6" i="35"/>
  <c r="C22" i="35"/>
  <c r="C16" i="35"/>
  <c r="C32" i="35"/>
  <c r="C48" i="35"/>
  <c r="C45" i="35"/>
  <c r="C9" i="35"/>
  <c r="C3" i="35"/>
  <c r="C15" i="35"/>
  <c r="C31" i="35"/>
  <c r="C25" i="35"/>
  <c r="C41" i="35"/>
  <c r="C38" i="35"/>
  <c r="C54" i="35"/>
  <c r="D97" i="6"/>
  <c r="C4" i="35"/>
  <c r="C36" i="35"/>
  <c r="C42" i="35"/>
  <c r="C55" i="35"/>
  <c r="C13" i="35"/>
  <c r="C19" i="35"/>
  <c r="C51" i="35"/>
  <c r="D89" i="6"/>
  <c r="C18" i="35"/>
  <c r="C47" i="35"/>
  <c r="C37" i="35"/>
  <c r="D8" i="4"/>
  <c r="D14" i="4" s="1"/>
  <c r="C28" i="35"/>
  <c r="C11" i="35"/>
  <c r="C27" i="35"/>
  <c r="C2" i="35"/>
  <c r="F8" i="12"/>
  <c r="B25" i="17"/>
  <c r="C37" i="4" s="1"/>
  <c r="F73" i="35"/>
  <c r="F114" i="35"/>
  <c r="F102" i="35"/>
  <c r="F103" i="35"/>
  <c r="F88" i="35"/>
  <c r="F92" i="35"/>
  <c r="F94" i="35"/>
  <c r="F70" i="35"/>
  <c r="F106" i="35"/>
  <c r="F79" i="35"/>
  <c r="G40" i="4"/>
  <c r="G46" i="4" s="1"/>
  <c r="G48" i="4" s="1"/>
  <c r="K114" i="35"/>
  <c r="L40" i="4"/>
  <c r="K77" i="35"/>
  <c r="I24" i="35"/>
  <c r="I56" i="35"/>
  <c r="I40" i="35"/>
  <c r="I27" i="35"/>
  <c r="J8" i="4"/>
  <c r="I16" i="35"/>
  <c r="I52" i="35"/>
  <c r="I29" i="35"/>
  <c r="J97" i="6"/>
  <c r="I50" i="35"/>
  <c r="I18" i="35"/>
  <c r="I12" i="35"/>
  <c r="I54" i="35"/>
  <c r="I41" i="35"/>
  <c r="I31" i="35"/>
  <c r="M6" i="17"/>
  <c r="C73" i="6"/>
  <c r="C5" i="12" s="1"/>
  <c r="C12" i="12" s="1"/>
  <c r="G1" i="6"/>
  <c r="F116" i="6"/>
  <c r="F22" i="12" s="1"/>
  <c r="L9" i="37"/>
  <c r="L12" i="37" s="1"/>
  <c r="J6" i="17"/>
  <c r="J9" i="17"/>
  <c r="J12" i="17" s="1"/>
  <c r="K5" i="4" s="1"/>
  <c r="K82" i="6" s="1"/>
  <c r="C99" i="6"/>
  <c r="C19" i="12"/>
  <c r="J4" i="4"/>
  <c r="J71" i="6"/>
  <c r="G71" i="6"/>
  <c r="G4" i="4"/>
  <c r="I20" i="37"/>
  <c r="I67" i="37" s="1"/>
  <c r="H11" i="4"/>
  <c r="G12" i="35"/>
  <c r="G28" i="35"/>
  <c r="G18" i="35"/>
  <c r="G34" i="35"/>
  <c r="G50" i="35"/>
  <c r="G47" i="35"/>
  <c r="G11" i="35"/>
  <c r="G5" i="35"/>
  <c r="G21" i="35"/>
  <c r="G37" i="35"/>
  <c r="G27" i="35"/>
  <c r="G43" i="35"/>
  <c r="G44" i="35"/>
  <c r="H89" i="6"/>
  <c r="H103" i="6"/>
  <c r="H9" i="4"/>
  <c r="G6" i="35"/>
  <c r="G22" i="35"/>
  <c r="G16" i="35"/>
  <c r="G32" i="35"/>
  <c r="G48" i="35"/>
  <c r="G45" i="35"/>
  <c r="G9" i="35"/>
  <c r="G3" i="35"/>
  <c r="G15" i="35"/>
  <c r="G31" i="35"/>
  <c r="G25" i="35"/>
  <c r="G41" i="35"/>
  <c r="G38" i="35"/>
  <c r="G54" i="35"/>
  <c r="G2" i="35"/>
  <c r="G10" i="35"/>
  <c r="G4" i="35"/>
  <c r="G20" i="35"/>
  <c r="G36" i="35"/>
  <c r="G26" i="35"/>
  <c r="G42" i="35"/>
  <c r="G39" i="35"/>
  <c r="G55" i="35"/>
  <c r="H12" i="4"/>
  <c r="G13" i="35"/>
  <c r="G29" i="35"/>
  <c r="G19" i="35"/>
  <c r="G35" i="35"/>
  <c r="G51" i="35"/>
  <c r="G52" i="35"/>
  <c r="H97" i="6"/>
  <c r="G8" i="35"/>
  <c r="H13" i="4"/>
  <c r="G14" i="35"/>
  <c r="G30" i="35"/>
  <c r="G24" i="35"/>
  <c r="G40" i="35"/>
  <c r="G56" i="35"/>
  <c r="G53" i="35"/>
  <c r="H10" i="4"/>
  <c r="G7" i="35"/>
  <c r="G23" i="35"/>
  <c r="G17" i="35"/>
  <c r="G33" i="35"/>
  <c r="G49" i="35"/>
  <c r="G46" i="35"/>
  <c r="H8" i="4"/>
  <c r="K11" i="4"/>
  <c r="J8" i="35"/>
  <c r="J24" i="35"/>
  <c r="J12" i="35"/>
  <c r="J28" i="35"/>
  <c r="J44" i="35"/>
  <c r="J40" i="35"/>
  <c r="J56" i="35"/>
  <c r="J5" i="35"/>
  <c r="J17" i="35"/>
  <c r="J33" i="35"/>
  <c r="J21" i="35"/>
  <c r="J37" i="35"/>
  <c r="J53" i="35"/>
  <c r="J49" i="35"/>
  <c r="K97" i="6"/>
  <c r="K9" i="4"/>
  <c r="J6" i="35"/>
  <c r="J18" i="35"/>
  <c r="J34" i="35"/>
  <c r="J30" i="35"/>
  <c r="J42" i="35"/>
  <c r="J7" i="35"/>
  <c r="J35" i="35"/>
  <c r="J39" i="35"/>
  <c r="J51" i="35"/>
  <c r="J14" i="35"/>
  <c r="J54" i="35"/>
  <c r="J3" i="35"/>
  <c r="J27" i="35"/>
  <c r="J31" i="35"/>
  <c r="J43" i="35"/>
  <c r="J4" i="35"/>
  <c r="J32" i="35"/>
  <c r="J36" i="35"/>
  <c r="J48" i="35"/>
  <c r="J9" i="35"/>
  <c r="J13" i="35"/>
  <c r="J45" i="35"/>
  <c r="K8" i="4"/>
  <c r="K13" i="4"/>
  <c r="J26" i="35"/>
  <c r="J46" i="35"/>
  <c r="J19" i="35"/>
  <c r="J55" i="35"/>
  <c r="J38" i="35"/>
  <c r="J11" i="35"/>
  <c r="J47" i="35"/>
  <c r="L20" i="37"/>
  <c r="L67" i="37" s="1"/>
  <c r="K90" i="6" s="1"/>
  <c r="J16" i="35"/>
  <c r="J20" i="35"/>
  <c r="J52" i="35"/>
  <c r="K12" i="4"/>
  <c r="J25" i="35"/>
  <c r="J29" i="35"/>
  <c r="J41" i="35"/>
  <c r="J2" i="35"/>
  <c r="J10" i="35"/>
  <c r="J22" i="35"/>
  <c r="K10" i="4"/>
  <c r="J23" i="35"/>
  <c r="K103" i="6"/>
  <c r="J50" i="35"/>
  <c r="J15" i="35"/>
  <c r="K89" i="6"/>
  <c r="M10" i="4"/>
  <c r="L7" i="35"/>
  <c r="L27" i="35"/>
  <c r="L11" i="35"/>
  <c r="L23" i="35"/>
  <c r="L44" i="35"/>
  <c r="L37" i="35"/>
  <c r="L51" i="35"/>
  <c r="L4" i="35"/>
  <c r="L24" i="35"/>
  <c r="L8" i="35"/>
  <c r="L20" i="35"/>
  <c r="L5" i="35"/>
  <c r="L9" i="35"/>
  <c r="L38" i="35"/>
  <c r="L49" i="35"/>
  <c r="L18" i="35"/>
  <c r="L14" i="35"/>
  <c r="L39" i="35"/>
  <c r="L55" i="35"/>
  <c r="L50" i="35"/>
  <c r="L2" i="35"/>
  <c r="L17" i="35"/>
  <c r="L29" i="35"/>
  <c r="L6" i="35"/>
  <c r="L36" i="35"/>
  <c r="L48" i="35"/>
  <c r="M12" i="4"/>
  <c r="L46" i="35"/>
  <c r="L26" i="35"/>
  <c r="L45" i="35"/>
  <c r="L56" i="35"/>
  <c r="N20" i="37"/>
  <c r="N67" i="37" s="1"/>
  <c r="L19" i="35"/>
  <c r="L15" i="35"/>
  <c r="L52" i="35"/>
  <c r="M11" i="4"/>
  <c r="L32" i="35"/>
  <c r="L28" i="35"/>
  <c r="L21" i="35"/>
  <c r="M13" i="4"/>
  <c r="L30" i="35"/>
  <c r="L42" i="35"/>
  <c r="M8" i="4"/>
  <c r="L41" i="35"/>
  <c r="L53" i="35"/>
  <c r="L13" i="35"/>
  <c r="L22" i="35"/>
  <c r="M97" i="6"/>
  <c r="L3" i="35"/>
  <c r="L35" i="35"/>
  <c r="L31" i="35"/>
  <c r="L43" i="35"/>
  <c r="L16" i="35"/>
  <c r="L12" i="35"/>
  <c r="L25" i="35"/>
  <c r="L54" i="35"/>
  <c r="L34" i="35"/>
  <c r="L47" i="35"/>
  <c r="M103" i="6"/>
  <c r="L33" i="35"/>
  <c r="L10" i="35"/>
  <c r="M89" i="6"/>
  <c r="M9" i="4"/>
  <c r="L40" i="35"/>
  <c r="B76" i="35"/>
  <c r="D91" i="37"/>
  <c r="D138" i="37" s="1"/>
  <c r="O90" i="6" s="1"/>
  <c r="B85" i="35"/>
  <c r="B103" i="35"/>
  <c r="B113" i="35"/>
  <c r="B61" i="35"/>
  <c r="B102" i="35"/>
  <c r="B81" i="35"/>
  <c r="B62" i="35"/>
  <c r="B104" i="35"/>
  <c r="B110" i="35"/>
  <c r="B75" i="35"/>
  <c r="B70" i="35"/>
  <c r="B112" i="35"/>
  <c r="B66" i="35"/>
  <c r="B72" i="35"/>
  <c r="B114" i="35"/>
  <c r="B88" i="35"/>
  <c r="B90" i="35"/>
  <c r="C45" i="4"/>
  <c r="B78" i="35"/>
  <c r="B107" i="35"/>
  <c r="B98" i="35"/>
  <c r="B89" i="35"/>
  <c r="B77" i="35"/>
  <c r="O103" i="6"/>
  <c r="B71" i="35"/>
  <c r="B95" i="35"/>
  <c r="B87" i="35"/>
  <c r="O89" i="6"/>
  <c r="B94" i="35"/>
  <c r="B79" i="35"/>
  <c r="B63" i="35"/>
  <c r="B73" i="35"/>
  <c r="B108" i="35"/>
  <c r="C44" i="4"/>
  <c r="B106" i="35"/>
  <c r="B68" i="35"/>
  <c r="O97" i="6"/>
  <c r="B65" i="35"/>
  <c r="B64" i="35"/>
  <c r="B109" i="35"/>
  <c r="B92" i="35"/>
  <c r="B74" i="35"/>
  <c r="B86" i="35"/>
  <c r="B111" i="35"/>
  <c r="C41" i="4"/>
  <c r="C43" i="4"/>
  <c r="C40" i="4"/>
  <c r="C42" i="4"/>
  <c r="B97" i="35"/>
  <c r="B96" i="35"/>
  <c r="B105" i="35"/>
  <c r="B67" i="35"/>
  <c r="B84" i="35"/>
  <c r="B91" i="35"/>
  <c r="B69" i="35"/>
  <c r="B82" i="35"/>
  <c r="B60" i="35"/>
  <c r="B80" i="35"/>
  <c r="B101" i="35"/>
  <c r="B99" i="35"/>
  <c r="B83" i="35"/>
  <c r="B93" i="35"/>
  <c r="B100" i="35"/>
  <c r="K23" i="17"/>
  <c r="K25" i="17" s="1"/>
  <c r="L37" i="4" s="1"/>
  <c r="X82" i="6" s="1"/>
  <c r="M81" i="37"/>
  <c r="M83" i="37" s="1"/>
  <c r="K82" i="37"/>
  <c r="K83" i="37" s="1"/>
  <c r="V83" i="6" s="1"/>
  <c r="I24" i="17"/>
  <c r="I25" i="17" s="1"/>
  <c r="J37" i="4" s="1"/>
  <c r="V82" i="6" s="1"/>
  <c r="I19" i="17"/>
  <c r="E22" i="17"/>
  <c r="E25" i="17" s="1"/>
  <c r="F37" i="4" s="1"/>
  <c r="R82" i="6" s="1"/>
  <c r="E19" i="17"/>
  <c r="G80" i="37"/>
  <c r="G83" i="37" s="1"/>
  <c r="R83" i="6" s="1"/>
  <c r="K9" i="37"/>
  <c r="K12" i="37" s="1"/>
  <c r="I9" i="17"/>
  <c r="I12" i="17" s="1"/>
  <c r="J5" i="4" s="1"/>
  <c r="J82" i="6" s="1"/>
  <c r="I72" i="6"/>
  <c r="K22" i="37"/>
  <c r="K67" i="37" s="1"/>
  <c r="J90" i="6" s="1"/>
  <c r="J10" i="4"/>
  <c r="I23" i="35"/>
  <c r="I33" i="35"/>
  <c r="I46" i="35"/>
  <c r="I4" i="35"/>
  <c r="I36" i="35"/>
  <c r="I42" i="35"/>
  <c r="I55" i="35"/>
  <c r="I13" i="35"/>
  <c r="I51" i="35"/>
  <c r="I22" i="35"/>
  <c r="I45" i="35"/>
  <c r="I21" i="35"/>
  <c r="I30" i="35"/>
  <c r="I14" i="35"/>
  <c r="I8" i="35"/>
  <c r="I7" i="35"/>
  <c r="I17" i="35"/>
  <c r="I49" i="35"/>
  <c r="I10" i="35"/>
  <c r="I20" i="35"/>
  <c r="I26" i="35"/>
  <c r="I39" i="35"/>
  <c r="J103" i="6"/>
  <c r="I19" i="35"/>
  <c r="J9" i="4"/>
  <c r="I32" i="35"/>
  <c r="J89" i="6"/>
  <c r="I44" i="35"/>
  <c r="I53" i="35"/>
  <c r="I5" i="35"/>
  <c r="I2" i="35"/>
  <c r="E89" i="35"/>
  <c r="E103" i="35"/>
  <c r="E92" i="35"/>
  <c r="E101" i="35"/>
  <c r="E64" i="35"/>
  <c r="F41" i="4"/>
  <c r="E95" i="35"/>
  <c r="E67" i="35"/>
  <c r="E73" i="35"/>
  <c r="E98" i="35"/>
  <c r="G91" i="37"/>
  <c r="G138" i="37" s="1"/>
  <c r="R90" i="6" s="1"/>
  <c r="E90" i="35"/>
  <c r="E100" i="35"/>
  <c r="E94" i="35"/>
  <c r="E68" i="35"/>
  <c r="E82" i="35"/>
  <c r="E91" i="35"/>
  <c r="E105" i="35"/>
  <c r="E80" i="35"/>
  <c r="E102" i="35"/>
  <c r="E87" i="35"/>
  <c r="R89" i="6"/>
  <c r="F45" i="4"/>
  <c r="F44" i="4"/>
  <c r="E88" i="35"/>
  <c r="E97" i="35"/>
  <c r="E77" i="35"/>
  <c r="E110" i="35"/>
  <c r="E108" i="35"/>
  <c r="E104" i="35"/>
  <c r="E81" i="35"/>
  <c r="E74" i="35"/>
  <c r="E72" i="35"/>
  <c r="F40" i="4"/>
  <c r="E86" i="35"/>
  <c r="E75" i="35"/>
  <c r="E107" i="35"/>
  <c r="E84" i="35"/>
  <c r="R103" i="6"/>
  <c r="E112" i="35"/>
  <c r="F42" i="4"/>
  <c r="E111" i="35"/>
  <c r="E85" i="35"/>
  <c r="R97" i="6"/>
  <c r="E109" i="35"/>
  <c r="E65" i="35"/>
  <c r="E60" i="35"/>
  <c r="E61" i="35"/>
  <c r="E113" i="35"/>
  <c r="E70" i="35"/>
  <c r="E78" i="35"/>
  <c r="E96" i="35"/>
  <c r="E83" i="35"/>
  <c r="E114" i="35"/>
  <c r="E62" i="35"/>
  <c r="E66" i="35"/>
  <c r="E99" i="35"/>
  <c r="E93" i="35"/>
  <c r="F43" i="4"/>
  <c r="E106" i="35"/>
  <c r="E69" i="35"/>
  <c r="E71" i="35"/>
  <c r="E76" i="35"/>
  <c r="E79" i="35"/>
  <c r="E63" i="35"/>
  <c r="M68" i="35"/>
  <c r="M72" i="35"/>
  <c r="Z97" i="6"/>
  <c r="M88" i="35"/>
  <c r="M80" i="35"/>
  <c r="M90" i="35"/>
  <c r="N40" i="4"/>
  <c r="M76" i="35"/>
  <c r="M65" i="35"/>
  <c r="M98" i="35"/>
  <c r="M69" i="35"/>
  <c r="M100" i="35"/>
  <c r="M89" i="35"/>
  <c r="M99" i="35"/>
  <c r="N44" i="4"/>
  <c r="N45" i="4"/>
  <c r="M105" i="35"/>
  <c r="M74" i="35"/>
  <c r="M64" i="35"/>
  <c r="M67" i="35"/>
  <c r="N41" i="4"/>
  <c r="M95" i="35"/>
  <c r="M113" i="35"/>
  <c r="M63" i="35"/>
  <c r="M61" i="35"/>
  <c r="M83" i="35"/>
  <c r="M66" i="35"/>
  <c r="M96" i="35"/>
  <c r="M75" i="35"/>
  <c r="M109" i="35"/>
  <c r="M106" i="35"/>
  <c r="M70" i="35"/>
  <c r="M107" i="35"/>
  <c r="N43" i="4"/>
  <c r="M81" i="35"/>
  <c r="M114" i="35"/>
  <c r="M86" i="35"/>
  <c r="M91" i="35"/>
  <c r="M78" i="35"/>
  <c r="M87" i="35"/>
  <c r="M93" i="35"/>
  <c r="N42" i="4"/>
  <c r="O91" i="37"/>
  <c r="O138" i="37" s="1"/>
  <c r="M77" i="35"/>
  <c r="M110" i="35"/>
  <c r="M79" i="35"/>
  <c r="M111" i="35"/>
  <c r="M85" i="35"/>
  <c r="M71" i="35"/>
  <c r="M92" i="35"/>
  <c r="M101" i="35"/>
  <c r="M73" i="35"/>
  <c r="M104" i="35"/>
  <c r="M112" i="35"/>
  <c r="M94" i="35"/>
  <c r="Z103" i="6"/>
  <c r="M97" i="35"/>
  <c r="M84" i="35"/>
  <c r="M60" i="35"/>
  <c r="Z89" i="6"/>
  <c r="M62" i="35"/>
  <c r="M82" i="35"/>
  <c r="M108" i="35"/>
  <c r="M102" i="35"/>
  <c r="M103" i="35"/>
  <c r="K31" i="35"/>
  <c r="K28" i="35"/>
  <c r="M20" i="37"/>
  <c r="M67" i="37" s="1"/>
  <c r="L90" i="6" s="1"/>
  <c r="L12" i="4"/>
  <c r="K55" i="35"/>
  <c r="K51" i="35"/>
  <c r="K24" i="35"/>
  <c r="K8" i="35"/>
  <c r="K42" i="35"/>
  <c r="K19" i="35"/>
  <c r="K36" i="35"/>
  <c r="K52" i="35"/>
  <c r="K29" i="35"/>
  <c r="K39" i="35"/>
  <c r="K20" i="35"/>
  <c r="K6" i="35"/>
  <c r="K16" i="35"/>
  <c r="K32" i="35"/>
  <c r="K9" i="35"/>
  <c r="K3" i="35"/>
  <c r="K4" i="35"/>
  <c r="K37" i="35"/>
  <c r="K56" i="35"/>
  <c r="K14" i="35"/>
  <c r="K10" i="35"/>
  <c r="L9" i="4"/>
  <c r="K22" i="35"/>
  <c r="K48" i="35"/>
  <c r="K45" i="35"/>
  <c r="L89" i="6"/>
  <c r="L10" i="4"/>
  <c r="K34" i="35"/>
  <c r="K5" i="35"/>
  <c r="K47" i="35"/>
  <c r="K43" i="35"/>
  <c r="K41" i="35"/>
  <c r="K30" i="35"/>
  <c r="K15" i="35"/>
  <c r="K25" i="35"/>
  <c r="K38" i="35"/>
  <c r="K2" i="35"/>
  <c r="K13" i="35"/>
  <c r="K46" i="35"/>
  <c r="K49" i="35"/>
  <c r="K33" i="35"/>
  <c r="K17" i="35"/>
  <c r="K23" i="35"/>
  <c r="K7" i="35"/>
  <c r="K53" i="35"/>
  <c r="K26" i="35"/>
  <c r="L97" i="6"/>
  <c r="L11" i="4"/>
  <c r="K12" i="35"/>
  <c r="K18" i="35"/>
  <c r="K50" i="35"/>
  <c r="K11" i="35"/>
  <c r="K21" i="35"/>
  <c r="K27" i="35"/>
  <c r="K44" i="35"/>
  <c r="L103" i="6"/>
  <c r="K54" i="35"/>
  <c r="L8" i="4"/>
  <c r="K40" i="35"/>
  <c r="L13" i="4"/>
  <c r="K35" i="35"/>
  <c r="J22" i="37"/>
  <c r="J67" i="37" s="1"/>
  <c r="I90" i="6" s="1"/>
  <c r="H5" i="35"/>
  <c r="H24" i="35"/>
  <c r="H9" i="35"/>
  <c r="H21" i="35"/>
  <c r="H38" i="35"/>
  <c r="H54" i="35"/>
  <c r="H49" i="35"/>
  <c r="I13" i="4"/>
  <c r="H17" i="35"/>
  <c r="H33" i="35"/>
  <c r="H14" i="35"/>
  <c r="H30" i="35"/>
  <c r="H47" i="35"/>
  <c r="H42" i="35"/>
  <c r="I89" i="6"/>
  <c r="L92" i="6" s="1"/>
  <c r="L18" i="12" s="1"/>
  <c r="I103" i="6"/>
  <c r="H7" i="35"/>
  <c r="H11" i="35"/>
  <c r="H44" i="35"/>
  <c r="H51" i="35"/>
  <c r="H19" i="35"/>
  <c r="H20" i="35"/>
  <c r="H53" i="35"/>
  <c r="H56" i="35"/>
  <c r="H3" i="35"/>
  <c r="H34" i="35"/>
  <c r="H31" i="35"/>
  <c r="H43" i="35"/>
  <c r="H8" i="35"/>
  <c r="H12" i="35"/>
  <c r="H45" i="35"/>
  <c r="H2" i="35"/>
  <c r="I12" i="4"/>
  <c r="H16" i="35"/>
  <c r="H32" i="35"/>
  <c r="H13" i="35"/>
  <c r="H29" i="35"/>
  <c r="H46" i="35"/>
  <c r="H41" i="35"/>
  <c r="I9" i="4"/>
  <c r="H6" i="35"/>
  <c r="H25" i="35"/>
  <c r="H10" i="35"/>
  <c r="H22" i="35"/>
  <c r="H39" i="35"/>
  <c r="H55" i="35"/>
  <c r="H50" i="35"/>
  <c r="I97" i="6"/>
  <c r="I10" i="4"/>
  <c r="H26" i="35"/>
  <c r="H23" i="35"/>
  <c r="H37" i="35"/>
  <c r="H4" i="35"/>
  <c r="H35" i="35"/>
  <c r="H36" i="35"/>
  <c r="H40" i="35"/>
  <c r="I8" i="4"/>
  <c r="H18" i="35"/>
  <c r="H15" i="35"/>
  <c r="H52" i="35"/>
  <c r="I11" i="4"/>
  <c r="H27" i="35"/>
  <c r="H28" i="35"/>
  <c r="H48" i="35"/>
  <c r="N91" i="37"/>
  <c r="N138" i="37" s="1"/>
  <c r="Y90" i="6" s="1"/>
  <c r="L94" i="35"/>
  <c r="L100" i="35"/>
  <c r="L98" i="35"/>
  <c r="L67" i="35"/>
  <c r="L106" i="35"/>
  <c r="L73" i="35"/>
  <c r="L66" i="35"/>
  <c r="Y103" i="6"/>
  <c r="L71" i="35"/>
  <c r="L61" i="35"/>
  <c r="L96" i="35"/>
  <c r="L90" i="35"/>
  <c r="L72" i="35"/>
  <c r="L82" i="35"/>
  <c r="L101" i="35"/>
  <c r="L107" i="35"/>
  <c r="L102" i="35"/>
  <c r="L65" i="35"/>
  <c r="M45" i="4"/>
  <c r="L87" i="35"/>
  <c r="Y89" i="6"/>
  <c r="M40" i="4"/>
  <c r="L99" i="35"/>
  <c r="M42" i="4"/>
  <c r="L91" i="35"/>
  <c r="L104" i="35"/>
  <c r="L85" i="35"/>
  <c r="L68" i="35"/>
  <c r="L89" i="35"/>
  <c r="L111" i="35"/>
  <c r="L69" i="35"/>
  <c r="L95" i="35"/>
  <c r="L92" i="35"/>
  <c r="L76" i="35"/>
  <c r="L93" i="35"/>
  <c r="L105" i="35"/>
  <c r="L97" i="35"/>
  <c r="L70" i="35"/>
  <c r="L64" i="35"/>
  <c r="L109" i="35"/>
  <c r="L88" i="35"/>
  <c r="M41" i="4"/>
  <c r="L114" i="35"/>
  <c r="L80" i="35"/>
  <c r="L84" i="35"/>
  <c r="L110" i="35"/>
  <c r="L78" i="35"/>
  <c r="L77" i="35"/>
  <c r="M43" i="4"/>
  <c r="L113" i="35"/>
  <c r="L86" i="35"/>
  <c r="L75" i="35"/>
  <c r="Y97" i="6"/>
  <c r="L63" i="35"/>
  <c r="L79" i="35"/>
  <c r="L112" i="35"/>
  <c r="L103" i="35"/>
  <c r="L74" i="35"/>
  <c r="L60" i="35"/>
  <c r="L81" i="35"/>
  <c r="L62" i="35"/>
  <c r="L108" i="35"/>
  <c r="L83" i="35"/>
  <c r="M44" i="4"/>
  <c r="F91" i="37"/>
  <c r="F138" i="37" s="1"/>
  <c r="D91" i="35"/>
  <c r="E44" i="4"/>
  <c r="D103" i="35"/>
  <c r="Q89" i="6"/>
  <c r="D94" i="35"/>
  <c r="D99" i="35"/>
  <c r="D84" i="35"/>
  <c r="D86" i="35"/>
  <c r="D109" i="35"/>
  <c r="D74" i="35"/>
  <c r="D66" i="35"/>
  <c r="D110" i="35"/>
  <c r="D63" i="35"/>
  <c r="D100" i="35"/>
  <c r="D88" i="35"/>
  <c r="D79" i="35"/>
  <c r="D65" i="35"/>
  <c r="D97" i="35"/>
  <c r="D67" i="35"/>
  <c r="D64" i="35"/>
  <c r="D68" i="35"/>
  <c r="E45" i="4"/>
  <c r="E43" i="4"/>
  <c r="D82" i="35"/>
  <c r="D83" i="35"/>
  <c r="D101" i="35"/>
  <c r="D80" i="35"/>
  <c r="D108" i="35"/>
  <c r="D104" i="35"/>
  <c r="D70" i="35"/>
  <c r="D114" i="35"/>
  <c r="D92" i="35"/>
  <c r="D75" i="35"/>
  <c r="D77" i="35"/>
  <c r="D61" i="35"/>
  <c r="D93" i="35"/>
  <c r="D90" i="35"/>
  <c r="D72" i="35"/>
  <c r="D95" i="35"/>
  <c r="D102" i="35"/>
  <c r="D96" i="35"/>
  <c r="D107" i="35"/>
  <c r="E42" i="4"/>
  <c r="D113" i="35"/>
  <c r="D85" i="35"/>
  <c r="D106" i="35"/>
  <c r="D105" i="35"/>
  <c r="D71" i="35"/>
  <c r="D98" i="35"/>
  <c r="D60" i="35"/>
  <c r="D89" i="35"/>
  <c r="D73" i="35"/>
  <c r="D62" i="35"/>
  <c r="D78" i="35"/>
  <c r="Q97" i="6"/>
  <c r="D87" i="35"/>
  <c r="D111" i="35"/>
  <c r="D69" i="35"/>
  <c r="Q103" i="6"/>
  <c r="D112" i="35"/>
  <c r="D76" i="35"/>
  <c r="E41" i="4"/>
  <c r="D81" i="35"/>
  <c r="E40" i="4"/>
  <c r="E46" i="4" s="1"/>
  <c r="E48" i="4" s="1"/>
  <c r="M93" i="37"/>
  <c r="M138" i="37" s="1"/>
  <c r="X90" i="6" s="1"/>
  <c r="L42" i="4"/>
  <c r="K103" i="35"/>
  <c r="K91" i="35"/>
  <c r="K104" i="35"/>
  <c r="K107" i="35"/>
  <c r="K63" i="35"/>
  <c r="K101" i="35"/>
  <c r="X103" i="6"/>
  <c r="K78" i="35"/>
  <c r="K79" i="35"/>
  <c r="K86" i="35"/>
  <c r="K75" i="35"/>
  <c r="K97" i="35"/>
  <c r="K69" i="35"/>
  <c r="K67" i="35"/>
  <c r="L45" i="4"/>
  <c r="K81" i="35"/>
  <c r="K110" i="35"/>
  <c r="K93" i="35"/>
  <c r="K62" i="35"/>
  <c r="X89" i="6"/>
  <c r="L43" i="4"/>
  <c r="K73" i="35"/>
  <c r="K106" i="35"/>
  <c r="K89" i="35"/>
  <c r="K60" i="35"/>
  <c r="K65" i="35"/>
  <c r="K64" i="35"/>
  <c r="K66" i="35"/>
  <c r="K85" i="35"/>
  <c r="K68" i="35"/>
  <c r="K82" i="35"/>
  <c r="K76" i="35"/>
  <c r="K84" i="35"/>
  <c r="K83" i="35"/>
  <c r="K108" i="35"/>
  <c r="K87" i="35"/>
  <c r="K70" i="35"/>
  <c r="K112" i="35"/>
  <c r="X97" i="6"/>
  <c r="K72" i="35"/>
  <c r="K113" i="35"/>
  <c r="K95" i="35"/>
  <c r="K92" i="35"/>
  <c r="L41" i="4"/>
  <c r="K111" i="35"/>
  <c r="K88" i="35"/>
  <c r="K90" i="35"/>
  <c r="K96" i="35"/>
  <c r="K80" i="35"/>
  <c r="K99" i="35"/>
  <c r="K102" i="35"/>
  <c r="K94" i="35"/>
  <c r="K74" i="35"/>
  <c r="K105" i="35"/>
  <c r="M17" i="6"/>
  <c r="M19" i="6" s="1"/>
  <c r="H10" i="30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AJ10" i="30" s="1"/>
  <c r="AK10" i="30" s="1"/>
  <c r="AL10" i="30" s="1"/>
  <c r="AM10" i="30" s="1"/>
  <c r="AN10" i="30" s="1"/>
  <c r="N29" i="35"/>
  <c r="N52" i="35"/>
  <c r="N18" i="35"/>
  <c r="N55" i="35"/>
  <c r="N31" i="35"/>
  <c r="N4" i="35"/>
  <c r="N8" i="35"/>
  <c r="N32" i="35"/>
  <c r="D67" i="37"/>
  <c r="C90" i="6" s="1"/>
  <c r="F89" i="35"/>
  <c r="F71" i="35"/>
  <c r="F78" i="35"/>
  <c r="F84" i="35"/>
  <c r="H138" i="37"/>
  <c r="F72" i="35"/>
  <c r="F60" i="35"/>
  <c r="F111" i="35"/>
  <c r="F104" i="35"/>
  <c r="F74" i="35"/>
  <c r="F99" i="35"/>
  <c r="K71" i="35"/>
  <c r="K61" i="35"/>
  <c r="K100" i="35"/>
  <c r="L44" i="4"/>
  <c r="K98" i="35"/>
  <c r="I37" i="35"/>
  <c r="I43" i="35"/>
  <c r="J13" i="4"/>
  <c r="I11" i="35"/>
  <c r="I48" i="35"/>
  <c r="I6" i="35"/>
  <c r="I35" i="35"/>
  <c r="J12" i="4"/>
  <c r="I47" i="35"/>
  <c r="I34" i="35"/>
  <c r="I28" i="35"/>
  <c r="J11" i="4"/>
  <c r="I38" i="35"/>
  <c r="I25" i="35"/>
  <c r="I15" i="35"/>
  <c r="N15" i="35" s="1"/>
  <c r="I9" i="35"/>
  <c r="B19" i="17"/>
  <c r="C63" i="6" l="1"/>
  <c r="C65" i="6" s="1"/>
  <c r="C5" i="5" s="1"/>
  <c r="D71" i="6"/>
  <c r="D73" i="6" s="1"/>
  <c r="D5" i="12" s="1"/>
  <c r="D4" i="4"/>
  <c r="D6" i="4" s="1"/>
  <c r="F29" i="30"/>
  <c r="E33" i="30"/>
  <c r="C14" i="4"/>
  <c r="H28" i="30"/>
  <c r="F36" i="27"/>
  <c r="F37" i="27" s="1"/>
  <c r="F10" i="41"/>
  <c r="H14" i="4"/>
  <c r="B12" i="17"/>
  <c r="C5" i="4" s="1"/>
  <c r="G6" i="4"/>
  <c r="K46" i="4"/>
  <c r="D39" i="6"/>
  <c r="E35" i="6"/>
  <c r="E36" i="6" s="1"/>
  <c r="E37" i="6" s="1"/>
  <c r="E39" i="6" s="1"/>
  <c r="H71" i="6"/>
  <c r="H4" i="4"/>
  <c r="H6" i="4" s="1"/>
  <c r="H16" i="4" s="1"/>
  <c r="N36" i="4"/>
  <c r="N38" i="4" s="1"/>
  <c r="Z71" i="6"/>
  <c r="C53" i="6"/>
  <c r="D49" i="6"/>
  <c r="F77" i="6"/>
  <c r="F78" i="6" s="1"/>
  <c r="E8" i="5"/>
  <c r="M71" i="6"/>
  <c r="M4" i="4"/>
  <c r="M6" i="4" s="1"/>
  <c r="I4" i="4"/>
  <c r="I71" i="6"/>
  <c r="N33" i="35"/>
  <c r="N23" i="35"/>
  <c r="N10" i="35"/>
  <c r="N41" i="35"/>
  <c r="N3" i="35"/>
  <c r="N22" i="35"/>
  <c r="N37" i="35"/>
  <c r="N5" i="35"/>
  <c r="C74" i="6"/>
  <c r="C57" i="35"/>
  <c r="H12" i="17"/>
  <c r="I5" i="4" s="1"/>
  <c r="I82" i="6" s="1"/>
  <c r="C21" i="4"/>
  <c r="E14" i="30"/>
  <c r="E71" i="6"/>
  <c r="E73" i="6" s="1"/>
  <c r="E5" i="12" s="1"/>
  <c r="E4" i="4"/>
  <c r="E6" i="4" s="1"/>
  <c r="E43" i="6"/>
  <c r="E46" i="6" s="1"/>
  <c r="D50" i="6"/>
  <c r="W71" i="6"/>
  <c r="K36" i="4"/>
  <c r="K38" i="4" s="1"/>
  <c r="K48" i="4" s="1"/>
  <c r="G40" i="12"/>
  <c r="AJ39" i="38"/>
  <c r="G34" i="38" s="1"/>
  <c r="L71" i="6"/>
  <c r="L4" i="4"/>
  <c r="L6" i="4" s="1"/>
  <c r="N53" i="35"/>
  <c r="N38" i="35"/>
  <c r="N48" i="35"/>
  <c r="B57" i="35"/>
  <c r="M38" i="4"/>
  <c r="J12" i="37"/>
  <c r="I83" i="6" s="1"/>
  <c r="L69" i="37"/>
  <c r="K109" i="6" s="1"/>
  <c r="K83" i="6"/>
  <c r="E27" i="41"/>
  <c r="F35" i="6"/>
  <c r="N17" i="6"/>
  <c r="N19" i="6" s="1"/>
  <c r="Q90" i="6"/>
  <c r="F140" i="37"/>
  <c r="Q109" i="6" s="1"/>
  <c r="Z90" i="6"/>
  <c r="O140" i="37"/>
  <c r="Z109" i="6" s="1"/>
  <c r="J83" i="6"/>
  <c r="K69" i="37"/>
  <c r="J109" i="6" s="1"/>
  <c r="F36" i="4"/>
  <c r="F38" i="4" s="1"/>
  <c r="R71" i="6"/>
  <c r="V71" i="6"/>
  <c r="Y73" i="6" s="1"/>
  <c r="M42" i="12" s="1"/>
  <c r="J36" i="4"/>
  <c r="J38" i="4" s="1"/>
  <c r="M90" i="6"/>
  <c r="N69" i="37"/>
  <c r="M109" i="6" s="1"/>
  <c r="H90" i="6"/>
  <c r="I69" i="37"/>
  <c r="H109" i="6" s="1"/>
  <c r="D96" i="6"/>
  <c r="D98" i="6" s="1"/>
  <c r="C16" i="5"/>
  <c r="K4" i="4"/>
  <c r="K6" i="4" s="1"/>
  <c r="K71" i="6"/>
  <c r="G116" i="6"/>
  <c r="G22" i="12" s="1"/>
  <c r="H1" i="6"/>
  <c r="C92" i="6"/>
  <c r="C18" i="12" s="1"/>
  <c r="D92" i="6"/>
  <c r="D18" i="12" s="1"/>
  <c r="D20" i="12"/>
  <c r="D105" i="6"/>
  <c r="E102" i="6" s="1"/>
  <c r="E104" i="6" s="1"/>
  <c r="F71" i="6"/>
  <c r="F4" i="4"/>
  <c r="H84" i="6"/>
  <c r="H17" i="12" s="1"/>
  <c r="I84" i="6"/>
  <c r="I17" i="12" s="1"/>
  <c r="N83" i="6"/>
  <c r="O69" i="37"/>
  <c r="N109" i="6" s="1"/>
  <c r="O83" i="6"/>
  <c r="D140" i="37"/>
  <c r="O109" i="6" s="1"/>
  <c r="P83" i="6"/>
  <c r="E140" i="37"/>
  <c r="P109" i="6" s="1"/>
  <c r="I36" i="4"/>
  <c r="I38" i="4" s="1"/>
  <c r="U71" i="6"/>
  <c r="W73" i="6" s="1"/>
  <c r="K42" i="12" s="1"/>
  <c r="E90" i="6"/>
  <c r="E92" i="6" s="1"/>
  <c r="E18" i="12" s="1"/>
  <c r="F69" i="37"/>
  <c r="E109" i="6" s="1"/>
  <c r="D56" i="6"/>
  <c r="D58" i="6" s="1"/>
  <c r="D7" i="6"/>
  <c r="H39" i="30"/>
  <c r="I37" i="30"/>
  <c r="H38" i="30"/>
  <c r="F9" i="12" s="1"/>
  <c r="D36" i="5"/>
  <c r="E121" i="6"/>
  <c r="E123" i="6" s="1"/>
  <c r="F48" i="27"/>
  <c r="F49" i="27" s="1"/>
  <c r="D24" i="12" s="1"/>
  <c r="F50" i="27"/>
  <c r="G11" i="42"/>
  <c r="G12" i="42" s="1"/>
  <c r="G13" i="42" s="1"/>
  <c r="D115" i="35"/>
  <c r="L115" i="35"/>
  <c r="H57" i="35"/>
  <c r="L14" i="4"/>
  <c r="L16" i="4" s="1"/>
  <c r="O92" i="6"/>
  <c r="C55" i="12" s="1"/>
  <c r="M115" i="35"/>
  <c r="N46" i="4"/>
  <c r="N48" i="4" s="1"/>
  <c r="F46" i="4"/>
  <c r="I57" i="35"/>
  <c r="M92" i="6"/>
  <c r="M18" i="12" s="1"/>
  <c r="N93" i="35"/>
  <c r="N99" i="35"/>
  <c r="N80" i="35"/>
  <c r="N82" i="35"/>
  <c r="N91" i="35"/>
  <c r="N67" i="35"/>
  <c r="N96" i="35"/>
  <c r="N111" i="35"/>
  <c r="N74" i="35"/>
  <c r="N109" i="35"/>
  <c r="N65" i="35"/>
  <c r="N68" i="35"/>
  <c r="N73" i="35"/>
  <c r="N79" i="35"/>
  <c r="R92" i="6"/>
  <c r="F55" i="12" s="1"/>
  <c r="N95" i="35"/>
  <c r="N89" i="35"/>
  <c r="N107" i="35"/>
  <c r="N88" i="35"/>
  <c r="N72" i="35"/>
  <c r="N112" i="35"/>
  <c r="N75" i="35"/>
  <c r="N104" i="35"/>
  <c r="N81" i="35"/>
  <c r="N61" i="35"/>
  <c r="N103" i="35"/>
  <c r="P92" i="6"/>
  <c r="D55" i="12" s="1"/>
  <c r="K14" i="4"/>
  <c r="G57" i="35"/>
  <c r="J73" i="6"/>
  <c r="J5" i="12" s="1"/>
  <c r="J6" i="4"/>
  <c r="J16" i="4" s="1"/>
  <c r="D69" i="37"/>
  <c r="C109" i="6" s="1"/>
  <c r="C111" i="6" s="1"/>
  <c r="J14" i="4"/>
  <c r="L46" i="4"/>
  <c r="I46" i="4"/>
  <c r="N26" i="35"/>
  <c r="N9" i="35"/>
  <c r="N7" i="35"/>
  <c r="N44" i="35"/>
  <c r="N14" i="35"/>
  <c r="N43" i="35"/>
  <c r="N54" i="35"/>
  <c r="N21" i="35"/>
  <c r="N27" i="35"/>
  <c r="N16" i="35"/>
  <c r="N30" i="35"/>
  <c r="N13" i="35"/>
  <c r="N11" i="35"/>
  <c r="N42" i="35"/>
  <c r="N46" i="35"/>
  <c r="N39" i="35"/>
  <c r="N50" i="35"/>
  <c r="N12" i="35"/>
  <c r="H46" i="4"/>
  <c r="I115" i="35"/>
  <c r="Y92" i="6"/>
  <c r="M55" i="12" s="1"/>
  <c r="J46" i="4"/>
  <c r="G140" i="37"/>
  <c r="R109" i="6" s="1"/>
  <c r="D46" i="4"/>
  <c r="D57" i="35"/>
  <c r="E14" i="4"/>
  <c r="E16" i="4" s="1"/>
  <c r="F14" i="4"/>
  <c r="G8" i="12"/>
  <c r="I28" i="30"/>
  <c r="J28" i="30" s="1"/>
  <c r="K28" i="30" s="1"/>
  <c r="L28" i="30" s="1"/>
  <c r="M28" i="30" s="1"/>
  <c r="N28" i="30" s="1"/>
  <c r="O28" i="30" s="1"/>
  <c r="P28" i="30" s="1"/>
  <c r="Q28" i="30" s="1"/>
  <c r="R28" i="30" s="1"/>
  <c r="S28" i="30" s="1"/>
  <c r="T28" i="30" s="1"/>
  <c r="U28" i="30" s="1"/>
  <c r="V28" i="30" s="1"/>
  <c r="W28" i="30" s="1"/>
  <c r="X28" i="30" s="1"/>
  <c r="Y28" i="30" s="1"/>
  <c r="Z28" i="30" s="1"/>
  <c r="AA28" i="30" s="1"/>
  <c r="AB28" i="30" s="1"/>
  <c r="AC28" i="30" s="1"/>
  <c r="AD28" i="30" s="1"/>
  <c r="AE28" i="30" s="1"/>
  <c r="AF28" i="30" s="1"/>
  <c r="AG28" i="30" s="1"/>
  <c r="AH28" i="30" s="1"/>
  <c r="AI28" i="30" s="1"/>
  <c r="AJ28" i="30" s="1"/>
  <c r="AK28" i="30" s="1"/>
  <c r="AL28" i="30" s="1"/>
  <c r="AM28" i="30" s="1"/>
  <c r="AN28" i="30" s="1"/>
  <c r="N140" i="37"/>
  <c r="Y109" i="6" s="1"/>
  <c r="M69" i="37"/>
  <c r="L109" i="6" s="1"/>
  <c r="C4" i="33"/>
  <c r="D16" i="4"/>
  <c r="Z73" i="6"/>
  <c r="N42" i="12" s="1"/>
  <c r="O71" i="6"/>
  <c r="C36" i="4"/>
  <c r="S90" i="6"/>
  <c r="T92" i="6" s="1"/>
  <c r="H55" i="12" s="1"/>
  <c r="H140" i="37"/>
  <c r="S109" i="6" s="1"/>
  <c r="M84" i="6"/>
  <c r="M17" i="12" s="1"/>
  <c r="L84" i="6"/>
  <c r="L17" i="12" s="1"/>
  <c r="T84" i="6"/>
  <c r="H54" i="12" s="1"/>
  <c r="X83" i="6"/>
  <c r="Z84" i="6" s="1"/>
  <c r="N54" i="12" s="1"/>
  <c r="M140" i="37"/>
  <c r="X109" i="6" s="1"/>
  <c r="B115" i="35"/>
  <c r="N60" i="35"/>
  <c r="D70" i="6"/>
  <c r="D74" i="6" s="1"/>
  <c r="C9" i="5"/>
  <c r="U40" i="38"/>
  <c r="D30" i="38" s="1"/>
  <c r="N4" i="4"/>
  <c r="N6" i="4" s="1"/>
  <c r="N71" i="6"/>
  <c r="O82" i="6"/>
  <c r="R84" i="6" s="1"/>
  <c r="F54" i="12" s="1"/>
  <c r="D4" i="33"/>
  <c r="P71" i="6"/>
  <c r="S73" i="6" s="1"/>
  <c r="G42" i="12" s="1"/>
  <c r="D36" i="4"/>
  <c r="D38" i="4" s="1"/>
  <c r="D48" i="4" s="1"/>
  <c r="U83" i="6"/>
  <c r="U84" i="6" s="1"/>
  <c r="I54" i="12" s="1"/>
  <c r="J140" i="37"/>
  <c r="U109" i="6" s="1"/>
  <c r="G90" i="6"/>
  <c r="I92" i="6" s="1"/>
  <c r="I18" i="12" s="1"/>
  <c r="H69" i="37"/>
  <c r="G109" i="6" s="1"/>
  <c r="E23" i="6"/>
  <c r="E24" i="6" s="1"/>
  <c r="AC39" i="38"/>
  <c r="L29" i="38" s="1"/>
  <c r="L3" i="12"/>
  <c r="J58" i="27"/>
  <c r="J59" i="27"/>
  <c r="J60" i="27"/>
  <c r="H7" i="12" s="1"/>
  <c r="K57" i="27"/>
  <c r="G5" i="39"/>
  <c r="G40" i="39"/>
  <c r="G58" i="39"/>
  <c r="G12" i="39"/>
  <c r="H3" i="39"/>
  <c r="F115" i="35"/>
  <c r="K115" i="35"/>
  <c r="M46" i="4"/>
  <c r="M48" i="4" s="1"/>
  <c r="I14" i="4"/>
  <c r="K57" i="35"/>
  <c r="E115" i="35"/>
  <c r="J69" i="37"/>
  <c r="I109" i="6" s="1"/>
  <c r="Y84" i="6"/>
  <c r="M54" i="12" s="1"/>
  <c r="N100" i="35"/>
  <c r="N83" i="35"/>
  <c r="N101" i="35"/>
  <c r="N69" i="35"/>
  <c r="N84" i="35"/>
  <c r="N105" i="35"/>
  <c r="N97" i="35"/>
  <c r="C46" i="4"/>
  <c r="N86" i="35"/>
  <c r="N92" i="35"/>
  <c r="N64" i="35"/>
  <c r="N106" i="35"/>
  <c r="N108" i="35"/>
  <c r="N63" i="35"/>
  <c r="N94" i="35"/>
  <c r="N87" i="35"/>
  <c r="N71" i="35"/>
  <c r="N77" i="35"/>
  <c r="N98" i="35"/>
  <c r="N78" i="35"/>
  <c r="N90" i="35"/>
  <c r="N114" i="35"/>
  <c r="N66" i="35"/>
  <c r="N70" i="35"/>
  <c r="N110" i="35"/>
  <c r="N62" i="35"/>
  <c r="N102" i="35"/>
  <c r="N113" i="35"/>
  <c r="N85" i="35"/>
  <c r="N76" i="35"/>
  <c r="M14" i="4"/>
  <c r="M16" i="4" s="1"/>
  <c r="L57" i="35"/>
  <c r="N92" i="6"/>
  <c r="N18" i="12" s="1"/>
  <c r="J57" i="35"/>
  <c r="K92" i="6"/>
  <c r="K18" i="12" s="1"/>
  <c r="M73" i="6"/>
  <c r="M5" i="12" s="1"/>
  <c r="N84" i="6"/>
  <c r="N17" i="12" s="1"/>
  <c r="K84" i="6"/>
  <c r="K17" i="12" s="1"/>
  <c r="X92" i="6"/>
  <c r="L55" i="12" s="1"/>
  <c r="H115" i="35"/>
  <c r="N47" i="35"/>
  <c r="N45" i="35"/>
  <c r="N24" i="35"/>
  <c r="N25" i="35"/>
  <c r="N35" i="35"/>
  <c r="N6" i="35"/>
  <c r="N49" i="35"/>
  <c r="N36" i="35"/>
  <c r="N19" i="35"/>
  <c r="N40" i="35"/>
  <c r="N56" i="35"/>
  <c r="N28" i="35"/>
  <c r="N34" i="35"/>
  <c r="N17" i="35"/>
  <c r="N20" i="35"/>
  <c r="N51" i="35"/>
  <c r="J115" i="35"/>
  <c r="Z92" i="6"/>
  <c r="N55" i="12" s="1"/>
  <c r="W92" i="6"/>
  <c r="K55" i="12" s="1"/>
  <c r="G115" i="35"/>
  <c r="Q92" i="6"/>
  <c r="E55" i="12" s="1"/>
  <c r="N14" i="4"/>
  <c r="M57" i="35"/>
  <c r="S84" i="6"/>
  <c r="G54" i="12" s="1"/>
  <c r="C115" i="35"/>
  <c r="E57" i="35"/>
  <c r="F57" i="35"/>
  <c r="J92" i="6"/>
  <c r="J18" i="12" s="1"/>
  <c r="G14" i="4"/>
  <c r="C6" i="33" s="1"/>
  <c r="L38" i="4"/>
  <c r="L48" i="4" s="1"/>
  <c r="H48" i="4"/>
  <c r="N2" i="35"/>
  <c r="G26" i="41"/>
  <c r="E16" i="27"/>
  <c r="C12" i="6"/>
  <c r="O73" i="6"/>
  <c r="C42" i="12" s="1"/>
  <c r="G84" i="6"/>
  <c r="G17" i="12" s="1"/>
  <c r="I140" i="37"/>
  <c r="T109" i="6" s="1"/>
  <c r="L140" i="37"/>
  <c r="W109" i="6" s="1"/>
  <c r="K140" i="37"/>
  <c r="V109" i="6" s="1"/>
  <c r="G69" i="37"/>
  <c r="F109" i="6" s="1"/>
  <c r="E69" i="37"/>
  <c r="D109" i="6" s="1"/>
  <c r="G33" i="27" l="1"/>
  <c r="V73" i="6"/>
  <c r="J42" i="12" s="1"/>
  <c r="L73" i="6"/>
  <c r="L5" i="12" s="1"/>
  <c r="J84" i="6"/>
  <c r="J17" i="12" s="1"/>
  <c r="C82" i="6"/>
  <c r="C6" i="4"/>
  <c r="C16" i="4" s="1"/>
  <c r="F30" i="30"/>
  <c r="F31" i="30" s="1"/>
  <c r="F35" i="41"/>
  <c r="C22" i="4" s="1"/>
  <c r="C24" i="4" s="1"/>
  <c r="F11" i="41"/>
  <c r="H40" i="12"/>
  <c r="AK39" i="38"/>
  <c r="H34" i="38" s="1"/>
  <c r="F43" i="6"/>
  <c r="F46" i="6" s="1"/>
  <c r="F8" i="5"/>
  <c r="G77" i="6"/>
  <c r="G78" i="6" s="1"/>
  <c r="N57" i="35"/>
  <c r="I16" i="4"/>
  <c r="H8" i="12"/>
  <c r="P84" i="6"/>
  <c r="D54" i="12" s="1"/>
  <c r="C93" i="6"/>
  <c r="C15" i="5" s="1"/>
  <c r="I6" i="4"/>
  <c r="E15" i="30"/>
  <c r="F11" i="30"/>
  <c r="F12" i="30" s="1"/>
  <c r="D51" i="6"/>
  <c r="H10" i="42"/>
  <c r="G14" i="42"/>
  <c r="F22" i="6"/>
  <c r="E26" i="6"/>
  <c r="E17" i="27"/>
  <c r="F13" i="27"/>
  <c r="L57" i="27"/>
  <c r="K60" i="27"/>
  <c r="I7" i="12" s="1"/>
  <c r="K58" i="27"/>
  <c r="I8" i="12" s="1"/>
  <c r="K59" i="27"/>
  <c r="AD39" i="38"/>
  <c r="M29" i="38" s="1"/>
  <c r="M3" i="12"/>
  <c r="C19" i="4"/>
  <c r="Q73" i="6"/>
  <c r="E42" i="12" s="1"/>
  <c r="P73" i="6"/>
  <c r="D42" i="12" s="1"/>
  <c r="E70" i="6"/>
  <c r="E74" i="6" s="1"/>
  <c r="D9" i="5"/>
  <c r="F13" i="30"/>
  <c r="D21" i="4" s="1"/>
  <c r="D27" i="12"/>
  <c r="C19" i="5"/>
  <c r="D108" i="6"/>
  <c r="D110" i="6" s="1"/>
  <c r="C10" i="5"/>
  <c r="I39" i="30"/>
  <c r="J37" i="30"/>
  <c r="I38" i="30"/>
  <c r="G9" i="12" s="1"/>
  <c r="E5" i="6"/>
  <c r="F6" i="4"/>
  <c r="F16" i="4" s="1"/>
  <c r="C3" i="33"/>
  <c r="C5" i="33" s="1"/>
  <c r="C8" i="33" s="1"/>
  <c r="E20" i="12"/>
  <c r="E105" i="6"/>
  <c r="F102" i="6" s="1"/>
  <c r="F104" i="6" s="1"/>
  <c r="I1" i="6"/>
  <c r="H116" i="6"/>
  <c r="H22" i="12" s="1"/>
  <c r="U73" i="6"/>
  <c r="I42" i="12" s="1"/>
  <c r="T73" i="6"/>
  <c r="H42" i="12" s="1"/>
  <c r="F36" i="6"/>
  <c r="F37" i="6" s="1"/>
  <c r="G16" i="4"/>
  <c r="D6" i="33"/>
  <c r="Q84" i="6"/>
  <c r="E54" i="12" s="1"/>
  <c r="F14" i="30"/>
  <c r="N115" i="35"/>
  <c r="R73" i="6"/>
  <c r="F42" i="12" s="1"/>
  <c r="H92" i="6"/>
  <c r="H18" i="12" s="1"/>
  <c r="V92" i="6"/>
  <c r="J55" i="12" s="1"/>
  <c r="G92" i="6"/>
  <c r="G18" i="12" s="1"/>
  <c r="X73" i="6"/>
  <c r="L42" i="12" s="1"/>
  <c r="F92" i="6"/>
  <c r="F18" i="12" s="1"/>
  <c r="N73" i="6"/>
  <c r="N5" i="12" s="1"/>
  <c r="J48" i="4"/>
  <c r="K73" i="6"/>
  <c r="K5" i="12" s="1"/>
  <c r="D10" i="6"/>
  <c r="C13" i="6"/>
  <c r="H23" i="41"/>
  <c r="G27" i="41"/>
  <c r="H12" i="39"/>
  <c r="H5" i="39"/>
  <c r="H40" i="39"/>
  <c r="H58" i="39"/>
  <c r="I3" i="39"/>
  <c r="V84" i="6"/>
  <c r="J54" i="12" s="1"/>
  <c r="W84" i="6"/>
  <c r="K54" i="12" s="1"/>
  <c r="C38" i="4"/>
  <c r="C48" i="4" s="1"/>
  <c r="D3" i="33"/>
  <c r="D5" i="33" s="1"/>
  <c r="D8" i="33" s="1"/>
  <c r="D25" i="12"/>
  <c r="F121" i="6"/>
  <c r="F123" i="6" s="1"/>
  <c r="E36" i="5"/>
  <c r="I73" i="6"/>
  <c r="I5" i="12" s="1"/>
  <c r="G73" i="6"/>
  <c r="G5" i="12" s="1"/>
  <c r="H73" i="6"/>
  <c r="H5" i="12" s="1"/>
  <c r="F73" i="6"/>
  <c r="F5" i="12" s="1"/>
  <c r="D88" i="6"/>
  <c r="D93" i="6" s="1"/>
  <c r="D19" i="12"/>
  <c r="D99" i="6"/>
  <c r="O17" i="6"/>
  <c r="O19" i="6" s="1"/>
  <c r="N16" i="4"/>
  <c r="S92" i="6"/>
  <c r="G55" i="12" s="1"/>
  <c r="X84" i="6"/>
  <c r="L54" i="12" s="1"/>
  <c r="U92" i="6"/>
  <c r="I55" i="12" s="1"/>
  <c r="F51" i="27"/>
  <c r="G47" i="27" s="1"/>
  <c r="I48" i="4"/>
  <c r="O84" i="6"/>
  <c r="C54" i="12" s="1"/>
  <c r="K16" i="4"/>
  <c r="F48" i="4"/>
  <c r="F32" i="30" l="1"/>
  <c r="C84" i="6"/>
  <c r="C17" i="12" s="1"/>
  <c r="C28" i="12" s="1"/>
  <c r="F84" i="6"/>
  <c r="F17" i="12" s="1"/>
  <c r="D84" i="6"/>
  <c r="D17" i="12" s="1"/>
  <c r="C85" i="6"/>
  <c r="E84" i="6"/>
  <c r="E17" i="12" s="1"/>
  <c r="F12" i="41"/>
  <c r="G8" i="41"/>
  <c r="G34" i="27"/>
  <c r="G36" i="27" s="1"/>
  <c r="G35" i="27"/>
  <c r="D53" i="6"/>
  <c r="E49" i="6"/>
  <c r="H77" i="6"/>
  <c r="H78" i="6" s="1"/>
  <c r="G8" i="5"/>
  <c r="G43" i="6"/>
  <c r="G46" i="6" s="1"/>
  <c r="I40" i="12"/>
  <c r="AL39" i="38"/>
  <c r="I34" i="38" s="1"/>
  <c r="F39" i="6"/>
  <c r="G35" i="6"/>
  <c r="E96" i="6"/>
  <c r="E98" i="6" s="1"/>
  <c r="D16" i="5"/>
  <c r="I5" i="39"/>
  <c r="I40" i="39"/>
  <c r="I58" i="39"/>
  <c r="I12" i="39"/>
  <c r="J3" i="39"/>
  <c r="H24" i="41"/>
  <c r="H25" i="41" s="1"/>
  <c r="H26" i="41" s="1"/>
  <c r="D11" i="6"/>
  <c r="D62" i="6" s="1"/>
  <c r="D18" i="4" s="1"/>
  <c r="D61" i="6"/>
  <c r="G11" i="30"/>
  <c r="F15" i="30"/>
  <c r="I116" i="6"/>
  <c r="I22" i="12" s="1"/>
  <c r="J1" i="6"/>
  <c r="E7" i="6"/>
  <c r="E56" i="6"/>
  <c r="E58" i="6" s="1"/>
  <c r="J39" i="30"/>
  <c r="J38" i="30"/>
  <c r="K37" i="30"/>
  <c r="F70" i="6"/>
  <c r="F74" i="6" s="1"/>
  <c r="E9" i="5"/>
  <c r="C26" i="4"/>
  <c r="L58" i="27"/>
  <c r="L59" i="27"/>
  <c r="L60" i="27"/>
  <c r="J7" i="12" s="1"/>
  <c r="M57" i="27"/>
  <c r="F14" i="27"/>
  <c r="F15" i="27"/>
  <c r="F23" i="6"/>
  <c r="F24" i="6" s="1"/>
  <c r="H11" i="42"/>
  <c r="H12" i="42" s="1"/>
  <c r="G50" i="27"/>
  <c r="G48" i="27"/>
  <c r="G49" i="27" s="1"/>
  <c r="E24" i="12" s="1"/>
  <c r="P17" i="6"/>
  <c r="P19" i="6" s="1"/>
  <c r="E88" i="6"/>
  <c r="E93" i="6" s="1"/>
  <c r="D15" i="5"/>
  <c r="G121" i="6"/>
  <c r="G123" i="6" s="1"/>
  <c r="F36" i="5"/>
  <c r="H22" i="33"/>
  <c r="F20" i="12"/>
  <c r="F105" i="6"/>
  <c r="G102" i="6" s="1"/>
  <c r="G104" i="6" s="1"/>
  <c r="D6" i="12"/>
  <c r="D12" i="12" s="1"/>
  <c r="D23" i="12"/>
  <c r="D111" i="6"/>
  <c r="AE39" i="38"/>
  <c r="N29" i="38" s="1"/>
  <c r="N3" i="12"/>
  <c r="AF39" i="38" s="1"/>
  <c r="O29" i="38" s="1"/>
  <c r="G22" i="33"/>
  <c r="G9" i="41" l="1"/>
  <c r="G34" i="41" s="1"/>
  <c r="G10" i="41"/>
  <c r="G11" i="41" s="1"/>
  <c r="D26" i="12"/>
  <c r="D28" i="12" s="1"/>
  <c r="D81" i="6"/>
  <c r="D85" i="6" s="1"/>
  <c r="C14" i="5"/>
  <c r="C30" i="12"/>
  <c r="C34" i="12" s="1"/>
  <c r="C36" i="12" s="1"/>
  <c r="U41" i="38"/>
  <c r="D31" i="38" s="1"/>
  <c r="D32" i="38" s="1"/>
  <c r="H33" i="27"/>
  <c r="G37" i="27"/>
  <c r="F33" i="30"/>
  <c r="G29" i="30"/>
  <c r="H43" i="6"/>
  <c r="H46" i="6" s="1"/>
  <c r="I43" i="6" s="1"/>
  <c r="I46" i="6" s="1"/>
  <c r="J43" i="6" s="1"/>
  <c r="J46" i="6" s="1"/>
  <c r="K43" i="6" s="1"/>
  <c r="K46" i="6" s="1"/>
  <c r="L43" i="6" s="1"/>
  <c r="L46" i="6" s="1"/>
  <c r="M43" i="6" s="1"/>
  <c r="M46" i="6" s="1"/>
  <c r="N43" i="6" s="1"/>
  <c r="N46" i="6" s="1"/>
  <c r="O43" i="6" s="1"/>
  <c r="O46" i="6" s="1"/>
  <c r="P43" i="6" s="1"/>
  <c r="P46" i="6" s="1"/>
  <c r="Q43" i="6" s="1"/>
  <c r="Q46" i="6" s="1"/>
  <c r="R43" i="6" s="1"/>
  <c r="R46" i="6" s="1"/>
  <c r="S43" i="6" s="1"/>
  <c r="S46" i="6" s="1"/>
  <c r="T43" i="6" s="1"/>
  <c r="T46" i="6" s="1"/>
  <c r="U43" i="6" s="1"/>
  <c r="U46" i="6" s="1"/>
  <c r="V43" i="6" s="1"/>
  <c r="V46" i="6" s="1"/>
  <c r="W43" i="6" s="1"/>
  <c r="W46" i="6" s="1"/>
  <c r="X43" i="6" s="1"/>
  <c r="X46" i="6" s="1"/>
  <c r="Y43" i="6" s="1"/>
  <c r="Y46" i="6" s="1"/>
  <c r="Z43" i="6" s="1"/>
  <c r="Z46" i="6" s="1"/>
  <c r="H8" i="5"/>
  <c r="I77" i="6"/>
  <c r="I78" i="6" s="1"/>
  <c r="AM39" i="38"/>
  <c r="J34" i="38" s="1"/>
  <c r="J40" i="12"/>
  <c r="E50" i="6"/>
  <c r="E51" i="6" s="1"/>
  <c r="G51" i="27"/>
  <c r="H47" i="27" s="1"/>
  <c r="H50" i="27" s="1"/>
  <c r="F16" i="27"/>
  <c r="D63" i="6"/>
  <c r="D65" i="6" s="1"/>
  <c r="D5" i="5" s="1"/>
  <c r="I23" i="41"/>
  <c r="H27" i="41"/>
  <c r="D19" i="5"/>
  <c r="E108" i="6"/>
  <c r="E110" i="6" s="1"/>
  <c r="D10" i="5"/>
  <c r="V40" i="38"/>
  <c r="E30" i="38" s="1"/>
  <c r="H121" i="6"/>
  <c r="H123" i="6" s="1"/>
  <c r="G36" i="5"/>
  <c r="F88" i="6"/>
  <c r="F93" i="6" s="1"/>
  <c r="E15" i="5"/>
  <c r="Q17" i="6"/>
  <c r="Q19" i="6" s="1"/>
  <c r="G22" i="6"/>
  <c r="F26" i="6"/>
  <c r="M58" i="27"/>
  <c r="N57" i="27"/>
  <c r="M60" i="27"/>
  <c r="K7" i="12" s="1"/>
  <c r="M59" i="27"/>
  <c r="K38" i="30"/>
  <c r="K39" i="30"/>
  <c r="L37" i="30"/>
  <c r="F5" i="6"/>
  <c r="J116" i="6"/>
  <c r="J22" i="12" s="1"/>
  <c r="K1" i="6"/>
  <c r="D19" i="4"/>
  <c r="G36" i="6"/>
  <c r="G37" i="6" s="1"/>
  <c r="G20" i="12"/>
  <c r="G105" i="6"/>
  <c r="H102" i="6" s="1"/>
  <c r="H104" i="6" s="1"/>
  <c r="E25" i="12"/>
  <c r="C28" i="4"/>
  <c r="G70" i="6"/>
  <c r="G74" i="6" s="1"/>
  <c r="F9" i="5"/>
  <c r="G12" i="30"/>
  <c r="J12" i="39"/>
  <c r="J5" i="39"/>
  <c r="J40" i="39"/>
  <c r="J58" i="39"/>
  <c r="K3" i="39"/>
  <c r="E99" i="6"/>
  <c r="E19" i="12"/>
  <c r="H13" i="42"/>
  <c r="J8" i="12"/>
  <c r="H9" i="12"/>
  <c r="D12" i="6"/>
  <c r="G12" i="41" l="1"/>
  <c r="H8" i="41"/>
  <c r="H9" i="41" s="1"/>
  <c r="H34" i="41" s="1"/>
  <c r="D30" i="12"/>
  <c r="D34" i="12" s="1"/>
  <c r="V41" i="38"/>
  <c r="E31" i="38" s="1"/>
  <c r="D14" i="5"/>
  <c r="E81" i="6"/>
  <c r="E85" i="6" s="1"/>
  <c r="G35" i="41"/>
  <c r="D22" i="4" s="1"/>
  <c r="D24" i="4" s="1"/>
  <c r="D26" i="4" s="1"/>
  <c r="E10" i="41"/>
  <c r="E8" i="41" s="1"/>
  <c r="E12" i="41" s="1"/>
  <c r="G30" i="30"/>
  <c r="G31" i="30" s="1"/>
  <c r="H34" i="27"/>
  <c r="H36" i="27" s="1"/>
  <c r="H35" i="27"/>
  <c r="H48" i="27"/>
  <c r="H49" i="27" s="1"/>
  <c r="F24" i="12" s="1"/>
  <c r="U42" i="38"/>
  <c r="C17" i="5"/>
  <c r="C11" i="5"/>
  <c r="C12" i="5" s="1"/>
  <c r="D33" i="12"/>
  <c r="D35" i="12" s="1"/>
  <c r="D23" i="4" s="1"/>
  <c r="F49" i="6"/>
  <c r="F50" i="6" s="1"/>
  <c r="F51" i="6" s="1"/>
  <c r="E53" i="6"/>
  <c r="G13" i="27"/>
  <c r="F17" i="27"/>
  <c r="K40" i="12"/>
  <c r="AN39" i="38"/>
  <c r="K34" i="38" s="1"/>
  <c r="J77" i="6"/>
  <c r="J78" i="6" s="1"/>
  <c r="I8" i="5"/>
  <c r="H35" i="6"/>
  <c r="G39" i="6"/>
  <c r="K5" i="39"/>
  <c r="K40" i="39"/>
  <c r="K58" i="39"/>
  <c r="K12" i="39"/>
  <c r="L3" i="39"/>
  <c r="E27" i="12"/>
  <c r="G13" i="30"/>
  <c r="H70" i="6"/>
  <c r="H74" i="6" s="1"/>
  <c r="G9" i="5"/>
  <c r="C115" i="6"/>
  <c r="C117" i="6" s="1"/>
  <c r="H105" i="6"/>
  <c r="I102" i="6" s="1"/>
  <c r="I104" i="6" s="1"/>
  <c r="H20" i="12"/>
  <c r="F56" i="6"/>
  <c r="F58" i="6" s="1"/>
  <c r="F7" i="6"/>
  <c r="N60" i="27"/>
  <c r="L7" i="12" s="1"/>
  <c r="N58" i="27"/>
  <c r="L8" i="12" s="1"/>
  <c r="N59" i="27"/>
  <c r="O57" i="27"/>
  <c r="E6" i="12"/>
  <c r="E12" i="12" s="1"/>
  <c r="E111" i="6"/>
  <c r="E23" i="12"/>
  <c r="I24" i="41"/>
  <c r="E32" i="38"/>
  <c r="I10" i="42"/>
  <c r="H14" i="42"/>
  <c r="E10" i="6"/>
  <c r="D13" i="6"/>
  <c r="E16" i="5"/>
  <c r="F96" i="6"/>
  <c r="F98" i="6" s="1"/>
  <c r="K116" i="6"/>
  <c r="K22" i="12" s="1"/>
  <c r="L1" i="6"/>
  <c r="L38" i="30"/>
  <c r="L39" i="30"/>
  <c r="M37" i="30"/>
  <c r="G23" i="6"/>
  <c r="G24" i="6" s="1"/>
  <c r="R17" i="6"/>
  <c r="R19" i="6" s="1"/>
  <c r="G88" i="6"/>
  <c r="G93" i="6" s="1"/>
  <c r="F15" i="5"/>
  <c r="H36" i="5"/>
  <c r="I121" i="6"/>
  <c r="I123" i="6" s="1"/>
  <c r="F25" i="12"/>
  <c r="G14" i="30"/>
  <c r="C29" i="4"/>
  <c r="H10" i="41"/>
  <c r="H35" i="41" s="1"/>
  <c r="I9" i="12"/>
  <c r="K8" i="12"/>
  <c r="H51" i="27"/>
  <c r="I47" i="27" s="1"/>
  <c r="F81" i="6" l="1"/>
  <c r="F85" i="6" s="1"/>
  <c r="E14" i="5"/>
  <c r="I33" i="27"/>
  <c r="H37" i="27"/>
  <c r="D36" i="12"/>
  <c r="E21" i="4"/>
  <c r="G32" i="30"/>
  <c r="J8" i="5"/>
  <c r="K77" i="6"/>
  <c r="K78" i="6" s="1"/>
  <c r="AO39" i="38"/>
  <c r="L34" i="38" s="1"/>
  <c r="L40" i="12"/>
  <c r="G14" i="27"/>
  <c r="G15" i="27"/>
  <c r="E22" i="4" s="1"/>
  <c r="G49" i="6"/>
  <c r="G50" i="6" s="1"/>
  <c r="G51" i="6" s="1"/>
  <c r="F53" i="6"/>
  <c r="C31" i="4"/>
  <c r="C37" i="5" s="1"/>
  <c r="H88" i="6"/>
  <c r="H93" i="6" s="1"/>
  <c r="G15" i="5"/>
  <c r="S17" i="6"/>
  <c r="S19" i="6" s="1"/>
  <c r="G26" i="6"/>
  <c r="H22" i="6"/>
  <c r="E11" i="6"/>
  <c r="E62" i="6" s="1"/>
  <c r="E18" i="4" s="1"/>
  <c r="E61" i="6"/>
  <c r="E63" i="6" s="1"/>
  <c r="E65" i="6" s="1"/>
  <c r="E5" i="5" s="1"/>
  <c r="I11" i="42"/>
  <c r="I12" i="42" s="1"/>
  <c r="I13" i="42" s="1"/>
  <c r="E10" i="5"/>
  <c r="E19" i="5"/>
  <c r="F108" i="6"/>
  <c r="F110" i="6" s="1"/>
  <c r="O58" i="27"/>
  <c r="O59" i="27"/>
  <c r="P57" i="27"/>
  <c r="O60" i="27"/>
  <c r="M7" i="12" s="1"/>
  <c r="G5" i="6"/>
  <c r="L12" i="39"/>
  <c r="L5" i="39"/>
  <c r="L40" i="39"/>
  <c r="L58" i="39"/>
  <c r="M3" i="39"/>
  <c r="H36" i="6"/>
  <c r="H37" i="6" s="1"/>
  <c r="I25" i="41"/>
  <c r="I26" i="41" s="1"/>
  <c r="I50" i="27"/>
  <c r="I48" i="27"/>
  <c r="I49" i="27" s="1"/>
  <c r="G24" i="12" s="1"/>
  <c r="H11" i="30"/>
  <c r="G15" i="30"/>
  <c r="J121" i="6"/>
  <c r="J123" i="6" s="1"/>
  <c r="I36" i="5"/>
  <c r="M39" i="30"/>
  <c r="M38" i="30"/>
  <c r="N37" i="30"/>
  <c r="L116" i="6"/>
  <c r="L22" i="12" s="1"/>
  <c r="M1" i="6"/>
  <c r="F19" i="12"/>
  <c r="F99" i="6"/>
  <c r="W40" i="38"/>
  <c r="F30" i="38" s="1"/>
  <c r="D28" i="4"/>
  <c r="D29" i="4" s="1"/>
  <c r="I105" i="6"/>
  <c r="J102" i="6" s="1"/>
  <c r="J104" i="6" s="1"/>
  <c r="I20" i="12"/>
  <c r="C118" i="6"/>
  <c r="D114" i="6"/>
  <c r="C18" i="5"/>
  <c r="I70" i="6"/>
  <c r="I74" i="6" s="1"/>
  <c r="H9" i="5"/>
  <c r="J9" i="12"/>
  <c r="H11" i="41"/>
  <c r="H29" i="30" l="1"/>
  <c r="G33" i="30"/>
  <c r="E33" i="12"/>
  <c r="E35" i="12" s="1"/>
  <c r="E23" i="4" s="1"/>
  <c r="E24" i="4" s="1"/>
  <c r="D11" i="5"/>
  <c r="D12" i="5" s="1"/>
  <c r="V42" i="38"/>
  <c r="D17" i="5"/>
  <c r="I35" i="27"/>
  <c r="I34" i="27"/>
  <c r="I36" i="27" s="1"/>
  <c r="G81" i="6"/>
  <c r="G85" i="6" s="1"/>
  <c r="F14" i="5"/>
  <c r="H49" i="6"/>
  <c r="G53" i="6"/>
  <c r="G16" i="27"/>
  <c r="E26" i="12"/>
  <c r="E28" i="12" s="1"/>
  <c r="I51" i="27"/>
  <c r="J47" i="27" s="1"/>
  <c r="J50" i="27" s="1"/>
  <c r="E12" i="6"/>
  <c r="AP39" i="38"/>
  <c r="M34" i="38" s="1"/>
  <c r="M40" i="12"/>
  <c r="K8" i="5"/>
  <c r="L77" i="6"/>
  <c r="L78" i="6" s="1"/>
  <c r="D31" i="4"/>
  <c r="D37" i="5" s="1"/>
  <c r="J48" i="27"/>
  <c r="J49" i="27" s="1"/>
  <c r="H24" i="12" s="1"/>
  <c r="J23" i="41"/>
  <c r="I27" i="41"/>
  <c r="H39" i="6"/>
  <c r="I35" i="6"/>
  <c r="J10" i="42"/>
  <c r="I14" i="42"/>
  <c r="J70" i="6"/>
  <c r="J74" i="6" s="1"/>
  <c r="I9" i="5"/>
  <c r="F16" i="5"/>
  <c r="G96" i="6"/>
  <c r="G98" i="6" s="1"/>
  <c r="G56" i="6"/>
  <c r="G58" i="6" s="1"/>
  <c r="G7" i="6"/>
  <c r="F23" i="12"/>
  <c r="F6" i="12"/>
  <c r="F12" i="12" s="1"/>
  <c r="F111" i="6"/>
  <c r="F10" i="6"/>
  <c r="E13" i="6"/>
  <c r="H23" i="6"/>
  <c r="H24" i="6" s="1"/>
  <c r="T17" i="6"/>
  <c r="T19" i="6" s="1"/>
  <c r="K9" i="12"/>
  <c r="I8" i="41"/>
  <c r="H12" i="41"/>
  <c r="J20" i="12"/>
  <c r="J105" i="6"/>
  <c r="K102" i="6" s="1"/>
  <c r="K104" i="6" s="1"/>
  <c r="D115" i="6"/>
  <c r="D117" i="6" s="1"/>
  <c r="N1" i="6"/>
  <c r="M116" i="6"/>
  <c r="M22" i="12" s="1"/>
  <c r="N39" i="30"/>
  <c r="O37" i="30"/>
  <c r="N38" i="30"/>
  <c r="L9" i="12" s="1"/>
  <c r="J36" i="5"/>
  <c r="K121" i="6"/>
  <c r="K123" i="6" s="1"/>
  <c r="H12" i="30"/>
  <c r="G25" i="12"/>
  <c r="M5" i="39"/>
  <c r="M40" i="39"/>
  <c r="M58" i="39"/>
  <c r="M12" i="39"/>
  <c r="N3" i="39"/>
  <c r="P60" i="27"/>
  <c r="N7" i="12" s="1"/>
  <c r="Q57" i="27"/>
  <c r="P58" i="27"/>
  <c r="P59" i="27"/>
  <c r="E19" i="4"/>
  <c r="I88" i="6"/>
  <c r="I93" i="6" s="1"/>
  <c r="H15" i="5"/>
  <c r="M8" i="12"/>
  <c r="G14" i="5" l="1"/>
  <c r="H81" i="6"/>
  <c r="H85" i="6" s="1"/>
  <c r="I37" i="27"/>
  <c r="J33" i="27"/>
  <c r="H30" i="30"/>
  <c r="H31" i="30" s="1"/>
  <c r="H32" i="30"/>
  <c r="L8" i="5"/>
  <c r="M77" i="6"/>
  <c r="M78" i="6" s="1"/>
  <c r="AQ39" i="38"/>
  <c r="N34" i="38" s="1"/>
  <c r="N40" i="12"/>
  <c r="AR39" i="38" s="1"/>
  <c r="O34" i="38" s="1"/>
  <c r="H13" i="27"/>
  <c r="G17" i="27"/>
  <c r="H50" i="6"/>
  <c r="H51" i="6" s="1"/>
  <c r="W41" i="38"/>
  <c r="F31" i="38" s="1"/>
  <c r="F32" i="38" s="1"/>
  <c r="E30" i="12"/>
  <c r="E34" i="12" s="1"/>
  <c r="E36" i="12" s="1"/>
  <c r="D18" i="5"/>
  <c r="D118" i="6"/>
  <c r="E114" i="6"/>
  <c r="R57" i="27"/>
  <c r="Q58" i="27"/>
  <c r="Q59" i="27"/>
  <c r="Q60" i="27"/>
  <c r="C44" i="12" s="1"/>
  <c r="N12" i="39"/>
  <c r="N5" i="39"/>
  <c r="N40" i="39"/>
  <c r="N58" i="39"/>
  <c r="O3" i="39"/>
  <c r="P37" i="30"/>
  <c r="O38" i="30"/>
  <c r="O39" i="30"/>
  <c r="N116" i="6"/>
  <c r="N22" i="12" s="1"/>
  <c r="O1" i="6"/>
  <c r="I9" i="41"/>
  <c r="I34" i="41" s="1"/>
  <c r="U17" i="6"/>
  <c r="U19" i="6" s="1"/>
  <c r="I22" i="6"/>
  <c r="H26" i="6"/>
  <c r="F11" i="6"/>
  <c r="F62" i="6" s="1"/>
  <c r="F18" i="4" s="1"/>
  <c r="F61" i="6"/>
  <c r="X40" i="38"/>
  <c r="G30" i="38" s="1"/>
  <c r="H5" i="6"/>
  <c r="G19" i="12"/>
  <c r="G99" i="6"/>
  <c r="I36" i="6"/>
  <c r="I37" i="6" s="1"/>
  <c r="J88" i="6"/>
  <c r="J93" i="6" s="1"/>
  <c r="I15" i="5"/>
  <c r="E26" i="4"/>
  <c r="H13" i="30"/>
  <c r="F27" i="12"/>
  <c r="K36" i="5"/>
  <c r="L121" i="6"/>
  <c r="L123" i="6" s="1"/>
  <c r="K105" i="6"/>
  <c r="L102" i="6" s="1"/>
  <c r="L104" i="6" s="1"/>
  <c r="K20" i="12"/>
  <c r="F19" i="5"/>
  <c r="G108" i="6"/>
  <c r="G110" i="6" s="1"/>
  <c r="F10" i="5"/>
  <c r="J9" i="5"/>
  <c r="K70" i="6"/>
  <c r="K74" i="6" s="1"/>
  <c r="J11" i="42"/>
  <c r="J12" i="42" s="1"/>
  <c r="J13" i="42" s="1"/>
  <c r="J24" i="41"/>
  <c r="J26" i="41" s="1"/>
  <c r="K23" i="41" s="1"/>
  <c r="J25" i="41"/>
  <c r="H25" i="12"/>
  <c r="N8" i="12"/>
  <c r="J51" i="27"/>
  <c r="K47" i="27" s="1"/>
  <c r="I29" i="30" l="1"/>
  <c r="I30" i="30" s="1"/>
  <c r="I31" i="30" s="1"/>
  <c r="H33" i="30"/>
  <c r="J35" i="27"/>
  <c r="J34" i="27"/>
  <c r="J36" i="27" s="1"/>
  <c r="H14" i="5"/>
  <c r="I81" i="6"/>
  <c r="I85" i="6" s="1"/>
  <c r="F63" i="6"/>
  <c r="F65" i="6" s="1"/>
  <c r="F5" i="5" s="1"/>
  <c r="F12" i="6"/>
  <c r="F13" i="6" s="1"/>
  <c r="H14" i="27"/>
  <c r="H16" i="27" s="1"/>
  <c r="H15" i="27"/>
  <c r="E11" i="5"/>
  <c r="E12" i="5" s="1"/>
  <c r="E17" i="5"/>
  <c r="F33" i="12"/>
  <c r="F35" i="12" s="1"/>
  <c r="F23" i="4" s="1"/>
  <c r="W42" i="38"/>
  <c r="I49" i="6"/>
  <c r="I50" i="6" s="1"/>
  <c r="I51" i="6" s="1"/>
  <c r="H53" i="6"/>
  <c r="N77" i="6"/>
  <c r="N78" i="6" s="1"/>
  <c r="M8" i="5"/>
  <c r="K10" i="42"/>
  <c r="J14" i="42"/>
  <c r="J35" i="6"/>
  <c r="I39" i="6"/>
  <c r="K24" i="41"/>
  <c r="L70" i="6"/>
  <c r="L74" i="6" s="1"/>
  <c r="K9" i="5"/>
  <c r="M121" i="6"/>
  <c r="M123" i="6" s="1"/>
  <c r="L36" i="5"/>
  <c r="G16" i="5"/>
  <c r="H96" i="6"/>
  <c r="H98" i="6" s="1"/>
  <c r="H7" i="6"/>
  <c r="H56" i="6"/>
  <c r="H58" i="6" s="1"/>
  <c r="G10" i="6"/>
  <c r="O116" i="6"/>
  <c r="C59" i="12" s="1"/>
  <c r="P1" i="6"/>
  <c r="P39" i="30"/>
  <c r="P38" i="30"/>
  <c r="Q37" i="30"/>
  <c r="C45" i="12"/>
  <c r="K50" i="27"/>
  <c r="K51" i="27" s="1"/>
  <c r="L47" i="27" s="1"/>
  <c r="K48" i="27"/>
  <c r="K49" i="27" s="1"/>
  <c r="I24" i="12" s="1"/>
  <c r="G23" i="12"/>
  <c r="G6" i="12"/>
  <c r="G12" i="12" s="1"/>
  <c r="G111" i="6"/>
  <c r="L105" i="6"/>
  <c r="M102" i="6" s="1"/>
  <c r="M104" i="6" s="1"/>
  <c r="L20" i="12"/>
  <c r="F21" i="4"/>
  <c r="H14" i="30"/>
  <c r="E28" i="4"/>
  <c r="E29" i="4" s="1"/>
  <c r="K88" i="6"/>
  <c r="K93" i="6" s="1"/>
  <c r="J15" i="5"/>
  <c r="F19" i="4"/>
  <c r="I23" i="6"/>
  <c r="I24" i="6" s="1"/>
  <c r="V17" i="6"/>
  <c r="V19" i="6" s="1"/>
  <c r="O5" i="39"/>
  <c r="O40" i="39"/>
  <c r="O58" i="39"/>
  <c r="O12" i="39"/>
  <c r="P3" i="39"/>
  <c r="R58" i="27"/>
  <c r="R60" i="27"/>
  <c r="D44" i="12" s="1"/>
  <c r="R59" i="27"/>
  <c r="S57" i="27"/>
  <c r="J27" i="41"/>
  <c r="I10" i="41"/>
  <c r="I35" i="41" s="1"/>
  <c r="F22" i="4" s="1"/>
  <c r="M9" i="12"/>
  <c r="H17" i="27" l="1"/>
  <c r="I13" i="27"/>
  <c r="I15" i="27" s="1"/>
  <c r="K33" i="27"/>
  <c r="J37" i="27"/>
  <c r="F26" i="12"/>
  <c r="F28" i="12" s="1"/>
  <c r="I14" i="5"/>
  <c r="J81" i="6"/>
  <c r="J85" i="6" s="1"/>
  <c r="I32" i="30"/>
  <c r="F30" i="12"/>
  <c r="F34" i="12" s="1"/>
  <c r="F36" i="12" s="1"/>
  <c r="X42" i="38" s="1"/>
  <c r="X41" i="38"/>
  <c r="G31" i="38" s="1"/>
  <c r="G32" i="38" s="1"/>
  <c r="O77" i="6"/>
  <c r="O78" i="6" s="1"/>
  <c r="N8" i="5"/>
  <c r="B51" i="5" s="1"/>
  <c r="J49" i="6"/>
  <c r="I53" i="6"/>
  <c r="N9" i="12"/>
  <c r="I14" i="27"/>
  <c r="I26" i="6"/>
  <c r="J22" i="6"/>
  <c r="L50" i="27"/>
  <c r="L48" i="27"/>
  <c r="L49" i="27" s="1"/>
  <c r="J24" i="12" s="1"/>
  <c r="F17" i="5"/>
  <c r="G33" i="12"/>
  <c r="P12" i="39"/>
  <c r="P5" i="39"/>
  <c r="P40" i="39"/>
  <c r="P58" i="39"/>
  <c r="Q3" i="39"/>
  <c r="W17" i="6"/>
  <c r="W19" i="6" s="1"/>
  <c r="M20" i="12"/>
  <c r="M105" i="6"/>
  <c r="N102" i="6" s="1"/>
  <c r="N104" i="6" s="1"/>
  <c r="I25" i="12"/>
  <c r="G11" i="6"/>
  <c r="G62" i="6" s="1"/>
  <c r="G18" i="4" s="1"/>
  <c r="G19" i="4" s="1"/>
  <c r="G12" i="6"/>
  <c r="G61" i="6"/>
  <c r="G63" i="6" s="1"/>
  <c r="G65" i="6" s="1"/>
  <c r="G5" i="5" s="1"/>
  <c r="I5" i="6"/>
  <c r="M36" i="5"/>
  <c r="N121" i="6"/>
  <c r="N123" i="6" s="1"/>
  <c r="M70" i="6"/>
  <c r="M74" i="6" s="1"/>
  <c r="L9" i="5"/>
  <c r="J36" i="6"/>
  <c r="J37" i="6" s="1"/>
  <c r="K11" i="42"/>
  <c r="K12" i="42"/>
  <c r="K13" i="42" s="1"/>
  <c r="F24" i="4"/>
  <c r="F26" i="4" s="1"/>
  <c r="K25" i="41"/>
  <c r="K26" i="41" s="1"/>
  <c r="T57" i="27"/>
  <c r="S59" i="27"/>
  <c r="S58" i="27"/>
  <c r="S60" i="27"/>
  <c r="E44" i="12" s="1"/>
  <c r="L88" i="6"/>
  <c r="L93" i="6" s="1"/>
  <c r="K15" i="5"/>
  <c r="E31" i="4"/>
  <c r="E37" i="5" s="1"/>
  <c r="Y40" i="38"/>
  <c r="H30" i="38" s="1"/>
  <c r="E115" i="6"/>
  <c r="E117" i="6" s="1"/>
  <c r="I11" i="30"/>
  <c r="H15" i="30"/>
  <c r="H108" i="6"/>
  <c r="H110" i="6" s="1"/>
  <c r="G19" i="5"/>
  <c r="G10" i="5"/>
  <c r="Q38" i="30"/>
  <c r="R37" i="30"/>
  <c r="Q39" i="30"/>
  <c r="P116" i="6"/>
  <c r="D59" i="12" s="1"/>
  <c r="Q1" i="6"/>
  <c r="H19" i="12"/>
  <c r="H99" i="6"/>
  <c r="I11" i="41"/>
  <c r="D45" i="12"/>
  <c r="F11" i="5" l="1"/>
  <c r="F12" i="5" s="1"/>
  <c r="J29" i="30"/>
  <c r="I33" i="30"/>
  <c r="K81" i="6"/>
  <c r="K85" i="6" s="1"/>
  <c r="J14" i="5"/>
  <c r="K34" i="27"/>
  <c r="K35" i="27"/>
  <c r="L33" i="27"/>
  <c r="K36" i="27"/>
  <c r="K37" i="27" s="1"/>
  <c r="I16" i="27"/>
  <c r="J50" i="6"/>
  <c r="J51" i="6" s="1"/>
  <c r="P77" i="6"/>
  <c r="P78" i="6" s="1"/>
  <c r="C51" i="5"/>
  <c r="E45" i="12"/>
  <c r="F28" i="4"/>
  <c r="L23" i="41"/>
  <c r="K27" i="41"/>
  <c r="L10" i="42"/>
  <c r="K14" i="42"/>
  <c r="K35" i="6"/>
  <c r="J39" i="6"/>
  <c r="J8" i="41"/>
  <c r="I12" i="41"/>
  <c r="I96" i="6"/>
  <c r="I98" i="6" s="1"/>
  <c r="H16" i="5"/>
  <c r="R38" i="30"/>
  <c r="R39" i="30"/>
  <c r="S37" i="30"/>
  <c r="H6" i="12"/>
  <c r="H12" i="12" s="1"/>
  <c r="H111" i="6"/>
  <c r="H23" i="12"/>
  <c r="I12" i="30"/>
  <c r="F114" i="6"/>
  <c r="E18" i="5"/>
  <c r="E118" i="6"/>
  <c r="N70" i="6"/>
  <c r="N74" i="6" s="1"/>
  <c r="M9" i="5"/>
  <c r="I7" i="6"/>
  <c r="I56" i="6"/>
  <c r="I58" i="6" s="1"/>
  <c r="H10" i="6"/>
  <c r="G13" i="6"/>
  <c r="X17" i="6"/>
  <c r="X19" i="6" s="1"/>
  <c r="Q116" i="6"/>
  <c r="E59" i="12" s="1"/>
  <c r="R1" i="6"/>
  <c r="M88" i="6"/>
  <c r="M93" i="6" s="1"/>
  <c r="L15" i="5"/>
  <c r="T59" i="27"/>
  <c r="T60" i="27"/>
  <c r="F44" i="12" s="1"/>
  <c r="T58" i="27"/>
  <c r="F45" i="12" s="1"/>
  <c r="U57" i="27"/>
  <c r="N36" i="5"/>
  <c r="O121" i="6"/>
  <c r="O123" i="6" s="1"/>
  <c r="N20" i="12"/>
  <c r="N105" i="6"/>
  <c r="O102" i="6" s="1"/>
  <c r="O104" i="6" s="1"/>
  <c r="Q5" i="39"/>
  <c r="Q40" i="39"/>
  <c r="Q58" i="39"/>
  <c r="Q12" i="39"/>
  <c r="R3" i="39"/>
  <c r="G35" i="12"/>
  <c r="G23" i="4" s="1"/>
  <c r="J25" i="12"/>
  <c r="J23" i="6"/>
  <c r="J24" i="6" s="1"/>
  <c r="C46" i="12"/>
  <c r="L51" i="27"/>
  <c r="M47" i="27" s="1"/>
  <c r="L35" i="27" l="1"/>
  <c r="L34" i="27"/>
  <c r="L81" i="6"/>
  <c r="L85" i="6" s="1"/>
  <c r="K14" i="5"/>
  <c r="J13" i="27"/>
  <c r="I17" i="27"/>
  <c r="J32" i="30"/>
  <c r="K29" i="30" s="1"/>
  <c r="J30" i="30"/>
  <c r="J31" i="30" s="1"/>
  <c r="Q77" i="6"/>
  <c r="Q78" i="6" s="1"/>
  <c r="D51" i="5"/>
  <c r="D46" i="12"/>
  <c r="K49" i="6"/>
  <c r="K50" i="6" s="1"/>
  <c r="K51" i="6" s="1"/>
  <c r="J53" i="6"/>
  <c r="M48" i="27"/>
  <c r="M49" i="27" s="1"/>
  <c r="K24" i="12" s="1"/>
  <c r="M50" i="27"/>
  <c r="C57" i="12"/>
  <c r="O105" i="6"/>
  <c r="P102" i="6" s="1"/>
  <c r="P104" i="6" s="1"/>
  <c r="P121" i="6"/>
  <c r="P123" i="6" s="1"/>
  <c r="C79" i="5"/>
  <c r="N88" i="6"/>
  <c r="N93" i="6" s="1"/>
  <c r="M15" i="5"/>
  <c r="I13" i="30"/>
  <c r="G27" i="12"/>
  <c r="Z40" i="38"/>
  <c r="I30" i="38" s="1"/>
  <c r="F115" i="6"/>
  <c r="F29" i="4"/>
  <c r="K22" i="6"/>
  <c r="J26" i="6"/>
  <c r="R12" i="39"/>
  <c r="R5" i="39"/>
  <c r="R40" i="39"/>
  <c r="R58" i="39"/>
  <c r="S3" i="39"/>
  <c r="B79" i="5"/>
  <c r="U60" i="27"/>
  <c r="G44" i="12" s="1"/>
  <c r="U59" i="27"/>
  <c r="V57" i="27"/>
  <c r="U58" i="27"/>
  <c r="R116" i="6"/>
  <c r="F59" i="12" s="1"/>
  <c r="S1" i="6"/>
  <c r="Y17" i="6"/>
  <c r="Y19" i="6" s="1"/>
  <c r="H11" i="6"/>
  <c r="H62" i="6" s="1"/>
  <c r="H18" i="4" s="1"/>
  <c r="H19" i="4" s="1"/>
  <c r="H61" i="6"/>
  <c r="J5" i="6"/>
  <c r="O70" i="6"/>
  <c r="O74" i="6" s="1"/>
  <c r="N9" i="5"/>
  <c r="H10" i="5"/>
  <c r="H19" i="5"/>
  <c r="I108" i="6"/>
  <c r="I110" i="6" s="1"/>
  <c r="S38" i="30"/>
  <c r="S39" i="30"/>
  <c r="T37" i="30"/>
  <c r="I19" i="12"/>
  <c r="I99" i="6"/>
  <c r="J9" i="41"/>
  <c r="J34" i="41" s="1"/>
  <c r="G26" i="12" s="1"/>
  <c r="K36" i="6"/>
  <c r="K37" i="6" s="1"/>
  <c r="L11" i="42"/>
  <c r="L24" i="41"/>
  <c r="L25" i="41" s="1"/>
  <c r="L26" i="41" s="1"/>
  <c r="F117" i="6"/>
  <c r="J15" i="27" l="1"/>
  <c r="J14" i="27"/>
  <c r="G28" i="12"/>
  <c r="M81" i="6"/>
  <c r="M85" i="6" s="1"/>
  <c r="L14" i="5"/>
  <c r="G45" i="12"/>
  <c r="J33" i="30"/>
  <c r="L36" i="27"/>
  <c r="K30" i="30"/>
  <c r="K31" i="30" s="1"/>
  <c r="R77" i="6"/>
  <c r="R78" i="6" s="1"/>
  <c r="E51" i="5"/>
  <c r="J10" i="41"/>
  <c r="J35" i="41" s="1"/>
  <c r="G22" i="4" s="1"/>
  <c r="L49" i="6"/>
  <c r="L50" i="6" s="1"/>
  <c r="L51" i="6" s="1"/>
  <c r="M49" i="6" s="1"/>
  <c r="K53" i="6"/>
  <c r="M23" i="41"/>
  <c r="L27" i="41"/>
  <c r="L35" i="6"/>
  <c r="K39" i="6"/>
  <c r="Y41" i="38"/>
  <c r="H31" i="38" s="1"/>
  <c r="H32" i="38" s="1"/>
  <c r="G30" i="12"/>
  <c r="G34" i="12" s="1"/>
  <c r="G36" i="12" s="1"/>
  <c r="I111" i="6"/>
  <c r="I6" i="12"/>
  <c r="I12" i="12" s="1"/>
  <c r="I23" i="12"/>
  <c r="C52" i="5"/>
  <c r="P70" i="6"/>
  <c r="P74" i="6" s="1"/>
  <c r="V58" i="27"/>
  <c r="W57" i="27"/>
  <c r="V59" i="27"/>
  <c r="V60" i="27"/>
  <c r="H44" i="12" s="1"/>
  <c r="F31" i="4"/>
  <c r="F37" i="5" s="1"/>
  <c r="G21" i="4"/>
  <c r="G24" i="4" s="1"/>
  <c r="G26" i="4" s="1"/>
  <c r="I14" i="30"/>
  <c r="O88" i="6"/>
  <c r="O93" i="6" s="1"/>
  <c r="N15" i="5"/>
  <c r="B58" i="5" s="1"/>
  <c r="Q121" i="6"/>
  <c r="Q123" i="6" s="1"/>
  <c r="D79" i="5"/>
  <c r="G114" i="6"/>
  <c r="F18" i="5"/>
  <c r="F118" i="6"/>
  <c r="J96" i="6"/>
  <c r="J98" i="6" s="1"/>
  <c r="I16" i="5"/>
  <c r="U37" i="30"/>
  <c r="T39" i="30"/>
  <c r="T38" i="30"/>
  <c r="B52" i="5"/>
  <c r="J7" i="6"/>
  <c r="J56" i="6"/>
  <c r="J58" i="6" s="1"/>
  <c r="Z17" i="6"/>
  <c r="Z19" i="6" s="1"/>
  <c r="S116" i="6"/>
  <c r="G59" i="12" s="1"/>
  <c r="T1" i="6"/>
  <c r="S5" i="39"/>
  <c r="S40" i="39"/>
  <c r="S58" i="39"/>
  <c r="S12" i="39"/>
  <c r="T3" i="39"/>
  <c r="K23" i="6"/>
  <c r="K24" i="6" s="1"/>
  <c r="D57" i="12"/>
  <c r="P105" i="6"/>
  <c r="Q102" i="6" s="1"/>
  <c r="Q104" i="6" s="1"/>
  <c r="K25" i="12"/>
  <c r="L12" i="42"/>
  <c r="L13" i="42" s="1"/>
  <c r="J11" i="41"/>
  <c r="E46" i="12"/>
  <c r="H63" i="6"/>
  <c r="H65" i="6" s="1"/>
  <c r="H5" i="5" s="1"/>
  <c r="H12" i="6"/>
  <c r="M51" i="27"/>
  <c r="N47" i="27" s="1"/>
  <c r="L53" i="6" l="1"/>
  <c r="N81" i="6"/>
  <c r="N85" i="6" s="1"/>
  <c r="M14" i="5"/>
  <c r="K32" i="30"/>
  <c r="J16" i="27"/>
  <c r="L37" i="27"/>
  <c r="M33" i="27"/>
  <c r="F51" i="5"/>
  <c r="S77" i="6"/>
  <c r="S78" i="6" s="1"/>
  <c r="M10" i="42"/>
  <c r="L14" i="42"/>
  <c r="K5" i="6"/>
  <c r="I15" i="30"/>
  <c r="J11" i="30"/>
  <c r="X57" i="27"/>
  <c r="W59" i="27"/>
  <c r="W58" i="27"/>
  <c r="I45" i="12" s="1"/>
  <c r="W60" i="27"/>
  <c r="I44" i="12" s="1"/>
  <c r="Q70" i="6"/>
  <c r="Q74" i="6" s="1"/>
  <c r="D52" i="5"/>
  <c r="I10" i="5"/>
  <c r="J108" i="6"/>
  <c r="J110" i="6" s="1"/>
  <c r="I19" i="5"/>
  <c r="N50" i="27"/>
  <c r="N48" i="27"/>
  <c r="N49" i="27" s="1"/>
  <c r="L24" i="12" s="1"/>
  <c r="I10" i="6"/>
  <c r="H13" i="6"/>
  <c r="K8" i="41"/>
  <c r="J12" i="41"/>
  <c r="Q105" i="6"/>
  <c r="R102" i="6" s="1"/>
  <c r="R104" i="6" s="1"/>
  <c r="E57" i="12"/>
  <c r="L22" i="6"/>
  <c r="K26" i="6"/>
  <c r="T12" i="39"/>
  <c r="T5" i="39"/>
  <c r="T40" i="39"/>
  <c r="T58" i="39"/>
  <c r="U3" i="39"/>
  <c r="T116" i="6"/>
  <c r="H59" i="12" s="1"/>
  <c r="U1" i="6"/>
  <c r="U39" i="30"/>
  <c r="U38" i="30"/>
  <c r="V37" i="30"/>
  <c r="J19" i="12"/>
  <c r="J99" i="6"/>
  <c r="R121" i="6"/>
  <c r="R123" i="6" s="1"/>
  <c r="E79" i="5"/>
  <c r="P88" i="6"/>
  <c r="P93" i="6" s="1"/>
  <c r="C58" i="5"/>
  <c r="G28" i="4"/>
  <c r="AA40" i="38"/>
  <c r="J30" i="38" s="1"/>
  <c r="G17" i="5"/>
  <c r="G11" i="5"/>
  <c r="G12" i="5" s="1"/>
  <c r="Y42" i="38"/>
  <c r="H33" i="12"/>
  <c r="L36" i="6"/>
  <c r="L37" i="6" s="1"/>
  <c r="M50" i="6"/>
  <c r="M51" i="6" s="1"/>
  <c r="M24" i="41"/>
  <c r="F46" i="12"/>
  <c r="H45" i="12"/>
  <c r="M34" i="27" l="1"/>
  <c r="M35" i="27"/>
  <c r="M36" i="27" s="1"/>
  <c r="K13" i="27"/>
  <c r="J17" i="27"/>
  <c r="L29" i="30"/>
  <c r="K33" i="30"/>
  <c r="N14" i="5"/>
  <c r="B57" i="5" s="1"/>
  <c r="O81" i="6"/>
  <c r="O85" i="6" s="1"/>
  <c r="G51" i="5"/>
  <c r="T77" i="6"/>
  <c r="T78" i="6" s="1"/>
  <c r="L39" i="6"/>
  <c r="M35" i="6"/>
  <c r="H35" i="12"/>
  <c r="H23" i="4" s="1"/>
  <c r="G115" i="6"/>
  <c r="G117" i="6" s="1"/>
  <c r="J16" i="5"/>
  <c r="K96" i="6"/>
  <c r="K98" i="6" s="1"/>
  <c r="W37" i="30"/>
  <c r="V38" i="30"/>
  <c r="V39" i="30"/>
  <c r="U116" i="6"/>
  <c r="I59" i="12" s="1"/>
  <c r="V1" i="6"/>
  <c r="U5" i="39"/>
  <c r="U40" i="39"/>
  <c r="U58" i="39"/>
  <c r="U12" i="39"/>
  <c r="V3" i="39"/>
  <c r="L23" i="6"/>
  <c r="L24" i="6" s="1"/>
  <c r="R105" i="6"/>
  <c r="S102" i="6" s="1"/>
  <c r="S104" i="6" s="1"/>
  <c r="F57" i="12"/>
  <c r="K9" i="41"/>
  <c r="K34" i="41" s="1"/>
  <c r="H26" i="12" s="1"/>
  <c r="I11" i="6"/>
  <c r="I62" i="6" s="1"/>
  <c r="I18" i="4" s="1"/>
  <c r="I19" i="4" s="1"/>
  <c r="I61" i="6"/>
  <c r="L25" i="12"/>
  <c r="R70" i="6"/>
  <c r="R74" i="6" s="1"/>
  <c r="E52" i="5"/>
  <c r="X60" i="27"/>
  <c r="J44" i="12" s="1"/>
  <c r="X58" i="27"/>
  <c r="X59" i="27"/>
  <c r="Y57" i="27"/>
  <c r="K7" i="6"/>
  <c r="K56" i="6"/>
  <c r="K58" i="6" s="1"/>
  <c r="M11" i="42"/>
  <c r="M12" i="42" s="1"/>
  <c r="M13" i="42" s="1"/>
  <c r="N49" i="6"/>
  <c r="M53" i="6"/>
  <c r="Q88" i="6"/>
  <c r="Q93" i="6" s="1"/>
  <c r="D58" i="5"/>
  <c r="S121" i="6"/>
  <c r="S123" i="6" s="1"/>
  <c r="F79" i="5"/>
  <c r="J6" i="12"/>
  <c r="J12" i="12" s="1"/>
  <c r="J23" i="12"/>
  <c r="J111" i="6"/>
  <c r="J12" i="30"/>
  <c r="M25" i="41"/>
  <c r="M26" i="41" s="1"/>
  <c r="G29" i="4"/>
  <c r="G46" i="12"/>
  <c r="N51" i="27"/>
  <c r="O47" i="27" s="1"/>
  <c r="N33" i="27" l="1"/>
  <c r="M37" i="27"/>
  <c r="K15" i="27"/>
  <c r="K14" i="27"/>
  <c r="L30" i="30"/>
  <c r="L31" i="30" s="1"/>
  <c r="L32" i="30"/>
  <c r="M29" i="30" s="1"/>
  <c r="M30" i="30" s="1"/>
  <c r="M31" i="30" s="1"/>
  <c r="P81" i="6"/>
  <c r="P85" i="6" s="1"/>
  <c r="C57" i="5"/>
  <c r="U77" i="6"/>
  <c r="U78" i="6" s="1"/>
  <c r="H51" i="5"/>
  <c r="I63" i="6"/>
  <c r="I65" i="6" s="1"/>
  <c r="I5" i="5" s="1"/>
  <c r="I12" i="6"/>
  <c r="J10" i="6" s="1"/>
  <c r="K10" i="41"/>
  <c r="K35" i="41" s="1"/>
  <c r="H22" i="4" s="1"/>
  <c r="N23" i="41"/>
  <c r="M27" i="41"/>
  <c r="N10" i="42"/>
  <c r="M14" i="42"/>
  <c r="G31" i="4"/>
  <c r="G37" i="5" s="1"/>
  <c r="H27" i="12"/>
  <c r="J13" i="30"/>
  <c r="H21" i="4" s="1"/>
  <c r="T121" i="6"/>
  <c r="T123" i="6" s="1"/>
  <c r="G79" i="5"/>
  <c r="R88" i="6"/>
  <c r="R93" i="6" s="1"/>
  <c r="E58" i="5"/>
  <c r="N50" i="6"/>
  <c r="N51" i="6" s="1"/>
  <c r="Z57" i="27"/>
  <c r="Y58" i="27"/>
  <c r="Y60" i="27"/>
  <c r="K44" i="12" s="1"/>
  <c r="Y59" i="27"/>
  <c r="S105" i="6"/>
  <c r="T102" i="6" s="1"/>
  <c r="T104" i="6" s="1"/>
  <c r="G57" i="12"/>
  <c r="K19" i="12"/>
  <c r="K99" i="6"/>
  <c r="J45" i="12"/>
  <c r="K11" i="41"/>
  <c r="H46" i="12"/>
  <c r="O48" i="27"/>
  <c r="O49" i="27" s="1"/>
  <c r="M24" i="12" s="1"/>
  <c r="O50" i="27"/>
  <c r="K108" i="6"/>
  <c r="K110" i="6" s="1"/>
  <c r="J19" i="5"/>
  <c r="J10" i="5"/>
  <c r="AB40" i="38"/>
  <c r="K30" i="38" s="1"/>
  <c r="L5" i="6"/>
  <c r="S70" i="6"/>
  <c r="S74" i="6" s="1"/>
  <c r="F52" i="5"/>
  <c r="M22" i="6"/>
  <c r="L26" i="6"/>
  <c r="V12" i="39"/>
  <c r="V5" i="39"/>
  <c r="V40" i="39"/>
  <c r="V58" i="39"/>
  <c r="W3" i="39"/>
  <c r="V116" i="6"/>
  <c r="J59" i="12" s="1"/>
  <c r="W1" i="6"/>
  <c r="W38" i="30"/>
  <c r="W39" i="30"/>
  <c r="X37" i="30"/>
  <c r="G118" i="6"/>
  <c r="G18" i="5"/>
  <c r="H114" i="6"/>
  <c r="M36" i="6"/>
  <c r="M37" i="6" s="1"/>
  <c r="J14" i="30"/>
  <c r="H28" i="12"/>
  <c r="I13" i="6" l="1"/>
  <c r="K16" i="27"/>
  <c r="D57" i="5"/>
  <c r="Q81" i="6"/>
  <c r="Q85" i="6" s="1"/>
  <c r="N34" i="27"/>
  <c r="N35" i="27"/>
  <c r="N36" i="27" s="1"/>
  <c r="I46" i="12"/>
  <c r="L33" i="30"/>
  <c r="I51" i="5"/>
  <c r="V77" i="6"/>
  <c r="V78" i="6" s="1"/>
  <c r="H24" i="4"/>
  <c r="H26" i="4" s="1"/>
  <c r="Z41" i="38"/>
  <c r="I31" i="38" s="1"/>
  <c r="I32" i="38" s="1"/>
  <c r="H30" i="12"/>
  <c r="H34" i="12" s="1"/>
  <c r="H36" i="12" s="1"/>
  <c r="J15" i="30"/>
  <c r="K11" i="30"/>
  <c r="N35" i="6"/>
  <c r="M39" i="6"/>
  <c r="X39" i="30"/>
  <c r="Y37" i="30"/>
  <c r="X38" i="30"/>
  <c r="X1" i="6"/>
  <c r="W116" i="6"/>
  <c r="K59" i="12" s="1"/>
  <c r="W5" i="39"/>
  <c r="W40" i="39"/>
  <c r="W58" i="39"/>
  <c r="W12" i="39"/>
  <c r="X3" i="39"/>
  <c r="M23" i="6"/>
  <c r="M24" i="6" s="1"/>
  <c r="J11" i="6"/>
  <c r="J62" i="6" s="1"/>
  <c r="J18" i="4" s="1"/>
  <c r="J19" i="4" s="1"/>
  <c r="J61" i="6"/>
  <c r="T70" i="6"/>
  <c r="T74" i="6" s="1"/>
  <c r="G52" i="5"/>
  <c r="L7" i="6"/>
  <c r="L56" i="6"/>
  <c r="L58" i="6" s="1"/>
  <c r="L96" i="6"/>
  <c r="L98" i="6" s="1"/>
  <c r="K16" i="5"/>
  <c r="O49" i="6"/>
  <c r="N53" i="6"/>
  <c r="S88" i="6"/>
  <c r="S93" i="6" s="1"/>
  <c r="F58" i="5"/>
  <c r="U121" i="6"/>
  <c r="U123" i="6" s="1"/>
  <c r="H79" i="5"/>
  <c r="N11" i="42"/>
  <c r="N12" i="42" s="1"/>
  <c r="N24" i="41"/>
  <c r="N25" i="41" s="1"/>
  <c r="N26" i="41" s="1"/>
  <c r="K6" i="12"/>
  <c r="K12" i="12" s="1"/>
  <c r="K23" i="12"/>
  <c r="K111" i="6"/>
  <c r="M25" i="12"/>
  <c r="L8" i="41"/>
  <c r="K12" i="41"/>
  <c r="H57" i="12"/>
  <c r="T105" i="6"/>
  <c r="U102" i="6" s="1"/>
  <c r="U104" i="6" s="1"/>
  <c r="AA57" i="27"/>
  <c r="Z59" i="27"/>
  <c r="Z60" i="27"/>
  <c r="L44" i="12" s="1"/>
  <c r="Z58" i="27"/>
  <c r="L45" i="12" s="1"/>
  <c r="H28" i="4"/>
  <c r="H115" i="6" s="1"/>
  <c r="H117" i="6" s="1"/>
  <c r="K45" i="12"/>
  <c r="M32" i="30"/>
  <c r="O51" i="27"/>
  <c r="P47" i="27" s="1"/>
  <c r="O33" i="27" l="1"/>
  <c r="N37" i="27"/>
  <c r="R81" i="6"/>
  <c r="R85" i="6" s="1"/>
  <c r="E57" i="5"/>
  <c r="J46" i="12"/>
  <c r="K17" i="27"/>
  <c r="L13" i="27"/>
  <c r="H29" i="4"/>
  <c r="H31" i="4" s="1"/>
  <c r="H37" i="5" s="1"/>
  <c r="N13" i="42"/>
  <c r="O10" i="42" s="1"/>
  <c r="J51" i="5"/>
  <c r="W77" i="6"/>
  <c r="W78" i="6" s="1"/>
  <c r="O23" i="41"/>
  <c r="N27" i="41"/>
  <c r="P48" i="27"/>
  <c r="P49" i="27" s="1"/>
  <c r="N24" i="12" s="1"/>
  <c r="P50" i="27"/>
  <c r="N29" i="30"/>
  <c r="M33" i="30"/>
  <c r="I114" i="6"/>
  <c r="H18" i="5"/>
  <c r="H118" i="6"/>
  <c r="AA60" i="27"/>
  <c r="M44" i="12" s="1"/>
  <c r="AA59" i="27"/>
  <c r="AA58" i="27"/>
  <c r="M45" i="12" s="1"/>
  <c r="AB57" i="27"/>
  <c r="L10" i="41"/>
  <c r="L35" i="41" s="1"/>
  <c r="I22" i="4" s="1"/>
  <c r="L9" i="41"/>
  <c r="L34" i="41" s="1"/>
  <c r="I26" i="12" s="1"/>
  <c r="V121" i="6"/>
  <c r="V123" i="6" s="1"/>
  <c r="I79" i="5"/>
  <c r="G58" i="5"/>
  <c r="T88" i="6"/>
  <c r="T93" i="6" s="1"/>
  <c r="O50" i="6"/>
  <c r="O51" i="6" s="1"/>
  <c r="L99" i="6"/>
  <c r="L19" i="12"/>
  <c r="M5" i="6"/>
  <c r="U70" i="6"/>
  <c r="U74" i="6" s="1"/>
  <c r="H52" i="5"/>
  <c r="N22" i="6"/>
  <c r="M26" i="6"/>
  <c r="X12" i="39"/>
  <c r="X5" i="39"/>
  <c r="X40" i="39"/>
  <c r="X58" i="39"/>
  <c r="Y3" i="39"/>
  <c r="N36" i="6"/>
  <c r="N37" i="6"/>
  <c r="I57" i="12"/>
  <c r="U105" i="6"/>
  <c r="V102" i="6" s="1"/>
  <c r="V104" i="6" s="1"/>
  <c r="L108" i="6"/>
  <c r="L110" i="6" s="1"/>
  <c r="K19" i="5"/>
  <c r="K10" i="5"/>
  <c r="AC40" i="38"/>
  <c r="L30" i="38" s="1"/>
  <c r="Y1" i="6"/>
  <c r="Y38" i="30"/>
  <c r="K46" i="12" s="1"/>
  <c r="Y39" i="30"/>
  <c r="Z37" i="30"/>
  <c r="K12" i="30"/>
  <c r="H17" i="5"/>
  <c r="I33" i="12"/>
  <c r="Z42" i="38"/>
  <c r="H11" i="5"/>
  <c r="H12" i="5" s="1"/>
  <c r="J63" i="6"/>
  <c r="J65" i="6" s="1"/>
  <c r="J5" i="5" s="1"/>
  <c r="J12" i="6"/>
  <c r="L14" i="27" l="1"/>
  <c r="L16" i="27" s="1"/>
  <c r="L15" i="27"/>
  <c r="N14" i="42"/>
  <c r="F57" i="5"/>
  <c r="S81" i="6"/>
  <c r="S85" i="6" s="1"/>
  <c r="O34" i="27"/>
  <c r="O36" i="27" s="1"/>
  <c r="O35" i="27"/>
  <c r="X77" i="6"/>
  <c r="X78" i="6" s="1"/>
  <c r="K51" i="5"/>
  <c r="O53" i="6"/>
  <c r="P49" i="6"/>
  <c r="I35" i="12"/>
  <c r="I23" i="4" s="1"/>
  <c r="AA37" i="30"/>
  <c r="Z39" i="30"/>
  <c r="Z38" i="30"/>
  <c r="L46" i="12" s="1"/>
  <c r="L6" i="12"/>
  <c r="L12" i="12" s="1"/>
  <c r="L23" i="12"/>
  <c r="L111" i="6"/>
  <c r="N39" i="6"/>
  <c r="O35" i="6"/>
  <c r="Y5" i="39"/>
  <c r="Y40" i="39"/>
  <c r="Y58" i="39"/>
  <c r="Y12" i="39"/>
  <c r="Z3" i="39"/>
  <c r="N23" i="6"/>
  <c r="N24" i="6" s="1"/>
  <c r="V70" i="6"/>
  <c r="V74" i="6" s="1"/>
  <c r="I52" i="5"/>
  <c r="M7" i="6"/>
  <c r="M56" i="6"/>
  <c r="M58" i="6" s="1"/>
  <c r="M96" i="6"/>
  <c r="M98" i="6" s="1"/>
  <c r="L16" i="5"/>
  <c r="W121" i="6"/>
  <c r="W123" i="6" s="1"/>
  <c r="J79" i="5"/>
  <c r="N25" i="12"/>
  <c r="O24" i="41"/>
  <c r="O25" i="41" s="1"/>
  <c r="O11" i="42"/>
  <c r="O12" i="42" s="1"/>
  <c r="O13" i="42" s="1"/>
  <c r="K10" i="6"/>
  <c r="J13" i="6"/>
  <c r="I27" i="12"/>
  <c r="I28" i="12" s="1"/>
  <c r="K13" i="30"/>
  <c r="Z1" i="6"/>
  <c r="Y116" i="6"/>
  <c r="M59" i="12" s="1"/>
  <c r="J57" i="12"/>
  <c r="V105" i="6"/>
  <c r="W102" i="6" s="1"/>
  <c r="W104" i="6" s="1"/>
  <c r="U88" i="6"/>
  <c r="U93" i="6" s="1"/>
  <c r="H58" i="5"/>
  <c r="AB60" i="27"/>
  <c r="N44" i="12" s="1"/>
  <c r="AB58" i="27"/>
  <c r="AC57" i="27"/>
  <c r="AD57" i="27" s="1"/>
  <c r="AE57" i="27" s="1"/>
  <c r="AF57" i="27" s="1"/>
  <c r="AG57" i="27" s="1"/>
  <c r="AH57" i="27" s="1"/>
  <c r="AI57" i="27" s="1"/>
  <c r="AJ57" i="27" s="1"/>
  <c r="AK57" i="27" s="1"/>
  <c r="AL57" i="27" s="1"/>
  <c r="AM57" i="27" s="1"/>
  <c r="AN57" i="27" s="1"/>
  <c r="AB59" i="27"/>
  <c r="N30" i="30"/>
  <c r="N31" i="30" s="1"/>
  <c r="P51" i="27"/>
  <c r="Q47" i="27" s="1"/>
  <c r="L11" i="41"/>
  <c r="M13" i="27" l="1"/>
  <c r="L17" i="27"/>
  <c r="O37" i="27"/>
  <c r="P33" i="27"/>
  <c r="T81" i="6"/>
  <c r="T85" i="6" s="1"/>
  <c r="G57" i="5"/>
  <c r="N32" i="30"/>
  <c r="Y77" i="6"/>
  <c r="Y78" i="6" s="1"/>
  <c r="L51" i="5"/>
  <c r="O26" i="41"/>
  <c r="P10" i="42"/>
  <c r="O14" i="42"/>
  <c r="P23" i="41"/>
  <c r="O27" i="41"/>
  <c r="Q50" i="27"/>
  <c r="Q48" i="27"/>
  <c r="Q49" i="27" s="1"/>
  <c r="C61" i="12" s="1"/>
  <c r="AA41" i="38"/>
  <c r="J31" i="38" s="1"/>
  <c r="J32" i="38" s="1"/>
  <c r="I30" i="12"/>
  <c r="I34" i="12" s="1"/>
  <c r="I36" i="12" s="1"/>
  <c r="W105" i="6"/>
  <c r="X102" i="6" s="1"/>
  <c r="X104" i="6" s="1"/>
  <c r="K57" i="12"/>
  <c r="Z116" i="6"/>
  <c r="N59" i="12" s="1"/>
  <c r="K11" i="6"/>
  <c r="K62" i="6" s="1"/>
  <c r="K18" i="4" s="1"/>
  <c r="K19" i="4" s="1"/>
  <c r="K61" i="6"/>
  <c r="O22" i="6"/>
  <c r="N26" i="6"/>
  <c r="Z12" i="39"/>
  <c r="Z5" i="39"/>
  <c r="Z40" i="39"/>
  <c r="Z58" i="39"/>
  <c r="AA3" i="39"/>
  <c r="AB37" i="30"/>
  <c r="AA38" i="30"/>
  <c r="AA39" i="30"/>
  <c r="N45" i="12"/>
  <c r="M8" i="41"/>
  <c r="L12" i="41"/>
  <c r="V88" i="6"/>
  <c r="V93" i="6" s="1"/>
  <c r="I58" i="5"/>
  <c r="I21" i="4"/>
  <c r="I24" i="4" s="1"/>
  <c r="I26" i="4" s="1"/>
  <c r="K14" i="30"/>
  <c r="X121" i="6"/>
  <c r="X123" i="6" s="1"/>
  <c r="K79" i="5"/>
  <c r="M99" i="6"/>
  <c r="M19" i="12"/>
  <c r="N5" i="6"/>
  <c r="W70" i="6"/>
  <c r="W74" i="6" s="1"/>
  <c r="J52" i="5"/>
  <c r="O36" i="6"/>
  <c r="O37" i="6" s="1"/>
  <c r="M108" i="6"/>
  <c r="M110" i="6" s="1"/>
  <c r="L10" i="5"/>
  <c r="L19" i="5"/>
  <c r="AD40" i="38"/>
  <c r="M30" i="38" s="1"/>
  <c r="P50" i="6"/>
  <c r="P51" i="6" s="1"/>
  <c r="N33" i="30" l="1"/>
  <c r="O29" i="30"/>
  <c r="O30" i="30" s="1"/>
  <c r="O31" i="30" s="1"/>
  <c r="U81" i="6"/>
  <c r="U85" i="6" s="1"/>
  <c r="H57" i="5"/>
  <c r="P35" i="27"/>
  <c r="P34" i="27"/>
  <c r="P36" i="27" s="1"/>
  <c r="Q33" i="27" s="1"/>
  <c r="P37" i="27"/>
  <c r="Q51" i="27"/>
  <c r="E53" i="27" s="1"/>
  <c r="C28" i="5" s="1"/>
  <c r="M14" i="27"/>
  <c r="M16" i="27" s="1"/>
  <c r="M15" i="27"/>
  <c r="M51" i="5"/>
  <c r="Z77" i="6"/>
  <c r="Z78" i="6" s="1"/>
  <c r="N51" i="5" s="1"/>
  <c r="M46" i="12"/>
  <c r="O39" i="6"/>
  <c r="P35" i="6"/>
  <c r="Q49" i="6"/>
  <c r="P53" i="6"/>
  <c r="M111" i="6"/>
  <c r="M6" i="12"/>
  <c r="M12" i="12" s="1"/>
  <c r="M23" i="12"/>
  <c r="X70" i="6"/>
  <c r="X74" i="6" s="1"/>
  <c r="K52" i="5"/>
  <c r="Y121" i="6"/>
  <c r="Y123" i="6" s="1"/>
  <c r="L79" i="5"/>
  <c r="I28" i="4"/>
  <c r="I115" i="6" s="1"/>
  <c r="I117" i="6" s="1"/>
  <c r="J58" i="5"/>
  <c r="W88" i="6"/>
  <c r="W93" i="6" s="1"/>
  <c r="M9" i="41"/>
  <c r="M34" i="41" s="1"/>
  <c r="J26" i="12" s="1"/>
  <c r="AA5" i="39"/>
  <c r="AA40" i="39"/>
  <c r="AA58" i="39"/>
  <c r="AA12" i="39"/>
  <c r="AB3" i="39"/>
  <c r="O23" i="6"/>
  <c r="O24" i="6" s="1"/>
  <c r="L57" i="12"/>
  <c r="X105" i="6"/>
  <c r="Y102" i="6" s="1"/>
  <c r="Y104" i="6" s="1"/>
  <c r="C62" i="12"/>
  <c r="E52" i="27"/>
  <c r="C20" i="5" s="1"/>
  <c r="P24" i="41"/>
  <c r="P25" i="41" s="1"/>
  <c r="P11" i="42"/>
  <c r="R47" i="27"/>
  <c r="N96" i="6"/>
  <c r="N98" i="6" s="1"/>
  <c r="M16" i="5"/>
  <c r="N7" i="6"/>
  <c r="N56" i="6"/>
  <c r="N58" i="6" s="1"/>
  <c r="K15" i="30"/>
  <c r="L11" i="30"/>
  <c r="AC37" i="30"/>
  <c r="AD37" i="30" s="1"/>
  <c r="AE37" i="30" s="1"/>
  <c r="AF37" i="30" s="1"/>
  <c r="AG37" i="30" s="1"/>
  <c r="AH37" i="30" s="1"/>
  <c r="AI37" i="30" s="1"/>
  <c r="AJ37" i="30" s="1"/>
  <c r="AK37" i="30" s="1"/>
  <c r="AL37" i="30" s="1"/>
  <c r="AM37" i="30" s="1"/>
  <c r="AN37" i="30" s="1"/>
  <c r="AB38" i="30"/>
  <c r="AB39" i="30"/>
  <c r="I11" i="5"/>
  <c r="I12" i="5" s="1"/>
  <c r="AA42" i="38"/>
  <c r="J33" i="12"/>
  <c r="I17" i="5"/>
  <c r="K63" i="6"/>
  <c r="K65" i="6" s="1"/>
  <c r="K5" i="5" s="1"/>
  <c r="K12" i="6"/>
  <c r="O32" i="30"/>
  <c r="N13" i="27" l="1"/>
  <c r="M17" i="27"/>
  <c r="Q34" i="27"/>
  <c r="Q36" i="27" s="1"/>
  <c r="Q35" i="27"/>
  <c r="P13" i="42"/>
  <c r="Q10" i="42" s="1"/>
  <c r="P12" i="42"/>
  <c r="V81" i="6"/>
  <c r="V85" i="6" s="1"/>
  <c r="I57" i="5"/>
  <c r="I29" i="4"/>
  <c r="I31" i="4" s="1"/>
  <c r="I37" i="5" s="1"/>
  <c r="O5" i="6"/>
  <c r="N19" i="12"/>
  <c r="N99" i="6"/>
  <c r="M57" i="12"/>
  <c r="Y105" i="6"/>
  <c r="Z102" i="6" s="1"/>
  <c r="Z104" i="6" s="1"/>
  <c r="AB12" i="39"/>
  <c r="AB5" i="39"/>
  <c r="AB40" i="39"/>
  <c r="AB58" i="39"/>
  <c r="X88" i="6"/>
  <c r="X93" i="6" s="1"/>
  <c r="K58" i="5"/>
  <c r="I118" i="6"/>
  <c r="I18" i="5"/>
  <c r="J114" i="6"/>
  <c r="M10" i="5"/>
  <c r="N108" i="6"/>
  <c r="N110" i="6" s="1"/>
  <c r="M19" i="5"/>
  <c r="Q50" i="6"/>
  <c r="Q51" i="6" s="1"/>
  <c r="P36" i="6"/>
  <c r="P37" i="6" s="1"/>
  <c r="P26" i="41"/>
  <c r="M10" i="41"/>
  <c r="P29" i="30"/>
  <c r="O33" i="30"/>
  <c r="L10" i="6"/>
  <c r="K13" i="6"/>
  <c r="J35" i="12"/>
  <c r="J23" i="4" s="1"/>
  <c r="L12" i="30"/>
  <c r="R50" i="27"/>
  <c r="R48" i="27"/>
  <c r="R49" i="27" s="1"/>
  <c r="D61" i="12" s="1"/>
  <c r="P22" i="6"/>
  <c r="O26" i="6"/>
  <c r="Z121" i="6"/>
  <c r="Z123" i="6" s="1"/>
  <c r="N79" i="5" s="1"/>
  <c r="M79" i="5"/>
  <c r="L52" i="5"/>
  <c r="Y70" i="6"/>
  <c r="Y74" i="6" s="1"/>
  <c r="AE40" i="38"/>
  <c r="N30" i="38" s="1"/>
  <c r="N46" i="12"/>
  <c r="P14" i="42"/>
  <c r="E39" i="27" l="1"/>
  <c r="R33" i="27"/>
  <c r="Q37" i="27"/>
  <c r="E38" i="27" s="1"/>
  <c r="R51" i="27"/>
  <c r="D16" i="42"/>
  <c r="B141" i="6" s="1"/>
  <c r="B30" i="5" s="1"/>
  <c r="W81" i="6"/>
  <c r="W85" i="6" s="1"/>
  <c r="J57" i="5"/>
  <c r="N15" i="27"/>
  <c r="N16" i="27" s="1"/>
  <c r="N17" i="27" s="1"/>
  <c r="N14" i="27"/>
  <c r="F53" i="27"/>
  <c r="D28" i="5" s="1"/>
  <c r="S47" i="27"/>
  <c r="S50" i="27" s="1"/>
  <c r="Q53" i="6"/>
  <c r="R49" i="6"/>
  <c r="D15" i="42"/>
  <c r="B140" i="6" s="1"/>
  <c r="M52" i="5"/>
  <c r="Z70" i="6"/>
  <c r="Z74" i="6" s="1"/>
  <c r="N52" i="5" s="1"/>
  <c r="L11" i="6"/>
  <c r="L62" i="6" s="1"/>
  <c r="L18" i="4" s="1"/>
  <c r="L19" i="4" s="1"/>
  <c r="L61" i="6"/>
  <c r="P30" i="30"/>
  <c r="P31" i="30" s="1"/>
  <c r="Q23" i="41"/>
  <c r="P27" i="41"/>
  <c r="P39" i="6"/>
  <c r="Q35" i="6"/>
  <c r="N6" i="12"/>
  <c r="N12" i="12" s="1"/>
  <c r="N23" i="12"/>
  <c r="N111" i="6"/>
  <c r="Y88" i="6"/>
  <c r="Y93" i="6" s="1"/>
  <c r="L58" i="5"/>
  <c r="Q11" i="42"/>
  <c r="Q12" i="42" s="1"/>
  <c r="Q13" i="42" s="1"/>
  <c r="O7" i="6"/>
  <c r="O56" i="6"/>
  <c r="O58" i="6" s="1"/>
  <c r="P23" i="6"/>
  <c r="P24" i="6" s="1"/>
  <c r="D62" i="12"/>
  <c r="F52" i="27"/>
  <c r="D20" i="5" s="1"/>
  <c r="L13" i="30"/>
  <c r="J27" i="12"/>
  <c r="J28" i="12" s="1"/>
  <c r="M35" i="41"/>
  <c r="J22" i="4" s="1"/>
  <c r="M11" i="41"/>
  <c r="Z105" i="6"/>
  <c r="N57" i="12"/>
  <c r="O96" i="6"/>
  <c r="O98" i="6" s="1"/>
  <c r="N16" i="5"/>
  <c r="X81" i="6" l="1"/>
  <c r="X85" i="6" s="1"/>
  <c r="K57" i="5"/>
  <c r="S48" i="27"/>
  <c r="S49" i="27" s="1"/>
  <c r="E61" i="12" s="1"/>
  <c r="O13" i="27"/>
  <c r="R34" i="27"/>
  <c r="R36" i="27" s="1"/>
  <c r="R35" i="27"/>
  <c r="L63" i="6"/>
  <c r="L65" i="6" s="1"/>
  <c r="L5" i="5" s="1"/>
  <c r="Q22" i="6"/>
  <c r="P26" i="6"/>
  <c r="R10" i="42"/>
  <c r="E16" i="42"/>
  <c r="Q14" i="42"/>
  <c r="B59" i="5"/>
  <c r="N8" i="41"/>
  <c r="M12" i="41"/>
  <c r="N19" i="5"/>
  <c r="B62" i="5" s="1"/>
  <c r="O108" i="6"/>
  <c r="O110" i="6" s="1"/>
  <c r="N10" i="5"/>
  <c r="AF40" i="38"/>
  <c r="O30" i="38" s="1"/>
  <c r="G5" i="33"/>
  <c r="Q24" i="41"/>
  <c r="Q25" i="41" s="1"/>
  <c r="Q26" i="41" s="1"/>
  <c r="AB41" i="38"/>
  <c r="K31" i="38" s="1"/>
  <c r="K32" i="38" s="1"/>
  <c r="J30" i="12"/>
  <c r="J34" i="12" s="1"/>
  <c r="J36" i="12" s="1"/>
  <c r="C56" i="12"/>
  <c r="O99" i="6"/>
  <c r="J21" i="4"/>
  <c r="J24" i="4" s="1"/>
  <c r="J26" i="4" s="1"/>
  <c r="L14" i="30"/>
  <c r="P5" i="6"/>
  <c r="M58" i="5"/>
  <c r="Z88" i="6"/>
  <c r="Z93" i="6" s="1"/>
  <c r="N58" i="5" s="1"/>
  <c r="Q36" i="6"/>
  <c r="Q37" i="6" s="1"/>
  <c r="E62" i="12"/>
  <c r="G52" i="27"/>
  <c r="E20" i="5" s="1"/>
  <c r="B22" i="5"/>
  <c r="B142" i="6"/>
  <c r="R50" i="6"/>
  <c r="R51" i="6" s="1"/>
  <c r="P32" i="30"/>
  <c r="L12" i="6"/>
  <c r="F39" i="27" l="1"/>
  <c r="R37" i="27"/>
  <c r="F38" i="27" s="1"/>
  <c r="S33" i="27"/>
  <c r="O15" i="27"/>
  <c r="O14" i="27"/>
  <c r="O16" i="27"/>
  <c r="P13" i="27" s="1"/>
  <c r="O17" i="27"/>
  <c r="S51" i="27"/>
  <c r="Y81" i="6"/>
  <c r="Y85" i="6" s="1"/>
  <c r="L57" i="5"/>
  <c r="R23" i="41"/>
  <c r="E29" i="41"/>
  <c r="Q27" i="41"/>
  <c r="S49" i="6"/>
  <c r="R53" i="6"/>
  <c r="R35" i="6"/>
  <c r="Q39" i="6"/>
  <c r="C43" i="12"/>
  <c r="C49" i="12" s="1"/>
  <c r="C60" i="12"/>
  <c r="O111" i="6"/>
  <c r="N9" i="41"/>
  <c r="N34" i="41" s="1"/>
  <c r="K26" i="12" s="1"/>
  <c r="E15" i="42"/>
  <c r="R11" i="42"/>
  <c r="R12" i="42" s="1"/>
  <c r="Q23" i="6"/>
  <c r="Q24" i="6" s="1"/>
  <c r="Q29" i="30"/>
  <c r="P33" i="30"/>
  <c r="P7" i="6"/>
  <c r="P56" i="6"/>
  <c r="P58" i="6" s="1"/>
  <c r="J28" i="4"/>
  <c r="J115" i="6" s="1"/>
  <c r="J117" i="6" s="1"/>
  <c r="M10" i="6"/>
  <c r="L13" i="6"/>
  <c r="M11" i="30"/>
  <c r="L15" i="30"/>
  <c r="P96" i="6"/>
  <c r="P98" i="6" s="1"/>
  <c r="C59" i="5"/>
  <c r="AB42" i="38"/>
  <c r="J17" i="5"/>
  <c r="K33" i="12"/>
  <c r="J11" i="5"/>
  <c r="J12" i="5" s="1"/>
  <c r="B53" i="5"/>
  <c r="P14" i="27" l="1"/>
  <c r="P16" i="27" s="1"/>
  <c r="P15" i="27"/>
  <c r="S35" i="27"/>
  <c r="S34" i="27"/>
  <c r="Z81" i="6"/>
  <c r="Z85" i="6" s="1"/>
  <c r="N57" i="5" s="1"/>
  <c r="M57" i="5"/>
  <c r="G53" i="27"/>
  <c r="E28" i="5" s="1"/>
  <c r="T47" i="27"/>
  <c r="J29" i="4"/>
  <c r="J31" i="4" s="1"/>
  <c r="J37" i="5" s="1"/>
  <c r="R13" i="42"/>
  <c r="S10" i="42" s="1"/>
  <c r="F16" i="42"/>
  <c r="K35" i="12"/>
  <c r="K23" i="4" s="1"/>
  <c r="D56" i="12"/>
  <c r="P99" i="6"/>
  <c r="M12" i="30"/>
  <c r="M11" i="6"/>
  <c r="M62" i="6" s="1"/>
  <c r="M18" i="4" s="1"/>
  <c r="M19" i="4" s="1"/>
  <c r="M61" i="6"/>
  <c r="Q5" i="6"/>
  <c r="Q30" i="30"/>
  <c r="Q31" i="30" s="1"/>
  <c r="R22" i="6"/>
  <c r="Q26" i="6"/>
  <c r="E28" i="41"/>
  <c r="R24" i="41"/>
  <c r="R25" i="41" s="1"/>
  <c r="R26" i="41" s="1"/>
  <c r="J118" i="6"/>
  <c r="J18" i="5"/>
  <c r="K114" i="6"/>
  <c r="P108" i="6"/>
  <c r="P110" i="6" s="1"/>
  <c r="C62" i="5"/>
  <c r="C53" i="5"/>
  <c r="AG40" i="38"/>
  <c r="D35" i="38" s="1"/>
  <c r="R36" i="6"/>
  <c r="R37" i="6" s="1"/>
  <c r="S50" i="6"/>
  <c r="S51" i="6" s="1"/>
  <c r="N10" i="41"/>
  <c r="P17" i="27" l="1"/>
  <c r="Q13" i="27"/>
  <c r="S36" i="27"/>
  <c r="T48" i="27"/>
  <c r="T49" i="27" s="1"/>
  <c r="F61" i="12" s="1"/>
  <c r="T50" i="27"/>
  <c r="M63" i="6"/>
  <c r="M65" i="6" s="1"/>
  <c r="M5" i="5" s="1"/>
  <c r="R14" i="42"/>
  <c r="F15" i="42" s="1"/>
  <c r="T49" i="6"/>
  <c r="S53" i="6"/>
  <c r="S23" i="41"/>
  <c r="F29" i="41"/>
  <c r="R27" i="41"/>
  <c r="N35" i="41"/>
  <c r="K22" i="4" s="1"/>
  <c r="N11" i="41"/>
  <c r="S35" i="6"/>
  <c r="R39" i="6"/>
  <c r="P111" i="6"/>
  <c r="D60" i="12"/>
  <c r="D43" i="12"/>
  <c r="D49" i="12" s="1"/>
  <c r="Q7" i="6"/>
  <c r="Q56" i="6"/>
  <c r="Q58" i="6" s="1"/>
  <c r="K27" i="12"/>
  <c r="K28" i="12" s="1"/>
  <c r="M13" i="30"/>
  <c r="S11" i="42"/>
  <c r="S12" i="42" s="1"/>
  <c r="S13" i="42" s="1"/>
  <c r="R23" i="6"/>
  <c r="R24" i="6" s="1"/>
  <c r="D59" i="5"/>
  <c r="Q96" i="6"/>
  <c r="Q98" i="6" s="1"/>
  <c r="Q14" i="27"/>
  <c r="Q15" i="27"/>
  <c r="Q32" i="30"/>
  <c r="M12" i="6"/>
  <c r="T51" i="27" l="1"/>
  <c r="H52" i="27"/>
  <c r="F20" i="5" s="1"/>
  <c r="F62" i="12"/>
  <c r="G39" i="27"/>
  <c r="T33" i="27"/>
  <c r="S37" i="27"/>
  <c r="S22" i="6"/>
  <c r="R26" i="6"/>
  <c r="T10" i="42"/>
  <c r="G16" i="42"/>
  <c r="S14" i="42"/>
  <c r="N10" i="6"/>
  <c r="M13" i="6"/>
  <c r="Q99" i="6"/>
  <c r="E56" i="12"/>
  <c r="AC41" i="38"/>
  <c r="L31" i="38" s="1"/>
  <c r="L32" i="38" s="1"/>
  <c r="K30" i="12"/>
  <c r="K34" i="12" s="1"/>
  <c r="K36" i="12" s="1"/>
  <c r="R5" i="6"/>
  <c r="O8" i="41"/>
  <c r="N12" i="41"/>
  <c r="F28" i="41"/>
  <c r="S24" i="41"/>
  <c r="S25" i="41" s="1"/>
  <c r="T50" i="6"/>
  <c r="T51" i="6" s="1"/>
  <c r="E35" i="30"/>
  <c r="Q33" i="30"/>
  <c r="R29" i="30"/>
  <c r="K21" i="4"/>
  <c r="K24" i="4" s="1"/>
  <c r="K26" i="4" s="1"/>
  <c r="M14" i="30"/>
  <c r="AH40" i="38"/>
  <c r="E35" i="38" s="1"/>
  <c r="D62" i="5"/>
  <c r="Q108" i="6"/>
  <c r="Q110" i="6" s="1"/>
  <c r="D53" i="5"/>
  <c r="S36" i="6"/>
  <c r="S37" i="6" s="1"/>
  <c r="Q16" i="27"/>
  <c r="G38" i="27" l="1"/>
  <c r="T35" i="27"/>
  <c r="T34" i="27"/>
  <c r="T36" i="27" s="1"/>
  <c r="H39" i="27" s="1"/>
  <c r="H53" i="27"/>
  <c r="F28" i="5" s="1"/>
  <c r="U47" i="27"/>
  <c r="T53" i="6"/>
  <c r="U49" i="6"/>
  <c r="E19" i="27"/>
  <c r="Q17" i="27"/>
  <c r="R13" i="27"/>
  <c r="T35" i="6"/>
  <c r="S39" i="6"/>
  <c r="M15" i="30"/>
  <c r="N11" i="30"/>
  <c r="E34" i="30"/>
  <c r="O9" i="41"/>
  <c r="O34" i="41" s="1"/>
  <c r="L26" i="12" s="1"/>
  <c r="R7" i="6"/>
  <c r="R56" i="6"/>
  <c r="R58" i="6" s="1"/>
  <c r="R96" i="6"/>
  <c r="R98" i="6" s="1"/>
  <c r="E59" i="5"/>
  <c r="N11" i="6"/>
  <c r="N62" i="6" s="1"/>
  <c r="N18" i="4" s="1"/>
  <c r="N12" i="6"/>
  <c r="N61" i="6"/>
  <c r="N63" i="6" s="1"/>
  <c r="N65" i="6" s="1"/>
  <c r="N5" i="5" s="1"/>
  <c r="E43" i="12"/>
  <c r="E49" i="12" s="1"/>
  <c r="E60" i="12"/>
  <c r="Q111" i="6"/>
  <c r="K28" i="4"/>
  <c r="K115" i="6" s="1"/>
  <c r="K117" i="6" s="1"/>
  <c r="R30" i="30"/>
  <c r="R31" i="30" s="1"/>
  <c r="L33" i="12"/>
  <c r="AC42" i="38"/>
  <c r="K17" i="5"/>
  <c r="K11" i="5"/>
  <c r="K12" i="5" s="1"/>
  <c r="G15" i="42"/>
  <c r="T11" i="42"/>
  <c r="T12" i="42"/>
  <c r="T13" i="42" s="1"/>
  <c r="S23" i="6"/>
  <c r="S24" i="6" s="1"/>
  <c r="S26" i="41"/>
  <c r="U50" i="27" l="1"/>
  <c r="U48" i="27"/>
  <c r="U49" i="27" s="1"/>
  <c r="G61" i="12" s="1"/>
  <c r="O10" i="41"/>
  <c r="O35" i="41" s="1"/>
  <c r="L22" i="4" s="1"/>
  <c r="T37" i="27"/>
  <c r="U33" i="27"/>
  <c r="K29" i="4"/>
  <c r="K31" i="4" s="1"/>
  <c r="K37" i="5" s="1"/>
  <c r="R32" i="30"/>
  <c r="F35" i="30" s="1"/>
  <c r="U10" i="42"/>
  <c r="H16" i="42"/>
  <c r="T14" i="42"/>
  <c r="T23" i="41"/>
  <c r="G29" i="41"/>
  <c r="S27" i="41"/>
  <c r="T22" i="6"/>
  <c r="S26" i="6"/>
  <c r="S29" i="30"/>
  <c r="L35" i="12"/>
  <c r="L23" i="4" s="1"/>
  <c r="O10" i="6"/>
  <c r="N13" i="6"/>
  <c r="N12" i="30"/>
  <c r="R14" i="27"/>
  <c r="R15" i="27"/>
  <c r="K18" i="5"/>
  <c r="K118" i="6"/>
  <c r="L114" i="6"/>
  <c r="R108" i="6"/>
  <c r="R110" i="6" s="1"/>
  <c r="E53" i="5"/>
  <c r="E62" i="5"/>
  <c r="AI40" i="38"/>
  <c r="F35" i="38" s="1"/>
  <c r="B48" i="5"/>
  <c r="C16" i="33"/>
  <c r="N19" i="4"/>
  <c r="C9" i="33"/>
  <c r="F56" i="12"/>
  <c r="R99" i="6"/>
  <c r="S5" i="6"/>
  <c r="T37" i="6"/>
  <c r="T36" i="6"/>
  <c r="E18" i="27"/>
  <c r="U50" i="6"/>
  <c r="U51" i="6" s="1"/>
  <c r="R33" i="30"/>
  <c r="O11" i="41"/>
  <c r="U34" i="27" l="1"/>
  <c r="U36" i="27" s="1"/>
  <c r="I39" i="27" s="1"/>
  <c r="U35" i="27"/>
  <c r="H38" i="27"/>
  <c r="I52" i="27"/>
  <c r="G20" i="5" s="1"/>
  <c r="G62" i="12"/>
  <c r="U51" i="27"/>
  <c r="V49" i="6"/>
  <c r="U53" i="6"/>
  <c r="T39" i="6"/>
  <c r="U35" i="6"/>
  <c r="G23" i="33"/>
  <c r="N13" i="30"/>
  <c r="L21" i="4" s="1"/>
  <c r="L24" i="4" s="1"/>
  <c r="L26" i="4" s="1"/>
  <c r="L27" i="12"/>
  <c r="L28" i="12" s="1"/>
  <c r="O11" i="6"/>
  <c r="O62" i="6" s="1"/>
  <c r="C50" i="4" s="1"/>
  <c r="O61" i="6"/>
  <c r="G28" i="41"/>
  <c r="T24" i="41"/>
  <c r="T25" i="41" s="1"/>
  <c r="H15" i="42"/>
  <c r="U11" i="42"/>
  <c r="R16" i="27"/>
  <c r="P8" i="41"/>
  <c r="O12" i="41"/>
  <c r="F34" i="30"/>
  <c r="S7" i="6"/>
  <c r="S56" i="6"/>
  <c r="S58" i="6" s="1"/>
  <c r="F59" i="5"/>
  <c r="S96" i="6"/>
  <c r="S98" i="6" s="1"/>
  <c r="R111" i="6"/>
  <c r="F60" i="12"/>
  <c r="F43" i="12"/>
  <c r="F49" i="12" s="1"/>
  <c r="S30" i="30"/>
  <c r="S31" i="30" s="1"/>
  <c r="T23" i="6"/>
  <c r="T24" i="6" s="1"/>
  <c r="U37" i="27" l="1"/>
  <c r="V33" i="27"/>
  <c r="I53" i="27"/>
  <c r="G28" i="5" s="1"/>
  <c r="V47" i="27"/>
  <c r="N14" i="30"/>
  <c r="S32" i="30"/>
  <c r="G35" i="30" s="1"/>
  <c r="O63" i="6"/>
  <c r="O65" i="6" s="1"/>
  <c r="C48" i="5" s="1"/>
  <c r="U22" i="6"/>
  <c r="T26" i="6"/>
  <c r="P9" i="41"/>
  <c r="P34" i="41" s="1"/>
  <c r="M26" i="12" s="1"/>
  <c r="C51" i="4"/>
  <c r="L28" i="4"/>
  <c r="L115" i="6" s="1"/>
  <c r="L117" i="6" s="1"/>
  <c r="V50" i="6"/>
  <c r="V51" i="6" s="1"/>
  <c r="U12" i="42"/>
  <c r="U13" i="42" s="1"/>
  <c r="O11" i="30"/>
  <c r="N15" i="30"/>
  <c r="AJ40" i="38"/>
  <c r="G35" i="38" s="1"/>
  <c r="F53" i="5"/>
  <c r="F62" i="5"/>
  <c r="S108" i="6"/>
  <c r="S110" i="6" s="1"/>
  <c r="T5" i="6"/>
  <c r="S99" i="6"/>
  <c r="G56" i="12"/>
  <c r="F19" i="27"/>
  <c r="S13" i="27"/>
  <c r="R17" i="27"/>
  <c r="AD41" i="38"/>
  <c r="M31" i="38" s="1"/>
  <c r="M32" i="38" s="1"/>
  <c r="L30" i="12"/>
  <c r="L34" i="12" s="1"/>
  <c r="L36" i="12" s="1"/>
  <c r="U36" i="6"/>
  <c r="U37" i="6" s="1"/>
  <c r="T26" i="41"/>
  <c r="O12" i="6"/>
  <c r="V48" i="27" l="1"/>
  <c r="V49" i="27" s="1"/>
  <c r="H61" i="12" s="1"/>
  <c r="V50" i="27"/>
  <c r="V51" i="27" s="1"/>
  <c r="T29" i="30"/>
  <c r="V34" i="27"/>
  <c r="V36" i="27" s="1"/>
  <c r="J39" i="27" s="1"/>
  <c r="V35" i="27"/>
  <c r="I38" i="27"/>
  <c r="S33" i="30"/>
  <c r="W49" i="6"/>
  <c r="V53" i="6"/>
  <c r="V10" i="42"/>
  <c r="I16" i="42"/>
  <c r="U14" i="42"/>
  <c r="S14" i="27"/>
  <c r="S15" i="27"/>
  <c r="G43" i="12"/>
  <c r="G49" i="12" s="1"/>
  <c r="G60" i="12"/>
  <c r="S111" i="6"/>
  <c r="L118" i="6"/>
  <c r="L18" i="5"/>
  <c r="M114" i="6"/>
  <c r="U23" i="6"/>
  <c r="U24" i="6" s="1"/>
  <c r="P10" i="6"/>
  <c r="O13" i="6"/>
  <c r="G34" i="30"/>
  <c r="V35" i="6"/>
  <c r="U39" i="6"/>
  <c r="U23" i="41"/>
  <c r="H29" i="41"/>
  <c r="T27" i="41"/>
  <c r="T30" i="30"/>
  <c r="T31" i="30" s="1"/>
  <c r="L17" i="5"/>
  <c r="L11" i="5"/>
  <c r="L12" i="5" s="1"/>
  <c r="AD42" i="38"/>
  <c r="M33" i="12"/>
  <c r="F18" i="27"/>
  <c r="G59" i="5"/>
  <c r="T96" i="6"/>
  <c r="T98" i="6" s="1"/>
  <c r="T7" i="6"/>
  <c r="T56" i="6"/>
  <c r="T58" i="6" s="1"/>
  <c r="O12" i="30"/>
  <c r="L29" i="4"/>
  <c r="L31" i="4" s="1"/>
  <c r="L37" i="5" s="1"/>
  <c r="P10" i="41"/>
  <c r="P35" i="41" s="1"/>
  <c r="M22" i="4" s="1"/>
  <c r="J53" i="27" l="1"/>
  <c r="H28" i="5" s="1"/>
  <c r="W47" i="27"/>
  <c r="W33" i="27"/>
  <c r="P11" i="41"/>
  <c r="T32" i="30"/>
  <c r="H35" i="30" s="1"/>
  <c r="H62" i="12"/>
  <c r="J52" i="27"/>
  <c r="H20" i="5" s="1"/>
  <c r="V37" i="27"/>
  <c r="V22" i="6"/>
  <c r="U26" i="6"/>
  <c r="O13" i="30"/>
  <c r="M27" i="12"/>
  <c r="M28" i="12" s="1"/>
  <c r="U5" i="6"/>
  <c r="M35" i="12"/>
  <c r="M23" i="4" s="1"/>
  <c r="H28" i="41"/>
  <c r="U24" i="41"/>
  <c r="U25" i="41" s="1"/>
  <c r="V36" i="6"/>
  <c r="V37" i="6" s="1"/>
  <c r="T108" i="6"/>
  <c r="T110" i="6" s="1"/>
  <c r="G62" i="5"/>
  <c r="G53" i="5"/>
  <c r="AK40" i="38"/>
  <c r="H35" i="38" s="1"/>
  <c r="I15" i="42"/>
  <c r="V11" i="42"/>
  <c r="V12" i="42" s="1"/>
  <c r="V13" i="42" s="1"/>
  <c r="W50" i="6"/>
  <c r="W51" i="6" s="1"/>
  <c r="Q8" i="41"/>
  <c r="P12" i="41"/>
  <c r="H56" i="12"/>
  <c r="T99" i="6"/>
  <c r="P11" i="6"/>
  <c r="P62" i="6" s="1"/>
  <c r="D50" i="4" s="1"/>
  <c r="P61" i="6"/>
  <c r="T33" i="30"/>
  <c r="U29" i="30"/>
  <c r="S16" i="27"/>
  <c r="J38" i="27" l="1"/>
  <c r="W34" i="27"/>
  <c r="W36" i="27" s="1"/>
  <c r="K39" i="27" s="1"/>
  <c r="W35" i="27"/>
  <c r="W37" i="27"/>
  <c r="K38" i="27" s="1"/>
  <c r="X33" i="27"/>
  <c r="W48" i="27"/>
  <c r="W49" i="27" s="1"/>
  <c r="I61" i="12" s="1"/>
  <c r="W50" i="27"/>
  <c r="P12" i="6"/>
  <c r="P63" i="6"/>
  <c r="P65" i="6" s="1"/>
  <c r="D48" i="5" s="1"/>
  <c r="W10" i="42"/>
  <c r="J16" i="42"/>
  <c r="V14" i="42"/>
  <c r="W53" i="6"/>
  <c r="X49" i="6"/>
  <c r="W35" i="6"/>
  <c r="V39" i="6"/>
  <c r="U30" i="30"/>
  <c r="U31" i="30" s="1"/>
  <c r="Q10" i="6"/>
  <c r="P13" i="6"/>
  <c r="H59" i="5"/>
  <c r="U96" i="6"/>
  <c r="U98" i="6" s="1"/>
  <c r="H43" i="12"/>
  <c r="H49" i="12" s="1"/>
  <c r="H60" i="12"/>
  <c r="T111" i="6"/>
  <c r="AE41" i="38"/>
  <c r="N31" i="38" s="1"/>
  <c r="N32" i="38" s="1"/>
  <c r="M30" i="12"/>
  <c r="M34" i="12" s="1"/>
  <c r="M36" i="12" s="1"/>
  <c r="V23" i="6"/>
  <c r="V24" i="6" s="1"/>
  <c r="G19" i="27"/>
  <c r="T13" i="27"/>
  <c r="S17" i="27"/>
  <c r="H34" i="30"/>
  <c r="D51" i="4"/>
  <c r="Q9" i="41"/>
  <c r="Q34" i="41" s="1"/>
  <c r="N26" i="12" s="1"/>
  <c r="U7" i="6"/>
  <c r="U56" i="6"/>
  <c r="U58" i="6" s="1"/>
  <c r="M21" i="4"/>
  <c r="M24" i="4" s="1"/>
  <c r="M26" i="4" s="1"/>
  <c r="O14" i="30"/>
  <c r="U26" i="41"/>
  <c r="W51" i="27" l="1"/>
  <c r="K52" i="27"/>
  <c r="I20" i="5" s="1"/>
  <c r="I62" i="12"/>
  <c r="X34" i="27"/>
  <c r="X35" i="27"/>
  <c r="X36" i="27"/>
  <c r="L39" i="27" s="1"/>
  <c r="Y33" i="27"/>
  <c r="W22" i="6"/>
  <c r="V26" i="6"/>
  <c r="O15" i="30"/>
  <c r="P11" i="30"/>
  <c r="T15" i="27"/>
  <c r="T14" i="27"/>
  <c r="I56" i="12"/>
  <c r="U99" i="6"/>
  <c r="X50" i="6"/>
  <c r="X51" i="6" s="1"/>
  <c r="J15" i="42"/>
  <c r="W11" i="42"/>
  <c r="W12" i="42" s="1"/>
  <c r="W13" i="42" s="1"/>
  <c r="V23" i="41"/>
  <c r="I29" i="41"/>
  <c r="U27" i="41"/>
  <c r="M28" i="4"/>
  <c r="M115" i="6" s="1"/>
  <c r="M117" i="6" s="1"/>
  <c r="V5" i="6"/>
  <c r="G18" i="27"/>
  <c r="M11" i="5"/>
  <c r="M12" i="5" s="1"/>
  <c r="N33" i="12"/>
  <c r="AE42" i="38"/>
  <c r="M17" i="5"/>
  <c r="H53" i="5"/>
  <c r="H62" i="5"/>
  <c r="U108" i="6"/>
  <c r="U110" i="6" s="1"/>
  <c r="AL40" i="38"/>
  <c r="I35" i="38" s="1"/>
  <c r="Q11" i="6"/>
  <c r="Q62" i="6" s="1"/>
  <c r="E50" i="4" s="1"/>
  <c r="Q61" i="6"/>
  <c r="Q63" i="6" s="1"/>
  <c r="Q65" i="6" s="1"/>
  <c r="E48" i="5" s="1"/>
  <c r="W36" i="6"/>
  <c r="W37" i="6" s="1"/>
  <c r="Q10" i="41"/>
  <c r="Q35" i="41" s="1"/>
  <c r="N22" i="4" s="1"/>
  <c r="U32" i="30"/>
  <c r="Y34" i="27" l="1"/>
  <c r="Y35" i="27"/>
  <c r="Y36" i="27" s="1"/>
  <c r="X37" i="27"/>
  <c r="L38" i="27" s="1"/>
  <c r="K53" i="27"/>
  <c r="I28" i="5" s="1"/>
  <c r="X47" i="27"/>
  <c r="Q12" i="6"/>
  <c r="Y49" i="6"/>
  <c r="X53" i="6"/>
  <c r="I35" i="30"/>
  <c r="V29" i="30"/>
  <c r="U33" i="30"/>
  <c r="X35" i="6"/>
  <c r="W39" i="6"/>
  <c r="R10" i="6"/>
  <c r="Q13" i="6"/>
  <c r="U111" i="6"/>
  <c r="I43" i="12"/>
  <c r="I49" i="12" s="1"/>
  <c r="I60" i="12"/>
  <c r="V7" i="6"/>
  <c r="V56" i="6"/>
  <c r="V58" i="6" s="1"/>
  <c r="M18" i="5"/>
  <c r="M118" i="6"/>
  <c r="N114" i="6"/>
  <c r="I28" i="41"/>
  <c r="V24" i="41"/>
  <c r="V25" i="41" s="1"/>
  <c r="V26" i="41" s="1"/>
  <c r="X10" i="42"/>
  <c r="K16" i="42"/>
  <c r="I59" i="5"/>
  <c r="V96" i="6"/>
  <c r="V98" i="6" s="1"/>
  <c r="E51" i="4"/>
  <c r="N35" i="12"/>
  <c r="N23" i="4" s="1"/>
  <c r="P12" i="30"/>
  <c r="W23" i="6"/>
  <c r="W24" i="6" s="1"/>
  <c r="Q11" i="41"/>
  <c r="M29" i="4"/>
  <c r="M31" i="4" s="1"/>
  <c r="M37" i="5" s="1"/>
  <c r="W14" i="42"/>
  <c r="T16" i="27"/>
  <c r="M39" i="27" l="1"/>
  <c r="Z33" i="27"/>
  <c r="Y37" i="27"/>
  <c r="M38" i="27" s="1"/>
  <c r="X50" i="27"/>
  <c r="X48" i="27"/>
  <c r="X49" i="27" s="1"/>
  <c r="J61" i="12" s="1"/>
  <c r="X51" i="27"/>
  <c r="L53" i="27" s="1"/>
  <c r="J28" i="5" s="1"/>
  <c r="X22" i="6"/>
  <c r="W26" i="6"/>
  <c r="W23" i="41"/>
  <c r="J29" i="41"/>
  <c r="V27" i="41"/>
  <c r="H19" i="27"/>
  <c r="T17" i="27"/>
  <c r="U13" i="27"/>
  <c r="K15" i="42"/>
  <c r="P13" i="30"/>
  <c r="N21" i="4" s="1"/>
  <c r="N24" i="4" s="1"/>
  <c r="N27" i="12"/>
  <c r="N28" i="12" s="1"/>
  <c r="X11" i="42"/>
  <c r="X12" i="42" s="1"/>
  <c r="W5" i="6"/>
  <c r="AM40" i="38"/>
  <c r="J35" i="38" s="1"/>
  <c r="I34" i="30"/>
  <c r="Y50" i="6"/>
  <c r="Y51" i="6" s="1"/>
  <c r="R8" i="41"/>
  <c r="E14" i="41"/>
  <c r="E33" i="41" s="1"/>
  <c r="B136" i="6" s="1"/>
  <c r="B29" i="5" s="1"/>
  <c r="B31" i="5" s="1"/>
  <c r="Q12" i="41"/>
  <c r="V99" i="6"/>
  <c r="J56" i="12"/>
  <c r="I53" i="5"/>
  <c r="I62" i="5"/>
  <c r="V108" i="6"/>
  <c r="V110" i="6" s="1"/>
  <c r="R11" i="6"/>
  <c r="R62" i="6" s="1"/>
  <c r="F50" i="4" s="1"/>
  <c r="R61" i="6"/>
  <c r="X36" i="6"/>
  <c r="X37" i="6" s="1"/>
  <c r="V30" i="30"/>
  <c r="V31" i="30" s="1"/>
  <c r="V32" i="30" s="1"/>
  <c r="J35" i="30" s="1"/>
  <c r="P14" i="30"/>
  <c r="Y47" i="27" l="1"/>
  <c r="J62" i="12"/>
  <c r="L52" i="27"/>
  <c r="J20" i="5" s="1"/>
  <c r="Z35" i="27"/>
  <c r="Z34" i="27"/>
  <c r="Z36" i="27"/>
  <c r="Z37" i="27" s="1"/>
  <c r="N38" i="27" s="1"/>
  <c r="V33" i="30"/>
  <c r="J34" i="30" s="1"/>
  <c r="R63" i="6"/>
  <c r="R65" i="6" s="1"/>
  <c r="F48" i="5" s="1"/>
  <c r="Y35" i="6"/>
  <c r="X39" i="6"/>
  <c r="F51" i="4"/>
  <c r="E13" i="41"/>
  <c r="E32" i="41" s="1"/>
  <c r="B135" i="6" s="1"/>
  <c r="R9" i="41"/>
  <c r="R34" i="41" s="1"/>
  <c r="C63" i="12" s="1"/>
  <c r="Z49" i="6"/>
  <c r="Y53" i="6"/>
  <c r="AF41" i="38"/>
  <c r="O31" i="38" s="1"/>
  <c r="O32" i="38" s="1"/>
  <c r="G8" i="33"/>
  <c r="G12" i="33" s="1"/>
  <c r="H3" i="33" s="1"/>
  <c r="N30" i="12"/>
  <c r="N34" i="12" s="1"/>
  <c r="N36" i="12" s="1"/>
  <c r="H18" i="27"/>
  <c r="J28" i="41"/>
  <c r="W24" i="41"/>
  <c r="W25" i="41" s="1"/>
  <c r="W26" i="41" s="1"/>
  <c r="X23" i="6"/>
  <c r="X24" i="6" s="1"/>
  <c r="Q11" i="30"/>
  <c r="P15" i="30"/>
  <c r="J43" i="12"/>
  <c r="J49" i="12" s="1"/>
  <c r="J60" i="12"/>
  <c r="V111" i="6"/>
  <c r="W96" i="6"/>
  <c r="W98" i="6" s="1"/>
  <c r="J59" i="5"/>
  <c r="W7" i="6"/>
  <c r="W56" i="6"/>
  <c r="W58" i="6" s="1"/>
  <c r="C10" i="33"/>
  <c r="N26" i="4"/>
  <c r="U15" i="27"/>
  <c r="U16" i="27" s="1"/>
  <c r="I19" i="27" s="1"/>
  <c r="U14" i="27"/>
  <c r="W29" i="30"/>
  <c r="R12" i="6"/>
  <c r="X13" i="42"/>
  <c r="N39" i="27" l="1"/>
  <c r="AA33" i="27"/>
  <c r="Y50" i="27"/>
  <c r="Y48" i="27"/>
  <c r="Y49" i="27" s="1"/>
  <c r="K61" i="12" s="1"/>
  <c r="Y22" i="6"/>
  <c r="X26" i="6"/>
  <c r="W30" i="30"/>
  <c r="W31" i="30" s="1"/>
  <c r="G24" i="33"/>
  <c r="N28" i="4"/>
  <c r="J62" i="5"/>
  <c r="W108" i="6"/>
  <c r="W110" i="6" s="1"/>
  <c r="J53" i="5"/>
  <c r="AN40" i="38"/>
  <c r="K35" i="38" s="1"/>
  <c r="Q12" i="30"/>
  <c r="X23" i="41"/>
  <c r="K29" i="41"/>
  <c r="AF42" i="38"/>
  <c r="N11" i="5"/>
  <c r="N17" i="5"/>
  <c r="C71" i="12"/>
  <c r="Z50" i="6"/>
  <c r="Z51" i="6" s="1"/>
  <c r="Z53" i="6" s="1"/>
  <c r="Y36" i="6"/>
  <c r="Y37" i="6" s="1"/>
  <c r="Y10" i="42"/>
  <c r="L16" i="42"/>
  <c r="X14" i="42"/>
  <c r="S10" i="6"/>
  <c r="R13" i="6"/>
  <c r="X5" i="6"/>
  <c r="W99" i="6"/>
  <c r="K56" i="12"/>
  <c r="B137" i="6"/>
  <c r="B145" i="6" s="1"/>
  <c r="B21" i="5"/>
  <c r="B23" i="5" s="1"/>
  <c r="B25" i="5" s="1"/>
  <c r="B33" i="5" s="1"/>
  <c r="V13" i="27"/>
  <c r="U17" i="27"/>
  <c r="W27" i="41"/>
  <c r="R10" i="41"/>
  <c r="W32" i="30" l="1"/>
  <c r="Y51" i="27"/>
  <c r="K62" i="12"/>
  <c r="M52" i="27"/>
  <c r="K20" i="5" s="1"/>
  <c r="AA34" i="27"/>
  <c r="AA35" i="27"/>
  <c r="Z35" i="6"/>
  <c r="Y39" i="6"/>
  <c r="R35" i="41"/>
  <c r="C54" i="4" s="1"/>
  <c r="R11" i="41"/>
  <c r="F39" i="5"/>
  <c r="F40" i="5" s="1"/>
  <c r="E39" i="5"/>
  <c r="E40" i="5" s="1"/>
  <c r="M39" i="5"/>
  <c r="M40" i="5" s="1"/>
  <c r="B39" i="5"/>
  <c r="B40" i="5" s="1"/>
  <c r="H39" i="5"/>
  <c r="H40" i="5" s="1"/>
  <c r="D39" i="5"/>
  <c r="D40" i="5" s="1"/>
  <c r="G39" i="5"/>
  <c r="G40" i="5" s="1"/>
  <c r="N39" i="5"/>
  <c r="I39" i="5"/>
  <c r="I40" i="5" s="1"/>
  <c r="K39" i="5"/>
  <c r="K40" i="5" s="1"/>
  <c r="C39" i="5"/>
  <c r="C40" i="5" s="1"/>
  <c r="J39" i="5"/>
  <c r="J40" i="5" s="1"/>
  <c r="L39" i="5"/>
  <c r="L40" i="5" s="1"/>
  <c r="X96" i="6"/>
  <c r="X98" i="6" s="1"/>
  <c r="K59" i="5"/>
  <c r="X7" i="6"/>
  <c r="X56" i="6"/>
  <c r="X58" i="6" s="1"/>
  <c r="S11" i="6"/>
  <c r="S62" i="6" s="1"/>
  <c r="G50" i="4" s="1"/>
  <c r="S61" i="6"/>
  <c r="C73" i="12"/>
  <c r="C55" i="4" s="1"/>
  <c r="B54" i="5"/>
  <c r="B55" i="5" s="1"/>
  <c r="N12" i="5"/>
  <c r="N115" i="6"/>
  <c r="N117" i="6" s="1"/>
  <c r="C11" i="33"/>
  <c r="C12" i="33" s="1"/>
  <c r="K28" i="41"/>
  <c r="I18" i="27"/>
  <c r="V15" i="27"/>
  <c r="V14" i="27"/>
  <c r="L15" i="42"/>
  <c r="Y11" i="42"/>
  <c r="Y12" i="42" s="1"/>
  <c r="Y13" i="42" s="1"/>
  <c r="B60" i="5"/>
  <c r="X24" i="41"/>
  <c r="Q13" i="30"/>
  <c r="C64" i="12"/>
  <c r="C65" i="12" s="1"/>
  <c r="W111" i="6"/>
  <c r="K43" i="12"/>
  <c r="K49" i="12" s="1"/>
  <c r="K60" i="12"/>
  <c r="Y23" i="6"/>
  <c r="Y24" i="6" s="1"/>
  <c r="B42" i="5"/>
  <c r="N29" i="4"/>
  <c r="W33" i="30"/>
  <c r="AA36" i="27" l="1"/>
  <c r="M53" i="27"/>
  <c r="K28" i="5" s="1"/>
  <c r="Z47" i="27"/>
  <c r="K35" i="30"/>
  <c r="X29" i="30"/>
  <c r="X30" i="30" s="1"/>
  <c r="X31" i="30" s="1"/>
  <c r="S63" i="6"/>
  <c r="S65" i="6" s="1"/>
  <c r="G48" i="5" s="1"/>
  <c r="S12" i="6"/>
  <c r="T10" i="6" s="1"/>
  <c r="Z10" i="42"/>
  <c r="M16" i="42"/>
  <c r="Y14" i="42"/>
  <c r="K34" i="30"/>
  <c r="Z22" i="6"/>
  <c r="Y26" i="6"/>
  <c r="AO40" i="38"/>
  <c r="L35" i="38" s="1"/>
  <c r="AG41" i="38"/>
  <c r="D36" i="38" s="1"/>
  <c r="D37" i="38" s="1"/>
  <c r="C67" i="12"/>
  <c r="C72" i="12" s="1"/>
  <c r="C74" i="12" s="1"/>
  <c r="N118" i="6"/>
  <c r="O114" i="6"/>
  <c r="N18" i="5"/>
  <c r="X116" i="6"/>
  <c r="L59" i="12" s="1"/>
  <c r="Z36" i="6"/>
  <c r="Z37" i="6" s="1"/>
  <c r="Z39" i="6" s="1"/>
  <c r="N31" i="4"/>
  <c r="G25" i="33"/>
  <c r="K53" i="5"/>
  <c r="K62" i="5"/>
  <c r="X108" i="6"/>
  <c r="X110" i="6" s="1"/>
  <c r="C53" i="4"/>
  <c r="C56" i="4" s="1"/>
  <c r="Q14" i="30"/>
  <c r="C18" i="33"/>
  <c r="G51" i="4"/>
  <c r="Y5" i="6"/>
  <c r="X99" i="6"/>
  <c r="L56" i="12"/>
  <c r="F14" i="41"/>
  <c r="F33" i="41" s="1"/>
  <c r="C29" i="5" s="1"/>
  <c r="S8" i="41"/>
  <c r="R12" i="41"/>
  <c r="X25" i="41"/>
  <c r="X26" i="41" s="1"/>
  <c r="V16" i="27"/>
  <c r="X32" i="30" l="1"/>
  <c r="S13" i="6"/>
  <c r="Z48" i="27"/>
  <c r="Z49" i="27" s="1"/>
  <c r="L61" i="12" s="1"/>
  <c r="Z50" i="27"/>
  <c r="Z51" i="27" s="1"/>
  <c r="AB33" i="27"/>
  <c r="O39" i="27"/>
  <c r="AA37" i="27"/>
  <c r="O38" i="27" s="1"/>
  <c r="Y23" i="41"/>
  <c r="L29" i="41"/>
  <c r="X27" i="41"/>
  <c r="S9" i="41"/>
  <c r="S34" i="41" s="1"/>
  <c r="D63" i="12" s="1"/>
  <c r="E17" i="30"/>
  <c r="C30" i="5" s="1"/>
  <c r="C31" i="5" s="1"/>
  <c r="Q15" i="30"/>
  <c r="R11" i="30"/>
  <c r="X111" i="6"/>
  <c r="L60" i="12"/>
  <c r="L43" i="12"/>
  <c r="L49" i="12" s="1"/>
  <c r="N37" i="5"/>
  <c r="AG42" i="38"/>
  <c r="C54" i="5"/>
  <c r="C55" i="5" s="1"/>
  <c r="C60" i="5"/>
  <c r="D71" i="12"/>
  <c r="Z23" i="6"/>
  <c r="Z24" i="6" s="1"/>
  <c r="Z26" i="6" s="1"/>
  <c r="M15" i="42"/>
  <c r="Z11" i="42"/>
  <c r="Z12" i="42" s="1"/>
  <c r="Z13" i="42" s="1"/>
  <c r="J19" i="27"/>
  <c r="V17" i="27"/>
  <c r="W13" i="27"/>
  <c r="F13" i="41"/>
  <c r="F32" i="41" s="1"/>
  <c r="C21" i="5" s="1"/>
  <c r="Y96" i="6"/>
  <c r="Y98" i="6" s="1"/>
  <c r="L59" i="5"/>
  <c r="Y7" i="6"/>
  <c r="Y56" i="6"/>
  <c r="Y58" i="6" s="1"/>
  <c r="C58" i="4"/>
  <c r="T11" i="6"/>
  <c r="T62" i="6" s="1"/>
  <c r="H50" i="4" s="1"/>
  <c r="H51" i="4" s="1"/>
  <c r="T61" i="6"/>
  <c r="B61" i="5"/>
  <c r="G19" i="33"/>
  <c r="G18" i="33"/>
  <c r="N53" i="27" l="1"/>
  <c r="L28" i="5" s="1"/>
  <c r="AA47" i="27"/>
  <c r="S10" i="41"/>
  <c r="S35" i="41" s="1"/>
  <c r="D54" i="4" s="1"/>
  <c r="AB34" i="27"/>
  <c r="AB35" i="27"/>
  <c r="AB36" i="27" s="1"/>
  <c r="P39" i="27" s="1"/>
  <c r="AB37" i="27"/>
  <c r="P38" i="27" s="1"/>
  <c r="L62" i="12"/>
  <c r="N52" i="27"/>
  <c r="L20" i="5" s="1"/>
  <c r="L35" i="30"/>
  <c r="X33" i="30"/>
  <c r="L34" i="30" s="1"/>
  <c r="Y29" i="30"/>
  <c r="Y30" i="30" s="1"/>
  <c r="Y31" i="30" s="1"/>
  <c r="Y32" i="30" s="1"/>
  <c r="S11" i="41"/>
  <c r="S12" i="41" s="1"/>
  <c r="T63" i="6"/>
  <c r="T65" i="6" s="1"/>
  <c r="H48" i="5" s="1"/>
  <c r="AA10" i="42"/>
  <c r="N16" i="42"/>
  <c r="Z14" i="42"/>
  <c r="Z5" i="6"/>
  <c r="M56" i="12"/>
  <c r="Y99" i="6"/>
  <c r="W15" i="27"/>
  <c r="W14" i="27"/>
  <c r="D73" i="12"/>
  <c r="D55" i="4" s="1"/>
  <c r="N40" i="5"/>
  <c r="B82" i="5"/>
  <c r="AP40" i="38"/>
  <c r="M35" i="38" s="1"/>
  <c r="Y108" i="6"/>
  <c r="Y110" i="6" s="1"/>
  <c r="L53" i="5"/>
  <c r="L62" i="5"/>
  <c r="E16" i="30"/>
  <c r="C22" i="5" s="1"/>
  <c r="C23" i="5" s="1"/>
  <c r="C25" i="5" s="1"/>
  <c r="C33" i="5" s="1"/>
  <c r="C42" i="5" s="1"/>
  <c r="G13" i="41"/>
  <c r="G32" i="41" s="1"/>
  <c r="D21" i="5" s="1"/>
  <c r="T8" i="41"/>
  <c r="L28" i="41"/>
  <c r="Y24" i="41"/>
  <c r="C60" i="4"/>
  <c r="C61" i="4" s="1"/>
  <c r="J18" i="27"/>
  <c r="R12" i="30"/>
  <c r="T12" i="6"/>
  <c r="G14" i="41" l="1"/>
  <c r="G33" i="41" s="1"/>
  <c r="D29" i="5" s="1"/>
  <c r="AC33" i="27"/>
  <c r="AA50" i="27"/>
  <c r="AA48" i="27"/>
  <c r="AA49" i="27" s="1"/>
  <c r="M61" i="12" s="1"/>
  <c r="AA51" i="27"/>
  <c r="M35" i="30"/>
  <c r="Z29" i="30"/>
  <c r="Y33" i="30"/>
  <c r="C80" i="5"/>
  <c r="C63" i="4"/>
  <c r="C82" i="5"/>
  <c r="H82" i="5"/>
  <c r="K82" i="5"/>
  <c r="N82" i="5"/>
  <c r="D82" i="5"/>
  <c r="J82" i="5"/>
  <c r="M82" i="5"/>
  <c r="L82" i="5"/>
  <c r="G82" i="5"/>
  <c r="I82" i="5"/>
  <c r="E82" i="5"/>
  <c r="F82" i="5"/>
  <c r="B83" i="5"/>
  <c r="Z7" i="6"/>
  <c r="Z56" i="6"/>
  <c r="Z58" i="6" s="1"/>
  <c r="U10" i="6"/>
  <c r="T13" i="6"/>
  <c r="D64" i="12"/>
  <c r="D65" i="12" s="1"/>
  <c r="R13" i="30"/>
  <c r="D53" i="4" s="1"/>
  <c r="D56" i="4" s="1"/>
  <c r="O115" i="6"/>
  <c r="O117" i="6" s="1"/>
  <c r="T9" i="41"/>
  <c r="T34" i="41" s="1"/>
  <c r="E63" i="12" s="1"/>
  <c r="M43" i="12"/>
  <c r="M49" i="12" s="1"/>
  <c r="M60" i="12"/>
  <c r="Y111" i="6"/>
  <c r="M59" i="5"/>
  <c r="Z96" i="6"/>
  <c r="Z98" i="6" s="1"/>
  <c r="N15" i="42"/>
  <c r="AA11" i="42"/>
  <c r="Y25" i="41"/>
  <c r="Y26" i="41" s="1"/>
  <c r="W16" i="27"/>
  <c r="O53" i="27" l="1"/>
  <c r="M28" i="5" s="1"/>
  <c r="AB47" i="27"/>
  <c r="O52" i="27"/>
  <c r="M20" i="5" s="1"/>
  <c r="M62" i="12"/>
  <c r="AC34" i="27"/>
  <c r="AC36" i="27" s="1"/>
  <c r="AC35" i="27"/>
  <c r="R14" i="30"/>
  <c r="R15" i="30" s="1"/>
  <c r="AA12" i="42"/>
  <c r="AA13" i="42" s="1"/>
  <c r="Z23" i="41"/>
  <c r="M29" i="41"/>
  <c r="Y27" i="41"/>
  <c r="F17" i="30"/>
  <c r="D30" i="5" s="1"/>
  <c r="D31" i="5" s="1"/>
  <c r="S11" i="30"/>
  <c r="Z99" i="6"/>
  <c r="N59" i="5" s="1"/>
  <c r="N56" i="12"/>
  <c r="AQ40" i="38"/>
  <c r="N35" i="38" s="1"/>
  <c r="C61" i="5"/>
  <c r="P114" i="6"/>
  <c r="O118" i="6"/>
  <c r="AH41" i="38"/>
  <c r="E36" i="38" s="1"/>
  <c r="E37" i="38" s="1"/>
  <c r="D67" i="12"/>
  <c r="D72" i="12" s="1"/>
  <c r="D74" i="12" s="1"/>
  <c r="U11" i="6"/>
  <c r="U62" i="6" s="1"/>
  <c r="I50" i="4" s="1"/>
  <c r="I51" i="4" s="1"/>
  <c r="U61" i="6"/>
  <c r="Z30" i="30"/>
  <c r="Z31" i="30" s="1"/>
  <c r="C83" i="5"/>
  <c r="K19" i="27"/>
  <c r="W17" i="27"/>
  <c r="X13" i="27"/>
  <c r="M53" i="5"/>
  <c r="Z108" i="6"/>
  <c r="Z110" i="6" s="1"/>
  <c r="M62" i="5"/>
  <c r="D58" i="4"/>
  <c r="M34" i="30"/>
  <c r="T10" i="41"/>
  <c r="Q39" i="27" l="1"/>
  <c r="AC37" i="27"/>
  <c r="Q38" i="27" s="1"/>
  <c r="AD33" i="27"/>
  <c r="U63" i="6"/>
  <c r="U65" i="6" s="1"/>
  <c r="I48" i="5" s="1"/>
  <c r="AB48" i="27"/>
  <c r="AB50" i="27"/>
  <c r="AB10" i="42"/>
  <c r="AA14" i="42"/>
  <c r="O16" i="42"/>
  <c r="K18" i="27"/>
  <c r="E71" i="12"/>
  <c r="D60" i="5"/>
  <c r="D54" i="5"/>
  <c r="D55" i="5" s="1"/>
  <c r="AH42" i="38"/>
  <c r="F16" i="30"/>
  <c r="D22" i="5" s="1"/>
  <c r="D23" i="5" s="1"/>
  <c r="D25" i="5" s="1"/>
  <c r="D33" i="5" s="1"/>
  <c r="D42" i="5" s="1"/>
  <c r="O15" i="42"/>
  <c r="AB11" i="42"/>
  <c r="AB12" i="42"/>
  <c r="AB13" i="42" s="1"/>
  <c r="T35" i="41"/>
  <c r="E54" i="4" s="1"/>
  <c r="T11" i="41"/>
  <c r="D60" i="4"/>
  <c r="Z111" i="6"/>
  <c r="N43" i="12"/>
  <c r="N49" i="12" s="1"/>
  <c r="N60" i="12"/>
  <c r="X15" i="27"/>
  <c r="X14" i="27"/>
  <c r="S12" i="30"/>
  <c r="M28" i="41"/>
  <c r="Z24" i="41"/>
  <c r="Z25" i="41"/>
  <c r="Z26" i="41" s="1"/>
  <c r="Z27" i="41" s="1"/>
  <c r="Z32" i="30"/>
  <c r="U12" i="6"/>
  <c r="P52" i="27" l="1"/>
  <c r="N20" i="5" s="1"/>
  <c r="B63" i="5" s="1"/>
  <c r="N62" i="12"/>
  <c r="AB49" i="27"/>
  <c r="N61" i="12" s="1"/>
  <c r="AB51" i="27"/>
  <c r="AD34" i="27"/>
  <c r="AD35" i="27"/>
  <c r="AD36" i="27" s="1"/>
  <c r="R39" i="27" s="1"/>
  <c r="AC10" i="42"/>
  <c r="P16" i="42"/>
  <c r="AB14" i="42"/>
  <c r="V10" i="6"/>
  <c r="U13" i="6"/>
  <c r="AA23" i="41"/>
  <c r="N29" i="41"/>
  <c r="N53" i="5"/>
  <c r="N62" i="5"/>
  <c r="U8" i="41"/>
  <c r="H14" i="41"/>
  <c r="H33" i="41" s="1"/>
  <c r="E29" i="5" s="1"/>
  <c r="T12" i="41"/>
  <c r="X16" i="27"/>
  <c r="N35" i="30"/>
  <c r="Z33" i="30"/>
  <c r="AA29" i="30"/>
  <c r="N28" i="41"/>
  <c r="E64" i="12"/>
  <c r="E65" i="12" s="1"/>
  <c r="S13" i="30"/>
  <c r="E53" i="4" s="1"/>
  <c r="AR40" i="38"/>
  <c r="O35" i="38" s="1"/>
  <c r="H5" i="33"/>
  <c r="P115" i="6"/>
  <c r="P117" i="6" s="1"/>
  <c r="E73" i="12"/>
  <c r="E55" i="4" s="1"/>
  <c r="D61" i="4"/>
  <c r="AD37" i="27" l="1"/>
  <c r="R38" i="27" s="1"/>
  <c r="AE33" i="27"/>
  <c r="P53" i="27"/>
  <c r="N28" i="5" s="1"/>
  <c r="B71" i="5" s="1"/>
  <c r="AC47" i="27"/>
  <c r="Q114" i="6"/>
  <c r="D61" i="5"/>
  <c r="P118" i="6"/>
  <c r="AA30" i="30"/>
  <c r="AA31" i="30" s="1"/>
  <c r="H13" i="41"/>
  <c r="H32" i="41" s="1"/>
  <c r="E21" i="5" s="1"/>
  <c r="U9" i="41"/>
  <c r="U34" i="41" s="1"/>
  <c r="F63" i="12" s="1"/>
  <c r="AA24" i="41"/>
  <c r="AA25" i="41"/>
  <c r="V11" i="6"/>
  <c r="V62" i="6" s="1"/>
  <c r="J50" i="4" s="1"/>
  <c r="J51" i="4" s="1"/>
  <c r="V61" i="6"/>
  <c r="E56" i="4"/>
  <c r="D63" i="4"/>
  <c r="D80" i="5"/>
  <c r="D83" i="5" s="1"/>
  <c r="AI41" i="38"/>
  <c r="F36" i="38" s="1"/>
  <c r="F37" i="38" s="1"/>
  <c r="E67" i="12"/>
  <c r="E72" i="12" s="1"/>
  <c r="E74" i="12" s="1"/>
  <c r="N34" i="30"/>
  <c r="L19" i="27"/>
  <c r="Y13" i="27"/>
  <c r="X17" i="27"/>
  <c r="P15" i="42"/>
  <c r="AC11" i="42"/>
  <c r="AC12" i="42" s="1"/>
  <c r="AC13" i="42" s="1"/>
  <c r="S14" i="30"/>
  <c r="V63" i="6" l="1"/>
  <c r="V65" i="6" s="1"/>
  <c r="J48" i="5" s="1"/>
  <c r="AC48" i="27"/>
  <c r="AC49" i="27" s="1"/>
  <c r="AC50" i="27"/>
  <c r="Q52" i="27" s="1"/>
  <c r="C63" i="5" s="1"/>
  <c r="AE35" i="27"/>
  <c r="AE34" i="27"/>
  <c r="AA26" i="41"/>
  <c r="AB23" i="41" s="1"/>
  <c r="AD10" i="42"/>
  <c r="Q16" i="42"/>
  <c r="F71" i="12"/>
  <c r="E54" i="5"/>
  <c r="E55" i="5" s="1"/>
  <c r="AI42" i="38"/>
  <c r="E60" i="5"/>
  <c r="E58" i="4"/>
  <c r="U10" i="41"/>
  <c r="G17" i="30"/>
  <c r="E30" i="5" s="1"/>
  <c r="E31" i="5" s="1"/>
  <c r="S15" i="30"/>
  <c r="T11" i="30"/>
  <c r="Y14" i="27"/>
  <c r="Y15" i="27"/>
  <c r="L18" i="27"/>
  <c r="AC14" i="42"/>
  <c r="V12" i="6"/>
  <c r="AA32" i="30"/>
  <c r="AE36" i="27" l="1"/>
  <c r="O29" i="41"/>
  <c r="AC51" i="27"/>
  <c r="AA27" i="41"/>
  <c r="W10" i="6"/>
  <c r="V13" i="6"/>
  <c r="Q15" i="42"/>
  <c r="G16" i="30"/>
  <c r="E22" i="5" s="1"/>
  <c r="E23" i="5" s="1"/>
  <c r="E25" i="5" s="1"/>
  <c r="E33" i="5" s="1"/>
  <c r="E42" i="5" s="1"/>
  <c r="E60" i="4"/>
  <c r="E61" i="4" s="1"/>
  <c r="F73" i="12"/>
  <c r="F55" i="4" s="1"/>
  <c r="AD11" i="42"/>
  <c r="O28" i="41"/>
  <c r="AB24" i="41"/>
  <c r="AB25" i="41"/>
  <c r="AB26" i="41" s="1"/>
  <c r="Y16" i="27"/>
  <c r="O35" i="30"/>
  <c r="AB29" i="30"/>
  <c r="AA33" i="30"/>
  <c r="T12" i="30"/>
  <c r="U35" i="41"/>
  <c r="F54" i="4" s="1"/>
  <c r="U11" i="41"/>
  <c r="Q53" i="27" l="1"/>
  <c r="C71" i="5" s="1"/>
  <c r="AD47" i="27"/>
  <c r="S39" i="27"/>
  <c r="AE37" i="27"/>
  <c r="AF33" i="27"/>
  <c r="AD12" i="42"/>
  <c r="AD13" i="42" s="1"/>
  <c r="E63" i="4"/>
  <c r="E80" i="5"/>
  <c r="E83" i="5" s="1"/>
  <c r="AC23" i="41"/>
  <c r="P29" i="41"/>
  <c r="AB27" i="41"/>
  <c r="AB30" i="30"/>
  <c r="AB31" i="30" s="1"/>
  <c r="M19" i="27"/>
  <c r="Z13" i="27"/>
  <c r="Y17" i="27"/>
  <c r="W11" i="6"/>
  <c r="W62" i="6" s="1"/>
  <c r="K50" i="4" s="1"/>
  <c r="K51" i="4" s="1"/>
  <c r="W61" i="6"/>
  <c r="V8" i="41"/>
  <c r="I14" i="41"/>
  <c r="I33" i="41" s="1"/>
  <c r="F29" i="5" s="1"/>
  <c r="U12" i="41"/>
  <c r="T13" i="30"/>
  <c r="F53" i="4" s="1"/>
  <c r="F56" i="4" s="1"/>
  <c r="F64" i="12"/>
  <c r="F65" i="12" s="1"/>
  <c r="O34" i="30"/>
  <c r="Q115" i="6"/>
  <c r="Q117" i="6" s="1"/>
  <c r="AF35" i="27" l="1"/>
  <c r="AF34" i="27"/>
  <c r="AF36" i="27" s="1"/>
  <c r="T39" i="27" s="1"/>
  <c r="S38" i="27"/>
  <c r="W12" i="6"/>
  <c r="AD48" i="27"/>
  <c r="AD49" i="27" s="1"/>
  <c r="AD50" i="27"/>
  <c r="R52" i="27" s="1"/>
  <c r="D63" i="5" s="1"/>
  <c r="W63" i="6"/>
  <c r="W65" i="6" s="1"/>
  <c r="K48" i="5" s="1"/>
  <c r="R16" i="42"/>
  <c r="AE10" i="42"/>
  <c r="AE11" i="42" s="1"/>
  <c r="AE12" i="42" s="1"/>
  <c r="AE13" i="42" s="1"/>
  <c r="AD14" i="42"/>
  <c r="R114" i="6"/>
  <c r="Q118" i="6"/>
  <c r="E61" i="5"/>
  <c r="AJ41" i="38"/>
  <c r="G36" i="38" s="1"/>
  <c r="G37" i="38" s="1"/>
  <c r="F67" i="12"/>
  <c r="F72" i="12" s="1"/>
  <c r="F74" i="12" s="1"/>
  <c r="I13" i="41"/>
  <c r="I32" i="41" s="1"/>
  <c r="F21" i="5" s="1"/>
  <c r="V9" i="41"/>
  <c r="V34" i="41" s="1"/>
  <c r="G63" i="12" s="1"/>
  <c r="X10" i="6"/>
  <c r="W13" i="6"/>
  <c r="M18" i="27"/>
  <c r="R15" i="42"/>
  <c r="F58" i="4"/>
  <c r="Z15" i="27"/>
  <c r="Z14" i="27"/>
  <c r="P28" i="41"/>
  <c r="AC24" i="41"/>
  <c r="AB32" i="30"/>
  <c r="T14" i="30"/>
  <c r="AF37" i="27" l="1"/>
  <c r="T38" i="27" s="1"/>
  <c r="AG33" i="27"/>
  <c r="AD51" i="27"/>
  <c r="AF10" i="42"/>
  <c r="S16" i="42"/>
  <c r="AE14" i="42"/>
  <c r="H17" i="30"/>
  <c r="F30" i="5" s="1"/>
  <c r="F31" i="5" s="1"/>
  <c r="U11" i="30"/>
  <c r="T15" i="30"/>
  <c r="F54" i="5"/>
  <c r="F55" i="5" s="1"/>
  <c r="AJ42" i="38"/>
  <c r="G71" i="12"/>
  <c r="F60" i="5"/>
  <c r="P35" i="30"/>
  <c r="AC29" i="30"/>
  <c r="AB33" i="30"/>
  <c r="F60" i="4"/>
  <c r="F61" i="4" s="1"/>
  <c r="X11" i="6"/>
  <c r="X62" i="6" s="1"/>
  <c r="L50" i="4" s="1"/>
  <c r="L51" i="4" s="1"/>
  <c r="X61" i="6"/>
  <c r="X63" i="6" s="1"/>
  <c r="X65" i="6" s="1"/>
  <c r="L48" i="5" s="1"/>
  <c r="AC25" i="41"/>
  <c r="AC26" i="41" s="1"/>
  <c r="Z16" i="27"/>
  <c r="V10" i="41"/>
  <c r="V35" i="41" s="1"/>
  <c r="G54" i="4" s="1"/>
  <c r="R53" i="27" l="1"/>
  <c r="D71" i="5" s="1"/>
  <c r="AE47" i="27"/>
  <c r="AG34" i="27"/>
  <c r="AG35" i="27"/>
  <c r="X12" i="6"/>
  <c r="Y10" i="6" s="1"/>
  <c r="AD23" i="41"/>
  <c r="Q29" i="41"/>
  <c r="AC27" i="41"/>
  <c r="F63" i="4"/>
  <c r="F80" i="5"/>
  <c r="F83" i="5" s="1"/>
  <c r="P34" i="30"/>
  <c r="G73" i="12"/>
  <c r="G55" i="4" s="1"/>
  <c r="U12" i="30"/>
  <c r="S15" i="42"/>
  <c r="AF11" i="42"/>
  <c r="N19" i="27"/>
  <c r="Z17" i="27"/>
  <c r="AA13" i="27"/>
  <c r="R115" i="6"/>
  <c r="R117" i="6" s="1"/>
  <c r="AC30" i="30"/>
  <c r="AC31" i="30" s="1"/>
  <c r="H16" i="30"/>
  <c r="F22" i="5" s="1"/>
  <c r="F23" i="5" s="1"/>
  <c r="F25" i="5" s="1"/>
  <c r="F33" i="5" s="1"/>
  <c r="F42" i="5" s="1"/>
  <c r="V11" i="41"/>
  <c r="X13" i="6" l="1"/>
  <c r="AG36" i="27"/>
  <c r="AE48" i="27"/>
  <c r="AE49" i="27" s="1"/>
  <c r="AE50" i="27"/>
  <c r="AF12" i="42"/>
  <c r="AF13" i="42" s="1"/>
  <c r="W8" i="41"/>
  <c r="J14" i="41"/>
  <c r="J33" i="41" s="1"/>
  <c r="G29" i="5" s="1"/>
  <c r="V12" i="41"/>
  <c r="F61" i="5"/>
  <c r="R118" i="6"/>
  <c r="S114" i="6"/>
  <c r="N18" i="27"/>
  <c r="G64" i="12"/>
  <c r="G65" i="12" s="1"/>
  <c r="U13" i="30"/>
  <c r="G53" i="4" s="1"/>
  <c r="G56" i="4" s="1"/>
  <c r="Q28" i="41"/>
  <c r="AD24" i="41"/>
  <c r="AD25" i="41" s="1"/>
  <c r="AD26" i="41" s="1"/>
  <c r="AA15" i="27"/>
  <c r="AA14" i="27"/>
  <c r="Y11" i="6"/>
  <c r="Y62" i="6" s="1"/>
  <c r="M50" i="4" s="1"/>
  <c r="M51" i="4" s="1"/>
  <c r="Y61" i="6"/>
  <c r="AC32" i="30"/>
  <c r="S52" i="27" l="1"/>
  <c r="E63" i="5" s="1"/>
  <c r="AE51" i="27"/>
  <c r="Y63" i="6"/>
  <c r="Y65" i="6" s="1"/>
  <c r="M48" i="5" s="1"/>
  <c r="U39" i="27"/>
  <c r="AH33" i="27"/>
  <c r="AG37" i="27"/>
  <c r="U38" i="27" s="1"/>
  <c r="AG10" i="42"/>
  <c r="AG11" i="42" s="1"/>
  <c r="AF14" i="42"/>
  <c r="T15" i="42" s="1"/>
  <c r="T16" i="42"/>
  <c r="U14" i="30"/>
  <c r="I17" i="30" s="1"/>
  <c r="G30" i="5" s="1"/>
  <c r="G31" i="5" s="1"/>
  <c r="AE23" i="41"/>
  <c r="R29" i="41"/>
  <c r="AD27" i="41"/>
  <c r="Q35" i="30"/>
  <c r="AD29" i="30"/>
  <c r="AC33" i="30"/>
  <c r="AK41" i="38"/>
  <c r="H36" i="38" s="1"/>
  <c r="H37" i="38" s="1"/>
  <c r="G67" i="12"/>
  <c r="G72" i="12" s="1"/>
  <c r="G74" i="12" s="1"/>
  <c r="V11" i="30"/>
  <c r="G58" i="4"/>
  <c r="J13" i="41"/>
  <c r="J32" i="41" s="1"/>
  <c r="G21" i="5" s="1"/>
  <c r="W9" i="41"/>
  <c r="W34" i="41" s="1"/>
  <c r="H63" i="12" s="1"/>
  <c r="Y12" i="6"/>
  <c r="AA16" i="27"/>
  <c r="AH34" i="27" l="1"/>
  <c r="AH35" i="27"/>
  <c r="W10" i="41"/>
  <c r="W35" i="41" s="1"/>
  <c r="H54" i="4" s="1"/>
  <c r="S53" i="27"/>
  <c r="E71" i="5" s="1"/>
  <c r="AF47" i="27"/>
  <c r="U15" i="30"/>
  <c r="Z10" i="6"/>
  <c r="Y13" i="6"/>
  <c r="I16" i="30"/>
  <c r="G22" i="5" s="1"/>
  <c r="G23" i="5" s="1"/>
  <c r="G25" i="5" s="1"/>
  <c r="G33" i="5" s="1"/>
  <c r="G42" i="5" s="1"/>
  <c r="H71" i="12"/>
  <c r="G54" i="5"/>
  <c r="G55" i="5" s="1"/>
  <c r="AK42" i="38"/>
  <c r="G60" i="5"/>
  <c r="Q34" i="30"/>
  <c r="R28" i="41"/>
  <c r="AE24" i="41"/>
  <c r="O19" i="27"/>
  <c r="AA17" i="27"/>
  <c r="AB13" i="27"/>
  <c r="G60" i="4"/>
  <c r="V12" i="30"/>
  <c r="AD30" i="30"/>
  <c r="AD31" i="30" s="1"/>
  <c r="W11" i="41"/>
  <c r="AG12" i="42"/>
  <c r="AG13" i="42" s="1"/>
  <c r="AF50" i="27" l="1"/>
  <c r="AF48" i="27"/>
  <c r="AF49" i="27" s="1"/>
  <c r="AH36" i="27"/>
  <c r="AD32" i="30"/>
  <c r="R35" i="30" s="1"/>
  <c r="S115" i="6"/>
  <c r="S117" i="6" s="1"/>
  <c r="X8" i="41"/>
  <c r="K14" i="41"/>
  <c r="K33" i="41" s="1"/>
  <c r="H29" i="5" s="1"/>
  <c r="W12" i="41"/>
  <c r="V13" i="30"/>
  <c r="H64" i="12"/>
  <c r="H65" i="12" s="1"/>
  <c r="AB14" i="27"/>
  <c r="AB15" i="27"/>
  <c r="H73" i="12"/>
  <c r="H55" i="4" s="1"/>
  <c r="AH10" i="42"/>
  <c r="U16" i="42"/>
  <c r="AG14" i="42"/>
  <c r="U15" i="42" s="1"/>
  <c r="O18" i="27"/>
  <c r="Z11" i="6"/>
  <c r="Z62" i="6" s="1"/>
  <c r="N50" i="4" s="1"/>
  <c r="Z61" i="6"/>
  <c r="AE29" i="30"/>
  <c r="AE25" i="41"/>
  <c r="AE26" i="41" s="1"/>
  <c r="AD33" i="30"/>
  <c r="G61" i="4"/>
  <c r="V39" i="27" l="1"/>
  <c r="AH37" i="27"/>
  <c r="V38" i="27" s="1"/>
  <c r="AI33" i="27"/>
  <c r="AF51" i="27"/>
  <c r="T52" i="27"/>
  <c r="F63" i="5" s="1"/>
  <c r="AF23" i="41"/>
  <c r="S29" i="41"/>
  <c r="AE27" i="41"/>
  <c r="R34" i="30"/>
  <c r="N51" i="4"/>
  <c r="D9" i="33"/>
  <c r="AH11" i="42"/>
  <c r="AL41" i="38"/>
  <c r="I36" i="38" s="1"/>
  <c r="I37" i="38" s="1"/>
  <c r="H67" i="12"/>
  <c r="H72" i="12" s="1"/>
  <c r="H74" i="12" s="1"/>
  <c r="K13" i="41"/>
  <c r="K32" i="41" s="1"/>
  <c r="H21" i="5" s="1"/>
  <c r="X9" i="41"/>
  <c r="X34" i="41" s="1"/>
  <c r="I63" i="12" s="1"/>
  <c r="G63" i="4"/>
  <c r="G80" i="5"/>
  <c r="G83" i="5" s="1"/>
  <c r="AE30" i="30"/>
  <c r="AE31" i="30" s="1"/>
  <c r="H53" i="4"/>
  <c r="H56" i="4" s="1"/>
  <c r="H58" i="4" s="1"/>
  <c r="V14" i="30"/>
  <c r="S118" i="6"/>
  <c r="T114" i="6"/>
  <c r="G61" i="5"/>
  <c r="Z63" i="6"/>
  <c r="Z65" i="6" s="1"/>
  <c r="N48" i="5" s="1"/>
  <c r="Z12" i="6"/>
  <c r="Z13" i="6" s="1"/>
  <c r="AB16" i="27"/>
  <c r="T53" i="27" l="1"/>
  <c r="F71" i="5" s="1"/>
  <c r="AG47" i="27"/>
  <c r="AI34" i="27"/>
  <c r="AI36" i="27" s="1"/>
  <c r="W39" i="27" s="1"/>
  <c r="AI35" i="27"/>
  <c r="AI37" i="27"/>
  <c r="W38" i="27" s="1"/>
  <c r="X10" i="41"/>
  <c r="X35" i="41" s="1"/>
  <c r="I54" i="4" s="1"/>
  <c r="H60" i="4"/>
  <c r="T115" i="6" s="1"/>
  <c r="T117" i="6" s="1"/>
  <c r="H23" i="33"/>
  <c r="AH12" i="42"/>
  <c r="AH13" i="42" s="1"/>
  <c r="P19" i="27"/>
  <c r="AB17" i="27"/>
  <c r="AC13" i="27"/>
  <c r="D16" i="33"/>
  <c r="J17" i="30"/>
  <c r="H30" i="5" s="1"/>
  <c r="H31" i="5" s="1"/>
  <c r="V15" i="30"/>
  <c r="W11" i="30"/>
  <c r="AL42" i="38"/>
  <c r="I71" i="12"/>
  <c r="H60" i="5"/>
  <c r="H54" i="5"/>
  <c r="H55" i="5" s="1"/>
  <c r="S28" i="41"/>
  <c r="AF24" i="41"/>
  <c r="AF25" i="41" s="1"/>
  <c r="AE32" i="30"/>
  <c r="X11" i="41"/>
  <c r="AJ33" i="27" l="1"/>
  <c r="AG50" i="27"/>
  <c r="U52" i="27" s="1"/>
  <c r="G63" i="5" s="1"/>
  <c r="AG48" i="27"/>
  <c r="AG49" i="27" s="1"/>
  <c r="AI10" i="42"/>
  <c r="V16" i="42"/>
  <c r="AH14" i="42"/>
  <c r="V15" i="42" s="1"/>
  <c r="Y8" i="41"/>
  <c r="L14" i="41"/>
  <c r="L33" i="41" s="1"/>
  <c r="I29" i="5" s="1"/>
  <c r="X12" i="41"/>
  <c r="T118" i="6"/>
  <c r="U114" i="6"/>
  <c r="H61" i="5"/>
  <c r="J16" i="30"/>
  <c r="H22" i="5" s="1"/>
  <c r="H23" i="5" s="1"/>
  <c r="H25" i="5" s="1"/>
  <c r="H33" i="5" s="1"/>
  <c r="H42" i="5" s="1"/>
  <c r="AC14" i="27"/>
  <c r="AC15" i="27"/>
  <c r="AC16" i="27" s="1"/>
  <c r="S35" i="30"/>
  <c r="AF29" i="30"/>
  <c r="AE33" i="30"/>
  <c r="I73" i="12"/>
  <c r="I55" i="4" s="1"/>
  <c r="W12" i="30"/>
  <c r="P18" i="27"/>
  <c r="AF26" i="41"/>
  <c r="H61" i="4"/>
  <c r="AG51" i="27" l="1"/>
  <c r="AJ35" i="27"/>
  <c r="AJ34" i="27"/>
  <c r="Q19" i="27"/>
  <c r="AD13" i="27"/>
  <c r="AC17" i="27"/>
  <c r="H63" i="4"/>
  <c r="H80" i="5"/>
  <c r="H83" i="5" s="1"/>
  <c r="AG23" i="41"/>
  <c r="T29" i="41"/>
  <c r="AF27" i="41"/>
  <c r="S34" i="30"/>
  <c r="L13" i="41"/>
  <c r="L32" i="41" s="1"/>
  <c r="I21" i="5" s="1"/>
  <c r="Y9" i="41"/>
  <c r="Y34" i="41" s="1"/>
  <c r="J63" i="12" s="1"/>
  <c r="AI11" i="42"/>
  <c r="AI12" i="42" s="1"/>
  <c r="W13" i="30"/>
  <c r="I64" i="12"/>
  <c r="I65" i="12" s="1"/>
  <c r="AF30" i="30"/>
  <c r="AF31" i="30" s="1"/>
  <c r="AJ36" i="27" l="1"/>
  <c r="Y10" i="41"/>
  <c r="Y35" i="41" s="1"/>
  <c r="J54" i="4" s="1"/>
  <c r="U53" i="27"/>
  <c r="G71" i="5" s="1"/>
  <c r="AH47" i="27"/>
  <c r="AF32" i="30"/>
  <c r="T35" i="30" s="1"/>
  <c r="I53" i="4"/>
  <c r="I56" i="4" s="1"/>
  <c r="I58" i="4" s="1"/>
  <c r="W14" i="30"/>
  <c r="Q18" i="27"/>
  <c r="AM41" i="38"/>
  <c r="J36" i="38" s="1"/>
  <c r="J37" i="38" s="1"/>
  <c r="I67" i="12"/>
  <c r="I72" i="12" s="1"/>
  <c r="I74" i="12" s="1"/>
  <c r="T28" i="41"/>
  <c r="AG24" i="41"/>
  <c r="AG25" i="41" s="1"/>
  <c r="AD14" i="27"/>
  <c r="AD16" i="27" s="1"/>
  <c r="AD15" i="27"/>
  <c r="AG29" i="30"/>
  <c r="AI13" i="42"/>
  <c r="Y11" i="41"/>
  <c r="AH48" i="27" l="1"/>
  <c r="AH49" i="27" s="1"/>
  <c r="AH50" i="27"/>
  <c r="V52" i="27" s="1"/>
  <c r="H63" i="5" s="1"/>
  <c r="AG26" i="41"/>
  <c r="AG27" i="41" s="1"/>
  <c r="U28" i="41" s="1"/>
  <c r="X39" i="27"/>
  <c r="AJ37" i="27"/>
  <c r="X38" i="27" s="1"/>
  <c r="AK33" i="27"/>
  <c r="AF33" i="30"/>
  <c r="R19" i="27"/>
  <c r="AD17" i="27"/>
  <c r="AE13" i="27"/>
  <c r="Z8" i="41"/>
  <c r="M14" i="41"/>
  <c r="M33" i="41" s="1"/>
  <c r="J29" i="5" s="1"/>
  <c r="Y12" i="41"/>
  <c r="AJ10" i="42"/>
  <c r="W16" i="42"/>
  <c r="AI14" i="42"/>
  <c r="W15" i="42" s="1"/>
  <c r="AG30" i="30"/>
  <c r="AG31" i="30" s="1"/>
  <c r="AG32" i="30"/>
  <c r="U35" i="30" s="1"/>
  <c r="AH23" i="41"/>
  <c r="U29" i="41"/>
  <c r="K17" i="30"/>
  <c r="I30" i="5" s="1"/>
  <c r="I31" i="5" s="1"/>
  <c r="W15" i="30"/>
  <c r="X11" i="30"/>
  <c r="T34" i="30"/>
  <c r="I54" i="5"/>
  <c r="I55" i="5" s="1"/>
  <c r="J71" i="12"/>
  <c r="AM42" i="38"/>
  <c r="I60" i="5"/>
  <c r="I60" i="4"/>
  <c r="U115" i="6" s="1"/>
  <c r="U117" i="6" s="1"/>
  <c r="AK34" i="27" l="1"/>
  <c r="AK35" i="27"/>
  <c r="I61" i="4"/>
  <c r="I63" i="4" s="1"/>
  <c r="AH51" i="27"/>
  <c r="AH29" i="30"/>
  <c r="I80" i="5"/>
  <c r="I83" i="5" s="1"/>
  <c r="K16" i="30"/>
  <c r="I22" i="5" s="1"/>
  <c r="I23" i="5" s="1"/>
  <c r="I25" i="5" s="1"/>
  <c r="I33" i="5" s="1"/>
  <c r="I42" i="5" s="1"/>
  <c r="AJ11" i="42"/>
  <c r="AJ12" i="42" s="1"/>
  <c r="AE15" i="27"/>
  <c r="AE16" i="27" s="1"/>
  <c r="S19" i="27" s="1"/>
  <c r="AE14" i="27"/>
  <c r="I61" i="5"/>
  <c r="U118" i="6"/>
  <c r="V114" i="6"/>
  <c r="J73" i="12"/>
  <c r="J55" i="4" s="1"/>
  <c r="X12" i="30"/>
  <c r="AH24" i="41"/>
  <c r="M13" i="41"/>
  <c r="M32" i="41" s="1"/>
  <c r="J21" i="5" s="1"/>
  <c r="Z9" i="41"/>
  <c r="Z34" i="41" s="1"/>
  <c r="K63" i="12" s="1"/>
  <c r="R18" i="27"/>
  <c r="AG33" i="30"/>
  <c r="U34" i="30" s="1"/>
  <c r="V53" i="27" l="1"/>
  <c r="H71" i="5" s="1"/>
  <c r="AI47" i="27"/>
  <c r="AH30" i="30"/>
  <c r="AH31" i="30" s="1"/>
  <c r="AK36" i="27"/>
  <c r="J64" i="12"/>
  <c r="J65" i="12" s="1"/>
  <c r="X13" i="30"/>
  <c r="AF13" i="27"/>
  <c r="Z10" i="41"/>
  <c r="AH25" i="41"/>
  <c r="AH26" i="41" s="1"/>
  <c r="AE17" i="27"/>
  <c r="AJ13" i="42"/>
  <c r="Y39" i="27" l="1"/>
  <c r="AL33" i="27"/>
  <c r="AK37" i="27"/>
  <c r="Y38" i="27" s="1"/>
  <c r="AI50" i="27"/>
  <c r="W52" i="27" s="1"/>
  <c r="I63" i="5" s="1"/>
  <c r="AI48" i="27"/>
  <c r="AI49" i="27" s="1"/>
  <c r="AH32" i="30"/>
  <c r="AI23" i="41"/>
  <c r="V29" i="41"/>
  <c r="AH27" i="41"/>
  <c r="V28" i="41" s="1"/>
  <c r="AK10" i="42"/>
  <c r="X16" i="42"/>
  <c r="AJ14" i="42"/>
  <c r="X15" i="42" s="1"/>
  <c r="AF14" i="27"/>
  <c r="AF15" i="27"/>
  <c r="J53" i="4"/>
  <c r="J56" i="4" s="1"/>
  <c r="J58" i="4" s="1"/>
  <c r="X14" i="30"/>
  <c r="S18" i="27"/>
  <c r="Z35" i="41"/>
  <c r="K54" i="4" s="1"/>
  <c r="Z11" i="41"/>
  <c r="AN41" i="38"/>
  <c r="K36" i="38" s="1"/>
  <c r="K37" i="38" s="1"/>
  <c r="J67" i="12"/>
  <c r="J72" i="12" s="1"/>
  <c r="J74" i="12" s="1"/>
  <c r="AI51" i="27" l="1"/>
  <c r="AI29" i="30"/>
  <c r="V35" i="30"/>
  <c r="AH33" i="30"/>
  <c r="V34" i="30" s="1"/>
  <c r="AL35" i="27"/>
  <c r="AL34" i="27"/>
  <c r="AL36" i="27"/>
  <c r="Z39" i="27" s="1"/>
  <c r="AF16" i="27"/>
  <c r="T19" i="27"/>
  <c r="AF17" i="27"/>
  <c r="AG13" i="27"/>
  <c r="L17" i="30"/>
  <c r="J30" i="5" s="1"/>
  <c r="J31" i="5" s="1"/>
  <c r="X15" i="30"/>
  <c r="Y11" i="30"/>
  <c r="AI24" i="41"/>
  <c r="AI25" i="41" s="1"/>
  <c r="J54" i="5"/>
  <c r="J55" i="5" s="1"/>
  <c r="K71" i="12"/>
  <c r="AN42" i="38"/>
  <c r="J60" i="5"/>
  <c r="AA8" i="41"/>
  <c r="N14" i="41"/>
  <c r="N33" i="41" s="1"/>
  <c r="K29" i="5" s="1"/>
  <c r="Z12" i="41"/>
  <c r="J60" i="4"/>
  <c r="V115" i="6" s="1"/>
  <c r="V117" i="6" s="1"/>
  <c r="AK11" i="42"/>
  <c r="AK12" i="42" s="1"/>
  <c r="AL37" i="27" l="1"/>
  <c r="Z38" i="27" s="1"/>
  <c r="AM33" i="27"/>
  <c r="AI30" i="30"/>
  <c r="AI31" i="30" s="1"/>
  <c r="W53" i="27"/>
  <c r="I71" i="5" s="1"/>
  <c r="AJ47" i="27"/>
  <c r="J61" i="4"/>
  <c r="J80" i="5" s="1"/>
  <c r="J83" i="5" s="1"/>
  <c r="AI26" i="41"/>
  <c r="AJ23" i="41" s="1"/>
  <c r="K73" i="12"/>
  <c r="K55" i="4" s="1"/>
  <c r="L16" i="30"/>
  <c r="J22" i="5" s="1"/>
  <c r="J23" i="5" s="1"/>
  <c r="J25" i="5" s="1"/>
  <c r="J33" i="5" s="1"/>
  <c r="J42" i="5" s="1"/>
  <c r="AG15" i="27"/>
  <c r="AG14" i="27"/>
  <c r="J63" i="4"/>
  <c r="V118" i="6"/>
  <c r="J61" i="5"/>
  <c r="W114" i="6"/>
  <c r="N13" i="41"/>
  <c r="N32" i="41" s="1"/>
  <c r="K21" i="5" s="1"/>
  <c r="AA9" i="41"/>
  <c r="AA34" i="41" s="1"/>
  <c r="L63" i="12" s="1"/>
  <c r="Y12" i="30"/>
  <c r="T18" i="27"/>
  <c r="AK13" i="42"/>
  <c r="AJ48" i="27" l="1"/>
  <c r="AJ49" i="27" s="1"/>
  <c r="AJ50" i="27"/>
  <c r="X52" i="27" s="1"/>
  <c r="J63" i="5" s="1"/>
  <c r="AI32" i="30"/>
  <c r="AM35" i="27"/>
  <c r="AM34" i="27"/>
  <c r="AM36" i="27" s="1"/>
  <c r="AA10" i="41"/>
  <c r="W29" i="41"/>
  <c r="AG16" i="27"/>
  <c r="AG17" i="27" s="1"/>
  <c r="U18" i="27" s="1"/>
  <c r="AI27" i="41"/>
  <c r="W28" i="41" s="1"/>
  <c r="U19" i="27"/>
  <c r="AH13" i="27"/>
  <c r="AL10" i="42"/>
  <c r="Y16" i="42"/>
  <c r="AK14" i="42"/>
  <c r="Y15" i="42" s="1"/>
  <c r="K64" i="12"/>
  <c r="K65" i="12" s="1"/>
  <c r="Y13" i="30"/>
  <c r="K53" i="4" s="1"/>
  <c r="K56" i="4" s="1"/>
  <c r="K58" i="4" s="1"/>
  <c r="AJ24" i="41"/>
  <c r="Y14" i="30"/>
  <c r="AA39" i="27" l="1"/>
  <c r="AN33" i="27"/>
  <c r="AM37" i="27"/>
  <c r="AA38" i="27" s="1"/>
  <c r="W35" i="30"/>
  <c r="AJ29" i="30"/>
  <c r="AI33" i="30"/>
  <c r="W34" i="30" s="1"/>
  <c r="AA35" i="41"/>
  <c r="L54" i="4" s="1"/>
  <c r="AA11" i="41"/>
  <c r="AJ51" i="27"/>
  <c r="AJ25" i="41"/>
  <c r="AJ26" i="41" s="1"/>
  <c r="M17" i="30"/>
  <c r="K30" i="5" s="1"/>
  <c r="K31" i="5" s="1"/>
  <c r="Z11" i="30"/>
  <c r="Y15" i="30"/>
  <c r="AO41" i="38"/>
  <c r="L36" i="38" s="1"/>
  <c r="L37" i="38" s="1"/>
  <c r="K67" i="12"/>
  <c r="K72" i="12" s="1"/>
  <c r="K74" i="12" s="1"/>
  <c r="K60" i="4"/>
  <c r="W115" i="6" s="1"/>
  <c r="W117" i="6" s="1"/>
  <c r="AL11" i="42"/>
  <c r="AL12" i="42"/>
  <c r="AL13" i="42" s="1"/>
  <c r="AH15" i="27"/>
  <c r="AH14" i="27"/>
  <c r="AH16" i="27" s="1"/>
  <c r="AJ30" i="30" l="1"/>
  <c r="AJ31" i="30" s="1"/>
  <c r="AN34" i="27"/>
  <c r="AN35" i="27"/>
  <c r="AN36" i="27"/>
  <c r="AB39" i="27" s="1"/>
  <c r="AA12" i="41"/>
  <c r="O13" i="41" s="1"/>
  <c r="O32" i="41" s="1"/>
  <c r="L21" i="5" s="1"/>
  <c r="O14" i="41"/>
  <c r="O33" i="41" s="1"/>
  <c r="L29" i="5" s="1"/>
  <c r="AB8" i="41"/>
  <c r="X53" i="27"/>
  <c r="J71" i="5" s="1"/>
  <c r="AK47" i="27"/>
  <c r="X29" i="41"/>
  <c r="AK23" i="41"/>
  <c r="AJ27" i="41"/>
  <c r="X28" i="41" s="1"/>
  <c r="V19" i="27"/>
  <c r="AH17" i="27"/>
  <c r="V18" i="27" s="1"/>
  <c r="AI13" i="27"/>
  <c r="AM10" i="42"/>
  <c r="Z16" i="42"/>
  <c r="AL14" i="42"/>
  <c r="Z15" i="42" s="1"/>
  <c r="W118" i="6"/>
  <c r="K61" i="5"/>
  <c r="X114" i="6"/>
  <c r="K60" i="5"/>
  <c r="K54" i="5"/>
  <c r="K55" i="5" s="1"/>
  <c r="AO42" i="38"/>
  <c r="L71" i="12"/>
  <c r="Z12" i="30"/>
  <c r="AK24" i="41"/>
  <c r="AK25" i="41" s="1"/>
  <c r="AK26" i="41" s="1"/>
  <c r="M16" i="30"/>
  <c r="K22" i="5" s="1"/>
  <c r="K23" i="5" s="1"/>
  <c r="K25" i="5" s="1"/>
  <c r="K33" i="5" s="1"/>
  <c r="K42" i="5" s="1"/>
  <c r="K61" i="4"/>
  <c r="AN37" i="27" l="1"/>
  <c r="AB38" i="27" s="1"/>
  <c r="AK50" i="27"/>
  <c r="Y52" i="27" s="1"/>
  <c r="K63" i="5" s="1"/>
  <c r="AK48" i="27"/>
  <c r="AK49" i="27" s="1"/>
  <c r="AK51" i="27"/>
  <c r="Y53" i="27" s="1"/>
  <c r="K71" i="5" s="1"/>
  <c r="AL47" i="27"/>
  <c r="AB9" i="41"/>
  <c r="AJ32" i="30"/>
  <c r="AL23" i="41"/>
  <c r="Y29" i="41"/>
  <c r="AK27" i="41"/>
  <c r="Y28" i="41" s="1"/>
  <c r="Z13" i="30"/>
  <c r="L53" i="4" s="1"/>
  <c r="L64" i="12"/>
  <c r="L65" i="12" s="1"/>
  <c r="L73" i="12"/>
  <c r="L55" i="4" s="1"/>
  <c r="AI15" i="27"/>
  <c r="AI14" i="27"/>
  <c r="AI16" i="27" s="1"/>
  <c r="W19" i="27" s="1"/>
  <c r="K63" i="4"/>
  <c r="K80" i="5"/>
  <c r="K83" i="5" s="1"/>
  <c r="AM11" i="42"/>
  <c r="AM12" i="42" s="1"/>
  <c r="AM13" i="42" s="1"/>
  <c r="AB34" i="41" l="1"/>
  <c r="M63" i="12" s="1"/>
  <c r="AB10" i="41"/>
  <c r="AB35" i="41" s="1"/>
  <c r="M54" i="4" s="1"/>
  <c r="AL50" i="27"/>
  <c r="Z52" i="27" s="1"/>
  <c r="L63" i="5" s="1"/>
  <c r="AL48" i="27"/>
  <c r="AL49" i="27" s="1"/>
  <c r="X35" i="30"/>
  <c r="AK29" i="30"/>
  <c r="AJ33" i="30"/>
  <c r="X34" i="30" s="1"/>
  <c r="AN10" i="42"/>
  <c r="AA16" i="42"/>
  <c r="AM14" i="42"/>
  <c r="AA15" i="42" s="1"/>
  <c r="AL24" i="41"/>
  <c r="AP41" i="38"/>
  <c r="M36" i="38" s="1"/>
  <c r="M37" i="38" s="1"/>
  <c r="L67" i="12"/>
  <c r="L72" i="12" s="1"/>
  <c r="L74" i="12" s="1"/>
  <c r="AJ13" i="27"/>
  <c r="L56" i="4"/>
  <c r="L58" i="4" s="1"/>
  <c r="Z14" i="30"/>
  <c r="AI17" i="27"/>
  <c r="W18" i="27" s="1"/>
  <c r="AL51" i="27" l="1"/>
  <c r="AK30" i="30"/>
  <c r="AK31" i="30" s="1"/>
  <c r="AK32" i="30" s="1"/>
  <c r="AB11" i="41"/>
  <c r="N17" i="30"/>
  <c r="L30" i="5" s="1"/>
  <c r="L31" i="5" s="1"/>
  <c r="Z15" i="30"/>
  <c r="AA11" i="30"/>
  <c r="L60" i="4"/>
  <c r="X115" i="6" s="1"/>
  <c r="X117" i="6" s="1"/>
  <c r="AN11" i="42"/>
  <c r="AN12" i="42" s="1"/>
  <c r="AN13" i="42" s="1"/>
  <c r="AB16" i="42" s="1"/>
  <c r="AJ15" i="27"/>
  <c r="AJ14" i="27"/>
  <c r="AJ16" i="27" s="1"/>
  <c r="AP42" i="38"/>
  <c r="M71" i="12"/>
  <c r="L60" i="5"/>
  <c r="L54" i="5"/>
  <c r="L55" i="5" s="1"/>
  <c r="AL25" i="41"/>
  <c r="AL26" i="41" s="1"/>
  <c r="Y35" i="30" l="1"/>
  <c r="AL29" i="30"/>
  <c r="AK33" i="30"/>
  <c r="Y34" i="30" s="1"/>
  <c r="AB12" i="41"/>
  <c r="P13" i="41" s="1"/>
  <c r="P32" i="41" s="1"/>
  <c r="M21" i="5" s="1"/>
  <c r="AC8" i="41"/>
  <c r="P14" i="41"/>
  <c r="P33" i="41" s="1"/>
  <c r="M29" i="5" s="1"/>
  <c r="Z53" i="27"/>
  <c r="L71" i="5" s="1"/>
  <c r="AM47" i="27"/>
  <c r="X19" i="27"/>
  <c r="AJ17" i="27"/>
  <c r="X18" i="27" s="1"/>
  <c r="AK13" i="27"/>
  <c r="AM23" i="41"/>
  <c r="Z29" i="41"/>
  <c r="AL27" i="41"/>
  <c r="Z28" i="41" s="1"/>
  <c r="M73" i="12"/>
  <c r="M55" i="4" s="1"/>
  <c r="N16" i="30"/>
  <c r="L22" i="5" s="1"/>
  <c r="L23" i="5" s="1"/>
  <c r="L25" i="5" s="1"/>
  <c r="L33" i="5" s="1"/>
  <c r="L42" i="5" s="1"/>
  <c r="L61" i="4"/>
  <c r="Y114" i="6"/>
  <c r="X118" i="6"/>
  <c r="L61" i="5"/>
  <c r="AA12" i="30"/>
  <c r="AN14" i="42"/>
  <c r="AB15" i="42" s="1"/>
  <c r="AC9" i="41" l="1"/>
  <c r="AC34" i="41" s="1"/>
  <c r="N63" i="12" s="1"/>
  <c r="AL30" i="30"/>
  <c r="AL31" i="30" s="1"/>
  <c r="AM48" i="27"/>
  <c r="AM49" i="27" s="1"/>
  <c r="AM50" i="27"/>
  <c r="AA52" i="27" s="1"/>
  <c r="M63" i="5" s="1"/>
  <c r="AK14" i="27"/>
  <c r="AK16" i="27" s="1"/>
  <c r="Y19" i="27" s="1"/>
  <c r="AK15" i="27"/>
  <c r="AA13" i="30"/>
  <c r="M64" i="12"/>
  <c r="M65" i="12" s="1"/>
  <c r="L63" i="4"/>
  <c r="L80" i="5"/>
  <c r="L83" i="5" s="1"/>
  <c r="AM24" i="41"/>
  <c r="AL32" i="30" l="1"/>
  <c r="AM51" i="27"/>
  <c r="AC10" i="41"/>
  <c r="AC35" i="41" s="1"/>
  <c r="N54" i="4" s="1"/>
  <c r="M53" i="4"/>
  <c r="M56" i="4" s="1"/>
  <c r="M58" i="4" s="1"/>
  <c r="AA14" i="30"/>
  <c r="AQ41" i="38"/>
  <c r="N36" i="38" s="1"/>
  <c r="N37" i="38" s="1"/>
  <c r="M67" i="12"/>
  <c r="M72" i="12" s="1"/>
  <c r="M74" i="12" s="1"/>
  <c r="AM25" i="41"/>
  <c r="AM26" i="41" s="1"/>
  <c r="AK17" i="27"/>
  <c r="Y18" i="27" s="1"/>
  <c r="AL13" i="27"/>
  <c r="AC11" i="41" l="1"/>
  <c r="AA53" i="27"/>
  <c r="M71" i="5" s="1"/>
  <c r="AN47" i="27"/>
  <c r="Z35" i="30"/>
  <c r="AM29" i="30"/>
  <c r="AL33" i="30"/>
  <c r="Z34" i="30" s="1"/>
  <c r="AN23" i="41"/>
  <c r="AA29" i="41"/>
  <c r="AM27" i="41"/>
  <c r="AA28" i="41" s="1"/>
  <c r="M60" i="4"/>
  <c r="Y115" i="6" s="1"/>
  <c r="Y117" i="6" s="1"/>
  <c r="AL15" i="27"/>
  <c r="AL14" i="27"/>
  <c r="M54" i="5"/>
  <c r="M55" i="5" s="1"/>
  <c r="AQ42" i="38"/>
  <c r="M60" i="5"/>
  <c r="N71" i="12"/>
  <c r="O17" i="30"/>
  <c r="M30" i="5" s="1"/>
  <c r="M31" i="5" s="1"/>
  <c r="AA15" i="30"/>
  <c r="AB11" i="30"/>
  <c r="AM30" i="30" l="1"/>
  <c r="AM31" i="30" s="1"/>
  <c r="AM32" i="30" s="1"/>
  <c r="AN50" i="27"/>
  <c r="AB52" i="27" s="1"/>
  <c r="N63" i="5" s="1"/>
  <c r="AN48" i="27"/>
  <c r="AN49" i="27" s="1"/>
  <c r="M61" i="4"/>
  <c r="M63" i="4" s="1"/>
  <c r="AD8" i="41"/>
  <c r="Q14" i="41"/>
  <c r="Q33" i="41" s="1"/>
  <c r="N29" i="5" s="1"/>
  <c r="B72" i="5" s="1"/>
  <c r="AC12" i="41"/>
  <c r="AL16" i="27"/>
  <c r="Z19" i="27"/>
  <c r="AL17" i="27"/>
  <c r="Z18" i="27" s="1"/>
  <c r="AM13" i="27"/>
  <c r="AB12" i="30"/>
  <c r="O16" i="30"/>
  <c r="M22" i="5" s="1"/>
  <c r="M23" i="5" s="1"/>
  <c r="M25" i="5" s="1"/>
  <c r="M33" i="5" s="1"/>
  <c r="M42" i="5" s="1"/>
  <c r="N73" i="12"/>
  <c r="N55" i="4" s="1"/>
  <c r="M61" i="5"/>
  <c r="Z114" i="6"/>
  <c r="Y118" i="6"/>
  <c r="AN24" i="41"/>
  <c r="AA35" i="30" l="1"/>
  <c r="AM33" i="30"/>
  <c r="AA34" i="30" s="1"/>
  <c r="AN29" i="30"/>
  <c r="AN51" i="27"/>
  <c r="AB53" i="27" s="1"/>
  <c r="N71" i="5" s="1"/>
  <c r="Q13" i="41"/>
  <c r="Q32" i="41" s="1"/>
  <c r="N21" i="5" s="1"/>
  <c r="B64" i="5" s="1"/>
  <c r="M80" i="5"/>
  <c r="M83" i="5" s="1"/>
  <c r="AD9" i="41"/>
  <c r="AD10" i="41" s="1"/>
  <c r="AD11" i="41" s="1"/>
  <c r="AN25" i="41"/>
  <c r="AN26" i="41" s="1"/>
  <c r="N64" i="12"/>
  <c r="N65" i="12" s="1"/>
  <c r="AB13" i="30"/>
  <c r="N53" i="4" s="1"/>
  <c r="N56" i="4" s="1"/>
  <c r="AM14" i="27"/>
  <c r="AM15" i="27"/>
  <c r="R14" i="41" l="1"/>
  <c r="R33" i="41" s="1"/>
  <c r="C72" i="5" s="1"/>
  <c r="AE8" i="41"/>
  <c r="AN30" i="30"/>
  <c r="AN31" i="30" s="1"/>
  <c r="AB14" i="30"/>
  <c r="AB15" i="30" s="1"/>
  <c r="AM16" i="27"/>
  <c r="AD12" i="41"/>
  <c r="R13" i="41" s="1"/>
  <c r="R32" i="41" s="1"/>
  <c r="C64" i="5" s="1"/>
  <c r="AO23" i="41"/>
  <c r="AN27" i="41"/>
  <c r="AB28" i="41" s="1"/>
  <c r="AB29" i="41"/>
  <c r="AA19" i="27"/>
  <c r="AN13" i="27"/>
  <c r="AM17" i="27"/>
  <c r="AA18" i="27" s="1"/>
  <c r="AC11" i="30"/>
  <c r="AR41" i="38"/>
  <c r="O36" i="38" s="1"/>
  <c r="O37" i="38" s="1"/>
  <c r="N67" i="12"/>
  <c r="N72" i="12" s="1"/>
  <c r="N74" i="12" s="1"/>
  <c r="H8" i="33"/>
  <c r="H12" i="33" s="1"/>
  <c r="D10" i="33"/>
  <c r="N58" i="4"/>
  <c r="AO24" i="41"/>
  <c r="P17" i="30" l="1"/>
  <c r="N30" i="5" s="1"/>
  <c r="B73" i="5" s="1"/>
  <c r="B74" i="5" s="1"/>
  <c r="AN32" i="30"/>
  <c r="AE9" i="41"/>
  <c r="AE10" i="41" s="1"/>
  <c r="AE11" i="41"/>
  <c r="AE12" i="41" s="1"/>
  <c r="S13" i="41" s="1"/>
  <c r="S32" i="41" s="1"/>
  <c r="D64" i="5" s="1"/>
  <c r="N60" i="5"/>
  <c r="N54" i="5"/>
  <c r="N55" i="5" s="1"/>
  <c r="AR42" i="38"/>
  <c r="P16" i="30"/>
  <c r="N22" i="5" s="1"/>
  <c r="AN15" i="27"/>
  <c r="AN14" i="27"/>
  <c r="AN16" i="27" s="1"/>
  <c r="AB19" i="27" s="1"/>
  <c r="N60" i="4"/>
  <c r="H24" i="33"/>
  <c r="AC12" i="30"/>
  <c r="AC13" i="30" s="1"/>
  <c r="AO25" i="41"/>
  <c r="AO26" i="41" s="1"/>
  <c r="N31" i="5" l="1"/>
  <c r="C22" i="33" s="1"/>
  <c r="AF8" i="41"/>
  <c r="S14" i="41"/>
  <c r="S33" i="41" s="1"/>
  <c r="D72" i="5" s="1"/>
  <c r="AB35" i="30"/>
  <c r="AN33" i="30"/>
  <c r="AB34" i="30" s="1"/>
  <c r="AC14" i="30"/>
  <c r="Q17" i="30" s="1"/>
  <c r="C73" i="5" s="1"/>
  <c r="C74" i="5" s="1"/>
  <c r="Z115" i="6"/>
  <c r="Z117" i="6" s="1"/>
  <c r="D11" i="33"/>
  <c r="D12" i="33" s="1"/>
  <c r="B65" i="5"/>
  <c r="B66" i="5" s="1"/>
  <c r="B68" i="5" s="1"/>
  <c r="B76" i="5" s="1"/>
  <c r="B85" i="5" s="1"/>
  <c r="N23" i="5"/>
  <c r="D18" i="33"/>
  <c r="AC29" i="41"/>
  <c r="AO27" i="41"/>
  <c r="AC28" i="41" s="1"/>
  <c r="AD11" i="30"/>
  <c r="N61" i="4"/>
  <c r="AN17" i="27"/>
  <c r="AB18" i="27" s="1"/>
  <c r="AF9" i="41" l="1"/>
  <c r="AF10" i="41" s="1"/>
  <c r="AF11" i="41" s="1"/>
  <c r="AF12" i="41" s="1"/>
  <c r="T13" i="41" s="1"/>
  <c r="T32" i="41" s="1"/>
  <c r="E64" i="5" s="1"/>
  <c r="AC15" i="30"/>
  <c r="Q16" i="30"/>
  <c r="C65" i="5" s="1"/>
  <c r="C66" i="5" s="1"/>
  <c r="C68" i="5" s="1"/>
  <c r="C76" i="5" s="1"/>
  <c r="C85" i="5" s="1"/>
  <c r="C19" i="33"/>
  <c r="C21" i="33" s="1"/>
  <c r="C25" i="33" s="1"/>
  <c r="G16" i="33"/>
  <c r="G17" i="33"/>
  <c r="N25" i="5"/>
  <c r="N33" i="5" s="1"/>
  <c r="N42" i="5" s="1"/>
  <c r="N63" i="4"/>
  <c r="N80" i="5"/>
  <c r="N83" i="5" s="1"/>
  <c r="H25" i="33"/>
  <c r="AD12" i="30"/>
  <c r="AD13" i="30" s="1"/>
  <c r="Z118" i="6"/>
  <c r="N61" i="5"/>
  <c r="AG8" i="41" l="1"/>
  <c r="T14" i="41"/>
  <c r="T33" i="41" s="1"/>
  <c r="E72" i="5" s="1"/>
  <c r="H19" i="33"/>
  <c r="H18" i="33"/>
  <c r="AD14" i="30"/>
  <c r="AG9" i="41" l="1"/>
  <c r="AG10" i="41" s="1"/>
  <c r="AG11" i="41"/>
  <c r="R17" i="30"/>
  <c r="D73" i="5" s="1"/>
  <c r="D74" i="5" s="1"/>
  <c r="AD15" i="30"/>
  <c r="AE11" i="30"/>
  <c r="AH8" i="41" l="1"/>
  <c r="AH9" i="41" s="1"/>
  <c r="AG12" i="41"/>
  <c r="U13" i="41" s="1"/>
  <c r="U32" i="41" s="1"/>
  <c r="F64" i="5" s="1"/>
  <c r="U14" i="41"/>
  <c r="U33" i="41" s="1"/>
  <c r="F72" i="5" s="1"/>
  <c r="AE12" i="30"/>
  <c r="AE13" i="30" s="1"/>
  <c r="R16" i="30"/>
  <c r="D65" i="5" s="1"/>
  <c r="D66" i="5" s="1"/>
  <c r="D68" i="5" s="1"/>
  <c r="D76" i="5" s="1"/>
  <c r="D85" i="5" s="1"/>
  <c r="AH10" i="41"/>
  <c r="AH11" i="41" s="1"/>
  <c r="AI8" i="41" l="1"/>
  <c r="V14" i="41"/>
  <c r="V33" i="41" s="1"/>
  <c r="G72" i="5" s="1"/>
  <c r="AH12" i="41"/>
  <c r="V13" i="41" s="1"/>
  <c r="V32" i="41" s="1"/>
  <c r="G64" i="5" s="1"/>
  <c r="AE14" i="30"/>
  <c r="AI9" i="41" l="1"/>
  <c r="AI10" i="41" s="1"/>
  <c r="S17" i="30"/>
  <c r="E73" i="5" s="1"/>
  <c r="E74" i="5" s="1"/>
  <c r="AE15" i="30"/>
  <c r="AF11" i="30"/>
  <c r="AF12" i="30" l="1"/>
  <c r="AF13" i="30" s="1"/>
  <c r="S16" i="30"/>
  <c r="E65" i="5" s="1"/>
  <c r="E66" i="5" s="1"/>
  <c r="E68" i="5" s="1"/>
  <c r="E76" i="5" s="1"/>
  <c r="E85" i="5" s="1"/>
  <c r="AI11" i="41"/>
  <c r="AJ8" i="41" l="1"/>
  <c r="W14" i="41"/>
  <c r="W33" i="41" s="1"/>
  <c r="H72" i="5" s="1"/>
  <c r="AI12" i="41"/>
  <c r="W13" i="41" s="1"/>
  <c r="W32" i="41" s="1"/>
  <c r="H64" i="5" s="1"/>
  <c r="AF14" i="30"/>
  <c r="AJ9" i="41" l="1"/>
  <c r="AJ10" i="41" s="1"/>
  <c r="T17" i="30"/>
  <c r="F73" i="5" s="1"/>
  <c r="F74" i="5" s="1"/>
  <c r="AG11" i="30"/>
  <c r="AF15" i="30"/>
  <c r="T16" i="30" l="1"/>
  <c r="F65" i="5" s="1"/>
  <c r="F66" i="5" s="1"/>
  <c r="F68" i="5" s="1"/>
  <c r="F76" i="5" s="1"/>
  <c r="F85" i="5" s="1"/>
  <c r="AG12" i="30"/>
  <c r="AG13" i="30" s="1"/>
  <c r="AG14" i="30" s="1"/>
  <c r="AJ11" i="41"/>
  <c r="U17" i="30" l="1"/>
  <c r="G73" i="5" s="1"/>
  <c r="G74" i="5" s="1"/>
  <c r="AG15" i="30"/>
  <c r="U16" i="30" s="1"/>
  <c r="G65" i="5" s="1"/>
  <c r="G66" i="5" s="1"/>
  <c r="G68" i="5" s="1"/>
  <c r="AH11" i="30"/>
  <c r="AK8" i="41"/>
  <c r="X14" i="41"/>
  <c r="X33" i="41" s="1"/>
  <c r="I72" i="5" s="1"/>
  <c r="AJ12" i="41"/>
  <c r="X13" i="41" s="1"/>
  <c r="X32" i="41" s="1"/>
  <c r="I64" i="5" s="1"/>
  <c r="AH12" i="30"/>
  <c r="AH13" i="30" s="1"/>
  <c r="G76" i="5" l="1"/>
  <c r="G85" i="5" s="1"/>
  <c r="AH14" i="30"/>
  <c r="AK9" i="41"/>
  <c r="AK10" i="41" s="1"/>
  <c r="AK11" i="41" s="1"/>
  <c r="AH15" i="30"/>
  <c r="V16" i="30" s="1"/>
  <c r="H65" i="5" s="1"/>
  <c r="H66" i="5" s="1"/>
  <c r="H68" i="5" s="1"/>
  <c r="V17" i="30" l="1"/>
  <c r="H73" i="5" s="1"/>
  <c r="H74" i="5" s="1"/>
  <c r="AI11" i="30"/>
  <c r="AI12" i="30" s="1"/>
  <c r="AI13" i="30" s="1"/>
  <c r="H76" i="5"/>
  <c r="H85" i="5" s="1"/>
  <c r="AL8" i="41"/>
  <c r="Y14" i="41"/>
  <c r="Y33" i="41" s="1"/>
  <c r="J72" i="5" s="1"/>
  <c r="AK12" i="41"/>
  <c r="Y13" i="41" s="1"/>
  <c r="Y32" i="41" s="1"/>
  <c r="J64" i="5" s="1"/>
  <c r="AI14" i="30" l="1"/>
  <c r="W17" i="30"/>
  <c r="I73" i="5" s="1"/>
  <c r="I74" i="5" s="1"/>
  <c r="AJ11" i="30"/>
  <c r="AI15" i="30"/>
  <c r="W16" i="30" s="1"/>
  <c r="I65" i="5" s="1"/>
  <c r="I66" i="5" s="1"/>
  <c r="I68" i="5" s="1"/>
  <c r="I76" i="5" s="1"/>
  <c r="I85" i="5" s="1"/>
  <c r="AL9" i="41"/>
  <c r="AL10" i="41" s="1"/>
  <c r="AL11" i="41" l="1"/>
  <c r="AJ12" i="30"/>
  <c r="AJ13" i="30" s="1"/>
  <c r="AJ14" i="30" l="1"/>
  <c r="AK11" i="30" s="1"/>
  <c r="AM8" i="41"/>
  <c r="Z14" i="41"/>
  <c r="Z33" i="41" s="1"/>
  <c r="K72" i="5" s="1"/>
  <c r="AL12" i="41"/>
  <c r="Z13" i="41" s="1"/>
  <c r="Z32" i="41" s="1"/>
  <c r="K64" i="5" s="1"/>
  <c r="X17" i="30" l="1"/>
  <c r="J73" i="5" s="1"/>
  <c r="J74" i="5" s="1"/>
  <c r="AJ15" i="30"/>
  <c r="X16" i="30" s="1"/>
  <c r="J65" i="5" s="1"/>
  <c r="J66" i="5" s="1"/>
  <c r="J68" i="5" s="1"/>
  <c r="AM9" i="41"/>
  <c r="AM10" i="41" s="1"/>
  <c r="AK12" i="30"/>
  <c r="AK13" i="30" s="1"/>
  <c r="J76" i="5" l="1"/>
  <c r="J85" i="5" s="1"/>
  <c r="AK14" i="30"/>
  <c r="Y17" i="30" s="1"/>
  <c r="K73" i="5" s="1"/>
  <c r="K74" i="5" s="1"/>
  <c r="AM11" i="41"/>
  <c r="AN8" i="41" s="1"/>
  <c r="AA14" i="41"/>
  <c r="AA33" i="41" s="1"/>
  <c r="L72" i="5" s="1"/>
  <c r="AL11" i="30"/>
  <c r="AK15" i="30"/>
  <c r="Y16" i="30" s="1"/>
  <c r="K65" i="5" s="1"/>
  <c r="K66" i="5" s="1"/>
  <c r="K68" i="5" s="1"/>
  <c r="K76" i="5" l="1"/>
  <c r="K85" i="5" s="1"/>
  <c r="AM12" i="41"/>
  <c r="AA13" i="41" s="1"/>
  <c r="AA32" i="41" s="1"/>
  <c r="L64" i="5" s="1"/>
  <c r="AL12" i="30"/>
  <c r="AL13" i="30" s="1"/>
  <c r="AN9" i="41"/>
  <c r="AN10" i="41" s="1"/>
  <c r="AN11" i="41" l="1"/>
  <c r="AL14" i="30"/>
  <c r="AO8" i="41" l="1"/>
  <c r="AB14" i="41"/>
  <c r="AB33" i="41" s="1"/>
  <c r="M72" i="5" s="1"/>
  <c r="AN12" i="41"/>
  <c r="AB13" i="41" s="1"/>
  <c r="AB32" i="41" s="1"/>
  <c r="M64" i="5" s="1"/>
  <c r="Z17" i="30"/>
  <c r="L73" i="5" s="1"/>
  <c r="L74" i="5" s="1"/>
  <c r="AM11" i="30"/>
  <c r="AL15" i="30"/>
  <c r="Z16" i="30" s="1"/>
  <c r="L65" i="5" s="1"/>
  <c r="L66" i="5" s="1"/>
  <c r="L68" i="5" s="1"/>
  <c r="L76" i="5" s="1"/>
  <c r="L85" i="5" s="1"/>
  <c r="AM12" i="30" l="1"/>
  <c r="AM13" i="30" s="1"/>
  <c r="AO9" i="41"/>
  <c r="AO10" i="41" l="1"/>
  <c r="AO11" i="41" s="1"/>
  <c r="AM14" i="30"/>
  <c r="AC14" i="41" l="1"/>
  <c r="AC33" i="41" s="1"/>
  <c r="N72" i="5" s="1"/>
  <c r="AO12" i="41"/>
  <c r="AC13" i="41" s="1"/>
  <c r="AC32" i="41" s="1"/>
  <c r="N64" i="5" s="1"/>
  <c r="AA17" i="30"/>
  <c r="M73" i="5" s="1"/>
  <c r="M74" i="5" s="1"/>
  <c r="AN11" i="30"/>
  <c r="AM15" i="30"/>
  <c r="AA16" i="30" s="1"/>
  <c r="M65" i="5" s="1"/>
  <c r="M66" i="5" s="1"/>
  <c r="M68" i="5" s="1"/>
  <c r="M76" i="5" s="1"/>
  <c r="M85" i="5" s="1"/>
  <c r="AN12" i="30" l="1"/>
  <c r="AN13" i="30" s="1"/>
  <c r="AN14" i="30" l="1"/>
  <c r="AB17" i="30" l="1"/>
  <c r="N73" i="5" s="1"/>
  <c r="N74" i="5" s="1"/>
  <c r="D22" i="33" s="1"/>
  <c r="AN15" i="30"/>
  <c r="AB16" i="30" s="1"/>
  <c r="N65" i="5" s="1"/>
  <c r="N66" i="5" s="1"/>
  <c r="D19" i="33" l="1"/>
  <c r="D21" i="33" s="1"/>
  <c r="D25" i="33" s="1"/>
  <c r="H17" i="33"/>
  <c r="N68" i="5"/>
  <c r="N76" i="5" s="1"/>
  <c r="N85" i="5" s="1"/>
  <c r="H16" i="33"/>
</calcChain>
</file>

<file path=xl/sharedStrings.xml><?xml version="1.0" encoding="utf-8"?>
<sst xmlns="http://schemas.openxmlformats.org/spreadsheetml/2006/main" count="1923" uniqueCount="513">
  <si>
    <t>Depreciation</t>
  </si>
  <si>
    <t>Overheads</t>
  </si>
  <si>
    <t>Other</t>
  </si>
  <si>
    <t>Uniforms</t>
  </si>
  <si>
    <t>Marketing &amp; Promotion</t>
  </si>
  <si>
    <t>Gross Profit</t>
  </si>
  <si>
    <t>Taxation</t>
  </si>
  <si>
    <t>EBITDA</t>
  </si>
  <si>
    <t>Total Overheads</t>
  </si>
  <si>
    <t>Cost of Sales</t>
  </si>
  <si>
    <t>Marketing</t>
  </si>
  <si>
    <t>EBIT</t>
  </si>
  <si>
    <t xml:space="preserve">Lease interest </t>
  </si>
  <si>
    <t>PBT</t>
  </si>
  <si>
    <t>PAT</t>
  </si>
  <si>
    <t>B.</t>
  </si>
  <si>
    <t>Days</t>
  </si>
  <si>
    <t>Debtors</t>
  </si>
  <si>
    <t>0 - 30 Days</t>
  </si>
  <si>
    <t>31 - 60 Days</t>
  </si>
  <si>
    <t>61 - 90 Days</t>
  </si>
  <si>
    <t>C.</t>
  </si>
  <si>
    <t>%</t>
  </si>
  <si>
    <t>Bank Interest</t>
  </si>
  <si>
    <t>Overdraft</t>
  </si>
  <si>
    <t>PAYE / PRSI</t>
  </si>
  <si>
    <t>Corporation tax</t>
  </si>
  <si>
    <t>€</t>
  </si>
  <si>
    <t>A.</t>
  </si>
  <si>
    <t>Sales</t>
  </si>
  <si>
    <t>Bad Debts</t>
  </si>
  <si>
    <t>Cleaning</t>
  </si>
  <si>
    <t>Interest</t>
  </si>
  <si>
    <t>Fixed Assets</t>
  </si>
  <si>
    <t>At Cost</t>
  </si>
  <si>
    <t>Opening Balance</t>
  </si>
  <si>
    <t>Additions</t>
  </si>
  <si>
    <t>Closing Balance</t>
  </si>
  <si>
    <t>Charge for the period</t>
  </si>
  <si>
    <t>NBV</t>
  </si>
  <si>
    <t>Land and buildings</t>
  </si>
  <si>
    <t>Fixture and Fittings</t>
  </si>
  <si>
    <t>Office Equipment</t>
  </si>
  <si>
    <t>Motor Vehicles</t>
  </si>
  <si>
    <t>Fixed Asset - Total</t>
  </si>
  <si>
    <t>Balance Sheet</t>
  </si>
  <si>
    <t>Tangible Assets</t>
  </si>
  <si>
    <t>Current Assets</t>
  </si>
  <si>
    <t xml:space="preserve">Stock </t>
  </si>
  <si>
    <t>Trade Debtors</t>
  </si>
  <si>
    <t>Cash at hand and in Bank</t>
  </si>
  <si>
    <t xml:space="preserve">Opening Balance </t>
  </si>
  <si>
    <t>Receipts</t>
  </si>
  <si>
    <t>Stock</t>
  </si>
  <si>
    <t>Opening Stock</t>
  </si>
  <si>
    <t>Closing Stock</t>
  </si>
  <si>
    <t>Current Liabilities</t>
  </si>
  <si>
    <t>Trade Creditors</t>
  </si>
  <si>
    <t>Other creditors</t>
  </si>
  <si>
    <t>Bank Loan</t>
  </si>
  <si>
    <t>Corporation Tax</t>
  </si>
  <si>
    <t>Purchases</t>
  </si>
  <si>
    <t>Payroll Control Account</t>
  </si>
  <si>
    <t>Wages / Salaries</t>
  </si>
  <si>
    <t>Payments</t>
  </si>
  <si>
    <t>PAYE / PRSI Control Account</t>
  </si>
  <si>
    <t>Wages &amp; Salaries</t>
  </si>
  <si>
    <t>PRSI liability</t>
  </si>
  <si>
    <t>Finance Lease Obligations</t>
  </si>
  <si>
    <t>Net Current Assets / (Liabilities)</t>
  </si>
  <si>
    <t>Cashflow</t>
  </si>
  <si>
    <t>Inflows</t>
  </si>
  <si>
    <t>Sales Receipts</t>
  </si>
  <si>
    <t>Total Inflows</t>
  </si>
  <si>
    <t>Outflows</t>
  </si>
  <si>
    <t>Fixed Asset Additions</t>
  </si>
  <si>
    <t>Creditor Payments - COS</t>
  </si>
  <si>
    <t>Creditor Payments - Overheads</t>
  </si>
  <si>
    <t xml:space="preserve">Payroll </t>
  </si>
  <si>
    <t>Bank Loan - Interest</t>
  </si>
  <si>
    <t>Finance Leases</t>
  </si>
  <si>
    <t>Total Outflows</t>
  </si>
  <si>
    <t>Cash Reconciliation</t>
  </si>
  <si>
    <t>Net Cash Inflow / (Outflow)</t>
  </si>
  <si>
    <t>Overdraft Interest</t>
  </si>
  <si>
    <t>Long Term Liabilities</t>
  </si>
  <si>
    <t xml:space="preserve">Bank Loan </t>
  </si>
  <si>
    <t>Finance Lease obligations</t>
  </si>
  <si>
    <t>Capital and reserves</t>
  </si>
  <si>
    <t>Profit and loss account</t>
  </si>
  <si>
    <t>Shareholders Funds</t>
  </si>
  <si>
    <t>Net Assets / (Liabilities)</t>
  </si>
  <si>
    <t>Opening Payments</t>
  </si>
  <si>
    <t>Liability in Period</t>
  </si>
  <si>
    <t>Payment in Period</t>
  </si>
  <si>
    <t>Years</t>
  </si>
  <si>
    <t>Residual</t>
  </si>
  <si>
    <t>Month</t>
  </si>
  <si>
    <t>Repayment</t>
  </si>
  <si>
    <t>Principal Paid</t>
  </si>
  <si>
    <t>Other Creditors - Overheads</t>
  </si>
  <si>
    <t>Loans</t>
  </si>
  <si>
    <t xml:space="preserve">Net Cash Inflow / (Outflow) </t>
  </si>
  <si>
    <t>P&amp;L</t>
  </si>
  <si>
    <t>90 - 120 Days</t>
  </si>
  <si>
    <t>Drawdown</t>
  </si>
  <si>
    <t>Bank Loan - Repayment</t>
  </si>
  <si>
    <t>E.</t>
  </si>
  <si>
    <t>Sales Value</t>
  </si>
  <si>
    <t xml:space="preserve">Equity </t>
  </si>
  <si>
    <t>Accumulated results</t>
  </si>
  <si>
    <t xml:space="preserve">Bank Debt </t>
  </si>
  <si>
    <t>Lease Receipts</t>
  </si>
  <si>
    <t>F.</t>
  </si>
  <si>
    <t>G.</t>
  </si>
  <si>
    <t>CoS</t>
  </si>
  <si>
    <t>CoS as %age of Revenue</t>
  </si>
  <si>
    <t>Working Capital</t>
  </si>
  <si>
    <t>Balances</t>
  </si>
  <si>
    <t>Check</t>
  </si>
  <si>
    <t>Assets - inputs over individual months</t>
  </si>
  <si>
    <t>Opening</t>
  </si>
  <si>
    <t>FA</t>
  </si>
  <si>
    <t>Land &amp; Buildings</t>
  </si>
  <si>
    <t>Fixtures &amp; Fittings</t>
  </si>
  <si>
    <t>New leases</t>
  </si>
  <si>
    <t>Cap</t>
  </si>
  <si>
    <t>WC</t>
  </si>
  <si>
    <t>Balance</t>
  </si>
  <si>
    <t>Loan #1</t>
  </si>
  <si>
    <t>Loan #2</t>
  </si>
  <si>
    <t>Principal</t>
  </si>
  <si>
    <t>Term</t>
  </si>
  <si>
    <t>Rate</t>
  </si>
  <si>
    <t>Repayment / mth</t>
  </si>
  <si>
    <t>Total payment</t>
  </si>
  <si>
    <t>Total interest</t>
  </si>
  <si>
    <t>SumOfDigits</t>
  </si>
  <si>
    <t>Due &lt; one year</t>
  </si>
  <si>
    <t>Due &gt; one year</t>
  </si>
  <si>
    <t>Of which, interest</t>
  </si>
  <si>
    <t>Due &lt; one year (excl. interest)</t>
  </si>
  <si>
    <t>Due &gt; one year (excl. interest)</t>
  </si>
  <si>
    <t>#1</t>
  </si>
  <si>
    <t>#2</t>
  </si>
  <si>
    <t>#3</t>
  </si>
  <si>
    <t>Bank</t>
  </si>
  <si>
    <t>B</t>
  </si>
  <si>
    <t>Repayment: Interest</t>
  </si>
  <si>
    <t>Repayment: Principal</t>
  </si>
  <si>
    <t>Leases</t>
  </si>
  <si>
    <t>Commences</t>
  </si>
  <si>
    <t>Lease 1</t>
  </si>
  <si>
    <t>Digits</t>
  </si>
  <si>
    <t>Lease 2</t>
  </si>
  <si>
    <t>Administration</t>
  </si>
  <si>
    <t>Summary</t>
  </si>
  <si>
    <t>Lease #1</t>
  </si>
  <si>
    <t>Lease #2</t>
  </si>
  <si>
    <t>Cash</t>
  </si>
  <si>
    <t>Loan Obligations</t>
  </si>
  <si>
    <t>Loan - Repayment</t>
  </si>
  <si>
    <t>Staff-related costs</t>
  </si>
  <si>
    <t>Loan interest</t>
  </si>
  <si>
    <t>Interest / Charges</t>
  </si>
  <si>
    <t>€'000</t>
  </si>
  <si>
    <t>Profit &amp; Loss</t>
  </si>
  <si>
    <t>Net Assets</t>
  </si>
  <si>
    <t>Long-term Liabilities</t>
  </si>
  <si>
    <t>Net Current Assets</t>
  </si>
  <si>
    <t>OVERHEADS SUMMARY</t>
  </si>
  <si>
    <t>TOTALS</t>
  </si>
  <si>
    <t>TOTALs</t>
  </si>
  <si>
    <t>VAT</t>
  </si>
  <si>
    <t>Standard</t>
  </si>
  <si>
    <t>Reduced</t>
  </si>
  <si>
    <t>Tourism</t>
  </si>
  <si>
    <t>Agricultural</t>
  </si>
  <si>
    <t>Zero</t>
  </si>
  <si>
    <t>Exempt</t>
  </si>
  <si>
    <t>Pattern</t>
  </si>
  <si>
    <t>Divisor</t>
  </si>
  <si>
    <t>Item</t>
  </si>
  <si>
    <t>Standard_m1</t>
  </si>
  <si>
    <t>445_m1</t>
  </si>
  <si>
    <t>Bi-Monthly_m1</t>
  </si>
  <si>
    <t>Bi-Monthly_m2</t>
  </si>
  <si>
    <t>Quarterly_m1</t>
  </si>
  <si>
    <t>Quarterly_m2</t>
  </si>
  <si>
    <t>Quarterly_m3</t>
  </si>
  <si>
    <t>Half-Year_m1</t>
  </si>
  <si>
    <t>Half-Year_m2</t>
  </si>
  <si>
    <t>Half-Year_m3</t>
  </si>
  <si>
    <t>Half-Year_m4</t>
  </si>
  <si>
    <t>Half-Year_m5</t>
  </si>
  <si>
    <t>Half-Year_m6</t>
  </si>
  <si>
    <t>Annual_m1</t>
  </si>
  <si>
    <t>Annual_m2</t>
  </si>
  <si>
    <t>Annual_m3</t>
  </si>
  <si>
    <t>Annual_m4</t>
  </si>
  <si>
    <t>Annual_m5</t>
  </si>
  <si>
    <t>Annual_m6</t>
  </si>
  <si>
    <t>Annual_m7</t>
  </si>
  <si>
    <t>Annual_m8</t>
  </si>
  <si>
    <t>Annual_m9</t>
  </si>
  <si>
    <t>Annual_m10</t>
  </si>
  <si>
    <t>Annual_m11</t>
  </si>
  <si>
    <t>Annual_m12</t>
  </si>
  <si>
    <t>Other costs (exclusive of VAT)</t>
  </si>
  <si>
    <t>ON Sales</t>
  </si>
  <si>
    <t>Net Liability</t>
  </si>
  <si>
    <t>ON Cost of Sales</t>
  </si>
  <si>
    <t>ON Overheads</t>
  </si>
  <si>
    <t>Current Ratio</t>
  </si>
  <si>
    <t>Quick Ratio</t>
  </si>
  <si>
    <t>Working Capital: Sales Revenue</t>
  </si>
  <si>
    <t>Debtors : Creditors Ratio</t>
  </si>
  <si>
    <t>As a ratio of Sales:</t>
  </si>
  <si>
    <t>In</t>
  </si>
  <si>
    <t>Out</t>
  </si>
  <si>
    <t>Cum</t>
  </si>
  <si>
    <t>Date</t>
  </si>
  <si>
    <t>January</t>
  </si>
  <si>
    <t>First month of financial year</t>
  </si>
  <si>
    <t>Year of first month of financial year</t>
  </si>
  <si>
    <t>Name #1</t>
  </si>
  <si>
    <t>Name #2</t>
  </si>
  <si>
    <t>Name #3</t>
  </si>
  <si>
    <t>Name #4</t>
  </si>
  <si>
    <t>Name #5</t>
  </si>
  <si>
    <t>Name #6</t>
  </si>
  <si>
    <t>Name #7</t>
  </si>
  <si>
    <t>Name #8</t>
  </si>
  <si>
    <t>Name #9</t>
  </si>
  <si>
    <t>Name #10</t>
  </si>
  <si>
    <t>Name #11</t>
  </si>
  <si>
    <t>Name #12</t>
  </si>
  <si>
    <t>Name #13</t>
  </si>
  <si>
    <t>Name #14</t>
  </si>
  <si>
    <t>Name #15</t>
  </si>
  <si>
    <t>Name #16</t>
  </si>
  <si>
    <t>Name #17</t>
  </si>
  <si>
    <t>Name #18</t>
  </si>
  <si>
    <t>Name #19</t>
  </si>
  <si>
    <t>Switch : Off means no VAT</t>
  </si>
  <si>
    <t>On</t>
  </si>
  <si>
    <t>Check: sums to 100%</t>
  </si>
  <si>
    <t>Settings</t>
  </si>
  <si>
    <t>D.</t>
  </si>
  <si>
    <t>H.</t>
  </si>
  <si>
    <t>I.</t>
  </si>
  <si>
    <t>J.</t>
  </si>
  <si>
    <t>Opening balance</t>
  </si>
  <si>
    <t>Net profit/(loss)</t>
  </si>
  <si>
    <t>Company name</t>
  </si>
  <si>
    <t xml:space="preserve">Profit &amp; Loss Account for the year ending: </t>
  </si>
  <si>
    <t xml:space="preserve">Balance Sheet for the year ending: </t>
  </si>
  <si>
    <t xml:space="preserve">Cashflow for the year ending: </t>
  </si>
  <si>
    <t>Function</t>
  </si>
  <si>
    <t>Group</t>
  </si>
  <si>
    <t>Overheads Analysis for the year ending</t>
  </si>
  <si>
    <t>Period</t>
  </si>
  <si>
    <t>Opening
Balances</t>
  </si>
  <si>
    <t>Open</t>
  </si>
  <si>
    <t>Current liability</t>
  </si>
  <si>
    <t>Reserves</t>
  </si>
  <si>
    <t>Basis</t>
  </si>
  <si>
    <t>Asset Life years</t>
  </si>
  <si>
    <t>St.Line</t>
  </si>
  <si>
    <t>#</t>
  </si>
  <si>
    <t>VAT rate</t>
  </si>
  <si>
    <t>CoS %age</t>
  </si>
  <si>
    <t>Red.Balance</t>
  </si>
  <si>
    <t>Fixtures &amp; fittings</t>
  </si>
  <si>
    <t>Office equipment</t>
  </si>
  <si>
    <t>Motor vehicle</t>
  </si>
  <si>
    <t>Other items</t>
  </si>
  <si>
    <t>Department</t>
  </si>
  <si>
    <t>Name</t>
  </si>
  <si>
    <t>Original</t>
  </si>
  <si>
    <t>xLoan #1</t>
  </si>
  <si>
    <t>Existing Loan #1</t>
  </si>
  <si>
    <t>xLoan #2</t>
  </si>
  <si>
    <t>Current</t>
  </si>
  <si>
    <t>Long Term</t>
  </si>
  <si>
    <t>xLoan</t>
  </si>
  <si>
    <t>Existing Loan #2</t>
  </si>
  <si>
    <t>Date of first repayment of principal (if different from drawdown date)</t>
  </si>
  <si>
    <t>Bank interest</t>
  </si>
  <si>
    <t>Existing Lease</t>
  </si>
  <si>
    <t>Interest / mth</t>
  </si>
  <si>
    <t>Ratios</t>
  </si>
  <si>
    <t>If the headers on Loans or Leases are red,
this indicates that the dates associated with the Loans / Leases are before the start of the first financial year.
Start dates must be equal to or later than the beginning of the first financial year</t>
  </si>
  <si>
    <t>Graphic of monthly cashflow</t>
  </si>
  <si>
    <t>Reporting</t>
  </si>
  <si>
    <t>CFlow</t>
  </si>
  <si>
    <t>Profit &amp; Loss / Balance Sheet / Cashflow and Accounting Ratios in summary format</t>
  </si>
  <si>
    <t>Monthly cashflow analysis</t>
  </si>
  <si>
    <t>Monthly balance sheet</t>
  </si>
  <si>
    <t>BS</t>
  </si>
  <si>
    <t>Monthly profit and loss account</t>
  </si>
  <si>
    <t>Analysis of functional overheads by department</t>
  </si>
  <si>
    <t>OvrH</t>
  </si>
  <si>
    <t>Calculation</t>
  </si>
  <si>
    <t>Analysis of sales and cost of sales by month</t>
  </si>
  <si>
    <t>Input sheet for balance sheet and opening balance items</t>
  </si>
  <si>
    <t>Input</t>
  </si>
  <si>
    <t>IP2</t>
  </si>
  <si>
    <t>Input sheet for all model parameters</t>
  </si>
  <si>
    <t>IP1</t>
  </si>
  <si>
    <t>Information</t>
  </si>
  <si>
    <t>Purpose</t>
  </si>
  <si>
    <t>Status</t>
  </si>
  <si>
    <t>Worksheet names and purpose</t>
  </si>
  <si>
    <t>Business Planning Model</t>
  </si>
  <si>
    <t>Mazars.ie</t>
  </si>
  <si>
    <t>Mazars, Harcourt Centre, Block 3, Harcourt Road, Dublin 2</t>
  </si>
  <si>
    <t>Tel: +353 (0) 1 449 4400 email: bwaters@mazars.ie</t>
  </si>
  <si>
    <t xml:space="preserve">Partner </t>
  </si>
  <si>
    <t xml:space="preserve">Brendan Waters </t>
  </si>
  <si>
    <t>For more information please contact:</t>
  </si>
  <si>
    <t>Cover</t>
  </si>
  <si>
    <t>Front cover</t>
  </si>
  <si>
    <t>Structure</t>
  </si>
  <si>
    <t>This page</t>
  </si>
  <si>
    <t>Further Information</t>
  </si>
  <si>
    <t>Contact details</t>
  </si>
  <si>
    <t>Section</t>
  </si>
  <si>
    <t>Description</t>
  </si>
  <si>
    <t>Input the company name (this populates the name throughout the model)</t>
  </si>
  <si>
    <t>Input the month in which the financial year begins (usually January). This populates all of the tables in the model</t>
  </si>
  <si>
    <t>Input the first financial year (the model produces outputs for two years)</t>
  </si>
  <si>
    <t>Input the number of product / service items sold per category per annum for each year</t>
  </si>
  <si>
    <t>Select the pattern of sales from the drop-down box:</t>
  </si>
  <si>
    <t>Select the VAT rate applying to each product / service from the drop-down box:</t>
  </si>
  <si>
    <t>Price</t>
  </si>
  <si>
    <t>Input the selling price per unit of product / service EXCLUDING VAT in Euros</t>
  </si>
  <si>
    <t>Select the percentage of sales (value) expected to result in bad debts from the drop-down box</t>
  </si>
  <si>
    <t>Select the VAT rate applying to the input factor costs for each product / service from the drop-down box</t>
  </si>
  <si>
    <t>Input the percentage of the sales price (excluding VAT) represented by the direct Cost of Sales</t>
  </si>
  <si>
    <t>Line items</t>
  </si>
  <si>
    <t>For each overhead cost item, enter:</t>
  </si>
  <si>
    <t>Costs</t>
  </si>
  <si>
    <t>For each named-staff member, enter:</t>
  </si>
  <si>
    <t>Debtors, CoS, Overheads</t>
  </si>
  <si>
    <t>For all creditor categories, enter the percentage split of cashflow payment / expenditure flows.</t>
  </si>
  <si>
    <t>A checkbox indicates whether the inputs per column sum to 100%</t>
  </si>
  <si>
    <t>For each of the assets, enter the expected asset life and select the basis of depreciation from the drop-down box (viz: Straight Line or Reducing Balance). The percentage rate of depreciation is calculated with reference to the asset life</t>
  </si>
  <si>
    <t>Enter the percentage rates related to Overdrafts and Term Loans</t>
  </si>
  <si>
    <t>The model accommodates two loans and a financing bank loan – for each, enter:</t>
  </si>
  <si>
    <t>The model accommodates up to three leases – for each, enter:</t>
  </si>
  <si>
    <t>Enter the applicable payroll taxation rate</t>
  </si>
  <si>
    <t>Enter the applicable Corporation Tax rate</t>
  </si>
  <si>
    <t>VAT switch</t>
  </si>
  <si>
    <t>If the drop-down is set to “On”, all VAT consequences will be calculated. If set to “Off”, VAT is ignored in the model</t>
  </si>
  <si>
    <t>Input the VAT rates applicable by category</t>
  </si>
  <si>
    <t>For Land &amp; Buildings, Fixtures &amp; Fittings, Office Equipment and Motor Vehicles:</t>
  </si>
  <si>
    <t>Working capital</t>
  </si>
  <si>
    <t>Enter opening balances – note that opening debtors and creditors will have their expiry automatically calculated with reference to the debtor and creditor profiles at G</t>
  </si>
  <si>
    <t>Input for details of existing loans, forming part of the funding at the beginning of the plan. Details to input are:</t>
  </si>
  <si>
    <t>2. Input Guidance</t>
  </si>
  <si>
    <t>No input required – the cell is calculated on the basis of prior input(s)</t>
  </si>
  <si>
    <t>Calculated input</t>
  </si>
  <si>
    <t>User input is provided by selecting form one of the pre-populated items in the box (e.g. month of the year)</t>
  </si>
  <si>
    <t>Input: drop-down</t>
  </si>
  <si>
    <t>All such cells in worksheets IP1 and IP2 are specifically for user input. Surrounding text prompts for the type of input required (e.g. € amount or percentage)</t>
  </si>
  <si>
    <t>Narrative</t>
  </si>
  <si>
    <t>Shade</t>
  </si>
  <si>
    <t>The various cells are shaded in different colours:</t>
  </si>
  <si>
    <t>1.  Cells</t>
  </si>
  <si>
    <t>Guidance notes</t>
  </si>
  <si>
    <t>CASH FLOW - TWO YEARS</t>
  </si>
  <si>
    <t>Employers' PRSI</t>
  </si>
  <si>
    <r>
      <t>A.</t>
    </r>
    <r>
      <rPr>
        <sz val="7"/>
        <color indexed="30"/>
        <rFont val="Times New Roman"/>
        <family val="1"/>
      </rPr>
      <t xml:space="preserve">    </t>
    </r>
    <r>
      <rPr>
        <sz val="10"/>
        <color indexed="30"/>
        <rFont val="Lucida Sans Unicode"/>
        <family val="2"/>
      </rPr>
      <t>Settings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</si>
  <si>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Standard_m1 – assumes one twelfth of sales occur each month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</si>
  <si>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445_m1 – assumes 4/52 of sales occur in the first two months of each quarter, with 5/52 occurring in the third month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</si>
  <si>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Bi-Monthly_m1 – assumes sales occur on every other month, with the first sales in month one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</si>
  <si>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Half-Year_m6 – assumes sales occur twice per year, the first in month six, the second in month 12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</si>
  <si>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Annual_m1 – assumes sales occur once per year, in month one</t>
    </r>
  </si>
  <si>
    <r>
      <t>C.</t>
    </r>
    <r>
      <rPr>
        <sz val="7"/>
        <color indexed="30"/>
        <rFont val="Times New Roman"/>
        <family val="1"/>
      </rPr>
      <t xml:space="preserve">    </t>
    </r>
    <r>
      <rPr>
        <sz val="10"/>
        <color indexed="30"/>
        <rFont val="Lucida Sans Unicode"/>
        <family val="2"/>
      </rPr>
      <t>Sales Price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</si>
  <si>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Standard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</si>
  <si>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Reduced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</si>
  <si>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Tourism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</si>
  <si>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Agricultural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</si>
  <si>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Zero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</si>
  <si>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Exempt</t>
    </r>
  </si>
  <si>
    <r>
      <t>D.</t>
    </r>
    <r>
      <rPr>
        <sz val="7"/>
        <color indexed="30"/>
        <rFont val="Times New Roman"/>
        <family val="1"/>
      </rPr>
      <t xml:space="preserve">    </t>
    </r>
    <r>
      <rPr>
        <sz val="10"/>
        <color indexed="30"/>
        <rFont val="Lucida Sans Unicode"/>
        <family val="2"/>
      </rPr>
      <t>CoS as %age of Revenue</t>
    </r>
  </si>
  <si>
    <r>
      <t>E.</t>
    </r>
    <r>
      <rPr>
        <sz val="7"/>
        <color indexed="30"/>
        <rFont val="Times New Roman"/>
        <family val="1"/>
      </rPr>
      <t xml:space="preserve">     </t>
    </r>
    <r>
      <rPr>
        <sz val="10"/>
        <color indexed="30"/>
        <rFont val="Lucida Sans Unicode"/>
        <family val="2"/>
      </rPr>
      <t>Other Costs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</si>
  <si>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Department - name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</si>
  <si>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Item - description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</si>
  <si>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 xml:space="preserve">Year 1 – annual spend in €s 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</si>
  <si>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Year 2 - annual spend in €s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</si>
  <si>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VAT – applicable rate, from drop-down box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</si>
  <si>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Pattern – pattern of spend per month, form drop-down box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</si>
  <si>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NOTE: Mobile Phone and Travel / Subsistence costs are populated from individual entries against staff members in section F</t>
    </r>
  </si>
  <si>
    <r>
      <t>F.</t>
    </r>
    <r>
      <rPr>
        <sz val="7"/>
        <color indexed="30"/>
        <rFont val="Times New Roman"/>
        <family val="1"/>
      </rPr>
      <t xml:space="preserve">     </t>
    </r>
    <r>
      <rPr>
        <sz val="10"/>
        <color indexed="30"/>
        <rFont val="Lucida Sans Unicode"/>
        <family val="2"/>
      </rPr>
      <t>Staff-related costs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</si>
  <si>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Department – select from drop-down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</si>
  <si>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Name - identifier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</si>
  <si>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Year 1 – earnings (excluding employers' PRSI etc)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</si>
  <si>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Year 2 - earnings (excluding employers' PRSI etc)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</si>
  <si>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Mobile Ph – cellphone costs per individual (applies both years)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</si>
  <si>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T&amp;S – travel costs per individual (applies both years)</t>
    </r>
  </si>
  <si>
    <r>
      <t>G.</t>
    </r>
    <r>
      <rPr>
        <sz val="7"/>
        <color indexed="30"/>
        <rFont val="Times New Roman"/>
        <family val="1"/>
      </rPr>
      <t xml:space="preserve">    </t>
    </r>
    <r>
      <rPr>
        <sz val="10"/>
        <color indexed="30"/>
        <rFont val="Lucida Sans Unicode"/>
        <family val="2"/>
      </rPr>
      <t>Working Capital</t>
    </r>
  </si>
  <si>
    <r>
      <t>H.</t>
    </r>
    <r>
      <rPr>
        <sz val="7"/>
        <color indexed="30"/>
        <rFont val="Times New Roman"/>
        <family val="1"/>
      </rPr>
      <t xml:space="preserve">    </t>
    </r>
    <r>
      <rPr>
        <sz val="10"/>
        <color indexed="30"/>
        <rFont val="Lucida Sans Unicode"/>
        <family val="2"/>
      </rPr>
      <t>Other Items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</si>
  <si>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Principal - €s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</si>
  <si>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Term - years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</si>
  <si>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Rate - percentage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</si>
  <si>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Residual – zero or other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</si>
  <si>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Drawdown – date of loan drawdown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</si>
  <si>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Repayment – date of first payment of principal (if later than drawdown for a financing loan)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</si>
  <si>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Interest – €s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</si>
  <si>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Commences – date of first payment</t>
    </r>
  </si>
  <si>
    <r>
      <t>I.</t>
    </r>
    <r>
      <rPr>
        <sz val="7"/>
        <color indexed="30"/>
        <rFont val="Times New Roman"/>
        <family val="1"/>
      </rPr>
      <t xml:space="preserve">      </t>
    </r>
    <r>
      <rPr>
        <sz val="10"/>
        <color indexed="30"/>
        <rFont val="Lucida Sans Unicode"/>
        <family val="2"/>
      </rPr>
      <t>Taxation</t>
    </r>
  </si>
  <si>
    <r>
      <t>J.</t>
    </r>
    <r>
      <rPr>
        <sz val="7"/>
        <color indexed="30"/>
        <rFont val="Times New Roman"/>
        <family val="1"/>
      </rPr>
      <t xml:space="preserve">      </t>
    </r>
    <r>
      <rPr>
        <sz val="10"/>
        <color indexed="30"/>
        <rFont val="Lucida Sans Unicode"/>
        <family val="2"/>
      </rPr>
      <t>Assets - inputs over individual months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</si>
  <si>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Input the opening asset values @ cost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</si>
  <si>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Input accumulated depreciation to date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</si>
  <si>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In the case of any additions to fixed assets in the two years modelled, enter the book value of the asset added in the month added box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</si>
  <si>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Principal –original amount advanced €s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</si>
  <si>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Term – the original term of the loan in years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</si>
  <si>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Rate – the interest rate pertaining</t>
    </r>
  </si>
  <si>
    <r>
      <t>·</t>
    </r>
    <r>
      <rPr>
        <sz val="7"/>
        <color indexed="30"/>
        <rFont val="Times New Roman"/>
        <family val="1"/>
      </rPr>
      <t xml:space="preserve">         </t>
    </r>
    <r>
      <rPr>
        <sz val="10"/>
        <color indexed="30"/>
        <rFont val="Lucida Sans Unicode"/>
        <family val="2"/>
      </rPr>
      <t>Balance – the principal remaining on the loan as of the date of commencing the business plan (any additional interest accrued should be added to the principal</t>
    </r>
  </si>
  <si>
    <t>The two inputs worksheets IP1 and IP2 are the only worksheets that need to be populated.  The individual worksheets allow for input of the following information:</t>
  </si>
  <si>
    <t>Business name</t>
  </si>
  <si>
    <t>Capital a/c</t>
  </si>
  <si>
    <t>Drawings</t>
  </si>
  <si>
    <t>NOTE: ensure that all navigation within the worksheets is performed using the horizontal and vertical scrollbars (cursor access is limited to those cells requiring user input only)</t>
  </si>
  <si>
    <t>Rate %</t>
  </si>
  <si>
    <t>XYZ Ltd</t>
  </si>
  <si>
    <t>Rooms</t>
  </si>
  <si>
    <t>Events</t>
  </si>
  <si>
    <t>Mon-Thu</t>
  </si>
  <si>
    <t>Sun</t>
  </si>
  <si>
    <t>Occupancy</t>
  </si>
  <si>
    <t>Bar</t>
  </si>
  <si>
    <t>Restaurant</t>
  </si>
  <si>
    <t>Rate excl VAT - €</t>
  </si>
  <si>
    <t>Fri - Sat</t>
  </si>
  <si>
    <t>TOTAL Sales excl VAT</t>
  </si>
  <si>
    <t>Sales: Rooms / Events</t>
  </si>
  <si>
    <t>Sales: Transactions</t>
  </si>
  <si>
    <t>Advertising</t>
  </si>
  <si>
    <t>Fees / Commissions</t>
  </si>
  <si>
    <t>Merchandising</t>
  </si>
  <si>
    <t>Utilities</t>
  </si>
  <si>
    <t xml:space="preserve">Electricity </t>
  </si>
  <si>
    <t xml:space="preserve">Gas </t>
  </si>
  <si>
    <t xml:space="preserve">Oil </t>
  </si>
  <si>
    <t xml:space="preserve">Water </t>
  </si>
  <si>
    <t>Property-related</t>
  </si>
  <si>
    <t>Rents</t>
  </si>
  <si>
    <t>Rates</t>
  </si>
  <si>
    <t>Building Insurance</t>
  </si>
  <si>
    <t xml:space="preserve">Bank charges </t>
  </si>
  <si>
    <t xml:space="preserve">Contract services </t>
  </si>
  <si>
    <t xml:space="preserve">Dues and subscriptions </t>
  </si>
  <si>
    <t xml:space="preserve">Information systems </t>
  </si>
  <si>
    <t>Legal fees</t>
  </si>
  <si>
    <t xml:space="preserve">Loss and damage </t>
  </si>
  <si>
    <t xml:space="preserve">Postage </t>
  </si>
  <si>
    <t xml:space="preserve">Printing and stationery </t>
  </si>
  <si>
    <t>Operating supplies &amp; equip.</t>
  </si>
  <si>
    <t>Training and development</t>
  </si>
  <si>
    <t>Travel</t>
  </si>
  <si>
    <t>Operations</t>
  </si>
  <si>
    <t xml:space="preserve">Building supplies </t>
  </si>
  <si>
    <t xml:space="preserve">Engineering supplies </t>
  </si>
  <si>
    <t xml:space="preserve">Furniture </t>
  </si>
  <si>
    <t xml:space="preserve">Grounds and landscaping </t>
  </si>
  <si>
    <t xml:space="preserve">Kitchen equipment </t>
  </si>
  <si>
    <t xml:space="preserve">Laundry equipment </t>
  </si>
  <si>
    <t xml:space="preserve">Life/safety </t>
  </si>
  <si>
    <t xml:space="preserve">Operating supplies </t>
  </si>
  <si>
    <t xml:space="preserve">Painting and decorating </t>
  </si>
  <si>
    <t xml:space="preserve">Removal of waste matter </t>
  </si>
  <si>
    <t xml:space="preserve">Swimming pool </t>
  </si>
  <si>
    <t xml:space="preserve">Training </t>
  </si>
  <si>
    <t xml:space="preserve">Vehicle maintenance </t>
  </si>
  <si>
    <t>Electrical &amp; mech. equip.</t>
  </si>
  <si>
    <t xml:space="preserve">Heating, vent &amp; a/c equip </t>
  </si>
  <si>
    <t>Spa / Wellness</t>
  </si>
  <si>
    <t>Rooms / Rest. / Events</t>
  </si>
  <si>
    <t xml:space="preserve">Cable/satellite television </t>
  </si>
  <si>
    <t xml:space="preserve">Laundry and dry cleaning </t>
  </si>
  <si>
    <t xml:space="preserve">Licenses </t>
  </si>
  <si>
    <t xml:space="preserve">Linen </t>
  </si>
  <si>
    <t xml:space="preserve">Music and entertainment </t>
  </si>
  <si>
    <t>China, Glassware, cutlery</t>
  </si>
  <si>
    <t xml:space="preserve">Credit card costs </t>
  </si>
  <si>
    <t>Professional fees</t>
  </si>
  <si>
    <t>Security</t>
  </si>
  <si>
    <t>Telecommunications</t>
  </si>
  <si>
    <t>i.e. drinks etc</t>
  </si>
  <si>
    <t>i.e. breakfast</t>
  </si>
  <si>
    <t>New Loans</t>
  </si>
  <si>
    <t>Available Rooms
# / day</t>
  </si>
  <si>
    <t>Rate / room
excl VAT - €</t>
  </si>
  <si>
    <t>Change in rate/room in
second year</t>
  </si>
  <si>
    <t>Events
# / week</t>
  </si>
  <si>
    <t>Take-up</t>
  </si>
  <si>
    <t>Change in event rates in
second year</t>
  </si>
  <si>
    <t>Existing Term loan</t>
  </si>
  <si>
    <t>BESPOKE_rooms</t>
  </si>
  <si>
    <t>BESPOKE_events</t>
  </si>
  <si>
    <t>Mth #</t>
  </si>
  <si>
    <t>Bespoke</t>
  </si>
  <si>
    <t>Specific monthly sales patterns relating to rooms and events</t>
  </si>
  <si>
    <t>Sum</t>
  </si>
  <si>
    <t>i.e. all additional wages, food &amp; drink</t>
  </si>
  <si>
    <t>i.e. ingredients / food</t>
  </si>
  <si>
    <t>viz. all bad debts</t>
  </si>
  <si>
    <r>
      <t>B.</t>
    </r>
    <r>
      <rPr>
        <sz val="7"/>
        <color indexed="30"/>
        <rFont val="Times New Roman"/>
        <family val="1"/>
      </rPr>
      <t xml:space="preserve">    </t>
    </r>
    <r>
      <rPr>
        <sz val="10"/>
        <color indexed="30"/>
        <rFont val="Lucida Sans Unicode"/>
        <family val="2"/>
      </rPr>
      <t>Sales:Rooms &amp; Events</t>
    </r>
  </si>
  <si>
    <t>Input the number of rooms, expected occupancy and room rate by day-grouping</t>
  </si>
  <si>
    <t>WhiteHat{SHA1(G00D_J0B_Y0u4r3Dump5oExcellen7)}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</si>
</sst>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0.0%"/>
    <numFmt numFmtId="165" formatCode="#,##0;[Red]\(#,##0\)"/>
    <numFmt numFmtId="166" formatCode="#,##0;\(#,##0\)"/>
    <numFmt numFmtId="167" formatCode="#,##0_ ;[Red]\-#,##0\ "/>
    <numFmt numFmtId="168" formatCode="0.00_)"/>
    <numFmt numFmtId="169" formatCode="_-* #,##0&quot; F&quot;_-;\-* #,##0&quot; F&quot;_-;_-* &quot;-&quot;&quot; F&quot;_-;_-@_-"/>
    <numFmt numFmtId="170" formatCode="_-* #,##0_ _F_-;\-* #,##0_ _F_-;_-* &quot;-&quot;_ _F_-;_-@_-"/>
    <numFmt numFmtId="171" formatCode="_-* #,##0.00&quot; F&quot;_-;\-* #,##0.00&quot; F&quot;_-;_-* &quot;-&quot;??&quot; F&quot;_-;_-@_-"/>
    <numFmt numFmtId="172" formatCode="_-* #,##0.00_ _F_-;\-* #,##0.00_ _F_-;_-* &quot;-&quot;??_ _F_-;_-@_-"/>
    <numFmt numFmtId="173" formatCode="#,##0&quot;£&quot;_);[Red]\(#,##0&quot;£&quot;\)"/>
    <numFmt numFmtId="174" formatCode="###0_);[Red]\(###0\)"/>
    <numFmt numFmtId="175" formatCode="_-[$€]* #,##0.00_-;\-[$€]* #,##0.00_-;_-[$€]* &quot;-&quot;??_-;_-@_-"/>
    <numFmt numFmtId="176" formatCode="#,##0.00_ ;[Red]\-#,##0.00\ "/>
    <numFmt numFmtId="177" formatCode="#,##0.0,"/>
    <numFmt numFmtId="178" formatCode="yyyy"/>
    <numFmt numFmtId="179" formatCode="###0.0,_);[Red]\(###0.0,\)"/>
    <numFmt numFmtId="180" formatCode="mmm"/>
  </numFmts>
  <fonts count="44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Helv"/>
      <charset val="204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Geneva"/>
    </font>
    <font>
      <b/>
      <i/>
      <sz val="16"/>
      <name val="Helv"/>
    </font>
    <font>
      <b/>
      <sz val="9"/>
      <color indexed="8"/>
      <name val="Arial"/>
      <family val="2"/>
    </font>
    <font>
      <sz val="10"/>
      <color indexed="39"/>
      <name val="Arial"/>
      <family val="2"/>
    </font>
    <font>
      <sz val="9"/>
      <color indexed="8"/>
      <name val="Arial"/>
      <family val="2"/>
    </font>
    <font>
      <b/>
      <sz val="8"/>
      <color indexed="8"/>
      <name val="Helv"/>
    </font>
    <font>
      <sz val="10"/>
      <name val="Arial"/>
      <family val="2"/>
    </font>
    <font>
      <b/>
      <sz val="10"/>
      <color indexed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u/>
      <sz val="10"/>
      <name val="Calibri"/>
      <family val="2"/>
    </font>
    <font>
      <sz val="14"/>
      <name val="Arial"/>
      <family val="2"/>
    </font>
    <font>
      <sz val="10"/>
      <color indexed="30"/>
      <name val="Lucida Sans Unicode"/>
      <family val="2"/>
    </font>
    <font>
      <sz val="7"/>
      <color indexed="30"/>
      <name val="Times New Roman"/>
      <family val="1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u/>
      <sz val="10"/>
      <name val="Calibri"/>
      <family val="2"/>
      <scheme val="minor"/>
    </font>
    <font>
      <i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i/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color rgb="FF135191"/>
      <name val="Lucida Sans Unicode"/>
      <family val="2"/>
    </font>
    <font>
      <b/>
      <sz val="10"/>
      <color rgb="FFFFFFFF"/>
      <name val="Lucida Sans Unicode"/>
      <family val="2"/>
    </font>
    <font>
      <b/>
      <sz val="14"/>
      <color theme="5"/>
      <name val="Calibri"/>
      <family val="2"/>
      <scheme val="minor"/>
    </font>
    <font>
      <b/>
      <sz val="14"/>
      <color theme="3"/>
      <name val="Lucida Sans"/>
      <family val="2"/>
    </font>
    <font>
      <sz val="10"/>
      <color rgb="FFB72619"/>
      <name val="Lucida Sans"/>
      <family val="2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rgb="FF135191"/>
      <name val="Symbol"/>
      <family val="1"/>
      <charset val="2"/>
    </font>
    <font>
      <sz val="10"/>
      <color rgb="FF13519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BE2E9"/>
        <bgColor indexed="64"/>
      </patternFill>
    </fill>
    <fill>
      <patternFill patternType="solid">
        <fgColor rgb="FF1351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BDFEC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174" fontId="1" fillId="0" borderId="0" applyFill="0" applyBorder="0" applyAlignment="0"/>
    <xf numFmtId="0" fontId="4" fillId="0" borderId="0" applyNumberFormat="0" applyAlignment="0">
      <alignment horizontal="left"/>
    </xf>
    <xf numFmtId="0" fontId="5" fillId="0" borderId="0" applyNumberFormat="0" applyAlignment="0">
      <alignment horizontal="left"/>
    </xf>
    <xf numFmtId="175" fontId="1" fillId="0" borderId="0" applyFont="0" applyFill="0" applyBorder="0" applyAlignment="0" applyProtection="0"/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0" fontId="8" fillId="0" borderId="0" applyNumberFormat="0" applyFont="0" applyFill="0" applyBorder="0" applyProtection="0">
      <alignment horizontal="left" vertical="center"/>
    </xf>
    <xf numFmtId="17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168" fontId="10" fillId="0" borderId="0"/>
    <xf numFmtId="0" fontId="15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3" fontId="1" fillId="0" borderId="0" applyNumberFormat="0" applyFill="0" applyBorder="0" applyAlignment="0" applyProtection="0">
      <alignment horizontal="left"/>
    </xf>
    <xf numFmtId="4" fontId="11" fillId="4" borderId="5" applyNumberFormat="0" applyProtection="0">
      <alignment vertical="center"/>
    </xf>
    <xf numFmtId="4" fontId="12" fillId="5" borderId="4" applyNumberFormat="0" applyProtection="0">
      <alignment vertical="center"/>
    </xf>
    <xf numFmtId="4" fontId="13" fillId="0" borderId="0" applyNumberFormat="0" applyProtection="0">
      <alignment horizontal="right" vertical="center"/>
    </xf>
    <xf numFmtId="4" fontId="12" fillId="6" borderId="4" applyNumberFormat="0" applyProtection="0">
      <alignment horizontal="right" vertical="center"/>
    </xf>
    <xf numFmtId="4" fontId="13" fillId="0" borderId="0" applyNumberFormat="0" applyProtection="0">
      <alignment horizontal="left" vertical="center" indent="1"/>
    </xf>
    <xf numFmtId="0" fontId="3" fillId="0" borderId="0"/>
    <xf numFmtId="40" fontId="14" fillId="0" borderId="0" applyBorder="0">
      <alignment horizontal="right"/>
    </xf>
    <xf numFmtId="0" fontId="9" fillId="0" borderId="0" applyNumberFormat="0" applyFont="0" applyFill="0" applyBorder="0" applyProtection="0">
      <alignment horizontal="center" vertical="center" wrapText="1"/>
    </xf>
  </cellStyleXfs>
  <cellXfs count="205">
    <xf numFmtId="0" fontId="0" fillId="0" borderId="0" xfId="0"/>
    <xf numFmtId="0" fontId="23" fillId="0" borderId="0" xfId="0" applyFont="1"/>
    <xf numFmtId="0" fontId="24" fillId="7" borderId="6" xfId="0" applyFont="1" applyFill="1" applyBorder="1"/>
    <xf numFmtId="0" fontId="24" fillId="7" borderId="2" xfId="0" applyFont="1" applyFill="1" applyBorder="1"/>
    <xf numFmtId="3" fontId="24" fillId="7" borderId="2" xfId="0" applyNumberFormat="1" applyFont="1" applyFill="1" applyBorder="1" applyAlignment="1">
      <alignment horizontal="center"/>
    </xf>
    <xf numFmtId="0" fontId="24" fillId="7" borderId="2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10" fontId="23" fillId="0" borderId="0" xfId="0" applyNumberFormat="1" applyFont="1" applyAlignment="1">
      <alignment horizontal="center"/>
    </xf>
    <xf numFmtId="0" fontId="23" fillId="0" borderId="0" xfId="0" applyFont="1" applyFill="1"/>
    <xf numFmtId="0" fontId="23" fillId="0" borderId="0" xfId="0" applyFont="1" applyAlignment="1">
      <alignment horizontal="left"/>
    </xf>
    <xf numFmtId="0" fontId="23" fillId="0" borderId="0" xfId="0" applyFont="1" applyFill="1" applyBorder="1" applyAlignment="1">
      <alignment horizontal="center"/>
    </xf>
    <xf numFmtId="17" fontId="24" fillId="7" borderId="0" xfId="0" applyNumberFormat="1" applyFont="1" applyFill="1" applyAlignment="1">
      <alignment horizontal="center"/>
    </xf>
    <xf numFmtId="17" fontId="24" fillId="0" borderId="0" xfId="0" applyNumberFormat="1" applyFont="1" applyFill="1" applyAlignment="1">
      <alignment horizontal="center"/>
    </xf>
    <xf numFmtId="0" fontId="25" fillId="2" borderId="0" xfId="0" applyFont="1" applyFill="1"/>
    <xf numFmtId="0" fontId="23" fillId="0" borderId="0" xfId="0" applyFont="1" applyFill="1" applyBorder="1"/>
    <xf numFmtId="176" fontId="23" fillId="0" borderId="0" xfId="0" applyNumberFormat="1" applyFont="1" applyFill="1" applyBorder="1" applyAlignment="1">
      <alignment horizontal="center"/>
    </xf>
    <xf numFmtId="38" fontId="23" fillId="0" borderId="0" xfId="0" applyNumberFormat="1" applyFon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0" fontId="26" fillId="0" borderId="0" xfId="0" applyFont="1"/>
    <xf numFmtId="38" fontId="25" fillId="8" borderId="3" xfId="0" applyNumberFormat="1" applyFont="1" applyFill="1" applyBorder="1" applyAlignment="1">
      <alignment horizontal="center"/>
    </xf>
    <xf numFmtId="38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167" fontId="23" fillId="0" borderId="0" xfId="0" applyNumberFormat="1" applyFont="1" applyAlignment="1">
      <alignment horizontal="center"/>
    </xf>
    <xf numFmtId="0" fontId="16" fillId="7" borderId="0" xfId="0" applyFont="1" applyFill="1" applyBorder="1" applyAlignment="1">
      <alignment horizontal="left"/>
    </xf>
    <xf numFmtId="17" fontId="16" fillId="7" borderId="0" xfId="0" applyNumberFormat="1" applyFont="1" applyFill="1" applyBorder="1" applyAlignment="1">
      <alignment horizontal="center"/>
    </xf>
    <xf numFmtId="0" fontId="16" fillId="0" borderId="0" xfId="0" applyFont="1" applyFill="1"/>
    <xf numFmtId="0" fontId="16" fillId="0" borderId="0" xfId="0" applyFont="1" applyFill="1" applyBorder="1"/>
    <xf numFmtId="0" fontId="17" fillId="0" borderId="0" xfId="0" applyFont="1" applyAlignment="1">
      <alignment horizontal="left"/>
    </xf>
    <xf numFmtId="165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Fill="1" applyBorder="1"/>
    <xf numFmtId="0" fontId="17" fillId="0" borderId="0" xfId="0" applyFont="1"/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18" fillId="0" borderId="0" xfId="0" applyFont="1"/>
    <xf numFmtId="165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/>
    <xf numFmtId="165" fontId="17" fillId="0" borderId="0" xfId="0" applyNumberFormat="1" applyFont="1" applyFill="1" applyBorder="1" applyAlignment="1">
      <alignment horizontal="center"/>
    </xf>
    <xf numFmtId="165" fontId="18" fillId="0" borderId="2" xfId="0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165" fontId="18" fillId="0" borderId="7" xfId="0" applyNumberFormat="1" applyFont="1" applyBorder="1" applyAlignment="1">
      <alignment horizontal="center"/>
    </xf>
    <xf numFmtId="38" fontId="17" fillId="0" borderId="0" xfId="0" applyNumberFormat="1" applyFont="1" applyAlignment="1">
      <alignment horizontal="center"/>
    </xf>
    <xf numFmtId="165" fontId="18" fillId="0" borderId="8" xfId="0" applyNumberFormat="1" applyFont="1" applyBorder="1" applyAlignment="1">
      <alignment horizontal="center"/>
    </xf>
    <xf numFmtId="0" fontId="24" fillId="7" borderId="0" xfId="0" applyFont="1" applyFill="1" applyBorder="1" applyAlignment="1">
      <alignment horizontal="left"/>
    </xf>
    <xf numFmtId="17" fontId="24" fillId="7" borderId="0" xfId="0" applyNumberFormat="1" applyFont="1" applyFill="1" applyBorder="1" applyAlignment="1">
      <alignment horizontal="center"/>
    </xf>
    <xf numFmtId="17" fontId="24" fillId="0" borderId="0" xfId="0" applyNumberFormat="1" applyFont="1" applyFill="1" applyBorder="1" applyAlignment="1">
      <alignment horizontal="center"/>
    </xf>
    <xf numFmtId="0" fontId="27" fillId="0" borderId="0" xfId="0" applyFont="1" applyFill="1" applyBorder="1"/>
    <xf numFmtId="0" fontId="27" fillId="0" borderId="0" xfId="0" applyFont="1" applyBorder="1"/>
    <xf numFmtId="38" fontId="23" fillId="0" borderId="0" xfId="0" applyNumberFormat="1" applyFont="1"/>
    <xf numFmtId="38" fontId="23" fillId="0" borderId="0" xfId="0" applyNumberFormat="1" applyFont="1" applyFill="1" applyBorder="1"/>
    <xf numFmtId="166" fontId="25" fillId="0" borderId="0" xfId="0" applyNumberFormat="1" applyFont="1"/>
    <xf numFmtId="166" fontId="28" fillId="0" borderId="0" xfId="0" applyNumberFormat="1" applyFont="1"/>
    <xf numFmtId="166" fontId="23" fillId="0" borderId="0" xfId="0" applyNumberFormat="1" applyFont="1"/>
    <xf numFmtId="38" fontId="23" fillId="0" borderId="0" xfId="0" applyNumberFormat="1" applyFont="1" applyFill="1" applyBorder="1" applyAlignment="1">
      <alignment horizontal="right"/>
    </xf>
    <xf numFmtId="38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0" fontId="23" fillId="0" borderId="0" xfId="0" applyFont="1" applyFill="1" applyBorder="1" applyAlignment="1">
      <alignment horizontal="right"/>
    </xf>
    <xf numFmtId="38" fontId="25" fillId="0" borderId="0" xfId="0" applyNumberFormat="1" applyFont="1" applyFill="1" applyBorder="1" applyAlignment="1">
      <alignment horizontal="right"/>
    </xf>
    <xf numFmtId="38" fontId="25" fillId="0" borderId="0" xfId="0" applyNumberFormat="1" applyFont="1" applyAlignment="1">
      <alignment horizontal="right"/>
    </xf>
    <xf numFmtId="165" fontId="23" fillId="0" borderId="0" xfId="0" applyNumberFormat="1" applyFont="1" applyFill="1" applyBorder="1" applyAlignment="1">
      <alignment horizontal="right"/>
    </xf>
    <xf numFmtId="165" fontId="23" fillId="0" borderId="0" xfId="0" applyNumberFormat="1" applyFont="1" applyFill="1" applyBorder="1" applyAlignment="1">
      <alignment horizontal="center"/>
    </xf>
    <xf numFmtId="166" fontId="25" fillId="2" borderId="0" xfId="0" applyNumberFormat="1" applyFont="1" applyFill="1"/>
    <xf numFmtId="165" fontId="23" fillId="0" borderId="0" xfId="0" applyNumberFormat="1" applyFont="1" applyAlignment="1">
      <alignment horizontal="right"/>
    </xf>
    <xf numFmtId="38" fontId="25" fillId="0" borderId="0" xfId="0" applyNumberFormat="1" applyFont="1" applyBorder="1" applyAlignment="1">
      <alignment horizontal="right"/>
    </xf>
    <xf numFmtId="38" fontId="23" fillId="0" borderId="0" xfId="0" applyNumberFormat="1" applyFont="1" applyBorder="1" applyAlignment="1">
      <alignment horizontal="right"/>
    </xf>
    <xf numFmtId="38" fontId="23" fillId="0" borderId="0" xfId="0" applyNumberFormat="1" applyFont="1" applyFill="1" applyAlignment="1">
      <alignment horizontal="right"/>
    </xf>
    <xf numFmtId="165" fontId="23" fillId="0" borderId="0" xfId="0" applyNumberFormat="1" applyFont="1" applyAlignment="1">
      <alignment horizontal="center"/>
    </xf>
    <xf numFmtId="165" fontId="25" fillId="0" borderId="0" xfId="0" applyNumberFormat="1" applyFont="1" applyFill="1" applyBorder="1" applyAlignment="1">
      <alignment horizontal="center"/>
    </xf>
    <xf numFmtId="38" fontId="23" fillId="0" borderId="9" xfId="0" applyNumberFormat="1" applyFont="1" applyBorder="1" applyAlignment="1">
      <alignment horizontal="right"/>
    </xf>
    <xf numFmtId="38" fontId="25" fillId="0" borderId="0" xfId="0" applyNumberFormat="1" applyFont="1" applyAlignment="1">
      <alignment horizontal="center"/>
    </xf>
    <xf numFmtId="38" fontId="25" fillId="0" borderId="7" xfId="0" applyNumberFormat="1" applyFont="1" applyBorder="1" applyAlignment="1">
      <alignment horizontal="right"/>
    </xf>
    <xf numFmtId="165" fontId="25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right"/>
    </xf>
    <xf numFmtId="38" fontId="26" fillId="0" borderId="0" xfId="0" applyNumberFormat="1" applyFont="1" applyAlignment="1">
      <alignment horizontal="right"/>
    </xf>
    <xf numFmtId="38" fontId="26" fillId="0" borderId="0" xfId="0" applyNumberFormat="1" applyFont="1" applyAlignment="1">
      <alignment horizontal="center"/>
    </xf>
    <xf numFmtId="0" fontId="24" fillId="7" borderId="0" xfId="0" applyFont="1" applyFill="1" applyBorder="1" applyAlignment="1">
      <alignment horizontal="right"/>
    </xf>
    <xf numFmtId="3" fontId="23" fillId="0" borderId="0" xfId="0" applyNumberFormat="1" applyFont="1" applyFill="1" applyBorder="1"/>
    <xf numFmtId="38" fontId="26" fillId="0" borderId="0" xfId="0" applyNumberFormat="1" applyFont="1" applyFill="1" applyBorder="1" applyAlignment="1">
      <alignment horizontal="center"/>
    </xf>
    <xf numFmtId="38" fontId="25" fillId="0" borderId="2" xfId="0" applyNumberFormat="1" applyFont="1" applyFill="1" applyBorder="1" applyAlignment="1">
      <alignment horizontal="right"/>
    </xf>
    <xf numFmtId="38" fontId="23" fillId="0" borderId="9" xfId="0" applyNumberFormat="1" applyFont="1" applyFill="1" applyBorder="1" applyAlignment="1">
      <alignment horizontal="right"/>
    </xf>
    <xf numFmtId="165" fontId="23" fillId="0" borderId="10" xfId="0" applyNumberFormat="1" applyFont="1" applyFill="1" applyBorder="1" applyAlignment="1">
      <alignment horizontal="right"/>
    </xf>
    <xf numFmtId="0" fontId="29" fillId="0" borderId="0" xfId="0" applyFont="1"/>
    <xf numFmtId="9" fontId="29" fillId="0" borderId="0" xfId="0" applyNumberFormat="1" applyFont="1" applyAlignment="1">
      <alignment horizontal="center"/>
    </xf>
    <xf numFmtId="3" fontId="23" fillId="0" borderId="0" xfId="0" applyNumberFormat="1" applyFont="1"/>
    <xf numFmtId="10" fontId="23" fillId="0" borderId="0" xfId="0" applyNumberFormat="1" applyFont="1"/>
    <xf numFmtId="4" fontId="23" fillId="0" borderId="0" xfId="0" applyNumberFormat="1" applyFont="1"/>
    <xf numFmtId="0" fontId="23" fillId="0" borderId="0" xfId="0" applyFont="1" applyAlignment="1">
      <alignment horizontal="left" indent="1"/>
    </xf>
    <xf numFmtId="167" fontId="23" fillId="0" borderId="0" xfId="0" applyNumberFormat="1" applyFont="1"/>
    <xf numFmtId="17" fontId="24" fillId="9" borderId="0" xfId="0" applyNumberFormat="1" applyFont="1" applyFill="1" applyBorder="1" applyAlignment="1">
      <alignment horizontal="center"/>
    </xf>
    <xf numFmtId="17" fontId="24" fillId="7" borderId="0" xfId="0" applyNumberFormat="1" applyFont="1" applyFill="1" applyAlignment="1">
      <alignment horizontal="left"/>
    </xf>
    <xf numFmtId="0" fontId="30" fillId="10" borderId="0" xfId="0" applyFont="1" applyFill="1"/>
    <xf numFmtId="165" fontId="18" fillId="0" borderId="0" xfId="0" applyNumberFormat="1" applyFont="1" applyBorder="1" applyAlignment="1">
      <alignment horizontal="center"/>
    </xf>
    <xf numFmtId="165" fontId="25" fillId="0" borderId="2" xfId="0" applyNumberFormat="1" applyFont="1" applyBorder="1" applyAlignment="1">
      <alignment horizontal="right"/>
    </xf>
    <xf numFmtId="165" fontId="17" fillId="0" borderId="7" xfId="0" applyNumberFormat="1" applyFont="1" applyBorder="1" applyAlignment="1">
      <alignment horizontal="center"/>
    </xf>
    <xf numFmtId="177" fontId="23" fillId="0" borderId="0" xfId="0" applyNumberFormat="1" applyFont="1"/>
    <xf numFmtId="0" fontId="24" fillId="7" borderId="0" xfId="0" applyFont="1" applyFill="1" applyBorder="1"/>
    <xf numFmtId="0" fontId="2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7" borderId="2" xfId="0" applyFont="1" applyFill="1" applyBorder="1" applyAlignment="1">
      <alignment horizontal="left"/>
    </xf>
    <xf numFmtId="0" fontId="31" fillId="11" borderId="0" xfId="0" applyFont="1" applyFill="1"/>
    <xf numFmtId="3" fontId="32" fillId="0" borderId="0" xfId="0" applyNumberFormat="1" applyFont="1"/>
    <xf numFmtId="0" fontId="32" fillId="0" borderId="0" xfId="0" applyFont="1"/>
    <xf numFmtId="165" fontId="32" fillId="0" borderId="0" xfId="0" applyNumberFormat="1" applyFont="1" applyAlignment="1">
      <alignment horizontal="right"/>
    </xf>
    <xf numFmtId="38" fontId="32" fillId="0" borderId="0" xfId="0" applyNumberFormat="1" applyFont="1" applyAlignment="1">
      <alignment horizontal="center"/>
    </xf>
    <xf numFmtId="2" fontId="23" fillId="0" borderId="0" xfId="0" applyNumberFormat="1" applyFont="1"/>
    <xf numFmtId="164" fontId="23" fillId="0" borderId="0" xfId="0" applyNumberFormat="1" applyFont="1"/>
    <xf numFmtId="0" fontId="23" fillId="0" borderId="0" xfId="0" applyNumberFormat="1" applyFont="1"/>
    <xf numFmtId="0" fontId="23" fillId="0" borderId="0" xfId="0" applyFont="1" applyAlignment="1">
      <alignment wrapText="1"/>
    </xf>
    <xf numFmtId="178" fontId="24" fillId="7" borderId="0" xfId="0" applyNumberFormat="1" applyFont="1" applyFill="1" applyBorder="1"/>
    <xf numFmtId="176" fontId="25" fillId="8" borderId="0" xfId="0" applyNumberFormat="1" applyFont="1" applyFill="1" applyBorder="1" applyAlignment="1">
      <alignment horizontal="center"/>
    </xf>
    <xf numFmtId="177" fontId="25" fillId="0" borderId="2" xfId="0" applyNumberFormat="1" applyFont="1" applyBorder="1" applyAlignment="1">
      <alignment vertical="center"/>
    </xf>
    <xf numFmtId="177" fontId="23" fillId="0" borderId="7" xfId="0" applyNumberFormat="1" applyFont="1" applyBorder="1" applyAlignment="1">
      <alignment vertical="center"/>
    </xf>
    <xf numFmtId="177" fontId="25" fillId="0" borderId="7" xfId="0" applyNumberFormat="1" applyFont="1" applyBorder="1" applyAlignment="1">
      <alignment vertical="center"/>
    </xf>
    <xf numFmtId="177" fontId="23" fillId="0" borderId="9" xfId="0" applyNumberFormat="1" applyFont="1" applyBorder="1"/>
    <xf numFmtId="177" fontId="25" fillId="0" borderId="9" xfId="0" applyNumberFormat="1" applyFont="1" applyBorder="1" applyAlignment="1">
      <alignment vertical="center"/>
    </xf>
    <xf numFmtId="0" fontId="33" fillId="0" borderId="0" xfId="0" applyFont="1"/>
    <xf numFmtId="15" fontId="24" fillId="7" borderId="0" xfId="0" applyNumberFormat="1" applyFont="1" applyFill="1" applyAlignment="1">
      <alignment horizontal="right"/>
    </xf>
    <xf numFmtId="9" fontId="24" fillId="7" borderId="0" xfId="0" applyNumberFormat="1" applyFont="1" applyFill="1" applyAlignment="1">
      <alignment horizontal="left"/>
    </xf>
    <xf numFmtId="3" fontId="33" fillId="12" borderId="3" xfId="16" applyNumberFormat="1" applyFont="1" applyFill="1" applyBorder="1" applyAlignment="1">
      <alignment horizontal="center"/>
    </xf>
    <xf numFmtId="3" fontId="25" fillId="8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 indent="2"/>
    </xf>
    <xf numFmtId="17" fontId="24" fillId="7" borderId="0" xfId="0" applyNumberFormat="1" applyFont="1" applyFill="1" applyBorder="1" applyAlignment="1">
      <alignment horizontal="left"/>
    </xf>
    <xf numFmtId="179" fontId="23" fillId="0" borderId="3" xfId="0" applyNumberFormat="1" applyFont="1" applyBorder="1"/>
    <xf numFmtId="178" fontId="25" fillId="0" borderId="0" xfId="0" applyNumberFormat="1" applyFont="1" applyAlignment="1">
      <alignment horizontal="center"/>
    </xf>
    <xf numFmtId="17" fontId="24" fillId="7" borderId="0" xfId="0" applyNumberFormat="1" applyFont="1" applyFill="1" applyAlignment="1">
      <alignment horizontal="center" wrapText="1"/>
    </xf>
    <xf numFmtId="3" fontId="25" fillId="0" borderId="0" xfId="0" applyNumberFormat="1" applyFont="1"/>
    <xf numFmtId="38" fontId="25" fillId="0" borderId="0" xfId="0" applyNumberFormat="1" applyFont="1"/>
    <xf numFmtId="0" fontId="34" fillId="0" borderId="0" xfId="0" applyFont="1" applyAlignment="1">
      <alignment horizontal="center"/>
    </xf>
    <xf numFmtId="10" fontId="33" fillId="12" borderId="3" xfId="16" applyNumberFormat="1" applyFont="1" applyFill="1" applyBorder="1" applyAlignment="1">
      <alignment horizontal="center"/>
    </xf>
    <xf numFmtId="3" fontId="33" fillId="12" borderId="3" xfId="16" applyNumberFormat="1" applyFont="1" applyFill="1" applyBorder="1" applyAlignment="1">
      <alignment horizontal="left"/>
    </xf>
    <xf numFmtId="3" fontId="23" fillId="13" borderId="0" xfId="0" applyNumberFormat="1" applyFont="1" applyFill="1"/>
    <xf numFmtId="0" fontId="23" fillId="0" borderId="0" xfId="0" applyFont="1" applyAlignment="1">
      <alignment wrapText="1"/>
    </xf>
    <xf numFmtId="0" fontId="28" fillId="0" borderId="0" xfId="0" applyFont="1"/>
    <xf numFmtId="38" fontId="23" fillId="0" borderId="9" xfId="0" applyNumberFormat="1" applyFont="1" applyBorder="1"/>
    <xf numFmtId="0" fontId="15" fillId="0" borderId="0" xfId="15"/>
    <xf numFmtId="0" fontId="15" fillId="14" borderId="0" xfId="15" applyFill="1"/>
    <xf numFmtId="0" fontId="35" fillId="0" borderId="3" xfId="15" applyFont="1" applyBorder="1" applyAlignment="1">
      <alignment vertical="center" wrapText="1"/>
    </xf>
    <xf numFmtId="0" fontId="35" fillId="15" borderId="3" xfId="15" applyFont="1" applyFill="1" applyBorder="1" applyAlignment="1">
      <alignment vertical="center" wrapText="1"/>
    </xf>
    <xf numFmtId="0" fontId="36" fillId="16" borderId="3" xfId="15" applyFont="1" applyFill="1" applyBorder="1" applyAlignment="1">
      <alignment vertical="center" wrapText="1"/>
    </xf>
    <xf numFmtId="0" fontId="37" fillId="0" borderId="0" xfId="15" applyFont="1"/>
    <xf numFmtId="0" fontId="20" fillId="0" borderId="0" xfId="15" applyFont="1"/>
    <xf numFmtId="0" fontId="38" fillId="0" borderId="0" xfId="15" applyFont="1" applyAlignment="1">
      <alignment vertical="center"/>
    </xf>
    <xf numFmtId="0" fontId="15" fillId="17" borderId="0" xfId="15" applyFill="1"/>
    <xf numFmtId="0" fontId="24" fillId="7" borderId="0" xfId="0" applyFont="1" applyFill="1" applyBorder="1" applyAlignment="1">
      <alignment horizontal="center"/>
    </xf>
    <xf numFmtId="0" fontId="31" fillId="17" borderId="0" xfId="15" applyFont="1" applyFill="1"/>
    <xf numFmtId="0" fontId="35" fillId="15" borderId="3" xfId="15" applyFont="1" applyFill="1" applyBorder="1" applyAlignment="1">
      <alignment horizontal="left" vertical="center" wrapText="1"/>
    </xf>
    <xf numFmtId="0" fontId="35" fillId="15" borderId="3" xfId="15" applyFont="1" applyFill="1" applyBorder="1" applyAlignment="1">
      <alignment horizontal="center" vertical="center" wrapText="1"/>
    </xf>
    <xf numFmtId="17" fontId="39" fillId="0" borderId="0" xfId="15" quotePrefix="1" applyNumberFormat="1" applyFont="1" applyAlignment="1">
      <alignment vertical="center"/>
    </xf>
    <xf numFmtId="0" fontId="40" fillId="0" borderId="0" xfId="15" applyFont="1"/>
    <xf numFmtId="0" fontId="41" fillId="0" borderId="0" xfId="15" applyFont="1"/>
    <xf numFmtId="0" fontId="35" fillId="15" borderId="3" xfId="15" applyFont="1" applyFill="1" applyBorder="1" applyAlignment="1">
      <alignment vertical="center" wrapText="1"/>
    </xf>
    <xf numFmtId="0" fontId="35" fillId="0" borderId="3" xfId="15" applyFont="1" applyBorder="1" applyAlignment="1">
      <alignment vertical="center" wrapText="1"/>
    </xf>
    <xf numFmtId="0" fontId="35" fillId="15" borderId="3" xfId="15" applyFont="1" applyFill="1" applyBorder="1" applyAlignment="1">
      <alignment horizontal="left" vertical="center" wrapText="1" indent="2"/>
    </xf>
    <xf numFmtId="0" fontId="42" fillId="0" borderId="3" xfId="15" applyFont="1" applyBorder="1" applyAlignment="1">
      <alignment horizontal="justify" vertical="center" wrapText="1"/>
    </xf>
    <xf numFmtId="0" fontId="42" fillId="0" borderId="3" xfId="15" applyFont="1" applyBorder="1" applyAlignment="1">
      <alignment horizontal="left" vertical="center" wrapText="1"/>
    </xf>
    <xf numFmtId="0" fontId="42" fillId="0" borderId="3" xfId="15" applyFont="1" applyBorder="1" applyAlignment="1">
      <alignment horizontal="left" vertical="center" wrapText="1" indent="1"/>
    </xf>
    <xf numFmtId="0" fontId="43" fillId="0" borderId="0" xfId="15" applyFont="1"/>
    <xf numFmtId="0" fontId="43" fillId="18" borderId="3" xfId="15" applyFont="1" applyFill="1" applyBorder="1"/>
    <xf numFmtId="0" fontId="43" fillId="0" borderId="3" xfId="15" applyFont="1" applyBorder="1"/>
    <xf numFmtId="0" fontId="43" fillId="0" borderId="3" xfId="15" applyFont="1" applyBorder="1" applyAlignment="1">
      <alignment wrapText="1"/>
    </xf>
    <xf numFmtId="0" fontId="43" fillId="19" borderId="3" xfId="15" applyFont="1" applyFill="1" applyBorder="1"/>
    <xf numFmtId="0" fontId="43" fillId="12" borderId="3" xfId="15" applyFont="1" applyFill="1" applyBorder="1"/>
    <xf numFmtId="9" fontId="23" fillId="5" borderId="3" xfId="0" applyNumberFormat="1" applyFont="1" applyFill="1" applyBorder="1" applyAlignment="1" applyProtection="1">
      <alignment horizontal="center"/>
      <protection locked="0"/>
    </xf>
    <xf numFmtId="17" fontId="23" fillId="20" borderId="3" xfId="16" applyNumberFormat="1" applyFont="1" applyFill="1" applyBorder="1" applyAlignment="1" applyProtection="1">
      <alignment horizontal="center"/>
      <protection locked="0"/>
    </xf>
    <xf numFmtId="0" fontId="23" fillId="20" borderId="3" xfId="16" applyNumberFormat="1" applyFont="1" applyFill="1" applyBorder="1" applyAlignment="1" applyProtection="1">
      <alignment horizontal="center"/>
      <protection locked="0"/>
    </xf>
    <xf numFmtId="3" fontId="23" fillId="5" borderId="3" xfId="16" applyNumberFormat="1" applyFont="1" applyFill="1" applyBorder="1" applyAlignment="1" applyProtection="1">
      <alignment horizontal="center"/>
      <protection locked="0"/>
    </xf>
    <xf numFmtId="0" fontId="23" fillId="20" borderId="3" xfId="0" applyFont="1" applyFill="1" applyBorder="1" applyAlignment="1" applyProtection="1">
      <alignment horizontal="center"/>
      <protection locked="0"/>
    </xf>
    <xf numFmtId="0" fontId="23" fillId="20" borderId="0" xfId="0" applyFont="1" applyFill="1" applyProtection="1">
      <protection locked="0"/>
    </xf>
    <xf numFmtId="2" fontId="23" fillId="5" borderId="3" xfId="16" applyNumberFormat="1" applyFont="1" applyFill="1" applyBorder="1" applyAlignment="1" applyProtection="1">
      <alignment horizontal="center"/>
      <protection locked="0"/>
    </xf>
    <xf numFmtId="164" fontId="23" fillId="20" borderId="3" xfId="0" applyNumberFormat="1" applyFont="1" applyFill="1" applyBorder="1" applyAlignment="1" applyProtection="1">
      <alignment horizontal="center"/>
      <protection locked="0"/>
    </xf>
    <xf numFmtId="9" fontId="23" fillId="5" borderId="3" xfId="16" applyNumberFormat="1" applyFont="1" applyFill="1" applyBorder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1" fontId="23" fillId="5" borderId="3" xfId="16" applyNumberFormat="1" applyFont="1" applyFill="1" applyBorder="1" applyAlignment="1" applyProtection="1">
      <alignment horizontal="center"/>
      <protection locked="0"/>
    </xf>
    <xf numFmtId="10" fontId="23" fillId="5" borderId="3" xfId="0" applyNumberFormat="1" applyFont="1" applyFill="1" applyBorder="1" applyAlignment="1" applyProtection="1">
      <alignment horizontal="center"/>
      <protection locked="0"/>
    </xf>
    <xf numFmtId="10" fontId="23" fillId="5" borderId="3" xfId="16" applyNumberFormat="1" applyFont="1" applyFill="1" applyBorder="1" applyAlignment="1" applyProtection="1">
      <alignment horizontal="center"/>
      <protection locked="0"/>
    </xf>
    <xf numFmtId="3" fontId="33" fillId="12" borderId="11" xfId="16" applyNumberFormat="1" applyFont="1" applyFill="1" applyBorder="1" applyAlignment="1" applyProtection="1">
      <alignment horizontal="left" vertical="center"/>
      <protection locked="0"/>
    </xf>
    <xf numFmtId="0" fontId="31" fillId="12" borderId="12" xfId="0" applyFont="1" applyFill="1" applyBorder="1" applyAlignment="1">
      <alignment horizontal="left" vertical="center"/>
    </xf>
    <xf numFmtId="0" fontId="31" fillId="12" borderId="13" xfId="0" applyFont="1" applyFill="1" applyBorder="1" applyAlignment="1">
      <alignment horizontal="left" vertical="center"/>
    </xf>
    <xf numFmtId="0" fontId="23" fillId="20" borderId="3" xfId="0" applyFont="1" applyFill="1" applyBorder="1" applyAlignment="1" applyProtection="1">
      <alignment horizontal="left"/>
      <protection locked="0"/>
    </xf>
    <xf numFmtId="9" fontId="23" fillId="5" borderId="3" xfId="16" applyNumberFormat="1" applyFont="1" applyFill="1" applyBorder="1" applyAlignment="1" applyProtection="1">
      <alignment horizontal="left"/>
      <protection locked="0"/>
    </xf>
    <xf numFmtId="0" fontId="23" fillId="0" borderId="0" xfId="0" applyFont="1" applyAlignment="1">
      <alignment wrapText="1"/>
    </xf>
    <xf numFmtId="178" fontId="25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35" fillId="15" borderId="3" xfId="15" applyFont="1" applyFill="1" applyBorder="1" applyAlignment="1">
      <alignment vertical="center" wrapText="1"/>
    </xf>
    <xf numFmtId="0" fontId="35" fillId="0" borderId="3" xfId="15" applyFont="1" applyBorder="1" applyAlignment="1">
      <alignment vertical="center" wrapText="1"/>
    </xf>
    <xf numFmtId="18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9" fontId="31" fillId="12" borderId="3" xfId="15" applyNumberFormat="1" applyFont="1" applyFill="1" applyBorder="1" applyAlignment="1">
      <alignment horizontal="center"/>
    </xf>
    <xf numFmtId="0" fontId="23" fillId="0" borderId="0" xfId="0" applyFont="1" applyAlignment="1">
      <alignment wrapText="1"/>
    </xf>
    <xf numFmtId="0" fontId="37" fillId="0" borderId="0" xfId="15" applyFont="1" applyAlignment="1">
      <alignment wrapText="1"/>
    </xf>
    <xf numFmtId="0" fontId="0" fillId="0" borderId="0" xfId="0" applyAlignment="1">
      <alignment wrapText="1"/>
    </xf>
    <xf numFmtId="0" fontId="35" fillId="0" borderId="0" xfId="15" applyFont="1" applyBorder="1" applyAlignment="1">
      <alignment horizontal="left" vertical="center" wrapText="1"/>
    </xf>
    <xf numFmtId="0" fontId="35" fillId="15" borderId="3" xfId="15" applyFont="1" applyFill="1" applyBorder="1" applyAlignment="1">
      <alignment vertical="center" wrapText="1"/>
    </xf>
    <xf numFmtId="0" fontId="35" fillId="0" borderId="3" xfId="15" applyFont="1" applyBorder="1" applyAlignment="1">
      <alignment vertical="center" wrapText="1"/>
    </xf>
    <xf numFmtId="0" fontId="35" fillId="15" borderId="11" xfId="15" applyFont="1" applyFill="1" applyBorder="1" applyAlignment="1">
      <alignment horizontal="left" vertical="center" wrapText="1"/>
    </xf>
    <xf numFmtId="0" fontId="35" fillId="15" borderId="12" xfId="15" applyFont="1" applyFill="1" applyBorder="1" applyAlignment="1">
      <alignment horizontal="left" vertical="center" wrapText="1"/>
    </xf>
    <xf numFmtId="0" fontId="35" fillId="15" borderId="13" xfId="15" applyFont="1" applyFill="1" applyBorder="1" applyAlignment="1">
      <alignment horizontal="left" vertical="center" wrapText="1"/>
    </xf>
    <xf numFmtId="0" fontId="35" fillId="15" borderId="3" xfId="15" applyFont="1" applyFill="1" applyBorder="1" applyAlignment="1">
      <alignment horizontal="left" vertical="center" wrapText="1" indent="2"/>
    </xf>
    <xf numFmtId="0" fontId="23" fillId="0" borderId="0" xfId="0" applyFont="1" applyAlignment="1">
      <alignment wrapText="1"/>
    </xf>
    <xf numFmtId="0" fontId="0" fillId="0" borderId="0" xfId="0" applyAlignment="1"/>
    <xf numFmtId="0" fontId="31" fillId="0" borderId="0" xfId="15" applyFont="1"/>
  </cellXfs>
  <cellStyles count="27">
    <cellStyle name="Calc Currency (0)" xfId="1" xr:uid="{00000000-0005-0000-0000-000000000000}"/>
    <cellStyle name="Copied" xfId="2" xr:uid="{00000000-0005-0000-0000-000001000000}"/>
    <cellStyle name="Entered" xfId="3" xr:uid="{00000000-0005-0000-0000-000002000000}"/>
    <cellStyle name="Euro" xfId="4" xr:uid="{00000000-0005-0000-0000-000003000000}"/>
    <cellStyle name="Grey" xfId="5" xr:uid="{00000000-0005-0000-0000-000004000000}"/>
    <cellStyle name="Header1" xfId="6" xr:uid="{00000000-0005-0000-0000-000005000000}"/>
    <cellStyle name="Header2" xfId="7" xr:uid="{00000000-0005-0000-0000-000006000000}"/>
    <cellStyle name="Input [yellow]" xfId="8" xr:uid="{00000000-0005-0000-0000-000007000000}"/>
    <cellStyle name="left" xfId="9" xr:uid="{00000000-0005-0000-0000-000008000000}"/>
    <cellStyle name="Milliers [0]_laroux" xfId="10" xr:uid="{00000000-0005-0000-0000-000009000000}"/>
    <cellStyle name="Milliers_laroux" xfId="11" xr:uid="{00000000-0005-0000-0000-00000A000000}"/>
    <cellStyle name="Monétaire [0]_laroux" xfId="12" xr:uid="{00000000-0005-0000-0000-00000B000000}"/>
    <cellStyle name="Monétaire_laroux" xfId="13" xr:uid="{00000000-0005-0000-0000-00000C000000}"/>
    <cellStyle name="Normal" xfId="0" builtinId="0"/>
    <cellStyle name="Normal - Style1" xfId="14" xr:uid="{00000000-0005-0000-0000-00000E000000}"/>
    <cellStyle name="Normal 2" xfId="15" xr:uid="{00000000-0005-0000-0000-00000F000000}"/>
    <cellStyle name="Percent" xfId="16" builtinId="5"/>
    <cellStyle name="Percent [2]" xfId="17" xr:uid="{00000000-0005-0000-0000-000011000000}"/>
    <cellStyle name="RevList" xfId="18" xr:uid="{00000000-0005-0000-0000-000012000000}"/>
    <cellStyle name="SAPBEXaggData" xfId="19" xr:uid="{00000000-0005-0000-0000-000013000000}"/>
    <cellStyle name="SAPBEXaggDataEmph" xfId="20" xr:uid="{00000000-0005-0000-0000-000014000000}"/>
    <cellStyle name="SAPBEXstdData" xfId="21" xr:uid="{00000000-0005-0000-0000-000015000000}"/>
    <cellStyle name="SAPBEXstdDataEmph" xfId="22" xr:uid="{00000000-0005-0000-0000-000016000000}"/>
    <cellStyle name="SAPBEXstdItem" xfId="23" xr:uid="{00000000-0005-0000-0000-000017000000}"/>
    <cellStyle name="Style 1" xfId="24" xr:uid="{00000000-0005-0000-0000-000018000000}"/>
    <cellStyle name="Subtotal" xfId="25" xr:uid="{00000000-0005-0000-0000-000019000000}"/>
    <cellStyle name="wrap" xfId="26" xr:uid="{00000000-0005-0000-0000-00001A000000}"/>
  </cellStyles>
  <dxfs count="4"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CFlow!$T$40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CFlow!$U$39:$AR$39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CFlow!$U$40:$AR$40</c:f>
              <c:numCache>
                <c:formatCode>#,##0_);[Red]\(#,##0\)</c:formatCode>
                <c:ptCount val="24"/>
                <c:pt idx="0">
                  <c:v>179726.62875223215</c:v>
                </c:pt>
                <c:pt idx="1">
                  <c:v>323171.95450267859</c:v>
                </c:pt>
                <c:pt idx="2">
                  <c:v>164051.33461877974</c:v>
                </c:pt>
                <c:pt idx="3">
                  <c:v>206252.30839821429</c:v>
                </c:pt>
                <c:pt idx="4">
                  <c:v>308548.1729093155</c:v>
                </c:pt>
                <c:pt idx="5">
                  <c:v>325232.52043660713</c:v>
                </c:pt>
                <c:pt idx="6">
                  <c:v>367064.90146607143</c:v>
                </c:pt>
                <c:pt idx="7">
                  <c:v>379251.37490625004</c:v>
                </c:pt>
                <c:pt idx="8">
                  <c:v>348123.17193750001</c:v>
                </c:pt>
                <c:pt idx="9">
                  <c:v>332559.07045312505</c:v>
                </c:pt>
                <c:pt idx="10">
                  <c:v>146068.02123663694</c:v>
                </c:pt>
                <c:pt idx="11">
                  <c:v>297408.61575</c:v>
                </c:pt>
                <c:pt idx="12">
                  <c:v>134969.83179424849</c:v>
                </c:pt>
                <c:pt idx="13">
                  <c:v>97159.87010450894</c:v>
                </c:pt>
                <c:pt idx="14">
                  <c:v>445733.11632228718</c:v>
                </c:pt>
                <c:pt idx="15">
                  <c:v>227790.12865098217</c:v>
                </c:pt>
                <c:pt idx="16">
                  <c:v>332441.91815082589</c:v>
                </c:pt>
                <c:pt idx="17">
                  <c:v>358813.35162200895</c:v>
                </c:pt>
                <c:pt idx="18">
                  <c:v>406367.85197651788</c:v>
                </c:pt>
                <c:pt idx="19">
                  <c:v>419965.54900513391</c:v>
                </c:pt>
                <c:pt idx="20">
                  <c:v>384310.90551294643</c:v>
                </c:pt>
                <c:pt idx="21">
                  <c:v>366483.58376685268</c:v>
                </c:pt>
                <c:pt idx="22">
                  <c:v>157274.85085613839</c:v>
                </c:pt>
                <c:pt idx="23">
                  <c:v>329830.26320892863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6-4A10-BF58-72B61A724FD3}"/>
            </c:ext>
          </c:extLst>
        </c:ser>
        <c:ser>
          <c:idx val="1"/>
          <c:order val="1"/>
          <c:tx>
            <c:strRef>
              <c:f>CFlow!$T$41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CFlow!$U$39:$AR$39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CFlow!$U$41:$AR$41</c:f>
              <c:numCache>
                <c:formatCode>#,##0_);[Red]\(#,##0\)</c:formatCode>
                <c:ptCount val="24"/>
                <c:pt idx="0">
                  <c:v>-93057.5327762128</c:v>
                </c:pt>
                <c:pt idx="1">
                  <c:v>-213171.90426775732</c:v>
                </c:pt>
                <c:pt idx="2">
                  <c:v>-626024.61287821853</c:v>
                </c:pt>
                <c:pt idx="3">
                  <c:v>-196132.44287378906</c:v>
                </c:pt>
                <c:pt idx="4">
                  <c:v>-238070.87036661396</c:v>
                </c:pt>
                <c:pt idx="5">
                  <c:v>-267366.24592296564</c:v>
                </c:pt>
                <c:pt idx="6">
                  <c:v>-280461.0602243992</c:v>
                </c:pt>
                <c:pt idx="7">
                  <c:v>-343038.76119330298</c:v>
                </c:pt>
                <c:pt idx="8">
                  <c:v>-272340.99173357576</c:v>
                </c:pt>
                <c:pt idx="9">
                  <c:v>-273867.95182636345</c:v>
                </c:pt>
                <c:pt idx="10">
                  <c:v>-257432.8997471348</c:v>
                </c:pt>
                <c:pt idx="11">
                  <c:v>-163866.56974946862</c:v>
                </c:pt>
                <c:pt idx="12">
                  <c:v>-248276.09496273476</c:v>
                </c:pt>
                <c:pt idx="13">
                  <c:v>-217077.29932268694</c:v>
                </c:pt>
                <c:pt idx="14">
                  <c:v>-175930.64584598935</c:v>
                </c:pt>
                <c:pt idx="15">
                  <c:v>-225792.8091188946</c:v>
                </c:pt>
                <c:pt idx="16">
                  <c:v>-752942.25316134526</c:v>
                </c:pt>
                <c:pt idx="17">
                  <c:v>-298562.12302854448</c:v>
                </c:pt>
                <c:pt idx="18">
                  <c:v>-336218.58756468486</c:v>
                </c:pt>
                <c:pt idx="19">
                  <c:v>-342971.29288147105</c:v>
                </c:pt>
                <c:pt idx="20">
                  <c:v>-328377.43021337042</c:v>
                </c:pt>
                <c:pt idx="21">
                  <c:v>-307577.33688339317</c:v>
                </c:pt>
                <c:pt idx="22">
                  <c:v>-309738.73408581712</c:v>
                </c:pt>
                <c:pt idx="23">
                  <c:v>-189725.55965436436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6-4A10-BF58-72B61A72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16832"/>
        <c:axId val="83818752"/>
      </c:barChart>
      <c:lineChart>
        <c:grouping val="standard"/>
        <c:varyColors val="0"/>
        <c:ser>
          <c:idx val="2"/>
          <c:order val="2"/>
          <c:tx>
            <c:strRef>
              <c:f>CFlow!$T$42</c:f>
              <c:strCache>
                <c:ptCount val="1"/>
                <c:pt idx="0">
                  <c:v>Cum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5"/>
            <c:spPr>
              <a:solidFill>
                <a:schemeClr val="tx1"/>
              </a:solidFill>
            </c:spPr>
          </c:marker>
          <c:cat>
            <c:numRef>
              <c:f>CFlow!$U$39:$AR$39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CFlow!$U$42:$AR$42</c:f>
              <c:numCache>
                <c:formatCode>General</c:formatCode>
                <c:ptCount val="24"/>
                <c:pt idx="0">
                  <c:v>66502.429309352679</c:v>
                </c:pt>
                <c:pt idx="1">
                  <c:v>176502.47954427396</c:v>
                </c:pt>
                <c:pt idx="2">
                  <c:v>-285470.79871516488</c:v>
                </c:pt>
                <c:pt idx="3">
                  <c:v>-277729.85651336604</c:v>
                </c:pt>
                <c:pt idx="4">
                  <c:v>-209566.96944160922</c:v>
                </c:pt>
                <c:pt idx="5">
                  <c:v>-153447.08633998115</c:v>
                </c:pt>
                <c:pt idx="6">
                  <c:v>-68121.97081780876</c:v>
                </c:pt>
                <c:pt idx="7">
                  <c:v>-32477.040195010108</c:v>
                </c:pt>
                <c:pt idx="8">
                  <c:v>43034.498007289054</c:v>
                </c:pt>
                <c:pt idx="9">
                  <c:v>101725.61663405065</c:v>
                </c:pt>
                <c:pt idx="10">
                  <c:v>-9639.2618764472136</c:v>
                </c:pt>
                <c:pt idx="11">
                  <c:v>123822.45694178045</c:v>
                </c:pt>
                <c:pt idx="12">
                  <c:v>10516.193773294173</c:v>
                </c:pt>
                <c:pt idx="13">
                  <c:v>-109401.23544488383</c:v>
                </c:pt>
                <c:pt idx="14">
                  <c:v>159489.55806937334</c:v>
                </c:pt>
                <c:pt idx="15">
                  <c:v>161486.8776014609</c:v>
                </c:pt>
                <c:pt idx="16">
                  <c:v>-259013.45740905846</c:v>
                </c:pt>
                <c:pt idx="17">
                  <c:v>-200920.67429400282</c:v>
                </c:pt>
                <c:pt idx="18">
                  <c:v>-132445.74883461982</c:v>
                </c:pt>
                <c:pt idx="19">
                  <c:v>-56555.207284578784</c:v>
                </c:pt>
                <c:pt idx="20">
                  <c:v>-1093.0253790409345</c:v>
                </c:pt>
                <c:pt idx="21">
                  <c:v>57804.112959593229</c:v>
                </c:pt>
                <c:pt idx="22">
                  <c:v>-94659.770270085501</c:v>
                </c:pt>
                <c:pt idx="23">
                  <c:v>44656.101865561395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6-4A10-BF58-72B61A724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816832"/>
        <c:axId val="83818752"/>
      </c:lineChart>
      <c:dateAx>
        <c:axId val="83816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818752"/>
        <c:crosses val="autoZero"/>
        <c:auto val="1"/>
        <c:lblOffset val="100"/>
        <c:baseTimeUnit val="months"/>
      </c:dateAx>
      <c:valAx>
        <c:axId val="8381875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E"/>
                  <a:t>Cashflow - '000</a:t>
                </a:r>
              </a:p>
            </c:rich>
          </c:tx>
          <c:overlay val="0"/>
        </c:title>
        <c:numFmt formatCode="\€#,##0,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816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15</xdr:row>
      <xdr:rowOff>0</xdr:rowOff>
    </xdr:from>
    <xdr:to>
      <xdr:col>10</xdr:col>
      <xdr:colOff>9525</xdr:colOff>
      <xdr:row>44</xdr:row>
      <xdr:rowOff>9525</xdr:rowOff>
    </xdr:to>
    <xdr:pic>
      <xdr:nvPicPr>
        <xdr:cNvPr id="222578" name="Picture 1">
          <a:extLst>
            <a:ext uri="{FF2B5EF4-FFF2-40B4-BE49-F238E27FC236}">
              <a16:creationId xmlns:a16="http://schemas.microsoft.com/office/drawing/2014/main" id="{00000000-0008-0000-0000-00007265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2428875"/>
          <a:ext cx="6096000" cy="470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581025</xdr:colOff>
      <xdr:row>1</xdr:row>
      <xdr:rowOff>152400</xdr:rowOff>
    </xdr:from>
    <xdr:to>
      <xdr:col>10</xdr:col>
      <xdr:colOff>0</xdr:colOff>
      <xdr:row>7</xdr:row>
      <xdr:rowOff>71438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019425" y="314325"/>
          <a:ext cx="3076575" cy="890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1200"/>
            </a:lnSpc>
          </a:pPr>
          <a:endParaRPr lang="en-IE" sz="1200">
            <a:solidFill>
              <a:schemeClr val="tx2"/>
            </a:solidFill>
          </a:endParaRPr>
        </a:p>
        <a:p>
          <a:pPr algn="ctr">
            <a:lnSpc>
              <a:spcPts val="1100"/>
            </a:lnSpc>
          </a:pPr>
          <a:r>
            <a:rPr lang="en-IE" sz="1200" b="1">
              <a:solidFill>
                <a:schemeClr val="tx2"/>
              </a:solidFill>
            </a:rPr>
            <a:t>Integrated Profit and Loss, Balance</a:t>
          </a:r>
          <a:r>
            <a:rPr lang="en-IE" sz="1200" b="1" baseline="0">
              <a:solidFill>
                <a:schemeClr val="tx2"/>
              </a:solidFill>
            </a:rPr>
            <a:t> Sheet &amp; Cash Flow Financial Model for Hotels</a:t>
          </a:r>
        </a:p>
      </xdr:txBody>
    </xdr:sp>
    <xdr:clientData/>
  </xdr:twoCellAnchor>
  <xdr:twoCellAnchor>
    <xdr:from>
      <xdr:col>5</xdr:col>
      <xdr:colOff>47624</xdr:colOff>
      <xdr:row>56</xdr:row>
      <xdr:rowOff>1</xdr:rowOff>
    </xdr:from>
    <xdr:to>
      <xdr:col>9</xdr:col>
      <xdr:colOff>581025</xdr:colOff>
      <xdr:row>60</xdr:row>
      <xdr:rowOff>133351</xdr:rowOff>
    </xdr:to>
    <xdr:sp macro="" textlink="">
      <xdr:nvSpPr>
        <xdr:cNvPr id="4" name="Text Box 4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095624" y="9067801"/>
          <a:ext cx="2971801" cy="781050"/>
        </a:xfrm>
        <a:prstGeom prst="rect">
          <a:avLst/>
        </a:prstGeom>
        <a:noFill/>
        <a:ln>
          <a:noFill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>
            <a:lnSpc>
              <a:spcPct val="150000"/>
            </a:lnSpc>
            <a:spcAft>
              <a:spcPts val="1000"/>
            </a:spcAft>
          </a:pPr>
          <a:r>
            <a:rPr lang="en-IE" sz="1200" b="1" baseline="0">
              <a:solidFill>
                <a:schemeClr val="tx2"/>
              </a:solidFill>
              <a:latin typeface="+mn-lt"/>
              <a:ea typeface="+mn-ea"/>
              <a:cs typeface="+mn-cs"/>
            </a:rPr>
            <a:t>Business Plan</a:t>
          </a:r>
        </a:p>
        <a:p>
          <a:pPr>
            <a:lnSpc>
              <a:spcPct val="150000"/>
            </a:lnSpc>
            <a:spcAft>
              <a:spcPts val="1000"/>
            </a:spcAft>
          </a:pPr>
          <a:r>
            <a:rPr lang="en-IE" sz="1200" b="1" baseline="0">
              <a:solidFill>
                <a:schemeClr val="tx2"/>
              </a:solidFill>
              <a:latin typeface="+mn-lt"/>
              <a:ea typeface="+mn-ea"/>
              <a:cs typeface="+mn-cs"/>
            </a:rPr>
            <a:t>Date ____________  Version __________</a:t>
          </a:r>
          <a:r>
            <a:rPr lang="en-IE" sz="1100" b="1" u="none" strike="noStrike" baseline="0">
              <a:effectLst/>
              <a:latin typeface="Calibri"/>
              <a:ea typeface="Calibri"/>
              <a:cs typeface="Times New Roman"/>
            </a:rPr>
            <a:t>_</a:t>
          </a:r>
          <a:endParaRPr lang="en-IE" sz="1100" b="1">
            <a:effectLst/>
            <a:latin typeface="Calibri"/>
            <a:ea typeface="Calibri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190500</xdr:rowOff>
    </xdr:from>
    <xdr:to>
      <xdr:col>3</xdr:col>
      <xdr:colOff>2228850</xdr:colOff>
      <xdr:row>10</xdr:row>
      <xdr:rowOff>142875</xdr:rowOff>
    </xdr:to>
    <xdr:pic>
      <xdr:nvPicPr>
        <xdr:cNvPr id="224366" name="Picture 2">
          <a:extLst>
            <a:ext uri="{FF2B5EF4-FFF2-40B4-BE49-F238E27FC236}">
              <a16:creationId xmlns:a16="http://schemas.microsoft.com/office/drawing/2014/main" id="{00000000-0008-0000-0100-00006E6C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" y="647700"/>
          <a:ext cx="46291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123825</xdr:rowOff>
    </xdr:from>
    <xdr:to>
      <xdr:col>3</xdr:col>
      <xdr:colOff>2133600</xdr:colOff>
      <xdr:row>24</xdr:row>
      <xdr:rowOff>66675</xdr:rowOff>
    </xdr:to>
    <xdr:pic>
      <xdr:nvPicPr>
        <xdr:cNvPr id="234604" name="Picture 2">
          <a:extLst>
            <a:ext uri="{FF2B5EF4-FFF2-40B4-BE49-F238E27FC236}">
              <a16:creationId xmlns:a16="http://schemas.microsoft.com/office/drawing/2014/main" id="{00000000-0008-0000-0200-00006C94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3724275"/>
          <a:ext cx="4629150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152400</xdr:rowOff>
    </xdr:from>
    <xdr:to>
      <xdr:col>14</xdr:col>
      <xdr:colOff>571500</xdr:colOff>
      <xdr:row>27</xdr:row>
      <xdr:rowOff>76200</xdr:rowOff>
    </xdr:to>
    <xdr:graphicFrame macro="">
      <xdr:nvGraphicFramePr>
        <xdr:cNvPr id="5442" name="Chart 1">
          <a:extLst>
            <a:ext uri="{FF2B5EF4-FFF2-40B4-BE49-F238E27FC236}">
              <a16:creationId xmlns:a16="http://schemas.microsoft.com/office/drawing/2014/main" id="{00000000-0008-0000-0C00-0000421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2"/>
  <sheetViews>
    <sheetView showGridLines="0" showRowColHeaders="0" zoomScaleNormal="100" workbookViewId="0"/>
  </sheetViews>
  <sheetFormatPr defaultColWidth="9.109375" defaultRowHeight="13.2"/>
  <cols>
    <col min="1" max="16384" width="9.109375" style="136"/>
  </cols>
  <sheetData>
    <row r="1" spans="1:10">
      <c r="A1" s="137"/>
      <c r="B1" s="137"/>
      <c r="C1" s="137"/>
      <c r="D1" s="137"/>
      <c r="E1" s="137"/>
      <c r="F1" s="137"/>
      <c r="G1" s="137"/>
      <c r="H1" s="137"/>
      <c r="I1" s="137"/>
      <c r="J1" s="137"/>
    </row>
    <row r="2" spans="1:10">
      <c r="A2" s="137"/>
      <c r="B2" s="137"/>
      <c r="C2" s="137"/>
      <c r="D2" s="137"/>
      <c r="E2" s="137"/>
      <c r="F2" s="137"/>
      <c r="G2" s="137"/>
      <c r="H2" s="137"/>
      <c r="I2" s="137"/>
      <c r="J2" s="137"/>
    </row>
    <row r="3" spans="1:10">
      <c r="A3" s="137"/>
      <c r="B3" s="137"/>
      <c r="C3" s="137"/>
      <c r="D3" s="137"/>
      <c r="E3" s="137"/>
      <c r="F3" s="137"/>
      <c r="G3" s="137"/>
      <c r="H3" s="137"/>
      <c r="I3" s="137"/>
      <c r="J3" s="137"/>
    </row>
    <row r="4" spans="1:10">
      <c r="A4" s="137"/>
      <c r="B4" s="137"/>
      <c r="C4" s="137"/>
      <c r="D4" s="137"/>
      <c r="E4" s="137"/>
      <c r="F4" s="137"/>
      <c r="G4" s="137"/>
      <c r="H4" s="137"/>
      <c r="I4" s="137"/>
      <c r="J4" s="137"/>
    </row>
    <row r="5" spans="1:10">
      <c r="A5" s="137"/>
      <c r="B5" s="137"/>
      <c r="C5" s="137"/>
      <c r="D5" s="137"/>
      <c r="E5" s="137"/>
      <c r="F5" s="137"/>
      <c r="G5" s="137"/>
      <c r="H5" s="137"/>
      <c r="I5" s="137"/>
      <c r="J5" s="137"/>
    </row>
    <row r="6" spans="1:10">
      <c r="A6" s="137"/>
      <c r="B6" s="137"/>
      <c r="C6" s="137"/>
      <c r="D6" s="137"/>
      <c r="E6" s="137"/>
      <c r="F6" s="137"/>
      <c r="G6" s="137"/>
      <c r="H6" s="137"/>
      <c r="I6" s="137"/>
      <c r="J6" s="137"/>
    </row>
    <row r="7" spans="1:10">
      <c r="A7" s="137"/>
      <c r="B7" s="137"/>
      <c r="C7" s="137"/>
      <c r="D7" s="137"/>
      <c r="E7" s="137"/>
      <c r="F7" s="137"/>
      <c r="G7" s="137"/>
      <c r="H7" s="137"/>
      <c r="I7" s="137"/>
      <c r="J7" s="137"/>
    </row>
    <row r="8" spans="1:10">
      <c r="A8" s="137"/>
      <c r="B8" s="137"/>
      <c r="C8" s="137"/>
      <c r="D8" s="137"/>
      <c r="E8" s="137"/>
      <c r="F8" s="137"/>
      <c r="G8" s="137"/>
      <c r="H8" s="137"/>
      <c r="I8" s="137"/>
      <c r="J8" s="137"/>
    </row>
    <row r="9" spans="1:10">
      <c r="A9" s="137"/>
      <c r="B9" s="137"/>
      <c r="C9" s="137"/>
      <c r="D9" s="137"/>
      <c r="E9" s="137"/>
      <c r="F9" s="137"/>
      <c r="G9" s="137"/>
      <c r="H9" s="137"/>
      <c r="I9" s="137"/>
      <c r="J9" s="137"/>
    </row>
    <row r="10" spans="1:10">
      <c r="A10" s="137"/>
      <c r="B10" s="137"/>
      <c r="C10" s="137"/>
      <c r="D10" s="137"/>
      <c r="E10" s="137"/>
      <c r="F10" s="137"/>
      <c r="G10" s="137"/>
      <c r="H10" s="137"/>
      <c r="I10" s="137"/>
      <c r="J10" s="137"/>
    </row>
    <row r="11" spans="1:10">
      <c r="A11" s="137"/>
      <c r="B11" s="137"/>
      <c r="C11" s="137"/>
      <c r="D11" s="137"/>
      <c r="E11" s="137"/>
      <c r="F11" s="137"/>
      <c r="G11" s="137"/>
      <c r="H11" s="137"/>
      <c r="I11" s="137"/>
      <c r="J11" s="137"/>
    </row>
    <row r="12" spans="1:10">
      <c r="A12" s="137"/>
      <c r="B12" s="137"/>
      <c r="C12" s="137"/>
      <c r="D12" s="137"/>
      <c r="E12" s="137"/>
      <c r="F12" s="137"/>
      <c r="G12" s="137"/>
      <c r="H12" s="137"/>
      <c r="I12" s="137"/>
      <c r="J12" s="137"/>
    </row>
    <row r="13" spans="1:10">
      <c r="A13" s="137"/>
      <c r="B13" s="137"/>
      <c r="C13" s="137"/>
      <c r="D13" s="137"/>
      <c r="E13" s="137"/>
      <c r="F13" s="137"/>
      <c r="G13" s="137"/>
      <c r="H13" s="137"/>
      <c r="I13" s="137"/>
      <c r="J13" s="137"/>
    </row>
    <row r="14" spans="1:10">
      <c r="A14" s="137"/>
      <c r="B14" s="137"/>
      <c r="C14" s="137"/>
      <c r="D14" s="137"/>
      <c r="E14" s="137"/>
      <c r="F14" s="137"/>
      <c r="G14" s="137"/>
      <c r="H14" s="137"/>
      <c r="I14" s="137"/>
      <c r="J14" s="137"/>
    </row>
    <row r="15" spans="1:10">
      <c r="A15" s="137"/>
      <c r="B15" s="137"/>
      <c r="C15" s="137"/>
      <c r="D15" s="137"/>
      <c r="E15" s="137"/>
      <c r="F15" s="137"/>
      <c r="G15" s="137"/>
      <c r="H15" s="137"/>
      <c r="I15" s="137"/>
      <c r="J15" s="137"/>
    </row>
    <row r="43" spans="1:10">
      <c r="A43" s="137"/>
      <c r="B43" s="137"/>
      <c r="C43" s="137"/>
      <c r="D43" s="137"/>
      <c r="E43" s="137"/>
      <c r="F43" s="137"/>
      <c r="G43" s="137"/>
      <c r="H43" s="137"/>
      <c r="I43" s="137"/>
      <c r="J43" s="137"/>
    </row>
    <row r="44" spans="1:10">
      <c r="A44" s="137"/>
      <c r="B44" s="137"/>
      <c r="C44" s="137"/>
      <c r="D44" s="137"/>
      <c r="E44" s="137"/>
      <c r="F44" s="137"/>
      <c r="G44" s="137"/>
      <c r="H44" s="137"/>
      <c r="I44" s="137"/>
      <c r="J44" s="137"/>
    </row>
    <row r="45" spans="1:10">
      <c r="A45" s="137"/>
      <c r="B45" s="137"/>
      <c r="C45" s="137"/>
      <c r="D45" s="137"/>
      <c r="E45" s="137"/>
      <c r="F45" s="137"/>
      <c r="G45" s="137"/>
      <c r="H45" s="137"/>
      <c r="I45" s="137"/>
      <c r="J45" s="137"/>
    </row>
    <row r="46" spans="1:10">
      <c r="A46" s="137"/>
      <c r="B46" s="137"/>
      <c r="C46" s="137"/>
      <c r="D46" s="137"/>
      <c r="E46" s="137"/>
      <c r="F46" s="137"/>
      <c r="G46" s="137"/>
      <c r="H46" s="137"/>
      <c r="I46" s="137"/>
      <c r="J46" s="137"/>
    </row>
    <row r="47" spans="1:10">
      <c r="A47" s="137"/>
      <c r="B47" s="137"/>
      <c r="C47" s="137"/>
      <c r="D47" s="137"/>
      <c r="E47" s="137"/>
      <c r="F47" s="137"/>
      <c r="G47" s="137"/>
      <c r="H47" s="137"/>
      <c r="I47" s="137"/>
      <c r="J47" s="137"/>
    </row>
    <row r="48" spans="1:10">
      <c r="A48" s="137"/>
      <c r="B48" s="137"/>
      <c r="C48" s="137"/>
      <c r="D48" s="137"/>
      <c r="E48" s="137"/>
      <c r="F48" s="137"/>
      <c r="G48" s="137"/>
      <c r="H48" s="137"/>
      <c r="I48" s="137"/>
      <c r="J48" s="137"/>
    </row>
    <row r="49" spans="1:10">
      <c r="A49" s="137"/>
      <c r="B49" s="137"/>
      <c r="C49" s="137"/>
      <c r="D49" s="137"/>
      <c r="E49" s="137"/>
      <c r="F49" s="137"/>
      <c r="G49" s="137"/>
      <c r="H49" s="137"/>
      <c r="I49" s="137"/>
      <c r="J49" s="137"/>
    </row>
    <row r="50" spans="1:10">
      <c r="A50" s="137"/>
      <c r="B50" s="137"/>
      <c r="C50" s="137"/>
      <c r="D50" s="137"/>
      <c r="E50" s="137"/>
      <c r="F50" s="137"/>
      <c r="G50" s="137"/>
      <c r="H50" s="137"/>
      <c r="I50" s="137"/>
      <c r="J50" s="137"/>
    </row>
    <row r="51" spans="1:10">
      <c r="A51" s="137"/>
      <c r="B51" s="137"/>
      <c r="C51" s="137"/>
      <c r="D51" s="137"/>
      <c r="E51" s="137"/>
      <c r="F51" s="137"/>
      <c r="G51" s="137"/>
      <c r="H51" s="137"/>
      <c r="I51" s="137"/>
      <c r="J51" s="137"/>
    </row>
    <row r="52" spans="1:10">
      <c r="A52" s="137"/>
      <c r="B52" s="137"/>
      <c r="C52" s="137"/>
      <c r="D52" s="137"/>
      <c r="E52" s="137"/>
      <c r="F52" s="137"/>
      <c r="G52" s="137"/>
      <c r="H52" s="137"/>
      <c r="I52" s="137"/>
      <c r="J52" s="137"/>
    </row>
    <row r="53" spans="1:10">
      <c r="A53" s="137"/>
      <c r="B53" s="137"/>
      <c r="C53" s="137"/>
      <c r="D53" s="137"/>
      <c r="E53" s="137"/>
      <c r="F53" s="137"/>
      <c r="G53" s="137"/>
      <c r="H53" s="137"/>
      <c r="I53" s="137"/>
      <c r="J53" s="137"/>
    </row>
    <row r="54" spans="1:10">
      <c r="A54" s="137"/>
      <c r="B54" s="137"/>
      <c r="C54" s="137"/>
      <c r="D54" s="137"/>
      <c r="E54" s="137"/>
      <c r="F54" s="137"/>
      <c r="G54" s="137"/>
      <c r="H54" s="137"/>
      <c r="I54" s="137"/>
      <c r="J54" s="137"/>
    </row>
    <row r="55" spans="1:10">
      <c r="A55" s="137"/>
      <c r="B55" s="137"/>
      <c r="C55" s="137"/>
      <c r="D55" s="137"/>
      <c r="E55" s="137"/>
      <c r="F55" s="137"/>
      <c r="G55" s="137"/>
      <c r="H55" s="137"/>
      <c r="I55" s="137"/>
      <c r="J55" s="137"/>
    </row>
    <row r="56" spans="1:10">
      <c r="A56" s="137"/>
      <c r="B56" s="137"/>
      <c r="C56" s="137"/>
      <c r="D56" s="137"/>
      <c r="E56" s="137"/>
      <c r="F56" s="137"/>
      <c r="G56" s="137"/>
      <c r="H56" s="137"/>
      <c r="I56" s="137"/>
      <c r="J56" s="137"/>
    </row>
    <row r="57" spans="1:10">
      <c r="A57" s="137"/>
      <c r="B57" s="137"/>
      <c r="C57" s="137"/>
      <c r="D57" s="137"/>
      <c r="E57" s="137"/>
      <c r="F57" s="137"/>
      <c r="G57" s="137"/>
      <c r="H57" s="137"/>
      <c r="I57" s="137"/>
      <c r="J57" s="137"/>
    </row>
    <row r="58" spans="1:10">
      <c r="A58" s="137"/>
      <c r="B58" s="137"/>
      <c r="C58" s="137"/>
      <c r="D58" s="137"/>
      <c r="E58" s="137"/>
      <c r="F58" s="137"/>
      <c r="G58" s="137"/>
      <c r="H58" s="137"/>
      <c r="I58" s="137"/>
      <c r="J58" s="137"/>
    </row>
    <row r="59" spans="1:10">
      <c r="A59" s="137"/>
      <c r="B59" s="137"/>
      <c r="C59" s="137"/>
      <c r="D59" s="137"/>
      <c r="E59" s="137"/>
      <c r="F59" s="137"/>
      <c r="G59" s="137"/>
      <c r="H59" s="137"/>
      <c r="I59" s="137"/>
      <c r="J59" s="137"/>
    </row>
    <row r="60" spans="1:10">
      <c r="A60" s="137"/>
      <c r="B60" s="137"/>
      <c r="C60" s="137"/>
      <c r="D60" s="137"/>
      <c r="E60" s="137"/>
      <c r="F60" s="137"/>
      <c r="G60" s="137"/>
      <c r="H60" s="137"/>
      <c r="I60" s="137"/>
      <c r="J60" s="137"/>
    </row>
    <row r="61" spans="1:10">
      <c r="A61" s="137"/>
      <c r="B61" s="137"/>
      <c r="C61" s="137"/>
      <c r="D61" s="137"/>
      <c r="E61" s="137"/>
      <c r="F61" s="137"/>
      <c r="G61" s="137"/>
      <c r="H61" s="137"/>
      <c r="I61" s="137"/>
      <c r="J61" s="137"/>
    </row>
    <row r="62" spans="1:10">
      <c r="A62" s="137"/>
      <c r="B62" s="137"/>
      <c r="C62" s="137"/>
      <c r="D62" s="137"/>
      <c r="E62" s="137"/>
      <c r="F62" s="137"/>
      <c r="G62" s="137"/>
      <c r="H62" s="137"/>
      <c r="I62" s="137"/>
      <c r="J62" s="137"/>
    </row>
  </sheetData>
  <sheetProtection selectLockedCells="1"/>
  <pageMargins left="0.70866141732283472" right="0.70866141732283472" top="0.74803149606299213" bottom="0.74803149606299213" header="0.31496062992125984" footer="0.31496062992125984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>
    <tabColor rgb="FFFFFF00"/>
  </sheetPr>
  <dimension ref="A1:EL164"/>
  <sheetViews>
    <sheetView zoomScaleNormal="100" workbookViewId="0">
      <pane xSplit="1" topLeftCell="B1" activePane="topRight" state="frozen"/>
      <selection pane="topRight"/>
    </sheetView>
  </sheetViews>
  <sheetFormatPr defaultColWidth="9.109375" defaultRowHeight="13.8"/>
  <cols>
    <col min="1" max="1" width="26.33203125" style="1" bestFit="1" customWidth="1"/>
    <col min="2" max="5" width="9.109375" style="1" customWidth="1"/>
    <col min="6" max="13" width="9.109375" style="1"/>
    <col min="14" max="14" width="10.5546875" style="1" bestFit="1" customWidth="1"/>
    <col min="15" max="38" width="9.109375" style="1"/>
    <col min="39" max="60" width="9.109375" style="1" customWidth="1"/>
    <col min="61" max="16384" width="9.109375" style="1"/>
  </cols>
  <sheetData>
    <row r="1" spans="1:142">
      <c r="A1" s="119" t="str">
        <f>'IP1'!$B$2</f>
        <v>XYZ Ltd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2">
      <c r="A2" s="91" t="s">
        <v>256</v>
      </c>
      <c r="B2" s="91"/>
      <c r="C2" s="118">
        <f>DATEVALUE(1&amp;"/"&amp;'IP1'!$B$3&amp;"/"&amp;('IP1'!$B$4+1))-1</f>
        <v>41639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42">
      <c r="A3" s="45"/>
      <c r="B3" s="46" t="s">
        <v>121</v>
      </c>
      <c r="C3" s="13">
        <f>DATEVALUE(1&amp;"/"&amp;'IP1'!$B$3&amp;"/"&amp;'IP1'!$B$4)</f>
        <v>41275</v>
      </c>
      <c r="D3" s="13">
        <f>DATE(YEAR(C3),MONTH(C3)+1,1)</f>
        <v>41306</v>
      </c>
      <c r="E3" s="13">
        <f t="shared" ref="E3:N3" si="0">DATE(YEAR(D3),MONTH(D3)+1,1)</f>
        <v>41334</v>
      </c>
      <c r="F3" s="13">
        <f t="shared" si="0"/>
        <v>41365</v>
      </c>
      <c r="G3" s="13">
        <f t="shared" si="0"/>
        <v>41395</v>
      </c>
      <c r="H3" s="13">
        <f t="shared" si="0"/>
        <v>41426</v>
      </c>
      <c r="I3" s="13">
        <f t="shared" si="0"/>
        <v>41456</v>
      </c>
      <c r="J3" s="13">
        <f t="shared" si="0"/>
        <v>41487</v>
      </c>
      <c r="K3" s="13">
        <f t="shared" si="0"/>
        <v>41518</v>
      </c>
      <c r="L3" s="13">
        <f t="shared" si="0"/>
        <v>41548</v>
      </c>
      <c r="M3" s="13">
        <f t="shared" si="0"/>
        <v>41579</v>
      </c>
      <c r="N3" s="13">
        <f t="shared" si="0"/>
        <v>41609</v>
      </c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16"/>
    </row>
    <row r="4" spans="1:142">
      <c r="A4" s="7" t="s">
        <v>33</v>
      </c>
      <c r="F4" s="18"/>
      <c r="G4" s="18"/>
      <c r="H4" s="18"/>
      <c r="I4" s="18"/>
      <c r="J4" s="18"/>
      <c r="K4" s="18"/>
      <c r="L4" s="18"/>
      <c r="M4" s="18"/>
      <c r="N4" s="18"/>
      <c r="O4" s="57"/>
      <c r="P4" s="57"/>
      <c r="Q4" s="57"/>
      <c r="R4" s="56"/>
      <c r="S4" s="56"/>
      <c r="T4" s="56"/>
      <c r="U4" s="56"/>
      <c r="V4" s="56"/>
      <c r="W4" s="56"/>
      <c r="X4" s="56"/>
      <c r="Y4" s="56"/>
      <c r="Z4" s="56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</row>
    <row r="5" spans="1:142">
      <c r="A5" s="1" t="s">
        <v>46</v>
      </c>
      <c r="B5" s="70">
        <f>Balances!B65</f>
        <v>7165000</v>
      </c>
      <c r="C5" s="70">
        <f>Balances!C65</f>
        <v>7123750</v>
      </c>
      <c r="D5" s="70">
        <f>Balances!D65</f>
        <v>7082611.111111111</v>
      </c>
      <c r="E5" s="70">
        <f>Balances!E65</f>
        <v>7512621.2962962966</v>
      </c>
      <c r="F5" s="70">
        <f>Balances!F65</f>
        <v>7467735.3086419757</v>
      </c>
      <c r="G5" s="70">
        <f>Balances!G65</f>
        <v>7422949.6872427985</v>
      </c>
      <c r="H5" s="70">
        <f>Balances!H65</f>
        <v>7378261.0865569264</v>
      </c>
      <c r="I5" s="70">
        <f>Balances!I65</f>
        <v>7333666.2725605853</v>
      </c>
      <c r="J5" s="70">
        <f>Balances!J65</f>
        <v>7328495.4523641216</v>
      </c>
      <c r="K5" s="70">
        <f>Balances!K65</f>
        <v>7283412.2706186511</v>
      </c>
      <c r="L5" s="70">
        <f>Balances!L65</f>
        <v>7238413.8060424728</v>
      </c>
      <c r="M5" s="70">
        <f>Balances!M65</f>
        <v>7193497.2347299466</v>
      </c>
      <c r="N5" s="70">
        <f>Balances!N65</f>
        <v>7148659.8269056156</v>
      </c>
      <c r="EK5" s="18"/>
      <c r="EL5" s="18"/>
    </row>
    <row r="6" spans="1:142">
      <c r="B6" s="57"/>
      <c r="C6" s="57"/>
      <c r="D6" s="57"/>
      <c r="E6" s="57"/>
      <c r="F6" s="56"/>
      <c r="G6" s="56"/>
      <c r="H6" s="56"/>
      <c r="I6" s="56"/>
      <c r="J6" s="56"/>
      <c r="K6" s="56"/>
      <c r="L6" s="56"/>
      <c r="M6" s="56"/>
      <c r="N6" s="56"/>
      <c r="EK6" s="18"/>
      <c r="EL6" s="18"/>
    </row>
    <row r="7" spans="1:142">
      <c r="A7" s="7" t="s">
        <v>47</v>
      </c>
      <c r="B7" s="57"/>
      <c r="C7" s="57"/>
      <c r="D7" s="57"/>
      <c r="E7" s="57"/>
      <c r="F7" s="56"/>
      <c r="G7" s="56"/>
      <c r="H7" s="56"/>
      <c r="I7" s="56"/>
      <c r="J7" s="56"/>
      <c r="K7" s="56"/>
      <c r="L7" s="56"/>
      <c r="M7" s="56"/>
      <c r="N7" s="56"/>
      <c r="EK7" s="18"/>
      <c r="EL7" s="18"/>
    </row>
    <row r="8" spans="1:142">
      <c r="A8" s="1" t="s">
        <v>48</v>
      </c>
      <c r="B8" s="56">
        <f>Balances!B78</f>
        <v>0</v>
      </c>
      <c r="C8" s="56">
        <f>Balances!C78</f>
        <v>0</v>
      </c>
      <c r="D8" s="56">
        <f>Balances!D78</f>
        <v>0</v>
      </c>
      <c r="E8" s="56">
        <f>Balances!E78</f>
        <v>0</v>
      </c>
      <c r="F8" s="56">
        <f>Balances!F78</f>
        <v>0</v>
      </c>
      <c r="G8" s="56">
        <f>Balances!G78</f>
        <v>0</v>
      </c>
      <c r="H8" s="56">
        <f>Balances!H78</f>
        <v>0</v>
      </c>
      <c r="I8" s="56">
        <f>Balances!I78</f>
        <v>0</v>
      </c>
      <c r="J8" s="56">
        <f>Balances!J78</f>
        <v>0</v>
      </c>
      <c r="K8" s="56">
        <f>Balances!K78</f>
        <v>0</v>
      </c>
      <c r="L8" s="56">
        <f>Balances!L78</f>
        <v>0</v>
      </c>
      <c r="M8" s="56">
        <f>Balances!M78</f>
        <v>0</v>
      </c>
      <c r="N8" s="56">
        <f>Balances!N78</f>
        <v>0</v>
      </c>
      <c r="EK8" s="18"/>
      <c r="EL8" s="18"/>
    </row>
    <row r="9" spans="1:142">
      <c r="A9" s="1" t="s">
        <v>49</v>
      </c>
      <c r="B9" s="56">
        <f>Balances!B74</f>
        <v>30000</v>
      </c>
      <c r="C9" s="56">
        <f>Balances!C74</f>
        <v>26575.542917410712</v>
      </c>
      <c r="D9" s="56">
        <f>Balances!D74</f>
        <v>29705.760084374997</v>
      </c>
      <c r="E9" s="56">
        <f>Balances!E74</f>
        <v>55349.000708035688</v>
      </c>
      <c r="F9" s="56">
        <f>Balances!F74</f>
        <v>78003.207318749977</v>
      </c>
      <c r="G9" s="56">
        <f>Balances!G74</f>
        <v>116178.73640758923</v>
      </c>
      <c r="H9" s="56">
        <f>Balances!H74</f>
        <v>130175.61563169636</v>
      </c>
      <c r="I9" s="56">
        <f>Balances!I74</f>
        <v>146808.97521026776</v>
      </c>
      <c r="J9" s="56">
        <f>Balances!J74</f>
        <v>151255.86134866055</v>
      </c>
      <c r="K9" s="56">
        <f>Balances!K74</f>
        <v>142362.0890718748</v>
      </c>
      <c r="L9" s="56">
        <f>Balances!L74</f>
        <v>134209.46448482119</v>
      </c>
      <c r="M9" s="56">
        <f>Balances!M74</f>
        <v>68477.657487053308</v>
      </c>
      <c r="N9" s="56">
        <f>Balances!N74</f>
        <v>108111.03870133904</v>
      </c>
      <c r="EK9" s="18"/>
      <c r="EL9" s="18"/>
    </row>
    <row r="10" spans="1:142">
      <c r="A10" s="1" t="s">
        <v>173</v>
      </c>
      <c r="B10" s="56">
        <f>IF(Balances!B111&lt;0,-Balances!B111,0)</f>
        <v>0</v>
      </c>
      <c r="C10" s="56">
        <f>IF(Balances!C111&lt;0,-Balances!C111,0)</f>
        <v>15531.187706041659</v>
      </c>
      <c r="D10" s="56">
        <f>IF(Balances!D111&lt;0,-Balances!D111,0)</f>
        <v>20079.875412083326</v>
      </c>
      <c r="E10" s="56">
        <f>IF(Balances!E111&lt;0,-Balances!E111,0)</f>
        <v>2201.0725526488095</v>
      </c>
      <c r="F10" s="56">
        <f>IF(Balances!F111&lt;0,-Balances!F111,0)</f>
        <v>7494.3023374404784</v>
      </c>
      <c r="G10" s="56">
        <f>IF(Balances!G111&lt;0,-Balances!G111,0)</f>
        <v>0</v>
      </c>
      <c r="H10" s="56">
        <f>IF(Balances!H111&lt;0,-Balances!H111,0)</f>
        <v>0</v>
      </c>
      <c r="I10" s="56">
        <f>IF(Balances!I111&lt;0,-Balances!I111,0)</f>
        <v>3479.2213627380988</v>
      </c>
      <c r="J10" s="56">
        <f>IF(Balances!J111&lt;0,-Balances!J111,0)</f>
        <v>0</v>
      </c>
      <c r="K10" s="56">
        <f>IF(Balances!K111&lt;0,-Balances!K111,0)</f>
        <v>0</v>
      </c>
      <c r="L10" s="56">
        <f>IF(Balances!L111&lt;0,-Balances!L111,0)</f>
        <v>4034.0425692261961</v>
      </c>
      <c r="M10" s="56">
        <f>IF(Balances!M111&lt;0,-Balances!M111,0)</f>
        <v>3973.6877060416646</v>
      </c>
      <c r="N10" s="56">
        <f>IF(Balances!N111&lt;0,-Balances!N111,0)</f>
        <v>634.21664547618275</v>
      </c>
      <c r="EK10" s="18"/>
      <c r="EL10" s="18"/>
    </row>
    <row r="11" spans="1:142">
      <c r="A11" s="1" t="s">
        <v>50</v>
      </c>
      <c r="B11" s="70">
        <f>IF(Balances!B132&gt;0,Balances!B132,0)</f>
        <v>0</v>
      </c>
      <c r="C11" s="70">
        <f>IF(Cash!C36&lt;0,0,Cash!C36)</f>
        <v>66502.429309352679</v>
      </c>
      <c r="D11" s="70">
        <f>IF(Cash!D36&lt;0,0,Cash!D36)</f>
        <v>176502.47954427396</v>
      </c>
      <c r="E11" s="70">
        <f>IF(Cash!E36&lt;0,0,Cash!E36)</f>
        <v>0</v>
      </c>
      <c r="F11" s="70">
        <f>IF(Cash!F36&lt;0,0,Cash!F36)</f>
        <v>0</v>
      </c>
      <c r="G11" s="70">
        <f>IF(Cash!G36&lt;0,0,Cash!G36)</f>
        <v>0</v>
      </c>
      <c r="H11" s="70">
        <f>IF(Cash!H36&lt;0,0,Cash!H36)</f>
        <v>0</v>
      </c>
      <c r="I11" s="70">
        <f>IF(Cash!I36&lt;0,0,Cash!I36)</f>
        <v>0</v>
      </c>
      <c r="J11" s="70">
        <f>IF(Cash!J36&lt;0,0,Cash!J36)</f>
        <v>0</v>
      </c>
      <c r="K11" s="70">
        <f>IF(Cash!K36&lt;0,0,Cash!K36)</f>
        <v>43034.498007289054</v>
      </c>
      <c r="L11" s="70">
        <f>IF(Cash!L36&lt;0,0,Cash!L36)</f>
        <v>101725.61663405065</v>
      </c>
      <c r="M11" s="70">
        <f>IF(Cash!M36&lt;0,0,Cash!M36)</f>
        <v>0</v>
      </c>
      <c r="N11" s="70">
        <f>IF(Cash!N36&lt;0,0,Cash!N36)</f>
        <v>123822.45694178045</v>
      </c>
      <c r="EK11" s="18"/>
      <c r="EL11" s="18"/>
    </row>
    <row r="12" spans="1:142" s="7" customFormat="1">
      <c r="B12" s="60">
        <f>SUM(B8:B11)</f>
        <v>30000</v>
      </c>
      <c r="C12" s="60">
        <f>SUM(C8:C11)</f>
        <v>108609.15993280505</v>
      </c>
      <c r="D12" s="60">
        <f t="shared" ref="D12:N12" si="1">SUM(D8:D11)</f>
        <v>226288.11504073229</v>
      </c>
      <c r="E12" s="60">
        <f t="shared" si="1"/>
        <v>57550.073260684498</v>
      </c>
      <c r="F12" s="60">
        <f t="shared" si="1"/>
        <v>85497.50965619045</v>
      </c>
      <c r="G12" s="60">
        <f t="shared" si="1"/>
        <v>116178.73640758923</v>
      </c>
      <c r="H12" s="60">
        <f t="shared" si="1"/>
        <v>130175.61563169636</v>
      </c>
      <c r="I12" s="60">
        <f t="shared" si="1"/>
        <v>150288.19657300587</v>
      </c>
      <c r="J12" s="60">
        <f t="shared" si="1"/>
        <v>151255.86134866055</v>
      </c>
      <c r="K12" s="60">
        <f t="shared" si="1"/>
        <v>185396.58707916384</v>
      </c>
      <c r="L12" s="60">
        <f t="shared" si="1"/>
        <v>239969.12368809804</v>
      </c>
      <c r="M12" s="60">
        <f t="shared" si="1"/>
        <v>72451.345193094967</v>
      </c>
      <c r="N12" s="60">
        <f t="shared" si="1"/>
        <v>232567.71228859568</v>
      </c>
      <c r="EK12" s="71"/>
      <c r="EL12" s="71"/>
    </row>
    <row r="13" spans="1:142">
      <c r="A13" s="7" t="s">
        <v>56</v>
      </c>
      <c r="B13" s="57"/>
      <c r="C13" s="57"/>
      <c r="D13" s="57"/>
      <c r="E13" s="57"/>
      <c r="F13" s="56"/>
      <c r="G13" s="56"/>
      <c r="H13" s="56"/>
      <c r="I13" s="56"/>
      <c r="J13" s="56"/>
      <c r="K13" s="56"/>
      <c r="L13" s="56"/>
      <c r="M13" s="56"/>
      <c r="N13" s="56"/>
      <c r="EK13" s="18"/>
      <c r="EL13" s="18"/>
    </row>
    <row r="14" spans="1:142">
      <c r="A14" s="1" t="s">
        <v>57</v>
      </c>
      <c r="B14" s="56">
        <f>Balances!B85</f>
        <v>45000</v>
      </c>
      <c r="C14" s="56">
        <f>Balances!C85</f>
        <v>53483.522269419649</v>
      </c>
      <c r="D14" s="56">
        <f>Balances!D85</f>
        <v>19733.522269419649</v>
      </c>
      <c r="E14" s="56">
        <f>Balances!E85</f>
        <v>54182.520982366084</v>
      </c>
      <c r="F14" s="56">
        <f>Balances!F85</f>
        <v>59200.56680825894</v>
      </c>
      <c r="G14" s="56">
        <f>Balances!G85</f>
        <v>108365.04196473218</v>
      </c>
      <c r="H14" s="56">
        <f>Balances!H85</f>
        <v>108365.0419647322</v>
      </c>
      <c r="I14" s="56">
        <f>Balances!I85</f>
        <v>112128.57633415185</v>
      </c>
      <c r="J14" s="56">
        <f>Balances!J85</f>
        <v>112128.57633415185</v>
      </c>
      <c r="K14" s="56">
        <f>Balances!K85</f>
        <v>108365.0419647322</v>
      </c>
      <c r="L14" s="56">
        <f>Balances!L85</f>
        <v>107110.53050825899</v>
      </c>
      <c r="M14" s="56">
        <f>Balances!M85</f>
        <v>19733.522269419715</v>
      </c>
      <c r="N14" s="56">
        <f>Balances!N85</f>
        <v>94904.076977678647</v>
      </c>
      <c r="EK14" s="18"/>
      <c r="EL14" s="18"/>
    </row>
    <row r="15" spans="1:142">
      <c r="A15" s="1" t="s">
        <v>58</v>
      </c>
      <c r="B15" s="56">
        <f>Balances!B93</f>
        <v>0</v>
      </c>
      <c r="C15" s="56">
        <f>Balances!C93</f>
        <v>74314.076059218758</v>
      </c>
      <c r="D15" s="56">
        <f>Balances!D93</f>
        <v>30264.701059218743</v>
      </c>
      <c r="E15" s="56">
        <f>Balances!E93</f>
        <v>30271.953177656251</v>
      </c>
      <c r="F15" s="56">
        <f>Balances!F93</f>
        <v>57291.978177656223</v>
      </c>
      <c r="G15" s="56">
        <f>Balances!G93</f>
        <v>37911.906355312472</v>
      </c>
      <c r="H15" s="56">
        <f>Balances!H93</f>
        <v>36528.156355312465</v>
      </c>
      <c r="I15" s="56">
        <f>Balances!I93</f>
        <v>67805.518855312446</v>
      </c>
      <c r="J15" s="56">
        <f>Balances!J93</f>
        <v>38977.393855312446</v>
      </c>
      <c r="K15" s="56">
        <f>Balances!K93</f>
        <v>36528.156355312443</v>
      </c>
      <c r="L15" s="56">
        <f>Balances!L93</f>
        <v>61772.368855312423</v>
      </c>
      <c r="M15" s="56">
        <f>Balances!M93</f>
        <v>27958.451059218685</v>
      </c>
      <c r="N15" s="56">
        <f>Balances!N93</f>
        <v>35745.017796093685</v>
      </c>
      <c r="EK15" s="18"/>
      <c r="EL15" s="18"/>
    </row>
    <row r="16" spans="1:142">
      <c r="A16" s="1" t="s">
        <v>25</v>
      </c>
      <c r="B16" s="85">
        <f>SUM(Balances!B99,Balances!B105)</f>
        <v>0</v>
      </c>
      <c r="C16" s="85">
        <f>SUM(Balances!C99,Balances!C105)</f>
        <v>7000</v>
      </c>
      <c r="D16" s="85">
        <f>SUM(Balances!D99,Balances!D105)</f>
        <v>7000</v>
      </c>
      <c r="E16" s="85">
        <f>SUM(Balances!E99,Balances!E105)</f>
        <v>7000</v>
      </c>
      <c r="F16" s="85">
        <f>SUM(Balances!F99,Balances!F105)</f>
        <v>7000</v>
      </c>
      <c r="G16" s="85">
        <f>SUM(Balances!G99,Balances!G105)</f>
        <v>7000</v>
      </c>
      <c r="H16" s="85">
        <f>SUM(Balances!H99,Balances!H105)</f>
        <v>7000</v>
      </c>
      <c r="I16" s="85">
        <f>SUM(Balances!I99,Balances!I105)</f>
        <v>7000</v>
      </c>
      <c r="J16" s="85">
        <f>SUM(Balances!J99,Balances!J105)</f>
        <v>7000</v>
      </c>
      <c r="K16" s="85">
        <f>SUM(Balances!K99,Balances!K105)</f>
        <v>7000</v>
      </c>
      <c r="L16" s="85">
        <f>SUM(Balances!L99,Balances!L105)</f>
        <v>7000</v>
      </c>
      <c r="M16" s="85">
        <f>SUM(Balances!M99,Balances!M105)</f>
        <v>7000</v>
      </c>
      <c r="N16" s="85">
        <f>SUM(Balances!N99,Balances!N105)</f>
        <v>7000</v>
      </c>
      <c r="EK16" s="18"/>
      <c r="EL16" s="18"/>
    </row>
    <row r="17" spans="1:142">
      <c r="A17" s="1" t="s">
        <v>24</v>
      </c>
      <c r="B17" s="56">
        <f>IF(Balances!B132&lt;0,-Balances!B132,0)</f>
        <v>20000</v>
      </c>
      <c r="C17" s="56">
        <f>IF(Cash!C36&lt;0,-Cash!C36,0)</f>
        <v>0</v>
      </c>
      <c r="D17" s="56">
        <f>IF(Cash!D36&lt;0,-Cash!D36,0)</f>
        <v>0</v>
      </c>
      <c r="E17" s="56">
        <f>IF(Cash!E36&lt;0,-Cash!E36,0)</f>
        <v>285470.79871516488</v>
      </c>
      <c r="F17" s="56">
        <f>IF(Cash!F36&lt;0,-Cash!F36,0)</f>
        <v>277729.85651336604</v>
      </c>
      <c r="G17" s="56">
        <f>IF(Cash!G36&lt;0,-Cash!G36,0)</f>
        <v>209566.96944160922</v>
      </c>
      <c r="H17" s="56">
        <f>IF(Cash!H36&lt;0,-Cash!H36,0)</f>
        <v>153447.08633998115</v>
      </c>
      <c r="I17" s="56">
        <f>IF(Cash!I36&lt;0,-Cash!I36,0)</f>
        <v>68121.97081780876</v>
      </c>
      <c r="J17" s="56">
        <f>IF(Cash!J36&lt;0,-Cash!J36,0)</f>
        <v>32477.040195010108</v>
      </c>
      <c r="K17" s="56">
        <f>IF(Cash!K36&lt;0,-Cash!K36,0)</f>
        <v>0</v>
      </c>
      <c r="L17" s="56">
        <f>IF(Cash!L36&lt;0,-Cash!L36,0)</f>
        <v>0</v>
      </c>
      <c r="M17" s="56">
        <f>IF(Cash!M36&lt;0,-Cash!M36,0)</f>
        <v>9639.2618764472136</v>
      </c>
      <c r="N17" s="56">
        <f>IF(Cash!N36&lt;0,-Cash!N36,0)</f>
        <v>0</v>
      </c>
      <c r="EK17" s="18"/>
      <c r="EL17" s="18"/>
    </row>
    <row r="18" spans="1:142">
      <c r="A18" s="1" t="s">
        <v>60</v>
      </c>
      <c r="B18" s="56">
        <f>Balances!B117</f>
        <v>0</v>
      </c>
      <c r="C18" s="56">
        <f>Balances!C117</f>
        <v>0</v>
      </c>
      <c r="D18" s="56">
        <f>Balances!D117</f>
        <v>0</v>
      </c>
      <c r="E18" s="56">
        <f>Balances!E117</f>
        <v>0</v>
      </c>
      <c r="F18" s="56">
        <f>Balances!F117</f>
        <v>0</v>
      </c>
      <c r="G18" s="56">
        <f>Balances!G117</f>
        <v>0</v>
      </c>
      <c r="H18" s="56">
        <f>Balances!H117</f>
        <v>0</v>
      </c>
      <c r="I18" s="56">
        <f>Balances!I117</f>
        <v>0</v>
      </c>
      <c r="J18" s="56">
        <f>Balances!J117</f>
        <v>0</v>
      </c>
      <c r="K18" s="56">
        <f>Balances!K117</f>
        <v>0</v>
      </c>
      <c r="L18" s="56">
        <f>Balances!L117</f>
        <v>0</v>
      </c>
      <c r="M18" s="56">
        <f>Balances!M117</f>
        <v>0</v>
      </c>
      <c r="N18" s="56">
        <f>Balances!N117</f>
        <v>0</v>
      </c>
      <c r="EK18" s="18"/>
      <c r="EL18" s="18"/>
    </row>
    <row r="19" spans="1:142">
      <c r="A19" s="1" t="s">
        <v>173</v>
      </c>
      <c r="B19" s="56">
        <f>IF(Balances!B111&gt;0,Balances!B111,0)</f>
        <v>0</v>
      </c>
      <c r="C19" s="56">
        <f>IF(Balances!C111&gt;0,Balances!C111,0)</f>
        <v>0</v>
      </c>
      <c r="D19" s="56">
        <f>IF(Balances!D111&gt;0,Balances!D111,0)</f>
        <v>0</v>
      </c>
      <c r="E19" s="56">
        <f>IF(Balances!E111&gt;0,Balances!E111,0)</f>
        <v>0</v>
      </c>
      <c r="F19" s="56">
        <f>IF(Balances!F111&gt;0,Balances!F111,0)</f>
        <v>0</v>
      </c>
      <c r="G19" s="56">
        <f>IF(Balances!G111&gt;0,Balances!G111,0)</f>
        <v>1240.521561369047</v>
      </c>
      <c r="H19" s="56">
        <f>IF(Balances!H111&gt;0,Balances!H111,0)</f>
        <v>2826.0431227380941</v>
      </c>
      <c r="I19" s="56">
        <f>IF(Balances!I111&gt;0,Balances!I111,0)</f>
        <v>0</v>
      </c>
      <c r="J19" s="56">
        <f>IF(Balances!J111&gt;0,Balances!J111,0)</f>
        <v>229.05727452380415</v>
      </c>
      <c r="K19" s="56">
        <f>IF(Balances!K111&gt;0,Balances!K111,0)</f>
        <v>1585.521561369047</v>
      </c>
      <c r="L19" s="56">
        <f>IF(Balances!L111&gt;0,Balances!L111,0)</f>
        <v>0</v>
      </c>
      <c r="M19" s="56">
        <f>IF(Balances!M111&gt;0,Balances!M111,0)</f>
        <v>0</v>
      </c>
      <c r="N19" s="56">
        <f>IF(Balances!N111&gt;0,Balances!N111,0)</f>
        <v>0</v>
      </c>
      <c r="EK19" s="18"/>
      <c r="EL19" s="18"/>
    </row>
    <row r="20" spans="1:142">
      <c r="A20" s="1" t="s">
        <v>86</v>
      </c>
      <c r="B20" s="56">
        <v>0</v>
      </c>
      <c r="C20" s="56">
        <f>Loans!E52</f>
        <v>45833.333333333328</v>
      </c>
      <c r="D20" s="56">
        <f>Loans!F52</f>
        <v>49999.999999999993</v>
      </c>
      <c r="E20" s="56">
        <f>Loans!G52</f>
        <v>49999.999999999993</v>
      </c>
      <c r="F20" s="56">
        <f>Loans!H52</f>
        <v>49999.999999999993</v>
      </c>
      <c r="G20" s="56">
        <f>Loans!I52</f>
        <v>49999.999999999993</v>
      </c>
      <c r="H20" s="56">
        <f>Loans!J52</f>
        <v>49999.999999999993</v>
      </c>
      <c r="I20" s="56">
        <f>Loans!K52</f>
        <v>49999.999999999993</v>
      </c>
      <c r="J20" s="56">
        <f>Loans!L52</f>
        <v>49999.999999999993</v>
      </c>
      <c r="K20" s="56">
        <f>Loans!M52</f>
        <v>49999.999999999993</v>
      </c>
      <c r="L20" s="56">
        <f>Loans!N52</f>
        <v>49999.999999999993</v>
      </c>
      <c r="M20" s="56">
        <f>Loans!O52</f>
        <v>49999.999999999993</v>
      </c>
      <c r="N20" s="56">
        <f>Loans!P52</f>
        <v>49999.999999999993</v>
      </c>
      <c r="EK20" s="18"/>
      <c r="EL20" s="18"/>
    </row>
    <row r="21" spans="1:142">
      <c r="A21" s="1" t="s">
        <v>160</v>
      </c>
      <c r="B21" s="56">
        <f>Balances!B135</f>
        <v>0</v>
      </c>
      <c r="C21" s="56">
        <f>SUM(Loans!E18,Loans!E38,XLoan!F32)</f>
        <v>0</v>
      </c>
      <c r="D21" s="56">
        <f>SUM(Loans!F18,Loans!F38,XLoan!G32)</f>
        <v>121081.32118186502</v>
      </c>
      <c r="E21" s="56">
        <f>SUM(Loans!G18,Loans!G38,XLoan!H32)</f>
        <v>121838.07943925168</v>
      </c>
      <c r="F21" s="56">
        <f>SUM(Loans!H18,Loans!H38,XLoan!I32)</f>
        <v>122599.56743574701</v>
      </c>
      <c r="G21" s="56">
        <f>SUM(Loans!I18,Loans!I38,XLoan!J32)</f>
        <v>123365.81473222043</v>
      </c>
      <c r="H21" s="56">
        <f>SUM(Loans!J18,Loans!J38,XLoan!K32)</f>
        <v>124136.85107429681</v>
      </c>
      <c r="I21" s="56">
        <f>SUM(Loans!K18,Loans!K38,XLoan!L32)</f>
        <v>124912.70639351117</v>
      </c>
      <c r="J21" s="56">
        <f>SUM(Loans!L18,Loans!L38,XLoan!M32)</f>
        <v>125693.41080847062</v>
      </c>
      <c r="K21" s="56">
        <f>SUM(Loans!M18,Loans!M38,XLoan!N32)</f>
        <v>126478.99462602357</v>
      </c>
      <c r="L21" s="56">
        <f>SUM(Loans!N18,Loans!N38,XLoan!O32)</f>
        <v>127269.48834243621</v>
      </c>
      <c r="M21" s="56">
        <f>SUM(Loans!O18,Loans!O38,XLoan!P32)</f>
        <v>128064.92264457644</v>
      </c>
      <c r="N21" s="56">
        <f>SUM(Loans!P18,Loans!P38,XLoan!Q32)</f>
        <v>128865.32841110505</v>
      </c>
      <c r="EK21" s="18"/>
      <c r="EL21" s="18"/>
    </row>
    <row r="22" spans="1:142">
      <c r="A22" s="1" t="s">
        <v>68</v>
      </c>
      <c r="B22" s="56">
        <f>Balances!B140</f>
        <v>0</v>
      </c>
      <c r="C22" s="56">
        <f>SUM(Leases!E16,Leases!E34,XLease!E15)</f>
        <v>0</v>
      </c>
      <c r="D22" s="56">
        <f>SUM(Leases!F16,Leases!F34,XLease!F15)</f>
        <v>0</v>
      </c>
      <c r="E22" s="56">
        <f>SUM(Leases!G16,Leases!G34,XLease!G15)</f>
        <v>0</v>
      </c>
      <c r="F22" s="56">
        <f>SUM(Leases!H16,Leases!H34,XLease!H15)</f>
        <v>0</v>
      </c>
      <c r="G22" s="56">
        <f>SUM(Leases!I16,Leases!I34,XLease!I15)</f>
        <v>0</v>
      </c>
      <c r="H22" s="56">
        <f>SUM(Leases!J16,Leases!J34,XLease!J15)</f>
        <v>0</v>
      </c>
      <c r="I22" s="56">
        <f>SUM(Leases!K16,Leases!K34,XLease!K15)</f>
        <v>0</v>
      </c>
      <c r="J22" s="56">
        <f>SUM(Leases!L16,Leases!L34,XLease!L15)</f>
        <v>0</v>
      </c>
      <c r="K22" s="56">
        <f>SUM(Leases!M16,Leases!M34,XLease!M15)</f>
        <v>0</v>
      </c>
      <c r="L22" s="56">
        <f>SUM(Leases!N16,Leases!N34,XLease!N15)</f>
        <v>0</v>
      </c>
      <c r="M22" s="56">
        <f>SUM(Leases!O16,Leases!O34,XLease!O15)</f>
        <v>0</v>
      </c>
      <c r="N22" s="56">
        <f>SUM(Leases!P16,Leases!P34,XLease!P15)</f>
        <v>0</v>
      </c>
      <c r="EK22" s="18"/>
      <c r="EL22" s="18"/>
    </row>
    <row r="23" spans="1:142" s="7" customFormat="1">
      <c r="B23" s="72">
        <f>SUM(B14:B22)</f>
        <v>65000</v>
      </c>
      <c r="C23" s="72">
        <f t="shared" ref="C23:N23" si="2">SUM(C14:C22)</f>
        <v>180630.93166197173</v>
      </c>
      <c r="D23" s="72">
        <f t="shared" si="2"/>
        <v>228079.54451050342</v>
      </c>
      <c r="E23" s="72">
        <f t="shared" si="2"/>
        <v>548763.3523144389</v>
      </c>
      <c r="F23" s="72">
        <f t="shared" si="2"/>
        <v>573821.96893502818</v>
      </c>
      <c r="G23" s="72">
        <f t="shared" si="2"/>
        <v>537450.25405524345</v>
      </c>
      <c r="H23" s="72">
        <f t="shared" si="2"/>
        <v>482303.17885706073</v>
      </c>
      <c r="I23" s="72">
        <f t="shared" si="2"/>
        <v>429968.77240078419</v>
      </c>
      <c r="J23" s="72">
        <f t="shared" si="2"/>
        <v>366505.47846746881</v>
      </c>
      <c r="K23" s="72">
        <f t="shared" si="2"/>
        <v>329957.71450743725</v>
      </c>
      <c r="L23" s="72">
        <f t="shared" si="2"/>
        <v>353152.38770600763</v>
      </c>
      <c r="M23" s="72">
        <f t="shared" si="2"/>
        <v>242396.15784966204</v>
      </c>
      <c r="N23" s="72">
        <f t="shared" si="2"/>
        <v>316514.42318487738</v>
      </c>
      <c r="EK23" s="71"/>
      <c r="EL23" s="71"/>
    </row>
    <row r="24" spans="1:142"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EK24" s="18"/>
      <c r="EL24" s="18"/>
    </row>
    <row r="25" spans="1:142" s="7" customFormat="1">
      <c r="A25" s="7" t="s">
        <v>69</v>
      </c>
      <c r="B25" s="73">
        <f>B12-B23</f>
        <v>-35000</v>
      </c>
      <c r="C25" s="73">
        <f t="shared" ref="C25:N25" si="3">C12-C23</f>
        <v>-72021.771729166678</v>
      </c>
      <c r="D25" s="73">
        <f t="shared" si="3"/>
        <v>-1791.4294697711302</v>
      </c>
      <c r="E25" s="73">
        <f t="shared" si="3"/>
        <v>-491213.27905375441</v>
      </c>
      <c r="F25" s="73">
        <f t="shared" si="3"/>
        <v>-488324.45927883772</v>
      </c>
      <c r="G25" s="73">
        <f t="shared" si="3"/>
        <v>-421271.51764765423</v>
      </c>
      <c r="H25" s="73">
        <f t="shared" si="3"/>
        <v>-352127.56322536437</v>
      </c>
      <c r="I25" s="73">
        <f t="shared" si="3"/>
        <v>-279680.57582777832</v>
      </c>
      <c r="J25" s="73">
        <f t="shared" si="3"/>
        <v>-215249.61711880827</v>
      </c>
      <c r="K25" s="73">
        <f t="shared" si="3"/>
        <v>-144561.12742827341</v>
      </c>
      <c r="L25" s="73">
        <f t="shared" si="3"/>
        <v>-113183.26401790959</v>
      </c>
      <c r="M25" s="73">
        <f t="shared" si="3"/>
        <v>-169944.81265656708</v>
      </c>
      <c r="N25" s="73">
        <f t="shared" si="3"/>
        <v>-83946.7108962817</v>
      </c>
      <c r="EK25" s="71"/>
      <c r="EL25" s="71"/>
    </row>
    <row r="26" spans="1:142"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EK26" s="18"/>
      <c r="EL26" s="18"/>
    </row>
    <row r="27" spans="1:142">
      <c r="A27" s="7" t="s">
        <v>85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EK27" s="18"/>
      <c r="EL27" s="18"/>
    </row>
    <row r="28" spans="1:142">
      <c r="A28" s="1" t="s">
        <v>86</v>
      </c>
      <c r="B28" s="74">
        <v>0</v>
      </c>
      <c r="C28" s="74">
        <f>Loans!E53</f>
        <v>54166.66666666665</v>
      </c>
      <c r="D28" s="74">
        <f>Loans!F53</f>
        <v>49999.999999999978</v>
      </c>
      <c r="E28" s="74">
        <f>Loans!G53</f>
        <v>45833.333333333314</v>
      </c>
      <c r="F28" s="74">
        <f>Loans!H53</f>
        <v>41666.666666666642</v>
      </c>
      <c r="G28" s="74">
        <f>Loans!I53</f>
        <v>37499.999999999978</v>
      </c>
      <c r="H28" s="74">
        <f>Loans!J53</f>
        <v>33333.333333333314</v>
      </c>
      <c r="I28" s="74">
        <f>Loans!K53</f>
        <v>29166.666666666642</v>
      </c>
      <c r="J28" s="74">
        <f>Loans!L53</f>
        <v>24999.999999999978</v>
      </c>
      <c r="K28" s="74">
        <f>Loans!M53</f>
        <v>20833.333333333314</v>
      </c>
      <c r="L28" s="74">
        <f>Loans!N53</f>
        <v>16666.66666666665</v>
      </c>
      <c r="M28" s="74">
        <f>Loans!O53</f>
        <v>12499.999999999982</v>
      </c>
      <c r="N28" s="74">
        <f>Loans!P53</f>
        <v>8333.3333333333157</v>
      </c>
      <c r="EK28" s="18"/>
      <c r="EL28" s="18"/>
    </row>
    <row r="29" spans="1:142">
      <c r="A29" s="1" t="s">
        <v>160</v>
      </c>
      <c r="B29" s="74">
        <f>Balances!B136</f>
        <v>0</v>
      </c>
      <c r="C29" s="74">
        <f>SUM(Loans!E19,Loans!E39,XLoan!F33)</f>
        <v>0</v>
      </c>
      <c r="D29" s="74">
        <f>SUM(Loans!F19,Loans!F39,XLoan!G33)</f>
        <v>119231.28065522884</v>
      </c>
      <c r="E29" s="74">
        <f>SUM(Loans!G19,Loans!G39,XLoan!H33)</f>
        <v>108726.57799641788</v>
      </c>
      <c r="F29" s="74">
        <f>SUM(Loans!H19,Loans!H39,XLoan!I33)</f>
        <v>98156.220945989364</v>
      </c>
      <c r="G29" s="74">
        <f>SUM(Loans!I19,Loans!I39,XLoan!J33)</f>
        <v>87519.79916399566</v>
      </c>
      <c r="H29" s="74">
        <f>SUM(Loans!J19,Loans!J39,XLoan!K33)</f>
        <v>76816.899745864503</v>
      </c>
      <c r="I29" s="74">
        <f>SUM(Loans!K19,Loans!K39,XLoan!L33)</f>
        <v>66047.107206370027</v>
      </c>
      <c r="J29" s="74">
        <f>SUM(Loans!L19,Loans!L39,XLoan!M33)</f>
        <v>55210.003463503701</v>
      </c>
      <c r="K29" s="74">
        <f>SUM(Loans!M19,Loans!M39,XLoan!N33)</f>
        <v>44305.167822244461</v>
      </c>
      <c r="L29" s="74">
        <f>SUM(Loans!N19,Loans!N39,XLoan!O33)</f>
        <v>33332.176958227355</v>
      </c>
      <c r="M29" s="74">
        <f>SUM(Loans!O19,Loans!O39,XLoan!P33)</f>
        <v>22290.604901310144</v>
      </c>
      <c r="N29" s="74">
        <f>SUM(Loans!P19,Loans!P39,XLoan!Q33)</f>
        <v>11180.023019037199</v>
      </c>
      <c r="EK29" s="18"/>
      <c r="EL29" s="18"/>
    </row>
    <row r="30" spans="1:142">
      <c r="A30" s="1" t="s">
        <v>87</v>
      </c>
      <c r="B30" s="74">
        <f>Balances!B141</f>
        <v>0</v>
      </c>
      <c r="C30" s="74">
        <f>SUM(Leases!E17,Leases!E35,XLease!E16)</f>
        <v>0</v>
      </c>
      <c r="D30" s="74">
        <f>SUM(Leases!F17,Leases!F35,XLease!F16)</f>
        <v>0</v>
      </c>
      <c r="E30" s="74">
        <f>SUM(Leases!G17,Leases!G35,XLease!G16)</f>
        <v>0</v>
      </c>
      <c r="F30" s="74">
        <f>SUM(Leases!H17,Leases!H35,XLease!H16)</f>
        <v>0</v>
      </c>
      <c r="G30" s="74">
        <f>SUM(Leases!I17,Leases!I35,XLease!I16)</f>
        <v>0</v>
      </c>
      <c r="H30" s="74">
        <f>SUM(Leases!J17,Leases!J35,XLease!J16)</f>
        <v>0</v>
      </c>
      <c r="I30" s="74">
        <f>SUM(Leases!K17,Leases!K35,XLease!K16)</f>
        <v>0</v>
      </c>
      <c r="J30" s="74">
        <f>SUM(Leases!L17,Leases!L35,XLease!L16)</f>
        <v>0</v>
      </c>
      <c r="K30" s="74">
        <f>SUM(Leases!M17,Leases!M35,XLease!M16)</f>
        <v>0</v>
      </c>
      <c r="L30" s="74">
        <f>SUM(Leases!N17,Leases!N35,XLease!N16)</f>
        <v>0</v>
      </c>
      <c r="M30" s="74">
        <f>SUM(Leases!O17,Leases!O35,XLease!O16)</f>
        <v>0</v>
      </c>
      <c r="N30" s="74">
        <f>SUM(Leases!P17,Leases!P35,XLease!P16)</f>
        <v>0</v>
      </c>
      <c r="EK30" s="18"/>
      <c r="EL30" s="18"/>
    </row>
    <row r="31" spans="1:142" s="7" customFormat="1">
      <c r="B31" s="72">
        <f>SUM(B28:B30)</f>
        <v>0</v>
      </c>
      <c r="C31" s="72">
        <f>SUM(C28:C30)</f>
        <v>54166.66666666665</v>
      </c>
      <c r="D31" s="72">
        <f t="shared" ref="D31:J31" si="4">SUM(D28:D30)</f>
        <v>169231.28065522882</v>
      </c>
      <c r="E31" s="72">
        <f t="shared" si="4"/>
        <v>154559.91132975119</v>
      </c>
      <c r="F31" s="72">
        <f t="shared" si="4"/>
        <v>139822.88761265599</v>
      </c>
      <c r="G31" s="72">
        <f t="shared" si="4"/>
        <v>125019.79916399563</v>
      </c>
      <c r="H31" s="72">
        <f t="shared" si="4"/>
        <v>110150.23307919782</v>
      </c>
      <c r="I31" s="72">
        <f t="shared" si="4"/>
        <v>95213.773873036669</v>
      </c>
      <c r="J31" s="72">
        <f t="shared" si="4"/>
        <v>80210.003463503672</v>
      </c>
      <c r="K31" s="72">
        <f>SUM(K28:K30)</f>
        <v>65138.501155577775</v>
      </c>
      <c r="L31" s="72">
        <f>SUM(L28:L30)</f>
        <v>49998.843624894005</v>
      </c>
      <c r="M31" s="72">
        <f>SUM(M28:M30)</f>
        <v>34790.604901310129</v>
      </c>
      <c r="N31" s="72">
        <f>SUM(N28:N30)</f>
        <v>19513.356352370516</v>
      </c>
      <c r="EK31" s="71"/>
      <c r="EL31" s="71"/>
    </row>
    <row r="32" spans="1:142"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EK32" s="18"/>
      <c r="EL32" s="18"/>
    </row>
    <row r="33" spans="1:142">
      <c r="A33" s="7" t="s">
        <v>91</v>
      </c>
      <c r="B33" s="94">
        <f>B5+B25-B31</f>
        <v>7130000</v>
      </c>
      <c r="C33" s="94">
        <f t="shared" ref="C33:N33" si="5">C5+C25-C31</f>
        <v>6997561.5616041664</v>
      </c>
      <c r="D33" s="94">
        <f t="shared" si="5"/>
        <v>6911588.4009861117</v>
      </c>
      <c r="E33" s="94">
        <f t="shared" si="5"/>
        <v>6866848.1059127916</v>
      </c>
      <c r="F33" s="94">
        <f t="shared" si="5"/>
        <v>6839587.9617504822</v>
      </c>
      <c r="G33" s="94">
        <f t="shared" si="5"/>
        <v>6876658.3704311494</v>
      </c>
      <c r="H33" s="94">
        <f t="shared" si="5"/>
        <v>6915983.2902523642</v>
      </c>
      <c r="I33" s="94">
        <f t="shared" si="5"/>
        <v>6958771.9228597702</v>
      </c>
      <c r="J33" s="94">
        <f t="shared" si="5"/>
        <v>7033035.8317818092</v>
      </c>
      <c r="K33" s="94">
        <f t="shared" si="5"/>
        <v>7073712.6420347998</v>
      </c>
      <c r="L33" s="94">
        <f t="shared" si="5"/>
        <v>7075231.6983996695</v>
      </c>
      <c r="M33" s="94">
        <f t="shared" si="5"/>
        <v>6988761.8171720691</v>
      </c>
      <c r="N33" s="94">
        <f t="shared" si="5"/>
        <v>7045199.7596569639</v>
      </c>
      <c r="EK33" s="18"/>
      <c r="EL33" s="18"/>
    </row>
    <row r="34" spans="1:142">
      <c r="B34" s="57"/>
      <c r="C34" s="57"/>
      <c r="D34" s="57"/>
      <c r="E34" s="57"/>
      <c r="F34" s="56"/>
      <c r="G34" s="56"/>
      <c r="H34" s="56"/>
      <c r="I34" s="56"/>
      <c r="J34" s="56"/>
      <c r="K34" s="56"/>
      <c r="L34" s="56"/>
      <c r="M34" s="56"/>
      <c r="N34" s="56"/>
      <c r="EK34" s="18"/>
      <c r="EL34" s="18"/>
    </row>
    <row r="35" spans="1:142">
      <c r="A35" s="7" t="s">
        <v>88</v>
      </c>
      <c r="B35" s="57"/>
      <c r="C35" s="57"/>
      <c r="D35" s="57"/>
      <c r="E35" s="57"/>
      <c r="F35" s="56"/>
      <c r="G35" s="56"/>
      <c r="H35" s="56"/>
      <c r="I35" s="56"/>
      <c r="J35" s="56"/>
      <c r="K35" s="56"/>
      <c r="L35" s="56"/>
      <c r="M35" s="56"/>
      <c r="N35" s="56"/>
      <c r="EK35" s="18"/>
      <c r="EL35" s="18"/>
    </row>
    <row r="36" spans="1:142">
      <c r="A36" s="1" t="s">
        <v>423</v>
      </c>
      <c r="B36" s="56">
        <f>Balances!B123</f>
        <v>0</v>
      </c>
      <c r="C36" s="56">
        <f>Balances!C123</f>
        <v>0</v>
      </c>
      <c r="D36" s="56">
        <f>Balances!D123</f>
        <v>0</v>
      </c>
      <c r="E36" s="56">
        <f>Balances!E123</f>
        <v>0</v>
      </c>
      <c r="F36" s="56">
        <f>Balances!F123</f>
        <v>0</v>
      </c>
      <c r="G36" s="56">
        <f>Balances!G123</f>
        <v>0</v>
      </c>
      <c r="H36" s="56">
        <f>Balances!H123</f>
        <v>0</v>
      </c>
      <c r="I36" s="56">
        <f>Balances!I123</f>
        <v>0</v>
      </c>
      <c r="J36" s="56">
        <f>Balances!J123</f>
        <v>0</v>
      </c>
      <c r="K36" s="56">
        <f>Balances!K123</f>
        <v>0</v>
      </c>
      <c r="L36" s="56">
        <f>Balances!L123</f>
        <v>0</v>
      </c>
      <c r="M36" s="56">
        <f>Balances!M123</f>
        <v>0</v>
      </c>
      <c r="N36" s="56">
        <f>Balances!N123</f>
        <v>0</v>
      </c>
      <c r="EK36" s="18"/>
      <c r="EL36" s="18"/>
    </row>
    <row r="37" spans="1:142">
      <c r="A37" s="1" t="s">
        <v>89</v>
      </c>
      <c r="B37" s="64">
        <v>0</v>
      </c>
      <c r="C37" s="64">
        <f>'P&amp;L'!C31</f>
        <v>-129313.43839583335</v>
      </c>
      <c r="D37" s="64">
        <f>'P&amp;L'!D31</f>
        <v>-212161.59901388892</v>
      </c>
      <c r="E37" s="64">
        <f>'P&amp;L'!E31</f>
        <v>-253776.89408720942</v>
      </c>
      <c r="F37" s="64">
        <f>'P&amp;L'!F31</f>
        <v>-277912.03824951861</v>
      </c>
      <c r="G37" s="64">
        <f>'P&amp;L'!G31</f>
        <v>-237716.62956885158</v>
      </c>
      <c r="H37" s="64">
        <f>'P&amp;L'!H31</f>
        <v>-195266.70974763506</v>
      </c>
      <c r="I37" s="64">
        <f>'P&amp;L'!I31</f>
        <v>-149353.07714022993</v>
      </c>
      <c r="J37" s="64">
        <f>'P&amp;L'!J31</f>
        <v>-71964.168218190753</v>
      </c>
      <c r="K37" s="64">
        <f>'P&amp;L'!K31</f>
        <v>-28162.357965200725</v>
      </c>
      <c r="L37" s="64">
        <f>'P&amp;L'!L31</f>
        <v>-23518.301600330407</v>
      </c>
      <c r="M37" s="64">
        <f>'P&amp;L'!M31</f>
        <v>-106863.1828279309</v>
      </c>
      <c r="N37" s="64">
        <f>'P&amp;L'!N31</f>
        <v>-47300.240343037527</v>
      </c>
      <c r="O37" s="64"/>
      <c r="EK37" s="18"/>
      <c r="EL37" s="18"/>
    </row>
    <row r="38" spans="1:142">
      <c r="A38" s="1" t="s">
        <v>424</v>
      </c>
      <c r="B38" s="64">
        <f>Balances!B128</f>
        <v>0</v>
      </c>
      <c r="C38" s="64">
        <f>-SUM(Balances!$C$127:C127)</f>
        <v>-3125</v>
      </c>
      <c r="D38" s="64">
        <f>-SUM(Balances!$C$127:D127)</f>
        <v>-6250</v>
      </c>
      <c r="E38" s="64">
        <f>-SUM(Balances!$C$127:E127)</f>
        <v>-9375</v>
      </c>
      <c r="F38" s="64">
        <f>-SUM(Balances!$C$127:F127)</f>
        <v>-12500</v>
      </c>
      <c r="G38" s="64">
        <f>-SUM(Balances!$C$127:G127)</f>
        <v>-15625</v>
      </c>
      <c r="H38" s="64">
        <f>-SUM(Balances!$C$127:H127)</f>
        <v>-18750</v>
      </c>
      <c r="I38" s="64">
        <f>-SUM(Balances!$C$127:I127)</f>
        <v>-21875</v>
      </c>
      <c r="J38" s="64">
        <f>-SUM(Balances!$C$127:J127)</f>
        <v>-25000</v>
      </c>
      <c r="K38" s="64">
        <f>-SUM(Balances!$C$127:K127)</f>
        <v>-28125</v>
      </c>
      <c r="L38" s="64">
        <f>-SUM(Balances!$C$127:L127)</f>
        <v>-31250</v>
      </c>
      <c r="M38" s="64">
        <f>-SUM(Balances!$C$127:M127)</f>
        <v>-34375</v>
      </c>
      <c r="N38" s="64">
        <f>-SUM(Balances!$C$127:N127)</f>
        <v>-37500</v>
      </c>
      <c r="O38" s="64"/>
      <c r="EK38" s="18"/>
      <c r="EL38" s="18"/>
    </row>
    <row r="39" spans="1:142">
      <c r="A39" s="1" t="s">
        <v>265</v>
      </c>
      <c r="B39" s="64">
        <f>Balances!$B$145</f>
        <v>7130000</v>
      </c>
      <c r="C39" s="64">
        <f>Balances!$B$145</f>
        <v>7130000</v>
      </c>
      <c r="D39" s="64">
        <f>Balances!$B$145</f>
        <v>7130000</v>
      </c>
      <c r="E39" s="64">
        <f>Balances!$B$145</f>
        <v>7130000</v>
      </c>
      <c r="F39" s="64">
        <f>Balances!$B$145</f>
        <v>7130000</v>
      </c>
      <c r="G39" s="64">
        <f>Balances!$B$145</f>
        <v>7130000</v>
      </c>
      <c r="H39" s="64">
        <f>Balances!$B$145</f>
        <v>7130000</v>
      </c>
      <c r="I39" s="64">
        <f>Balances!$B$145</f>
        <v>7130000</v>
      </c>
      <c r="J39" s="64">
        <f>Balances!$B$145</f>
        <v>7130000</v>
      </c>
      <c r="K39" s="64">
        <f>Balances!$B$145</f>
        <v>7130000</v>
      </c>
      <c r="L39" s="64">
        <f>Balances!$B$145</f>
        <v>7130000</v>
      </c>
      <c r="M39" s="64">
        <f>Balances!$B$145</f>
        <v>7130000</v>
      </c>
      <c r="N39" s="64">
        <f>Balances!$B$145</f>
        <v>7130000</v>
      </c>
      <c r="EK39" s="18"/>
      <c r="EL39" s="18"/>
    </row>
    <row r="40" spans="1:142" s="7" customFormat="1">
      <c r="A40" s="7" t="s">
        <v>90</v>
      </c>
      <c r="B40" s="94">
        <f>SUM(B36:B39)</f>
        <v>7130000</v>
      </c>
      <c r="C40" s="94">
        <f t="shared" ref="C40:N40" si="6">SUM(C36:C39)</f>
        <v>6997561.5616041664</v>
      </c>
      <c r="D40" s="94">
        <f t="shared" si="6"/>
        <v>6911588.4009861108</v>
      </c>
      <c r="E40" s="94">
        <f t="shared" si="6"/>
        <v>6866848.1059127906</v>
      </c>
      <c r="F40" s="94">
        <f t="shared" si="6"/>
        <v>6839587.9617504813</v>
      </c>
      <c r="G40" s="94">
        <f t="shared" si="6"/>
        <v>6876658.3704311484</v>
      </c>
      <c r="H40" s="94">
        <f t="shared" si="6"/>
        <v>6915983.2902523652</v>
      </c>
      <c r="I40" s="94">
        <f t="shared" si="6"/>
        <v>6958771.9228597702</v>
      </c>
      <c r="J40" s="94">
        <f t="shared" si="6"/>
        <v>7033035.8317818092</v>
      </c>
      <c r="K40" s="94">
        <f t="shared" si="6"/>
        <v>7073712.6420347989</v>
      </c>
      <c r="L40" s="94">
        <f t="shared" si="6"/>
        <v>7075231.6983996695</v>
      </c>
      <c r="M40" s="94">
        <f t="shared" si="6"/>
        <v>6988761.8171720691</v>
      </c>
      <c r="N40" s="94">
        <f t="shared" si="6"/>
        <v>7045199.759656962</v>
      </c>
      <c r="EK40" s="71"/>
      <c r="EL40" s="71"/>
    </row>
    <row r="41" spans="1:142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EK41" s="18"/>
      <c r="EL41" s="18"/>
    </row>
    <row r="42" spans="1:142" s="103" customFormat="1" ht="10.199999999999999">
      <c r="A42" s="102" t="s">
        <v>119</v>
      </c>
      <c r="B42" s="104">
        <f>B33-B40</f>
        <v>0</v>
      </c>
      <c r="C42" s="104">
        <f>C33-C40</f>
        <v>0</v>
      </c>
      <c r="D42" s="104">
        <f t="shared" ref="D42:N42" si="7">D33-D40</f>
        <v>0</v>
      </c>
      <c r="E42" s="104">
        <f t="shared" si="7"/>
        <v>0</v>
      </c>
      <c r="F42" s="104">
        <f t="shared" si="7"/>
        <v>0</v>
      </c>
      <c r="G42" s="104">
        <f t="shared" si="7"/>
        <v>0</v>
      </c>
      <c r="H42" s="104">
        <f t="shared" si="7"/>
        <v>0</v>
      </c>
      <c r="I42" s="104">
        <f t="shared" si="7"/>
        <v>0</v>
      </c>
      <c r="J42" s="104">
        <f t="shared" si="7"/>
        <v>0</v>
      </c>
      <c r="K42" s="104">
        <f t="shared" si="7"/>
        <v>0</v>
      </c>
      <c r="L42" s="104">
        <f t="shared" si="7"/>
        <v>0</v>
      </c>
      <c r="M42" s="104">
        <f t="shared" si="7"/>
        <v>0</v>
      </c>
      <c r="N42" s="104">
        <f t="shared" si="7"/>
        <v>0</v>
      </c>
      <c r="EK42" s="105"/>
      <c r="EL42" s="105"/>
    </row>
    <row r="43" spans="1:142" s="103" customFormat="1" ht="10.199999999999999">
      <c r="A43" s="102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EK43" s="105"/>
      <c r="EL43" s="105"/>
    </row>
    <row r="44" spans="1:142" s="103" customFormat="1">
      <c r="A44" s="119" t="str">
        <f>'IP1'!$B$2</f>
        <v>XYZ Ltd</v>
      </c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EK44" s="105"/>
      <c r="EL44" s="105"/>
    </row>
    <row r="45" spans="1:142" s="20" customFormat="1">
      <c r="A45" s="91" t="s">
        <v>256</v>
      </c>
      <c r="B45" s="91"/>
      <c r="C45" s="118">
        <f>DATEVALUE(1&amp;"/"&amp;'IP1'!$B$3&amp;"/"&amp;('IP1'!$B$4+2))-1</f>
        <v>42004</v>
      </c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EK45" s="76"/>
      <c r="EL45" s="76"/>
    </row>
    <row r="46" spans="1:142" s="20" customFormat="1">
      <c r="A46" s="91"/>
      <c r="B46" s="46" t="s">
        <v>121</v>
      </c>
      <c r="C46" s="13">
        <f>DATEVALUE(1&amp;"/"&amp;'IP1'!$B$3&amp;"/"&amp;('IP1'!$B$4+1))</f>
        <v>41640</v>
      </c>
      <c r="D46" s="13">
        <f>DATE(YEAR(C46),MONTH(C46)+1,1)</f>
        <v>41671</v>
      </c>
      <c r="E46" s="13">
        <f t="shared" ref="E46:N46" si="8">DATE(YEAR(D46),MONTH(D46)+1,1)</f>
        <v>41699</v>
      </c>
      <c r="F46" s="13">
        <f t="shared" si="8"/>
        <v>41730</v>
      </c>
      <c r="G46" s="13">
        <f t="shared" si="8"/>
        <v>41760</v>
      </c>
      <c r="H46" s="13">
        <f t="shared" si="8"/>
        <v>41791</v>
      </c>
      <c r="I46" s="13">
        <f t="shared" si="8"/>
        <v>41821</v>
      </c>
      <c r="J46" s="13">
        <f t="shared" si="8"/>
        <v>41852</v>
      </c>
      <c r="K46" s="13">
        <f t="shared" si="8"/>
        <v>41883</v>
      </c>
      <c r="L46" s="13">
        <f t="shared" si="8"/>
        <v>41913</v>
      </c>
      <c r="M46" s="13">
        <f t="shared" si="8"/>
        <v>41944</v>
      </c>
      <c r="N46" s="13">
        <f t="shared" si="8"/>
        <v>41974</v>
      </c>
      <c r="EK46" s="76"/>
      <c r="EL46" s="76"/>
    </row>
    <row r="47" spans="1:142">
      <c r="A47" s="7" t="s">
        <v>33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</row>
    <row r="48" spans="1:142">
      <c r="A48" s="1" t="s">
        <v>46</v>
      </c>
      <c r="B48" s="70">
        <f>N5</f>
        <v>7148659.8269056156</v>
      </c>
      <c r="C48" s="70">
        <f>Balances!O65</f>
        <v>7103898.9437865391</v>
      </c>
      <c r="D48" s="70">
        <f>Balances!P65</f>
        <v>7059212.0345492102</v>
      </c>
      <c r="E48" s="70">
        <f>Balances!Q65</f>
        <v>7014596.6333975689</v>
      </c>
      <c r="F48" s="70">
        <f>Balances!R65</f>
        <v>6970050.3567287605</v>
      </c>
      <c r="G48" s="70">
        <f>Balances!S65</f>
        <v>7396612.5670600254</v>
      </c>
      <c r="H48" s="70">
        <f>Balances!T65</f>
        <v>7348239.3703802461</v>
      </c>
      <c r="I48" s="70">
        <f>Balances!U65</f>
        <v>7299928.6135897934</v>
      </c>
      <c r="J48" s="70">
        <f>Balances!V65</f>
        <v>7251678.2153590228</v>
      </c>
      <c r="K48" s="70">
        <f>Balances!W65</f>
        <v>7203486.1637359448</v>
      </c>
      <c r="L48" s="70">
        <f>Balances!X65</f>
        <v>7155350.5138336346</v>
      </c>
      <c r="M48" s="70">
        <f>Balances!Y65</f>
        <v>7107269.3855947359</v>
      </c>
      <c r="N48" s="70">
        <f>Balances!Z65</f>
        <v>7059240.9616304673</v>
      </c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</row>
    <row r="49" spans="1:142">
      <c r="B49" s="50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</row>
    <row r="50" spans="1:142">
      <c r="A50" s="7" t="s">
        <v>47</v>
      </c>
      <c r="B50" s="50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</row>
    <row r="51" spans="1:142">
      <c r="A51" s="1" t="s">
        <v>48</v>
      </c>
      <c r="B51" s="50">
        <f>N8</f>
        <v>0</v>
      </c>
      <c r="C51" s="56">
        <f>Balances!O78</f>
        <v>0</v>
      </c>
      <c r="D51" s="56">
        <f>Balances!P78</f>
        <v>0</v>
      </c>
      <c r="E51" s="56">
        <f>Balances!Q78</f>
        <v>0</v>
      </c>
      <c r="F51" s="56">
        <f>Balances!R78</f>
        <v>0</v>
      </c>
      <c r="G51" s="56">
        <f>Balances!S78</f>
        <v>0</v>
      </c>
      <c r="H51" s="56">
        <f>Balances!T78</f>
        <v>0</v>
      </c>
      <c r="I51" s="56">
        <f>Balances!U78</f>
        <v>0</v>
      </c>
      <c r="J51" s="56">
        <f>Balances!V78</f>
        <v>0</v>
      </c>
      <c r="K51" s="56">
        <f>Balances!W78</f>
        <v>0</v>
      </c>
      <c r="L51" s="56">
        <f>Balances!X78</f>
        <v>0</v>
      </c>
      <c r="M51" s="56">
        <f>Balances!Y78</f>
        <v>0</v>
      </c>
      <c r="N51" s="56">
        <f>Balances!Z78</f>
        <v>0</v>
      </c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</row>
    <row r="52" spans="1:142">
      <c r="A52" s="1" t="s">
        <v>49</v>
      </c>
      <c r="B52" s="50">
        <f>N9</f>
        <v>108111.03870133904</v>
      </c>
      <c r="C52" s="56">
        <f>Balances!O74</f>
        <v>58767.269855691731</v>
      </c>
      <c r="D52" s="56">
        <f>Balances!P74</f>
        <v>46599.24605430779</v>
      </c>
      <c r="E52" s="56">
        <f>Balances!Q74</f>
        <v>59514.260009865829</v>
      </c>
      <c r="F52" s="56">
        <f>Balances!R74</f>
        <v>86699.670268258662</v>
      </c>
      <c r="G52" s="56">
        <f>Balances!S74</f>
        <v>128381.61663261137</v>
      </c>
      <c r="H52" s="56">
        <f>Balances!T74</f>
        <v>143692.12952578103</v>
      </c>
      <c r="I52" s="56">
        <f>Balances!U74</f>
        <v>162383.34705328097</v>
      </c>
      <c r="J52" s="56">
        <f>Balances!V74</f>
        <v>167476.86755216483</v>
      </c>
      <c r="K52" s="56">
        <f>Balances!W74</f>
        <v>157289.826554397</v>
      </c>
      <c r="L52" s="56">
        <f>Balances!X74</f>
        <v>147951.70563977648</v>
      </c>
      <c r="M52" s="56">
        <f>Balances!Y74</f>
        <v>75668.701086763089</v>
      </c>
      <c r="N52" s="56">
        <f>Balances!Z74</f>
        <v>119862.46440462023</v>
      </c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</row>
    <row r="53" spans="1:142">
      <c r="A53" s="1" t="s">
        <v>173</v>
      </c>
      <c r="B53" s="50">
        <f>N10</f>
        <v>634.21664547618275</v>
      </c>
      <c r="C53" s="56">
        <f>IF(Balances!O111&lt;0,-Balances!O111,0)</f>
        <v>18828.72401012796</v>
      </c>
      <c r="D53" s="56">
        <f>IF(Balances!P111&lt;0,-Balances!P111,0)</f>
        <v>21586.198020255935</v>
      </c>
      <c r="E53" s="56">
        <f>IF(Balances!Q111&lt;0,-Balances!Q111,0)</f>
        <v>0</v>
      </c>
      <c r="F53" s="56">
        <f>IF(Balances!R111&lt;0,-Balances!R111,0)</f>
        <v>0</v>
      </c>
      <c r="G53" s="56">
        <f>IF(Balances!S111&lt;0,-Balances!S111,0)</f>
        <v>0</v>
      </c>
      <c r="H53" s="56">
        <f>IF(Balances!T111&lt;0,-Balances!T111,0)</f>
        <v>0</v>
      </c>
      <c r="I53" s="56">
        <f>IF(Balances!U111&lt;0,-Balances!U111,0)</f>
        <v>0</v>
      </c>
      <c r="J53" s="56">
        <f>IF(Balances!V111&lt;0,-Balances!V111,0)</f>
        <v>0</v>
      </c>
      <c r="K53" s="56">
        <f>IF(Balances!W111&lt;0,-Balances!W111,0)</f>
        <v>0</v>
      </c>
      <c r="L53" s="56">
        <f>IF(Balances!X111&lt;0,-Balances!X111,0)</f>
        <v>0</v>
      </c>
      <c r="M53" s="56">
        <f>IF(Balances!Y111&lt;0,-Balances!Y111,0)</f>
        <v>2182.4740101279767</v>
      </c>
      <c r="N53" s="56">
        <f>IF(Balances!Z111&lt;0,-Balances!Z111,0)</f>
        <v>0</v>
      </c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</row>
    <row r="54" spans="1:142">
      <c r="A54" s="1" t="s">
        <v>50</v>
      </c>
      <c r="B54" s="135">
        <f>N11</f>
        <v>123822.45694178045</v>
      </c>
      <c r="C54" s="70">
        <f>IF(Cash!C74&lt;0,0,Cash!C74)</f>
        <v>10516.193773294173</v>
      </c>
      <c r="D54" s="70">
        <f>IF(Cash!D74&lt;0,0,Cash!D74)</f>
        <v>0</v>
      </c>
      <c r="E54" s="70">
        <f>IF(Cash!E74&lt;0,0,Cash!E74)</f>
        <v>159489.55806937334</v>
      </c>
      <c r="F54" s="70">
        <f>IF(Cash!F74&lt;0,0,Cash!F74)</f>
        <v>161486.8776014609</v>
      </c>
      <c r="G54" s="70">
        <f>IF(Cash!G74&lt;0,0,Cash!G74)</f>
        <v>0</v>
      </c>
      <c r="H54" s="70">
        <f>IF(Cash!H74&lt;0,0,Cash!H74)</f>
        <v>0</v>
      </c>
      <c r="I54" s="70">
        <f>IF(Cash!I74&lt;0,0,Cash!I74)</f>
        <v>0</v>
      </c>
      <c r="J54" s="70">
        <f>IF(Cash!J74&lt;0,0,Cash!J74)</f>
        <v>0</v>
      </c>
      <c r="K54" s="70">
        <f>IF(Cash!K74&lt;0,0,Cash!K74)</f>
        <v>0</v>
      </c>
      <c r="L54" s="70">
        <f>IF(Cash!L74&lt;0,0,Cash!L74)</f>
        <v>57804.112959593229</v>
      </c>
      <c r="M54" s="70">
        <f>IF(Cash!M74&lt;0,0,Cash!M74)</f>
        <v>0</v>
      </c>
      <c r="N54" s="70">
        <f>IF(Cash!N74&lt;0,0,Cash!N74)</f>
        <v>44656.101865561395</v>
      </c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</row>
    <row r="55" spans="1:142">
      <c r="A55" s="7"/>
      <c r="B55" s="60">
        <f t="shared" ref="B55:N55" si="9">SUM(B51:B54)</f>
        <v>232567.71228859568</v>
      </c>
      <c r="C55" s="60">
        <f t="shared" si="9"/>
        <v>88112.187639113865</v>
      </c>
      <c r="D55" s="60">
        <f t="shared" si="9"/>
        <v>68185.444074563726</v>
      </c>
      <c r="E55" s="60">
        <f t="shared" si="9"/>
        <v>219003.81807923916</v>
      </c>
      <c r="F55" s="60">
        <f t="shared" si="9"/>
        <v>248186.54786971956</v>
      </c>
      <c r="G55" s="60">
        <f t="shared" si="9"/>
        <v>128381.61663261137</v>
      </c>
      <c r="H55" s="60">
        <f t="shared" si="9"/>
        <v>143692.12952578103</v>
      </c>
      <c r="I55" s="60">
        <f t="shared" si="9"/>
        <v>162383.34705328097</v>
      </c>
      <c r="J55" s="60">
        <f t="shared" si="9"/>
        <v>167476.86755216483</v>
      </c>
      <c r="K55" s="60">
        <f t="shared" si="9"/>
        <v>157289.826554397</v>
      </c>
      <c r="L55" s="60">
        <f t="shared" si="9"/>
        <v>205755.81859936973</v>
      </c>
      <c r="M55" s="60">
        <f t="shared" si="9"/>
        <v>77851.175096891064</v>
      </c>
      <c r="N55" s="60">
        <f t="shared" si="9"/>
        <v>164518.56627018162</v>
      </c>
      <c r="O55" s="7"/>
      <c r="P55" s="7"/>
      <c r="Q55" s="19"/>
      <c r="R55" s="19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  <c r="DH55" s="71"/>
      <c r="DI55" s="71"/>
      <c r="DJ55" s="71"/>
      <c r="DK55" s="71"/>
      <c r="DL55" s="71"/>
      <c r="DM55" s="71"/>
      <c r="DN55" s="71"/>
      <c r="DO55" s="71"/>
      <c r="DP55" s="71"/>
      <c r="DQ55" s="71"/>
      <c r="DR55" s="71"/>
      <c r="DS55" s="71"/>
      <c r="DT55" s="71"/>
      <c r="DU55" s="71"/>
      <c r="DV55" s="71"/>
      <c r="DW55" s="71"/>
      <c r="DX55" s="71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</row>
    <row r="56" spans="1:142">
      <c r="A56" s="7" t="s">
        <v>56</v>
      </c>
      <c r="B56" s="50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</row>
    <row r="57" spans="1:142">
      <c r="A57" s="1" t="s">
        <v>57</v>
      </c>
      <c r="B57" s="50">
        <f t="shared" ref="B57:B65" si="10">N14</f>
        <v>94904.076977678647</v>
      </c>
      <c r="C57" s="56">
        <f>Balances!O85</f>
        <v>20876.624496361692</v>
      </c>
      <c r="D57" s="56">
        <f>Balances!P85</f>
        <v>20876.624496361692</v>
      </c>
      <c r="E57" s="56">
        <f>Balances!Q85</f>
        <v>57110.023080602761</v>
      </c>
      <c r="F57" s="56">
        <f>Balances!R85</f>
        <v>62629.873489084915</v>
      </c>
      <c r="G57" s="56">
        <f>Balances!S85</f>
        <v>114220.04616120545</v>
      </c>
      <c r="H57" s="56">
        <f>Balances!T85</f>
        <v>114220.04616120545</v>
      </c>
      <c r="I57" s="56">
        <f>Balances!U85</f>
        <v>118359.93396756705</v>
      </c>
      <c r="J57" s="56">
        <f>Balances!V85</f>
        <v>118359.93396756705</v>
      </c>
      <c r="K57" s="56">
        <f>Balances!W85</f>
        <v>114220.04616120545</v>
      </c>
      <c r="L57" s="56">
        <f>Balances!X85</f>
        <v>112840.08355908492</v>
      </c>
      <c r="M57" s="56">
        <f>Balances!Y85</f>
        <v>20876.624496361692</v>
      </c>
      <c r="N57" s="56">
        <f>Balances!Z85</f>
        <v>100243.23467544651</v>
      </c>
      <c r="Q57" s="22"/>
      <c r="R57" s="22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</row>
    <row r="58" spans="1:142">
      <c r="A58" s="1" t="s">
        <v>58</v>
      </c>
      <c r="B58" s="50">
        <f t="shared" si="10"/>
        <v>35745.017796093685</v>
      </c>
      <c r="C58" s="56">
        <f>Balances!O93</f>
        <v>99838.014915140549</v>
      </c>
      <c r="D58" s="56">
        <f>Balances!P93</f>
        <v>35378.327415140535</v>
      </c>
      <c r="E58" s="56">
        <f>Balances!Q93</f>
        <v>35417.669745421794</v>
      </c>
      <c r="F58" s="56">
        <f>Balances!R93</f>
        <v>70749.419745421794</v>
      </c>
      <c r="G58" s="56">
        <f>Balances!S93</f>
        <v>43513.96449084366</v>
      </c>
      <c r="H58" s="56">
        <f>Balances!T93</f>
        <v>42014.901990843668</v>
      </c>
      <c r="I58" s="56">
        <f>Balances!U93</f>
        <v>81544.026990843675</v>
      </c>
      <c r="J58" s="56">
        <f>Balances!V93</f>
        <v>44759.33949084366</v>
      </c>
      <c r="K58" s="56">
        <f>Balances!W93</f>
        <v>42014.901990843668</v>
      </c>
      <c r="L58" s="56">
        <f>Balances!X93</f>
        <v>75271.026990843646</v>
      </c>
      <c r="M58" s="56">
        <f>Balances!Y93</f>
        <v>33072.077415140506</v>
      </c>
      <c r="N58" s="56">
        <f>Balances!Z93</f>
        <v>41337.949575703009</v>
      </c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</row>
    <row r="59" spans="1:142">
      <c r="A59" s="1" t="s">
        <v>25</v>
      </c>
      <c r="B59" s="50">
        <f t="shared" si="10"/>
        <v>7000</v>
      </c>
      <c r="C59" s="85">
        <f>SUM(Balances!O99,Balances!O105)</f>
        <v>7250</v>
      </c>
      <c r="D59" s="85">
        <f>SUM(Balances!P99,Balances!P105)</f>
        <v>7250</v>
      </c>
      <c r="E59" s="85">
        <f>SUM(Balances!Q99,Balances!Q105)</f>
        <v>7250</v>
      </c>
      <c r="F59" s="85">
        <f>SUM(Balances!R99,Balances!R105)</f>
        <v>7250</v>
      </c>
      <c r="G59" s="85">
        <f>SUM(Balances!S99,Balances!S105)</f>
        <v>7250</v>
      </c>
      <c r="H59" s="85">
        <f>SUM(Balances!T99,Balances!T105)</f>
        <v>7250</v>
      </c>
      <c r="I59" s="85">
        <f>SUM(Balances!U99,Balances!U105)</f>
        <v>7250</v>
      </c>
      <c r="J59" s="85">
        <f>SUM(Balances!V99,Balances!V105)</f>
        <v>7250</v>
      </c>
      <c r="K59" s="85">
        <f>SUM(Balances!W99,Balances!W105)</f>
        <v>7250</v>
      </c>
      <c r="L59" s="85">
        <f>SUM(Balances!X99,Balances!X105)</f>
        <v>7250</v>
      </c>
      <c r="M59" s="85">
        <f>SUM(Balances!Y99,Balances!Y105)</f>
        <v>7250</v>
      </c>
      <c r="N59" s="85">
        <f>SUM(Balances!Z99,Balances!Z105)</f>
        <v>7250</v>
      </c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</row>
    <row r="60" spans="1:142">
      <c r="A60" s="1" t="s">
        <v>24</v>
      </c>
      <c r="B60" s="50">
        <f t="shared" si="10"/>
        <v>0</v>
      </c>
      <c r="C60" s="56">
        <f>IF(Cash!C74&lt;0,-Cash!C74,0)</f>
        <v>0</v>
      </c>
      <c r="D60" s="56">
        <f>IF(Cash!D74&lt;0,-Cash!D74,0)</f>
        <v>109401.23544488383</v>
      </c>
      <c r="E60" s="56">
        <f>IF(Cash!E74&lt;0,-Cash!E74,0)</f>
        <v>0</v>
      </c>
      <c r="F60" s="56">
        <f>IF(Cash!F74&lt;0,-Cash!F74,0)</f>
        <v>0</v>
      </c>
      <c r="G60" s="56">
        <f>IF(Cash!G74&lt;0,-Cash!G74,0)</f>
        <v>259013.45740905846</v>
      </c>
      <c r="H60" s="56">
        <f>IF(Cash!H74&lt;0,-Cash!H74,0)</f>
        <v>200920.67429400282</v>
      </c>
      <c r="I60" s="56">
        <f>IF(Cash!I74&lt;0,-Cash!I74,0)</f>
        <v>132445.74883461982</v>
      </c>
      <c r="J60" s="56">
        <f>IF(Cash!J74&lt;0,-Cash!J74,0)</f>
        <v>56555.207284578784</v>
      </c>
      <c r="K60" s="56">
        <f>IF(Cash!K74&lt;0,-Cash!K74,0)</f>
        <v>1093.0253790409345</v>
      </c>
      <c r="L60" s="56">
        <f>IF(Cash!L74&lt;0,-Cash!L74,0)</f>
        <v>0</v>
      </c>
      <c r="M60" s="56">
        <f>IF(Cash!M74&lt;0,-Cash!M74,0)</f>
        <v>94659.770270085501</v>
      </c>
      <c r="N60" s="56">
        <f>IF(Cash!N74&lt;0,-Cash!N74,0)</f>
        <v>0</v>
      </c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</row>
    <row r="61" spans="1:142">
      <c r="A61" s="1" t="s">
        <v>60</v>
      </c>
      <c r="B61" s="50">
        <f t="shared" si="10"/>
        <v>0</v>
      </c>
      <c r="C61" s="56">
        <f>Balances!O117</f>
        <v>0</v>
      </c>
      <c r="D61" s="56">
        <f>Balances!P117</f>
        <v>0</v>
      </c>
      <c r="E61" s="56">
        <f>Balances!Q117</f>
        <v>0</v>
      </c>
      <c r="F61" s="56">
        <f>Balances!R117</f>
        <v>0</v>
      </c>
      <c r="G61" s="56">
        <f>Balances!S117</f>
        <v>0</v>
      </c>
      <c r="H61" s="56">
        <f>Balances!T117</f>
        <v>0</v>
      </c>
      <c r="I61" s="56">
        <f>Balances!U117</f>
        <v>0</v>
      </c>
      <c r="J61" s="56">
        <f>Balances!V117</f>
        <v>0</v>
      </c>
      <c r="K61" s="56">
        <f>Balances!W117</f>
        <v>0</v>
      </c>
      <c r="L61" s="56">
        <f>Balances!X117</f>
        <v>0</v>
      </c>
      <c r="M61" s="56">
        <f>Balances!Y117</f>
        <v>0</v>
      </c>
      <c r="N61" s="56">
        <f>Balances!Z117</f>
        <v>0</v>
      </c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</row>
    <row r="62" spans="1:142">
      <c r="A62" s="1" t="s">
        <v>173</v>
      </c>
      <c r="B62" s="50">
        <f t="shared" si="10"/>
        <v>0</v>
      </c>
      <c r="C62" s="56">
        <f>IF(Balances!O111&gt;0,Balances!O111,0)</f>
        <v>0</v>
      </c>
      <c r="D62" s="56">
        <f>IF(Balances!P111&gt;0,Balances!P111,0)</f>
        <v>0</v>
      </c>
      <c r="E62" s="56">
        <f>IF(Balances!Q111&gt;0,Balances!Q111,0)</f>
        <v>2657.3876362827432</v>
      </c>
      <c r="F62" s="56">
        <f>IF(Balances!R111&gt;0,Balances!R111,0)</f>
        <v>3207.3822725654791</v>
      </c>
      <c r="G62" s="56">
        <f>IF(Balances!S111&gt;0,Balances!S111,0)</f>
        <v>12126.608605898811</v>
      </c>
      <c r="H62" s="56">
        <f>IF(Balances!T111&gt;0,Balances!T111,0)</f>
        <v>24626.967211797622</v>
      </c>
      <c r="I62" s="56">
        <f>IF(Balances!U111&gt;0,Balances!U111,0)</f>
        <v>7671.0638558988176</v>
      </c>
      <c r="J62" s="56">
        <f>IF(Balances!V111&gt;0,Balances!V111,0)</f>
        <v>24513.377711797628</v>
      </c>
      <c r="K62" s="56">
        <f>IF(Balances!W111&gt;0,Balances!W111,0)</f>
        <v>12500.358605898815</v>
      </c>
      <c r="L62" s="56">
        <f>IF(Balances!X111&gt;0,Balances!X111,0)</f>
        <v>15033.815461797629</v>
      </c>
      <c r="M62" s="56">
        <f>IF(Balances!Y111&gt;0,Balances!Y111,0)</f>
        <v>0</v>
      </c>
      <c r="N62" s="56">
        <f>IF(Balances!Z111&gt;0,Balances!Z111,0)</f>
        <v>12800.534022565484</v>
      </c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</row>
    <row r="63" spans="1:142">
      <c r="A63" s="1" t="s">
        <v>86</v>
      </c>
      <c r="B63" s="50">
        <f t="shared" si="10"/>
        <v>49999.999999999993</v>
      </c>
      <c r="C63" s="56">
        <f>Loans!Q52</f>
        <v>49999.999999999993</v>
      </c>
      <c r="D63" s="56">
        <f>Loans!R52</f>
        <v>49999.999999999978</v>
      </c>
      <c r="E63" s="56">
        <f>Loans!S52</f>
        <v>45833.333333333314</v>
      </c>
      <c r="F63" s="56">
        <f>Loans!T52</f>
        <v>41666.66666666665</v>
      </c>
      <c r="G63" s="56">
        <f>Loans!U52</f>
        <v>37499.999999999985</v>
      </c>
      <c r="H63" s="56">
        <f>Loans!V52</f>
        <v>33333.333333333321</v>
      </c>
      <c r="I63" s="56">
        <f>Loans!W52</f>
        <v>29166.66666666665</v>
      </c>
      <c r="J63" s="56">
        <f>Loans!X52</f>
        <v>24999.999999999985</v>
      </c>
      <c r="K63" s="56">
        <f>Loans!Y52</f>
        <v>20833.333333333314</v>
      </c>
      <c r="L63" s="56">
        <f>Loans!Z52</f>
        <v>16666.66666666665</v>
      </c>
      <c r="M63" s="56">
        <f>Loans!AA52</f>
        <v>12499.999999999982</v>
      </c>
      <c r="N63" s="56">
        <f>Loans!AB52</f>
        <v>8333.3333333333139</v>
      </c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</row>
    <row r="64" spans="1:142">
      <c r="A64" s="1" t="s">
        <v>160</v>
      </c>
      <c r="B64" s="50">
        <f t="shared" si="10"/>
        <v>128865.32841110505</v>
      </c>
      <c r="C64" s="56">
        <f>SUM(Loans!Q18,Loans!Q38,XLoan!R32)</f>
        <v>129600.86156980552</v>
      </c>
      <c r="D64" s="56">
        <f>SUM(Loans!R18,Loans!R38,XLoan!S32)</f>
        <v>119230.84393557966</v>
      </c>
      <c r="E64" s="56">
        <f>SUM(Loans!S18,Loans!S38,XLoan!T32)</f>
        <v>229807.89644878509</v>
      </c>
      <c r="F64" s="56">
        <f>SUM(Loans!T18,Loans!T38,XLoan!U32)</f>
        <v>219994.30036818169</v>
      </c>
      <c r="G64" s="56">
        <f>SUM(Loans!U18,Loans!U38,XLoan!V32)</f>
        <v>210119.36659963604</v>
      </c>
      <c r="H64" s="56">
        <f>SUM(Loans!V18,Loans!V38,XLoan!W32)</f>
        <v>200182.71447808426</v>
      </c>
      <c r="I64" s="56">
        <f>SUM(Loans!W18,Loans!W38,XLoan!X32)</f>
        <v>190183.95828066685</v>
      </c>
      <c r="J64" s="56">
        <f>SUM(Loans!X18,Loans!X38,XLoan!Y32)</f>
        <v>180122.70985701488</v>
      </c>
      <c r="K64" s="56">
        <f>SUM(Loans!Y18,Loans!Y38,XLoan!Z32)</f>
        <v>169998.57863071508</v>
      </c>
      <c r="L64" s="56">
        <f>SUM(Loans!Z18,Loans!Z38,XLoan!AA32)</f>
        <v>159811.17158425093</v>
      </c>
      <c r="M64" s="56">
        <f>SUM(Loans!AA18,Loans!AA38,XLoan!AB32)</f>
        <v>149560.09324374635</v>
      </c>
      <c r="N64" s="56">
        <f>SUM(Loans!AB18,Loans!AB38,XLoan!AC32)</f>
        <v>139244.94566361365</v>
      </c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</row>
    <row r="65" spans="1:142">
      <c r="A65" s="1" t="s">
        <v>68</v>
      </c>
      <c r="B65" s="50">
        <f t="shared" si="10"/>
        <v>0</v>
      </c>
      <c r="C65" s="56">
        <f>SUM(Leases!Q16,Leases!Q34,XLease!Q15)</f>
        <v>0</v>
      </c>
      <c r="D65" s="56">
        <f>SUM(Leases!R16,Leases!R34,XLease!R15)</f>
        <v>0</v>
      </c>
      <c r="E65" s="56">
        <f>SUM(Leases!S16,Leases!S34,XLease!S15)</f>
        <v>0</v>
      </c>
      <c r="F65" s="56">
        <f>SUM(Leases!T16,Leases!T34,XLease!T15)</f>
        <v>0</v>
      </c>
      <c r="G65" s="56">
        <f>SUM(Leases!U16,Leases!U34,XLease!U15)</f>
        <v>0</v>
      </c>
      <c r="H65" s="56">
        <f>SUM(Leases!V16,Leases!V34,XLease!V15)</f>
        <v>0</v>
      </c>
      <c r="I65" s="56">
        <f>SUM(Leases!W16,Leases!W34,XLease!W15)</f>
        <v>0</v>
      </c>
      <c r="J65" s="56">
        <f>SUM(Leases!X16,Leases!X34,XLease!X15)</f>
        <v>0</v>
      </c>
      <c r="K65" s="56">
        <f>SUM(Leases!Y16,Leases!Y34,XLease!Y15)</f>
        <v>0</v>
      </c>
      <c r="L65" s="56">
        <f>SUM(Leases!Z16,Leases!Z34,XLease!Z15)</f>
        <v>0</v>
      </c>
      <c r="M65" s="56">
        <f>SUM(Leases!AA16,Leases!AA34,XLease!AA15)</f>
        <v>0</v>
      </c>
      <c r="N65" s="56">
        <f>SUM(Leases!AB16,Leases!AB34,XLease!AB15)</f>
        <v>0</v>
      </c>
      <c r="Q65" s="19"/>
      <c r="R65" s="19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  <c r="DH65" s="71"/>
      <c r="DI65" s="71"/>
      <c r="DJ65" s="71"/>
      <c r="DK65" s="71"/>
      <c r="DL65" s="71"/>
      <c r="DM65" s="71"/>
      <c r="DN65" s="71"/>
      <c r="DO65" s="71"/>
      <c r="DP65" s="71"/>
      <c r="DQ65" s="71"/>
      <c r="DR65" s="71"/>
      <c r="DS65" s="71"/>
      <c r="DT65" s="71"/>
      <c r="DU65" s="71"/>
      <c r="DV65" s="71"/>
      <c r="DW65" s="71"/>
      <c r="DX65" s="71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</row>
    <row r="66" spans="1:142">
      <c r="B66" s="72">
        <f t="shared" ref="B66:N66" si="11">SUM(B57:B65)</f>
        <v>316514.42318487738</v>
      </c>
      <c r="C66" s="72">
        <f t="shared" si="11"/>
        <v>307565.50098130776</v>
      </c>
      <c r="D66" s="72">
        <f t="shared" si="11"/>
        <v>342137.03129196569</v>
      </c>
      <c r="E66" s="72">
        <f t="shared" si="11"/>
        <v>378076.31024442567</v>
      </c>
      <c r="F66" s="72">
        <f t="shared" si="11"/>
        <v>405497.64254192053</v>
      </c>
      <c r="G66" s="72">
        <f t="shared" si="11"/>
        <v>683743.4432666424</v>
      </c>
      <c r="H66" s="72">
        <f t="shared" si="11"/>
        <v>622548.63746926712</v>
      </c>
      <c r="I66" s="72">
        <f t="shared" si="11"/>
        <v>566621.39859626279</v>
      </c>
      <c r="J66" s="72">
        <f t="shared" si="11"/>
        <v>456560.568311802</v>
      </c>
      <c r="K66" s="72">
        <f t="shared" si="11"/>
        <v>367910.24410103727</v>
      </c>
      <c r="L66" s="72">
        <f t="shared" si="11"/>
        <v>386872.76426264376</v>
      </c>
      <c r="M66" s="72">
        <f t="shared" si="11"/>
        <v>317918.56542533403</v>
      </c>
      <c r="N66" s="72">
        <f t="shared" si="11"/>
        <v>309209.99727066199</v>
      </c>
      <c r="O66" s="7"/>
      <c r="P66" s="7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</row>
    <row r="67" spans="1:142">
      <c r="B67" s="50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Q67" s="22"/>
      <c r="R67" s="22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22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  <c r="DH67" s="71"/>
      <c r="DI67" s="71"/>
      <c r="DJ67" s="71"/>
      <c r="DK67" s="71"/>
      <c r="DL67" s="71"/>
      <c r="DM67" s="71"/>
      <c r="DN67" s="71"/>
      <c r="DO67" s="71"/>
      <c r="DP67" s="71"/>
      <c r="DQ67" s="71"/>
      <c r="DR67" s="71"/>
      <c r="DS67" s="71"/>
      <c r="DT67" s="71"/>
      <c r="DU67" s="71"/>
      <c r="DV67" s="71"/>
      <c r="DW67" s="71"/>
      <c r="DX67" s="71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</row>
    <row r="68" spans="1:142">
      <c r="A68" s="7" t="s">
        <v>69</v>
      </c>
      <c r="B68" s="73">
        <f t="shared" ref="B68:N68" si="12">B55-B66</f>
        <v>-83946.7108962817</v>
      </c>
      <c r="C68" s="73">
        <f t="shared" si="12"/>
        <v>-219453.3133421939</v>
      </c>
      <c r="D68" s="73">
        <f t="shared" si="12"/>
        <v>-273951.58721740195</v>
      </c>
      <c r="E68" s="73">
        <f t="shared" si="12"/>
        <v>-159072.4921651865</v>
      </c>
      <c r="F68" s="73">
        <f t="shared" si="12"/>
        <v>-157311.09467220097</v>
      </c>
      <c r="G68" s="73">
        <f t="shared" si="12"/>
        <v>-555361.82663403102</v>
      </c>
      <c r="H68" s="73">
        <f t="shared" si="12"/>
        <v>-478856.5079434861</v>
      </c>
      <c r="I68" s="73">
        <f t="shared" si="12"/>
        <v>-404238.05154298182</v>
      </c>
      <c r="J68" s="73">
        <f t="shared" si="12"/>
        <v>-289083.70075963717</v>
      </c>
      <c r="K68" s="73">
        <f t="shared" si="12"/>
        <v>-210620.41754664027</v>
      </c>
      <c r="L68" s="73">
        <f t="shared" si="12"/>
        <v>-181116.94566327403</v>
      </c>
      <c r="M68" s="73">
        <f t="shared" si="12"/>
        <v>-240067.39032844297</v>
      </c>
      <c r="N68" s="73">
        <f t="shared" si="12"/>
        <v>-144691.43100048037</v>
      </c>
      <c r="O68" s="7"/>
      <c r="P68" s="7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</row>
    <row r="69" spans="1:142">
      <c r="B69" s="50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Q69" s="69"/>
      <c r="R69" s="6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</row>
    <row r="70" spans="1:142">
      <c r="A70" s="7" t="s">
        <v>85</v>
      </c>
      <c r="B70" s="50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Q70" s="19"/>
      <c r="R70" s="19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19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</row>
    <row r="71" spans="1:142">
      <c r="A71" s="1" t="s">
        <v>86</v>
      </c>
      <c r="B71" s="50">
        <f>N28</f>
        <v>8333.3333333333157</v>
      </c>
      <c r="C71" s="74">
        <f>Loans!Q53</f>
        <v>4166.6666666666479</v>
      </c>
      <c r="D71" s="74">
        <f>Loans!R53</f>
        <v>0</v>
      </c>
      <c r="E71" s="74">
        <f>Loans!S53</f>
        <v>0</v>
      </c>
      <c r="F71" s="74">
        <f>Loans!T53</f>
        <v>0</v>
      </c>
      <c r="G71" s="74">
        <f>Loans!U53</f>
        <v>0</v>
      </c>
      <c r="H71" s="74">
        <f>Loans!V53</f>
        <v>0</v>
      </c>
      <c r="I71" s="74">
        <f>Loans!W53</f>
        <v>0</v>
      </c>
      <c r="J71" s="74">
        <f>Loans!X53</f>
        <v>0</v>
      </c>
      <c r="K71" s="74">
        <f>Loans!Y53</f>
        <v>0</v>
      </c>
      <c r="L71" s="74">
        <f>Loans!Z53</f>
        <v>0</v>
      </c>
      <c r="M71" s="74">
        <f>Loans!AA53</f>
        <v>0</v>
      </c>
      <c r="N71" s="74">
        <f>Loans!AB53</f>
        <v>0</v>
      </c>
      <c r="Q71" s="19"/>
      <c r="R71" s="19"/>
      <c r="S71" s="78"/>
      <c r="T71" s="78"/>
      <c r="U71" s="78"/>
      <c r="V71" s="78"/>
      <c r="W71" s="78"/>
      <c r="X71" s="78"/>
      <c r="Y71" s="78"/>
      <c r="Z71" s="78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</row>
    <row r="72" spans="1:142">
      <c r="A72" s="1" t="s">
        <v>160</v>
      </c>
      <c r="B72" s="50">
        <f>N29</f>
        <v>11180.023019037199</v>
      </c>
      <c r="C72" s="74">
        <f>SUM(Loans!Q19,Loans!Q39,XLoan!R33)</f>
        <v>69.875143868983287</v>
      </c>
      <c r="D72" s="74">
        <f>SUM(Loans!R19,Loans!R39,XLoan!S33)</f>
        <v>0.4367196491811427</v>
      </c>
      <c r="E72" s="74">
        <f>SUM(Loans!S19,Loans!S39,XLoan!T33)</f>
        <v>119231.28338472664</v>
      </c>
      <c r="F72" s="74">
        <f>SUM(Loans!T19,Loans!T39,XLoan!U33)</f>
        <v>108726.57801347724</v>
      </c>
      <c r="G72" s="74">
        <f>SUM(Loans!U19,Loans!U39,XLoan!V33)</f>
        <v>98156.220946095986</v>
      </c>
      <c r="H72" s="74">
        <f>SUM(Loans!V19,Loans!V39,XLoan!W33)</f>
        <v>87519.799163996329</v>
      </c>
      <c r="I72" s="74">
        <f>SUM(Loans!W19,Loans!W39,XLoan!X33)</f>
        <v>76816.899745864503</v>
      </c>
      <c r="J72" s="74">
        <f>SUM(Loans!X19,Loans!X39,XLoan!Y33)</f>
        <v>66047.107206370027</v>
      </c>
      <c r="K72" s="74">
        <f>SUM(Loans!Y19,Loans!Y39,XLoan!Z33)</f>
        <v>55210.003463503701</v>
      </c>
      <c r="L72" s="74">
        <f>SUM(Loans!Z19,Loans!Z39,XLoan!AA33)</f>
        <v>44305.167822244461</v>
      </c>
      <c r="M72" s="74">
        <f>SUM(Loans!AA19,Loans!AA39,XLoan!AB33)</f>
        <v>33332.176958227355</v>
      </c>
      <c r="N72" s="74">
        <f>SUM(Loans!AB19,Loans!AB39,XLoan!AC33)</f>
        <v>22290.604901310144</v>
      </c>
      <c r="Q72" s="78"/>
      <c r="R72" s="78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  <c r="DH72" s="71"/>
      <c r="DI72" s="71"/>
      <c r="DJ72" s="71"/>
      <c r="DK72" s="71"/>
      <c r="DL72" s="71"/>
      <c r="DM72" s="71"/>
      <c r="DN72" s="71"/>
      <c r="DO72" s="71"/>
      <c r="DP72" s="71"/>
      <c r="DQ72" s="71"/>
      <c r="DR72" s="71"/>
      <c r="DS72" s="71"/>
      <c r="DT72" s="71"/>
      <c r="DU72" s="71"/>
      <c r="DV72" s="71"/>
      <c r="DW72" s="71"/>
      <c r="DX72" s="71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</row>
    <row r="73" spans="1:142">
      <c r="A73" s="1" t="s">
        <v>87</v>
      </c>
      <c r="B73" s="50">
        <f>N30</f>
        <v>0</v>
      </c>
      <c r="C73" s="74">
        <f>SUM(Leases!Q17,Leases!Q35,XLease!Q16)</f>
        <v>0</v>
      </c>
      <c r="D73" s="74">
        <f>SUM(Leases!R17,Leases!R35,XLease!R16)</f>
        <v>0</v>
      </c>
      <c r="E73" s="74">
        <f>SUM(Leases!S17,Leases!S35,XLease!S16)</f>
        <v>0</v>
      </c>
      <c r="F73" s="74">
        <f>SUM(Leases!T17,Leases!T35,XLease!T16)</f>
        <v>0</v>
      </c>
      <c r="G73" s="74">
        <f>SUM(Leases!U17,Leases!U35,XLease!U16)</f>
        <v>0</v>
      </c>
      <c r="H73" s="74">
        <f>SUM(Leases!V17,Leases!V35,XLease!V16)</f>
        <v>0</v>
      </c>
      <c r="I73" s="74">
        <f>SUM(Leases!W17,Leases!W35,XLease!W16)</f>
        <v>0</v>
      </c>
      <c r="J73" s="74">
        <f>SUM(Leases!X17,Leases!X35,XLease!X16)</f>
        <v>0</v>
      </c>
      <c r="K73" s="74">
        <f>SUM(Leases!Y17,Leases!Y35,XLease!Y16)</f>
        <v>0</v>
      </c>
      <c r="L73" s="74">
        <f>SUM(Leases!Z17,Leases!Z35,XLease!Z16)</f>
        <v>0</v>
      </c>
      <c r="M73" s="74">
        <f>SUM(Leases!AA17,Leases!AA35,XLease!AA16)</f>
        <v>0</v>
      </c>
      <c r="N73" s="74">
        <f>SUM(Leases!AB17,Leases!AB35,XLease!AB16)</f>
        <v>0</v>
      </c>
      <c r="Q73" s="78"/>
      <c r="R73" s="78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</row>
    <row r="74" spans="1:142">
      <c r="B74" s="72">
        <f>SUM(B71:B73)</f>
        <v>19513.356352370516</v>
      </c>
      <c r="C74" s="72">
        <f t="shared" ref="C74:N74" si="13">SUM(C71:C73)</f>
        <v>4236.5418105356312</v>
      </c>
      <c r="D74" s="72">
        <f t="shared" si="13"/>
        <v>0.4367196491811427</v>
      </c>
      <c r="E74" s="72">
        <f t="shared" si="13"/>
        <v>119231.28338472664</v>
      </c>
      <c r="F74" s="72">
        <f t="shared" si="13"/>
        <v>108726.57801347724</v>
      </c>
      <c r="G74" s="72">
        <f t="shared" si="13"/>
        <v>98156.220946095986</v>
      </c>
      <c r="H74" s="72">
        <f t="shared" si="13"/>
        <v>87519.799163996329</v>
      </c>
      <c r="I74" s="72">
        <f t="shared" si="13"/>
        <v>76816.899745864503</v>
      </c>
      <c r="J74" s="72">
        <f t="shared" si="13"/>
        <v>66047.107206370027</v>
      </c>
      <c r="K74" s="72">
        <f t="shared" si="13"/>
        <v>55210.003463503701</v>
      </c>
      <c r="L74" s="72">
        <f t="shared" si="13"/>
        <v>44305.167822244461</v>
      </c>
      <c r="M74" s="72">
        <f t="shared" si="13"/>
        <v>33332.176958227355</v>
      </c>
      <c r="N74" s="72">
        <f t="shared" si="13"/>
        <v>22290.604901310144</v>
      </c>
      <c r="O74" s="7"/>
      <c r="P74" s="7"/>
      <c r="Q74" s="22"/>
      <c r="R74" s="22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19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</row>
    <row r="75" spans="1:142"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</row>
    <row r="76" spans="1:142">
      <c r="A76" s="7" t="s">
        <v>91</v>
      </c>
      <c r="B76" s="94">
        <f>B48+B68-B74</f>
        <v>7045199.7596569639</v>
      </c>
      <c r="C76" s="94">
        <f t="shared" ref="C76:N76" si="14">C48+C68-C74</f>
        <v>6880209.0886338092</v>
      </c>
      <c r="D76" s="94">
        <f t="shared" si="14"/>
        <v>6785260.010612159</v>
      </c>
      <c r="E76" s="94">
        <f t="shared" si="14"/>
        <v>6736292.8578476561</v>
      </c>
      <c r="F76" s="94">
        <f t="shared" si="14"/>
        <v>6704012.6840430824</v>
      </c>
      <c r="G76" s="94">
        <f t="shared" si="14"/>
        <v>6743094.5194798987</v>
      </c>
      <c r="H76" s="94">
        <f t="shared" si="14"/>
        <v>6781863.063272764</v>
      </c>
      <c r="I76" s="94">
        <f t="shared" si="14"/>
        <v>6818873.6623009471</v>
      </c>
      <c r="J76" s="94">
        <f t="shared" si="14"/>
        <v>6896547.4073930159</v>
      </c>
      <c r="K76" s="94">
        <f t="shared" si="14"/>
        <v>6937655.7427258007</v>
      </c>
      <c r="L76" s="94">
        <f t="shared" si="14"/>
        <v>6929928.4003481157</v>
      </c>
      <c r="M76" s="94">
        <f t="shared" si="14"/>
        <v>6833869.8183080656</v>
      </c>
      <c r="N76" s="94">
        <f t="shared" si="14"/>
        <v>6892258.9257286768</v>
      </c>
      <c r="Q76" s="69"/>
      <c r="R76" s="6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</row>
    <row r="77" spans="1:142">
      <c r="B77" s="50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</row>
    <row r="78" spans="1:142">
      <c r="A78" s="7" t="s">
        <v>88</v>
      </c>
      <c r="B78" s="50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Q78" s="19"/>
      <c r="R78" s="19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19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</row>
    <row r="79" spans="1:142">
      <c r="A79" s="1" t="s">
        <v>423</v>
      </c>
      <c r="B79" s="64">
        <f>N36-SUM(Balances!$C$127:$N$127)</f>
        <v>-37500</v>
      </c>
      <c r="C79" s="64">
        <f>Balances!O123-SUM(Balances!$C$127:$N$127)</f>
        <v>-37500</v>
      </c>
      <c r="D79" s="64">
        <f>Balances!P123-SUM(Balances!$C$127:$N$127)</f>
        <v>-37500</v>
      </c>
      <c r="E79" s="64">
        <f>Balances!Q123-SUM(Balances!$C$127:$N$127)</f>
        <v>-37500</v>
      </c>
      <c r="F79" s="64">
        <f>Balances!R123-SUM(Balances!$C$127:$N$127)</f>
        <v>-37500</v>
      </c>
      <c r="G79" s="64">
        <f>Balances!S123-SUM(Balances!$C$127:$N$127)</f>
        <v>-37500</v>
      </c>
      <c r="H79" s="64">
        <f>Balances!T123-SUM(Balances!$C$127:$N$127)</f>
        <v>-37500</v>
      </c>
      <c r="I79" s="64">
        <f>Balances!U123-SUM(Balances!$C$127:$N$127)</f>
        <v>-37500</v>
      </c>
      <c r="J79" s="64">
        <f>Balances!V123-SUM(Balances!$C$127:$N$127)</f>
        <v>-37500</v>
      </c>
      <c r="K79" s="64">
        <f>Balances!W123-SUM(Balances!$C$127:$N$127)</f>
        <v>-37500</v>
      </c>
      <c r="L79" s="64">
        <f>Balances!X123-SUM(Balances!$C$127:$N$127)</f>
        <v>-37500</v>
      </c>
      <c r="M79" s="64">
        <f>Balances!Y123-SUM(Balances!$C$127:$N$127)</f>
        <v>-37500</v>
      </c>
      <c r="N79" s="64">
        <f>Balances!Z123-SUM(Balances!$C$127:$N$127)</f>
        <v>-37500</v>
      </c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</row>
    <row r="80" spans="1:142">
      <c r="A80" s="1" t="s">
        <v>89</v>
      </c>
      <c r="B80" s="64">
        <v>0</v>
      </c>
      <c r="C80" s="64">
        <f>'P&amp;L'!C61</f>
        <v>-158740.67102315332</v>
      </c>
      <c r="D80" s="64">
        <f>SUM('P&amp;L'!$C$61:D61)</f>
        <v>-247439.74904480396</v>
      </c>
      <c r="E80" s="64">
        <f>SUM('P&amp;L'!$C$61:E61)</f>
        <v>-290156.90180930635</v>
      </c>
      <c r="F80" s="64">
        <f>SUM('P&amp;L'!$C$61:F61)</f>
        <v>-316187.07561387919</v>
      </c>
      <c r="G80" s="64">
        <f>SUM('P&amp;L'!$C$61:G61)</f>
        <v>-270855.24017706455</v>
      </c>
      <c r="H80" s="64">
        <f>SUM('P&amp;L'!$C$61:H61)</f>
        <v>-225836.6963841985</v>
      </c>
      <c r="I80" s="64">
        <f>SUM('P&amp;L'!$C$61:I61)</f>
        <v>-182576.09735601494</v>
      </c>
      <c r="J80" s="64">
        <f>SUM('P&amp;L'!$C$61:J61)</f>
        <v>-98652.352263946508</v>
      </c>
      <c r="K80" s="64">
        <f>SUM('P&amp;L'!$C$61:K61)</f>
        <v>-51294.016931161721</v>
      </c>
      <c r="L80" s="64">
        <f>SUM('P&amp;L'!$C$61:L61)</f>
        <v>-52771.359308845524</v>
      </c>
      <c r="M80" s="64">
        <f>SUM('P&amp;L'!$C$61:M61)</f>
        <v>-142579.94134889619</v>
      </c>
      <c r="N80" s="64">
        <f>SUM('P&amp;L'!$C$61:N61)</f>
        <v>-77940.833928285341</v>
      </c>
      <c r="Q80" s="62"/>
      <c r="R80" s="62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22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  <c r="DS80" s="71"/>
      <c r="DT80" s="71"/>
      <c r="DU80" s="71"/>
      <c r="DV80" s="71"/>
      <c r="DW80" s="71"/>
      <c r="DX80" s="71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</row>
    <row r="81" spans="1:142">
      <c r="A81" s="1" t="s">
        <v>424</v>
      </c>
      <c r="B81" s="64">
        <v>0</v>
      </c>
      <c r="C81" s="64">
        <f>-SUM(Balances!$O$127:O127)</f>
        <v>-6250</v>
      </c>
      <c r="D81" s="64">
        <f>-SUM(Balances!$O$127:P127)</f>
        <v>-12500</v>
      </c>
      <c r="E81" s="64">
        <f>-SUM(Balances!$O$127:Q127)</f>
        <v>-18750</v>
      </c>
      <c r="F81" s="64">
        <f>-SUM(Balances!$O$127:R127)</f>
        <v>-25000</v>
      </c>
      <c r="G81" s="64">
        <f>-SUM(Balances!$O$127:S127)</f>
        <v>-31250</v>
      </c>
      <c r="H81" s="64">
        <f>-SUM(Balances!$O$127:T127)</f>
        <v>-37500</v>
      </c>
      <c r="I81" s="64">
        <f>-SUM(Balances!$O$127:U127)</f>
        <v>-43750</v>
      </c>
      <c r="J81" s="64">
        <f>-SUM(Balances!$O$127:V127)</f>
        <v>-50000</v>
      </c>
      <c r="K81" s="64">
        <f>-SUM(Balances!$O$127:W127)</f>
        <v>-56250</v>
      </c>
      <c r="L81" s="64">
        <f>-SUM(Balances!$O$127:X127)</f>
        <v>-62500</v>
      </c>
      <c r="M81" s="64">
        <f>-SUM(Balances!$O$127:Y127)</f>
        <v>-68750</v>
      </c>
      <c r="N81" s="64">
        <f>-SUM(Balances!$O$127:Z127)</f>
        <v>-75000</v>
      </c>
      <c r="Q81" s="62"/>
      <c r="R81" s="62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22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  <c r="DS81" s="71"/>
      <c r="DT81" s="71"/>
      <c r="DU81" s="71"/>
      <c r="DV81" s="71"/>
      <c r="DW81" s="71"/>
      <c r="DX81" s="71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</row>
    <row r="82" spans="1:142">
      <c r="A82" s="1" t="s">
        <v>265</v>
      </c>
      <c r="B82" s="64">
        <f>N39+N37</f>
        <v>7082699.759656962</v>
      </c>
      <c r="C82" s="64">
        <f>$B$82</f>
        <v>7082699.759656962</v>
      </c>
      <c r="D82" s="64">
        <f t="shared" ref="D82:N82" si="15">$B$82</f>
        <v>7082699.759656962</v>
      </c>
      <c r="E82" s="64">
        <f t="shared" si="15"/>
        <v>7082699.759656962</v>
      </c>
      <c r="F82" s="64">
        <f t="shared" si="15"/>
        <v>7082699.759656962</v>
      </c>
      <c r="G82" s="64">
        <f t="shared" si="15"/>
        <v>7082699.759656962</v>
      </c>
      <c r="H82" s="64">
        <f t="shared" si="15"/>
        <v>7082699.759656962</v>
      </c>
      <c r="I82" s="64">
        <f t="shared" si="15"/>
        <v>7082699.759656962</v>
      </c>
      <c r="J82" s="64">
        <f t="shared" si="15"/>
        <v>7082699.759656962</v>
      </c>
      <c r="K82" s="64">
        <f t="shared" si="15"/>
        <v>7082699.759656962</v>
      </c>
      <c r="L82" s="64">
        <f t="shared" si="15"/>
        <v>7082699.759656962</v>
      </c>
      <c r="M82" s="64">
        <f t="shared" si="15"/>
        <v>7082699.759656962</v>
      </c>
      <c r="N82" s="64">
        <f t="shared" si="15"/>
        <v>7082699.759656962</v>
      </c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</row>
    <row r="83" spans="1:142">
      <c r="A83" s="7" t="s">
        <v>90</v>
      </c>
      <c r="B83" s="94">
        <f t="shared" ref="B83:N83" si="16">SUM(B79:B82)</f>
        <v>7045199.759656962</v>
      </c>
      <c r="C83" s="94">
        <f t="shared" si="16"/>
        <v>6880209.0886338083</v>
      </c>
      <c r="D83" s="94">
        <f t="shared" si="16"/>
        <v>6785260.0106121581</v>
      </c>
      <c r="E83" s="94">
        <f t="shared" si="16"/>
        <v>6736292.8578476552</v>
      </c>
      <c r="F83" s="94">
        <f t="shared" si="16"/>
        <v>6704012.6840430824</v>
      </c>
      <c r="G83" s="94">
        <f t="shared" si="16"/>
        <v>6743094.5194798978</v>
      </c>
      <c r="H83" s="94">
        <f t="shared" si="16"/>
        <v>6781863.063272763</v>
      </c>
      <c r="I83" s="94">
        <f t="shared" si="16"/>
        <v>6818873.6623009471</v>
      </c>
      <c r="J83" s="94">
        <f t="shared" si="16"/>
        <v>6896547.4073930159</v>
      </c>
      <c r="K83" s="94">
        <f t="shared" si="16"/>
        <v>6937655.7427258007</v>
      </c>
      <c r="L83" s="94">
        <f t="shared" si="16"/>
        <v>6929928.4003481166</v>
      </c>
      <c r="M83" s="94">
        <f t="shared" si="16"/>
        <v>6833869.8183080656</v>
      </c>
      <c r="N83" s="94">
        <f t="shared" si="16"/>
        <v>6892258.9257286768</v>
      </c>
      <c r="O83" s="7"/>
      <c r="P83" s="7"/>
      <c r="Q83" s="69"/>
      <c r="R83" s="6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</row>
    <row r="84" spans="1:142"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Q84" s="19"/>
      <c r="R84" s="1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  <c r="CE84" s="76"/>
      <c r="CF84" s="76"/>
      <c r="CG84" s="76"/>
      <c r="CH84" s="76"/>
      <c r="CI84" s="76"/>
      <c r="CJ84" s="76"/>
      <c r="CK84" s="76"/>
      <c r="CL84" s="76"/>
      <c r="CM84" s="76"/>
      <c r="CN84" s="76"/>
      <c r="CO84" s="76"/>
      <c r="CP84" s="76"/>
      <c r="CQ84" s="76"/>
      <c r="CR84" s="76"/>
      <c r="CS84" s="76"/>
      <c r="CT84" s="76"/>
      <c r="CU84" s="76"/>
      <c r="CV84" s="76"/>
      <c r="CW84" s="76"/>
      <c r="CX84" s="76"/>
      <c r="CY84" s="76"/>
      <c r="CZ84" s="76"/>
      <c r="DA84" s="76"/>
      <c r="DB84" s="76"/>
      <c r="DC84" s="76"/>
      <c r="DD84" s="76"/>
      <c r="DE84" s="76"/>
      <c r="DF84" s="76"/>
      <c r="DG84" s="76"/>
      <c r="DH84" s="76"/>
      <c r="DI84" s="76"/>
      <c r="DJ84" s="76"/>
      <c r="DK84" s="76"/>
      <c r="DL84" s="76"/>
      <c r="DM84" s="76"/>
      <c r="DN84" s="76"/>
      <c r="DO84" s="76"/>
      <c r="DP84" s="76"/>
      <c r="DQ84" s="76"/>
      <c r="DR84" s="76"/>
      <c r="DS84" s="76"/>
      <c r="DT84" s="76"/>
      <c r="DU84" s="76"/>
      <c r="DV84" s="76"/>
      <c r="DW84" s="76"/>
      <c r="DX84" s="76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</row>
    <row r="85" spans="1:142" s="103" customFormat="1" ht="10.199999999999999">
      <c r="A85" s="102" t="s">
        <v>119</v>
      </c>
      <c r="B85" s="104">
        <f>B76-B83</f>
        <v>0</v>
      </c>
      <c r="C85" s="104">
        <f>C76-C83</f>
        <v>0</v>
      </c>
      <c r="D85" s="104">
        <f t="shared" ref="D85:N85" si="17">D76-D83</f>
        <v>0</v>
      </c>
      <c r="E85" s="104">
        <f t="shared" si="17"/>
        <v>0</v>
      </c>
      <c r="F85" s="104">
        <f t="shared" si="17"/>
        <v>0</v>
      </c>
      <c r="G85" s="104">
        <f t="shared" si="17"/>
        <v>0</v>
      </c>
      <c r="H85" s="104">
        <f t="shared" si="17"/>
        <v>0</v>
      </c>
      <c r="I85" s="104">
        <f t="shared" si="17"/>
        <v>0</v>
      </c>
      <c r="J85" s="104">
        <f t="shared" si="17"/>
        <v>0</v>
      </c>
      <c r="K85" s="104">
        <f t="shared" si="17"/>
        <v>0</v>
      </c>
      <c r="L85" s="104">
        <f t="shared" si="17"/>
        <v>0</v>
      </c>
      <c r="M85" s="104">
        <f t="shared" si="17"/>
        <v>0</v>
      </c>
      <c r="N85" s="104">
        <f t="shared" si="17"/>
        <v>0</v>
      </c>
      <c r="EK85" s="105"/>
      <c r="EL85" s="105"/>
    </row>
    <row r="86" spans="1:14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79"/>
      <c r="R86" s="79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</row>
    <row r="87" spans="1:142"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9"/>
      <c r="P87" s="79"/>
      <c r="Q87" s="79"/>
      <c r="R87" s="79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</row>
    <row r="88" spans="1:142">
      <c r="C88" s="57"/>
      <c r="D88" s="57"/>
      <c r="E88" s="57"/>
      <c r="F88" s="56"/>
      <c r="G88" s="56"/>
      <c r="H88" s="56"/>
      <c r="I88" s="56"/>
      <c r="J88" s="56"/>
      <c r="K88" s="56"/>
      <c r="L88" s="56"/>
      <c r="M88" s="56"/>
      <c r="N88" s="56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</row>
    <row r="89" spans="1:142">
      <c r="C89" s="57"/>
      <c r="D89" s="57"/>
      <c r="E89" s="57"/>
      <c r="F89" s="56"/>
      <c r="G89" s="56"/>
      <c r="H89" s="56"/>
      <c r="I89" s="56"/>
      <c r="J89" s="56"/>
      <c r="K89" s="56"/>
      <c r="L89" s="56"/>
      <c r="M89" s="56"/>
      <c r="N89" s="56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</row>
    <row r="90" spans="1:142"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</row>
    <row r="91" spans="1:142"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</row>
    <row r="92" spans="1:142"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</row>
    <row r="93" spans="1:142"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</row>
    <row r="94" spans="1:142"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</row>
    <row r="95" spans="1:142"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</row>
    <row r="96" spans="1:142"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</row>
    <row r="97" spans="6:142"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</row>
    <row r="98" spans="6:142"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</row>
    <row r="99" spans="6:142"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</row>
    <row r="100" spans="6:142"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</row>
    <row r="101" spans="6:142"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</row>
    <row r="102" spans="6:142"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</row>
    <row r="103" spans="6:142"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</row>
    <row r="104" spans="6:142"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</row>
    <row r="105" spans="6:142"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</row>
    <row r="106" spans="6:142"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</row>
    <row r="107" spans="6:142"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</row>
    <row r="108" spans="6:142"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</row>
    <row r="109" spans="6:142"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</row>
    <row r="110" spans="6:142"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</row>
    <row r="111" spans="6:142"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</row>
    <row r="112" spans="6:142"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</row>
    <row r="113" spans="6:142"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</row>
    <row r="114" spans="6:142"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</row>
    <row r="115" spans="6:142"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</row>
    <row r="116" spans="6:142"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</row>
    <row r="117" spans="6:142"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</row>
    <row r="118" spans="6:142"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</row>
    <row r="119" spans="6:142"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</row>
    <row r="120" spans="6:142"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</row>
    <row r="121" spans="6:142"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</row>
    <row r="122" spans="6:142"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</row>
    <row r="123" spans="6:142"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</row>
    <row r="124" spans="6:142"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</row>
    <row r="125" spans="6:142"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</row>
    <row r="126" spans="6:142"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</row>
    <row r="127" spans="6:142"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</row>
    <row r="128" spans="6:142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</row>
    <row r="129" spans="6:142"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</row>
    <row r="130" spans="6:142"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</row>
    <row r="131" spans="6:142"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</row>
    <row r="132" spans="6:142"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</row>
    <row r="133" spans="6:142"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</row>
    <row r="134" spans="6:142"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</row>
    <row r="135" spans="6:142"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</row>
    <row r="136" spans="6:142"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</row>
    <row r="137" spans="6:142"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</row>
    <row r="138" spans="6:142"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</row>
    <row r="139" spans="6:142"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</row>
    <row r="140" spans="6:142"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</row>
    <row r="141" spans="6:142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</row>
    <row r="142" spans="6:142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</row>
    <row r="143" spans="6:142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</row>
    <row r="144" spans="6:142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</row>
    <row r="145" spans="6:142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</row>
    <row r="146" spans="6:142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</row>
    <row r="147" spans="6:142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</row>
    <row r="148" spans="6:142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</row>
    <row r="149" spans="6:142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</row>
    <row r="150" spans="6:142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</row>
    <row r="151" spans="6:142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</row>
    <row r="152" spans="6:142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</row>
    <row r="153" spans="6:142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</row>
    <row r="154" spans="6:142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</row>
    <row r="155" spans="6:142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</row>
    <row r="156" spans="6:142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</row>
    <row r="157" spans="6:142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</row>
    <row r="158" spans="6:142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</row>
    <row r="159" spans="6:142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</row>
    <row r="160" spans="6:142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</row>
    <row r="161" spans="6:142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</row>
    <row r="162" spans="6:142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</row>
    <row r="163" spans="6:142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</row>
    <row r="164" spans="6:142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</row>
  </sheetData>
  <sheetProtection selectLockedCells="1"/>
  <phoneticPr fontId="2" type="noConversion"/>
  <pageMargins left="0.74803149606299213" right="0.74803149606299213" top="0.98425196850393704" bottom="0.98425196850393704" header="0.51181102362204722" footer="0.51181102362204722"/>
  <pageSetup paperSize="9" scale="85" pageOrder="overThenDown" orientation="landscape" r:id="rId1"/>
  <headerFooter alignWithMargins="0">
    <oddFooter>&amp;A&amp;RPage &amp;P</oddFooter>
  </headerFooter>
  <rowBreaks count="1" manualBreakCount="1">
    <brk id="45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>
    <tabColor rgb="FFFFFF00"/>
  </sheetPr>
  <dimension ref="A1:AT434"/>
  <sheetViews>
    <sheetView zoomScaleNormal="100" workbookViewId="0"/>
  </sheetViews>
  <sheetFormatPr defaultColWidth="9.109375" defaultRowHeight="13.8"/>
  <cols>
    <col min="1" max="1" width="25.88671875" style="1" bestFit="1" customWidth="1"/>
    <col min="2" max="2" width="5.33203125" style="1" customWidth="1"/>
    <col min="3" max="5" width="9" style="1" customWidth="1"/>
    <col min="6" max="15" width="9" style="6" customWidth="1"/>
    <col min="16" max="26" width="9" style="1" customWidth="1"/>
    <col min="27" max="38" width="9.6640625" style="1" customWidth="1"/>
    <col min="39" max="39" width="9.6640625" style="1" bestFit="1" customWidth="1"/>
    <col min="40" max="16384" width="9.109375" style="1"/>
  </cols>
  <sheetData>
    <row r="1" spans="1:41">
      <c r="A1" s="119" t="str">
        <f>'IP1'!$B$2</f>
        <v>XYZ Ltd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41">
      <c r="A2" s="91" t="s">
        <v>257</v>
      </c>
      <c r="B2" s="91"/>
      <c r="C2" s="118">
        <f>DATEVALUE(1&amp;"/"&amp;'IP1'!$B$3&amp;"/"&amp;('IP1'!$B$4+1))-1</f>
        <v>41639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41">
      <c r="A3" s="45"/>
      <c r="B3" s="46"/>
      <c r="C3" s="13">
        <f>DATEVALUE(1&amp;"/"&amp;'IP1'!$B$3&amp;"/"&amp;'IP1'!$B$4)</f>
        <v>41275</v>
      </c>
      <c r="D3" s="13">
        <f>DATE(YEAR(C3),MONTH(C3)+1,1)</f>
        <v>41306</v>
      </c>
      <c r="E3" s="13">
        <f t="shared" ref="E3:N3" si="0">DATE(YEAR(D3),MONTH(D3)+1,1)</f>
        <v>41334</v>
      </c>
      <c r="F3" s="13">
        <f t="shared" si="0"/>
        <v>41365</v>
      </c>
      <c r="G3" s="13">
        <f t="shared" si="0"/>
        <v>41395</v>
      </c>
      <c r="H3" s="13">
        <f t="shared" si="0"/>
        <v>41426</v>
      </c>
      <c r="I3" s="13">
        <f t="shared" si="0"/>
        <v>41456</v>
      </c>
      <c r="J3" s="13">
        <f t="shared" si="0"/>
        <v>41487</v>
      </c>
      <c r="K3" s="13">
        <f t="shared" si="0"/>
        <v>41518</v>
      </c>
      <c r="L3" s="13">
        <f t="shared" si="0"/>
        <v>41548</v>
      </c>
      <c r="M3" s="13">
        <f t="shared" si="0"/>
        <v>41579</v>
      </c>
      <c r="N3" s="13">
        <f t="shared" si="0"/>
        <v>41609</v>
      </c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16"/>
      <c r="AN3" s="16"/>
      <c r="AO3" s="16"/>
    </row>
    <row r="4" spans="1:41">
      <c r="A4" s="52" t="s">
        <v>71</v>
      </c>
      <c r="O4" s="57"/>
      <c r="P4" s="57"/>
      <c r="Q4" s="57"/>
      <c r="R4" s="55"/>
      <c r="S4" s="56"/>
      <c r="T4" s="56"/>
      <c r="U4" s="56"/>
      <c r="V4" s="56"/>
      <c r="W4" s="56"/>
      <c r="X4" s="56"/>
      <c r="Y4" s="56"/>
      <c r="Z4" s="5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 spans="1:41">
      <c r="A5" s="54" t="s">
        <v>72</v>
      </c>
      <c r="C5" s="56">
        <f>-Balances!C73</f>
        <v>79726.628752232151</v>
      </c>
      <c r="D5" s="56">
        <f>-Balances!D73</f>
        <v>73171.954502678578</v>
      </c>
      <c r="E5" s="56">
        <f>-Balances!E73</f>
        <v>143971.45920669643</v>
      </c>
      <c r="F5" s="56">
        <f>-Balances!F73</f>
        <v>206252.30839821429</v>
      </c>
      <c r="G5" s="56">
        <f>-Balances!G73</f>
        <v>301053.87057187501</v>
      </c>
      <c r="H5" s="56">
        <f>-Balances!H73</f>
        <v>325232.52043660713</v>
      </c>
      <c r="I5" s="56">
        <f>-Balances!I73</f>
        <v>367064.90146607143</v>
      </c>
      <c r="J5" s="56">
        <f>-Balances!J73</f>
        <v>379251.37490625004</v>
      </c>
      <c r="K5" s="56">
        <f>-Balances!K73</f>
        <v>348123.17193750001</v>
      </c>
      <c r="L5" s="56">
        <f>-Balances!L73</f>
        <v>332559.07045312505</v>
      </c>
      <c r="M5" s="56">
        <f>-Balances!M73</f>
        <v>142033.97866741073</v>
      </c>
      <c r="N5" s="56">
        <f>-Balances!N73</f>
        <v>297408.61575</v>
      </c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6"/>
      <c r="AN5" s="16"/>
      <c r="AO5" s="16"/>
    </row>
    <row r="6" spans="1:41">
      <c r="A6" s="54" t="s">
        <v>173</v>
      </c>
      <c r="C6" s="56">
        <f>IF(Balances!C110&lt;0,-Balances!C110,0)</f>
        <v>0</v>
      </c>
      <c r="D6" s="56">
        <f>IF(Balances!D110&lt;0,-Balances!D110,0)</f>
        <v>0</v>
      </c>
      <c r="E6" s="56">
        <f>IF(Balances!E110&lt;0,-Balances!E110,0)</f>
        <v>20079.875412083326</v>
      </c>
      <c r="F6" s="56">
        <f>IF(Balances!F110&lt;0,-Balances!F110,0)</f>
        <v>0</v>
      </c>
      <c r="G6" s="56">
        <f>IF(Balances!G110&lt;0,-Balances!G110,0)</f>
        <v>7494.3023374404784</v>
      </c>
      <c r="H6" s="56">
        <f>IF(Balances!H110&lt;0,-Balances!H110,0)</f>
        <v>0</v>
      </c>
      <c r="I6" s="56">
        <f>IF(Balances!I110&lt;0,-Balances!I110,0)</f>
        <v>0</v>
      </c>
      <c r="J6" s="56">
        <f>IF(Balances!J110&lt;0,-Balances!J110,0)</f>
        <v>0</v>
      </c>
      <c r="K6" s="56">
        <f>IF(Balances!K110&lt;0,-Balances!K110,0)</f>
        <v>0</v>
      </c>
      <c r="L6" s="56">
        <f>IF(Balances!L110&lt;0,-Balances!L110,0)</f>
        <v>0</v>
      </c>
      <c r="M6" s="56">
        <f>IF(Balances!M110&lt;0,-Balances!M110,0)</f>
        <v>4034.0425692261961</v>
      </c>
      <c r="N6" s="56">
        <f>IF(Balances!N110&lt;0,-Balances!N110,0)</f>
        <v>0</v>
      </c>
      <c r="O6" s="1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6"/>
      <c r="AN6" s="16"/>
      <c r="AO6" s="16"/>
    </row>
    <row r="7" spans="1:41">
      <c r="A7" s="54" t="s">
        <v>111</v>
      </c>
      <c r="B7" s="52"/>
      <c r="C7" s="56">
        <f>Loans!E60</f>
        <v>100000</v>
      </c>
      <c r="D7" s="56">
        <f>Loans!F60</f>
        <v>0</v>
      </c>
      <c r="E7" s="56">
        <f>Loans!G60</f>
        <v>0</v>
      </c>
      <c r="F7" s="56">
        <f>Loans!H60</f>
        <v>0</v>
      </c>
      <c r="G7" s="56">
        <f>Loans!I60</f>
        <v>0</v>
      </c>
      <c r="H7" s="56">
        <f>Loans!J60</f>
        <v>0</v>
      </c>
      <c r="I7" s="56">
        <f>Loans!K60</f>
        <v>0</v>
      </c>
      <c r="J7" s="56">
        <f>Loans!L60</f>
        <v>0</v>
      </c>
      <c r="K7" s="56">
        <f>Loans!M60</f>
        <v>0</v>
      </c>
      <c r="L7" s="56">
        <f>Loans!N60</f>
        <v>0</v>
      </c>
      <c r="M7" s="56">
        <f>Loans!O60</f>
        <v>0</v>
      </c>
      <c r="N7" s="56">
        <f>Loans!P60</f>
        <v>0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6"/>
      <c r="AN7" s="16"/>
      <c r="AO7" s="16"/>
    </row>
    <row r="8" spans="1:41">
      <c r="A8" s="54" t="s">
        <v>101</v>
      </c>
      <c r="B8" s="52"/>
      <c r="C8" s="56">
        <f>SUM(Loans!E58:E59)</f>
        <v>0</v>
      </c>
      <c r="D8" s="56">
        <f>SUM(Loans!F58:F59)</f>
        <v>250000</v>
      </c>
      <c r="E8" s="56">
        <f>SUM(Loans!G58:G59)</f>
        <v>0</v>
      </c>
      <c r="F8" s="56">
        <f>SUM(Loans!H58:H59)</f>
        <v>0</v>
      </c>
      <c r="G8" s="56">
        <f>SUM(Loans!I58:I59)</f>
        <v>0</v>
      </c>
      <c r="H8" s="56">
        <f>SUM(Loans!J58:J59)</f>
        <v>0</v>
      </c>
      <c r="I8" s="56">
        <f>SUM(Loans!K58:K59)</f>
        <v>0</v>
      </c>
      <c r="J8" s="56">
        <f>SUM(Loans!L58:L59)</f>
        <v>0</v>
      </c>
      <c r="K8" s="56">
        <f>SUM(Loans!M58:M59)</f>
        <v>0</v>
      </c>
      <c r="L8" s="56">
        <f>SUM(Loans!N58:N59)</f>
        <v>0</v>
      </c>
      <c r="M8" s="56">
        <f>SUM(Loans!O58:O59)</f>
        <v>0</v>
      </c>
      <c r="N8" s="56">
        <f>SUM(Loans!P58:P59)</f>
        <v>0</v>
      </c>
      <c r="O8" s="1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6"/>
      <c r="AN8" s="16"/>
      <c r="AO8" s="16"/>
    </row>
    <row r="9" spans="1:41">
      <c r="A9" s="54" t="s">
        <v>112</v>
      </c>
      <c r="B9" s="52"/>
      <c r="C9" s="56">
        <f>SUM(Leases!E38:E39)</f>
        <v>0</v>
      </c>
      <c r="D9" s="56">
        <f>SUM(Leases!F38:F39)</f>
        <v>0</v>
      </c>
      <c r="E9" s="56">
        <f>SUM(Leases!G38:G39)</f>
        <v>0</v>
      </c>
      <c r="F9" s="56">
        <f>SUM(Leases!H38:H39)</f>
        <v>0</v>
      </c>
      <c r="G9" s="56">
        <f>SUM(Leases!I38:I39)</f>
        <v>0</v>
      </c>
      <c r="H9" s="56">
        <f>SUM(Leases!J38:J39)</f>
        <v>0</v>
      </c>
      <c r="I9" s="56">
        <f>SUM(Leases!K38:K39)</f>
        <v>0</v>
      </c>
      <c r="J9" s="56">
        <f>SUM(Leases!L38:L39)</f>
        <v>0</v>
      </c>
      <c r="K9" s="56">
        <f>SUM(Leases!M38:M39)</f>
        <v>0</v>
      </c>
      <c r="L9" s="56">
        <f>SUM(Leases!N38:N39)</f>
        <v>0</v>
      </c>
      <c r="M9" s="56">
        <f>SUM(Leases!O38:O39)</f>
        <v>0</v>
      </c>
      <c r="N9" s="56">
        <f>SUM(Leases!P38:P39)</f>
        <v>0</v>
      </c>
      <c r="O9" s="1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6"/>
      <c r="AN9" s="16"/>
      <c r="AO9" s="16"/>
    </row>
    <row r="10" spans="1:41">
      <c r="A10" s="54" t="s">
        <v>109</v>
      </c>
      <c r="B10" s="52"/>
      <c r="C10" s="56">
        <f>Balances!C122</f>
        <v>0</v>
      </c>
      <c r="D10" s="56">
        <f>Balances!D122</f>
        <v>0</v>
      </c>
      <c r="E10" s="56">
        <f>Balances!E122</f>
        <v>0</v>
      </c>
      <c r="F10" s="56">
        <f>Balances!F122</f>
        <v>0</v>
      </c>
      <c r="G10" s="56">
        <f>Balances!G122</f>
        <v>0</v>
      </c>
      <c r="H10" s="56">
        <f>Balances!H122</f>
        <v>0</v>
      </c>
      <c r="I10" s="56">
        <f>Balances!I122</f>
        <v>0</v>
      </c>
      <c r="J10" s="56">
        <f>Balances!J122</f>
        <v>0</v>
      </c>
      <c r="K10" s="56">
        <f>Balances!K122</f>
        <v>0</v>
      </c>
      <c r="L10" s="56">
        <f>Balances!L122</f>
        <v>0</v>
      </c>
      <c r="M10" s="56">
        <f>Balances!M122</f>
        <v>0</v>
      </c>
      <c r="N10" s="56">
        <f>Balances!N122</f>
        <v>0</v>
      </c>
      <c r="O10" s="1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6"/>
      <c r="AN10" s="16"/>
      <c r="AO10" s="16"/>
    </row>
    <row r="11" spans="1:41">
      <c r="A11" s="54"/>
      <c r="B11" s="52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6"/>
      <c r="AN11" s="16"/>
      <c r="AO11" s="16"/>
    </row>
    <row r="12" spans="1:41" s="7" customFormat="1">
      <c r="A12" s="52" t="s">
        <v>73</v>
      </c>
      <c r="B12" s="52"/>
      <c r="C12" s="80">
        <f>SUM(C5:C10)</f>
        <v>179726.62875223215</v>
      </c>
      <c r="D12" s="80">
        <f t="shared" ref="D12:N12" si="1">SUM(D5:D10)</f>
        <v>323171.95450267859</v>
      </c>
      <c r="E12" s="80">
        <f t="shared" si="1"/>
        <v>164051.33461877974</v>
      </c>
      <c r="F12" s="80">
        <f t="shared" si="1"/>
        <v>206252.30839821429</v>
      </c>
      <c r="G12" s="80">
        <f t="shared" si="1"/>
        <v>308548.1729093155</v>
      </c>
      <c r="H12" s="80">
        <f t="shared" si="1"/>
        <v>325232.52043660713</v>
      </c>
      <c r="I12" s="80">
        <f t="shared" si="1"/>
        <v>367064.90146607143</v>
      </c>
      <c r="J12" s="80">
        <f t="shared" si="1"/>
        <v>379251.37490625004</v>
      </c>
      <c r="K12" s="80">
        <f t="shared" si="1"/>
        <v>348123.17193750001</v>
      </c>
      <c r="L12" s="80">
        <f t="shared" si="1"/>
        <v>332559.07045312505</v>
      </c>
      <c r="M12" s="80">
        <f t="shared" si="1"/>
        <v>146068.02123663694</v>
      </c>
      <c r="N12" s="80">
        <f t="shared" si="1"/>
        <v>297408.61575</v>
      </c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3"/>
      <c r="AN12" s="23"/>
      <c r="AO12" s="23"/>
    </row>
    <row r="13" spans="1:41">
      <c r="A13" s="54"/>
      <c r="B13" s="54"/>
      <c r="C13" s="57"/>
      <c r="D13" s="57"/>
      <c r="E13" s="57"/>
      <c r="F13" s="55"/>
      <c r="G13" s="56"/>
      <c r="H13" s="56"/>
      <c r="I13" s="56"/>
      <c r="J13" s="56"/>
      <c r="K13" s="56"/>
      <c r="L13" s="56"/>
      <c r="M13" s="56"/>
      <c r="N13" s="56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16"/>
      <c r="AN13" s="16"/>
      <c r="AO13" s="16"/>
    </row>
    <row r="14" spans="1:41">
      <c r="A14" s="52" t="s">
        <v>74</v>
      </c>
      <c r="B14" s="52"/>
      <c r="C14" s="57"/>
      <c r="D14" s="57"/>
      <c r="E14" s="57"/>
      <c r="F14" s="55"/>
      <c r="G14" s="56"/>
      <c r="H14" s="56"/>
      <c r="I14" s="56"/>
      <c r="J14" s="56"/>
      <c r="K14" s="56"/>
      <c r="L14" s="56"/>
      <c r="M14" s="56"/>
      <c r="N14" s="56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6"/>
      <c r="AN14" s="16"/>
      <c r="AO14" s="16"/>
    </row>
    <row r="15" spans="1:41">
      <c r="A15" s="52"/>
      <c r="B15" s="52"/>
      <c r="C15" s="57"/>
      <c r="D15" s="57"/>
      <c r="E15" s="57"/>
      <c r="F15" s="55"/>
      <c r="G15" s="56"/>
      <c r="H15" s="56"/>
      <c r="I15" s="56"/>
      <c r="J15" s="56"/>
      <c r="K15" s="56"/>
      <c r="L15" s="56"/>
      <c r="M15" s="56"/>
      <c r="N15" s="56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6"/>
      <c r="AN15" s="16"/>
      <c r="AO15" s="16"/>
    </row>
    <row r="16" spans="1:41">
      <c r="A16" s="54" t="s">
        <v>75</v>
      </c>
      <c r="B16" s="54"/>
      <c r="C16" s="55">
        <f>Balances!C57</f>
        <v>0</v>
      </c>
      <c r="D16" s="55">
        <f>Balances!D57</f>
        <v>0</v>
      </c>
      <c r="E16" s="55">
        <f>Balances!E57</f>
        <v>475000</v>
      </c>
      <c r="F16" s="55">
        <f>Balances!F57</f>
        <v>0</v>
      </c>
      <c r="G16" s="55">
        <f>Balances!G57</f>
        <v>0</v>
      </c>
      <c r="H16" s="55">
        <f>Balances!H57</f>
        <v>0</v>
      </c>
      <c r="I16" s="55">
        <f>Balances!I57</f>
        <v>0</v>
      </c>
      <c r="J16" s="55">
        <f>Balances!J57</f>
        <v>40000</v>
      </c>
      <c r="K16" s="55">
        <f>Balances!K57</f>
        <v>0</v>
      </c>
      <c r="L16" s="55">
        <f>Balances!L57</f>
        <v>0</v>
      </c>
      <c r="M16" s="55">
        <f>Balances!M57</f>
        <v>0</v>
      </c>
      <c r="N16" s="55">
        <f>Balances!N57</f>
        <v>0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6"/>
      <c r="AN16" s="16"/>
      <c r="AO16" s="16"/>
    </row>
    <row r="17" spans="1:41">
      <c r="A17" s="54" t="s">
        <v>76</v>
      </c>
      <c r="B17" s="54"/>
      <c r="C17" s="55">
        <f>-Balances!C84</f>
        <v>17827.840756473212</v>
      </c>
      <c r="D17" s="55">
        <f>-Balances!D84</f>
        <v>60061.363025892853</v>
      </c>
      <c r="E17" s="55">
        <f>-Balances!E84</f>
        <v>37794.362596874998</v>
      </c>
      <c r="F17" s="55">
        <f>-Balances!F84</f>
        <v>73916.043251785712</v>
      </c>
      <c r="G17" s="55">
        <f>-Balances!G84</f>
        <v>95322.247463169639</v>
      </c>
      <c r="H17" s="55">
        <f>-Balances!H84</f>
        <v>144486.72261964285</v>
      </c>
      <c r="I17" s="55">
        <f>-Balances!I84</f>
        <v>145741.23407611606</v>
      </c>
      <c r="J17" s="55">
        <f>-Balances!J84</f>
        <v>149504.76844553574</v>
      </c>
      <c r="K17" s="55">
        <f>-Balances!K84</f>
        <v>148250.25698906253</v>
      </c>
      <c r="L17" s="55">
        <f>-Balances!L84</f>
        <v>144068.55213415177</v>
      </c>
      <c r="M17" s="55">
        <f>-Balances!M84</f>
        <v>113688.37126473215</v>
      </c>
      <c r="N17" s="55">
        <f>-Balances!N84</f>
        <v>51368.2145953125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6"/>
      <c r="AN17" s="16"/>
      <c r="AO17" s="16"/>
    </row>
    <row r="18" spans="1:41">
      <c r="A18" s="54" t="s">
        <v>77</v>
      </c>
      <c r="B18" s="54"/>
      <c r="C18" s="55">
        <f>-Balances!C92</f>
        <v>24771.358686406253</v>
      </c>
      <c r="D18" s="55">
        <f>-Balances!D92</f>
        <v>84402.309745625011</v>
      </c>
      <c r="E18" s="55">
        <f>-Balances!E92</f>
        <v>40355.352118437499</v>
      </c>
      <c r="F18" s="55">
        <f>-Balances!F92</f>
        <v>49369.279236875002</v>
      </c>
      <c r="G18" s="55">
        <f>-Balances!G92</f>
        <v>69929.280296093741</v>
      </c>
      <c r="H18" s="55">
        <f>-Balances!H92</f>
        <v>50087.958473750004</v>
      </c>
      <c r="I18" s="55">
        <f>-Balances!I92</f>
        <v>59129.995973750003</v>
      </c>
      <c r="J18" s="55">
        <f>-Balances!J92</f>
        <v>80797.983473749991</v>
      </c>
      <c r="K18" s="55">
        <f>-Balances!K92</f>
        <v>51153.44597375</v>
      </c>
      <c r="L18" s="55">
        <f>-Balances!L92</f>
        <v>57118.94597375</v>
      </c>
      <c r="M18" s="55">
        <f>-Balances!M92</f>
        <v>71091.852541718734</v>
      </c>
      <c r="N18" s="55">
        <f>-Balances!N92</f>
        <v>39873.456991250001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6"/>
      <c r="AN18" s="16"/>
      <c r="AO18" s="16"/>
    </row>
    <row r="19" spans="1:41">
      <c r="A19" s="54" t="s">
        <v>78</v>
      </c>
      <c r="B19" s="54"/>
      <c r="C19" s="55">
        <f>Balances!C98</f>
        <v>46666.666666666664</v>
      </c>
      <c r="D19" s="55">
        <f>Balances!D98</f>
        <v>46666.666666666664</v>
      </c>
      <c r="E19" s="55">
        <f>Balances!E98</f>
        <v>46666.666666666664</v>
      </c>
      <c r="F19" s="55">
        <f>Balances!F98</f>
        <v>46666.666666666664</v>
      </c>
      <c r="G19" s="55">
        <f>Balances!G98</f>
        <v>46666.666666666664</v>
      </c>
      <c r="H19" s="55">
        <f>Balances!H98</f>
        <v>46666.666666666664</v>
      </c>
      <c r="I19" s="55">
        <f>Balances!I98</f>
        <v>46666.666666666664</v>
      </c>
      <c r="J19" s="55">
        <f>Balances!J98</f>
        <v>46666.666666666664</v>
      </c>
      <c r="K19" s="55">
        <f>Balances!K98</f>
        <v>46666.666666666664</v>
      </c>
      <c r="L19" s="55">
        <f>Balances!L98</f>
        <v>46666.666666666664</v>
      </c>
      <c r="M19" s="55">
        <f>Balances!M98</f>
        <v>46666.666666666664</v>
      </c>
      <c r="N19" s="55">
        <f>Balances!N98</f>
        <v>46666.666666666664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6"/>
      <c r="AN19" s="16"/>
      <c r="AO19" s="16"/>
    </row>
    <row r="20" spans="1:41">
      <c r="A20" s="54" t="s">
        <v>25</v>
      </c>
      <c r="B20" s="52"/>
      <c r="C20" s="55">
        <f>Balances!C104</f>
        <v>0</v>
      </c>
      <c r="D20" s="55">
        <f>Balances!D104</f>
        <v>7000</v>
      </c>
      <c r="E20" s="55">
        <f>Balances!E104</f>
        <v>7000</v>
      </c>
      <c r="F20" s="55">
        <f>Balances!F104</f>
        <v>7000</v>
      </c>
      <c r="G20" s="55">
        <f>Balances!G104</f>
        <v>7000</v>
      </c>
      <c r="H20" s="55">
        <f>Balances!H104</f>
        <v>7000</v>
      </c>
      <c r="I20" s="55">
        <f>Balances!I104</f>
        <v>7000</v>
      </c>
      <c r="J20" s="55">
        <f>Balances!J104</f>
        <v>7000</v>
      </c>
      <c r="K20" s="55">
        <f>Balances!K104</f>
        <v>7000</v>
      </c>
      <c r="L20" s="55">
        <f>Balances!L104</f>
        <v>7000</v>
      </c>
      <c r="M20" s="55">
        <f>Balances!M104</f>
        <v>7000</v>
      </c>
      <c r="N20" s="55">
        <f>Balances!N104</f>
        <v>7000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6"/>
      <c r="AN20" s="16"/>
      <c r="AO20" s="16"/>
    </row>
    <row r="21" spans="1:41">
      <c r="A21" s="54" t="s">
        <v>424</v>
      </c>
      <c r="B21" s="52"/>
      <c r="C21" s="55">
        <f>Balances!C127</f>
        <v>3125</v>
      </c>
      <c r="D21" s="55">
        <f>Balances!D127</f>
        <v>3125</v>
      </c>
      <c r="E21" s="55">
        <f>Balances!E127</f>
        <v>3125</v>
      </c>
      <c r="F21" s="55">
        <f>Balances!F127</f>
        <v>3125</v>
      </c>
      <c r="G21" s="55">
        <f>Balances!G127</f>
        <v>3125</v>
      </c>
      <c r="H21" s="55">
        <f>Balances!H127</f>
        <v>3125</v>
      </c>
      <c r="I21" s="55">
        <f>Balances!I127</f>
        <v>3125</v>
      </c>
      <c r="J21" s="55">
        <f>Balances!J127</f>
        <v>3125</v>
      </c>
      <c r="K21" s="55">
        <f>Balances!K127</f>
        <v>3125</v>
      </c>
      <c r="L21" s="55">
        <f>Balances!L127</f>
        <v>3125</v>
      </c>
      <c r="M21" s="55">
        <f>Balances!M127</f>
        <v>3125</v>
      </c>
      <c r="N21" s="55">
        <f>Balances!N127</f>
        <v>3125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6"/>
      <c r="AN21" s="16"/>
      <c r="AO21" s="16"/>
    </row>
    <row r="22" spans="1:41">
      <c r="A22" s="54" t="s">
        <v>60</v>
      </c>
      <c r="B22" s="54"/>
      <c r="C22" s="55">
        <f>-Balances!C116</f>
        <v>0</v>
      </c>
      <c r="D22" s="55">
        <f>-Balances!D116</f>
        <v>0</v>
      </c>
      <c r="E22" s="55">
        <f>-Balances!E116</f>
        <v>0</v>
      </c>
      <c r="F22" s="55">
        <f>-Balances!F116</f>
        <v>0</v>
      </c>
      <c r="G22" s="55">
        <f>-Balances!G116</f>
        <v>0</v>
      </c>
      <c r="H22" s="55">
        <f>-Balances!H116</f>
        <v>0</v>
      </c>
      <c r="I22" s="55">
        <f>-Balances!I116</f>
        <v>0</v>
      </c>
      <c r="J22" s="55">
        <f>-Balances!J116</f>
        <v>0</v>
      </c>
      <c r="K22" s="55">
        <f>-Balances!K116</f>
        <v>0</v>
      </c>
      <c r="L22" s="55">
        <f>-Balances!L116</f>
        <v>0</v>
      </c>
      <c r="M22" s="55">
        <f>-Balances!M116</f>
        <v>0</v>
      </c>
      <c r="N22" s="55">
        <f>-Balances!N116</f>
        <v>0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6"/>
      <c r="AN22" s="16"/>
      <c r="AO22" s="16"/>
    </row>
    <row r="23" spans="1:41">
      <c r="A23" s="54" t="s">
        <v>173</v>
      </c>
      <c r="B23" s="54"/>
      <c r="C23" s="55">
        <f>IF(Balances!C110&gt;0,Balances!C110,0)</f>
        <v>0</v>
      </c>
      <c r="D23" s="55">
        <f>IF(Balances!D110&gt;0,Balances!D110,0)</f>
        <v>0</v>
      </c>
      <c r="E23" s="55">
        <f>IF(Balances!E110&gt;0,Balances!E110,0)</f>
        <v>0</v>
      </c>
      <c r="F23" s="55">
        <f>IF(Balances!F110&gt;0,Balances!F110,0)</f>
        <v>0</v>
      </c>
      <c r="G23" s="55">
        <f>IF(Balances!G110&gt;0,Balances!G110,0)</f>
        <v>0</v>
      </c>
      <c r="H23" s="55">
        <f>IF(Balances!H110&gt;0,Balances!H110,0)</f>
        <v>0</v>
      </c>
      <c r="I23" s="55">
        <f>IF(Balances!I110&gt;0,Balances!I110,0)</f>
        <v>2826.0431227380941</v>
      </c>
      <c r="J23" s="55">
        <f>IF(Balances!J110&gt;0,Balances!J110,0)</f>
        <v>0</v>
      </c>
      <c r="K23" s="55">
        <f>IF(Balances!K110&gt;0,Balances!K110,0)</f>
        <v>229.05727452380415</v>
      </c>
      <c r="L23" s="55">
        <f>IF(Balances!L110&gt;0,Balances!L110,0)</f>
        <v>0</v>
      </c>
      <c r="M23" s="55">
        <f>IF(Balances!M110&gt;0,Balances!M110,0)</f>
        <v>0</v>
      </c>
      <c r="N23" s="55">
        <f>IF(Balances!N110&gt;0,Balances!N110,0)</f>
        <v>0</v>
      </c>
      <c r="O23" s="1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6"/>
      <c r="AN23" s="16"/>
      <c r="AO23" s="16"/>
    </row>
    <row r="24" spans="1:41" s="7" customFormat="1">
      <c r="A24" s="54" t="s">
        <v>79</v>
      </c>
      <c r="B24" s="52"/>
      <c r="C24" s="55">
        <f>Loans!E49</f>
        <v>666.66666666666663</v>
      </c>
      <c r="D24" s="55">
        <f>Loans!F49</f>
        <v>666.66666666666663</v>
      </c>
      <c r="E24" s="55">
        <f>Loans!G49</f>
        <v>666.66666666666663</v>
      </c>
      <c r="F24" s="55">
        <f>Loans!H49</f>
        <v>638.88888888888903</v>
      </c>
      <c r="G24" s="55">
        <f>Loans!I49</f>
        <v>611.1111111111112</v>
      </c>
      <c r="H24" s="55">
        <f>Loans!J49</f>
        <v>583.33333333333337</v>
      </c>
      <c r="I24" s="55">
        <f>Loans!K49</f>
        <v>555.55555555555554</v>
      </c>
      <c r="J24" s="55">
        <f>Loans!L49</f>
        <v>527.77777777777783</v>
      </c>
      <c r="K24" s="55">
        <f>Loans!M49</f>
        <v>500</v>
      </c>
      <c r="L24" s="55">
        <f>Loans!N49</f>
        <v>472.22222222222217</v>
      </c>
      <c r="M24" s="55">
        <f>Loans!O49</f>
        <v>444.4444444444444</v>
      </c>
      <c r="N24" s="55">
        <f>Loans!P49</f>
        <v>416.66666666666657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23"/>
      <c r="AN24" s="23"/>
      <c r="AO24" s="23"/>
    </row>
    <row r="25" spans="1:41">
      <c r="A25" s="54" t="s">
        <v>106</v>
      </c>
      <c r="C25" s="55">
        <f>Loans!E50</f>
        <v>0</v>
      </c>
      <c r="D25" s="55">
        <f>Loans!F50</f>
        <v>0</v>
      </c>
      <c r="E25" s="55">
        <f>Loans!G50</f>
        <v>4166.666666666667</v>
      </c>
      <c r="F25" s="55">
        <f>Loans!H50</f>
        <v>4166.666666666667</v>
      </c>
      <c r="G25" s="55">
        <f>Loans!I50</f>
        <v>4166.666666666667</v>
      </c>
      <c r="H25" s="55">
        <f>Loans!J50</f>
        <v>4166.666666666667</v>
      </c>
      <c r="I25" s="55">
        <f>Loans!K50</f>
        <v>4166.666666666667</v>
      </c>
      <c r="J25" s="55">
        <f>Loans!L50</f>
        <v>4166.666666666667</v>
      </c>
      <c r="K25" s="55">
        <f>Loans!M50</f>
        <v>4166.666666666667</v>
      </c>
      <c r="L25" s="55">
        <f>Loans!N50</f>
        <v>4166.666666666667</v>
      </c>
      <c r="M25" s="55">
        <f>Loans!O50</f>
        <v>4166.666666666667</v>
      </c>
      <c r="N25" s="55">
        <f>Loans!P50</f>
        <v>4166.666666666667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6"/>
      <c r="AN25" s="16"/>
      <c r="AO25" s="16"/>
    </row>
    <row r="26" spans="1:41">
      <c r="A26" s="54" t="s">
        <v>161</v>
      </c>
      <c r="C26" s="55">
        <f>SUM(Loans!E14,Loans!E34,XLoan!F34)</f>
        <v>0</v>
      </c>
      <c r="D26" s="55">
        <f>SUM(Loans!F14,Loans!F34,XLoan!G34)</f>
        <v>11249.898162906135</v>
      </c>
      <c r="E26" s="55">
        <f>SUM(Loans!G14,Loans!G34,XLoan!H34)</f>
        <v>11249.898162906135</v>
      </c>
      <c r="F26" s="55">
        <f>SUM(Loans!H14,Loans!H34,XLoan!I34)</f>
        <v>11249.898162906135</v>
      </c>
      <c r="G26" s="55">
        <f>SUM(Loans!I14,Loans!I34,XLoan!J34)</f>
        <v>11249.898162906135</v>
      </c>
      <c r="H26" s="55">
        <f>SUM(Loans!J14,Loans!J34,XLoan!K34)</f>
        <v>11249.898162906135</v>
      </c>
      <c r="I26" s="55">
        <f>SUM(Loans!K14,Loans!K34,XLoan!L34)</f>
        <v>11249.898162906135</v>
      </c>
      <c r="J26" s="55">
        <f>SUM(Loans!L14,Loans!L34,XLoan!M34)</f>
        <v>11249.898162906135</v>
      </c>
      <c r="K26" s="55">
        <f>SUM(Loans!M14,Loans!M34,XLoan!N34)</f>
        <v>11249.898162906135</v>
      </c>
      <c r="L26" s="55">
        <f>SUM(Loans!N14,Loans!N34,XLoan!O34)</f>
        <v>11249.898162906135</v>
      </c>
      <c r="M26" s="55">
        <f>SUM(Loans!O14,Loans!O34,XLoan!P34)</f>
        <v>11249.898162906135</v>
      </c>
      <c r="N26" s="55">
        <f>SUM(Loans!P14,Loans!P34,XLoan!Q34)</f>
        <v>11249.898162906135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6"/>
      <c r="AN26" s="16"/>
      <c r="AO26" s="16"/>
    </row>
    <row r="27" spans="1:41">
      <c r="A27" s="54" t="s">
        <v>80</v>
      </c>
      <c r="B27" s="52"/>
      <c r="C27" s="81">
        <f>SUM(Leases!E12,Leases!E30,XLease!E11)</f>
        <v>0</v>
      </c>
      <c r="D27" s="81">
        <f>SUM(Leases!F12,Leases!F30,XLease!F11)</f>
        <v>0</v>
      </c>
      <c r="E27" s="81">
        <f>SUM(Leases!G12,Leases!G30,XLease!G11)</f>
        <v>0</v>
      </c>
      <c r="F27" s="81">
        <f>SUM(Leases!H12,Leases!H30,XLease!H11)</f>
        <v>0</v>
      </c>
      <c r="G27" s="81">
        <f>SUM(Leases!I12,Leases!I30,XLease!I11)</f>
        <v>0</v>
      </c>
      <c r="H27" s="81">
        <f>SUM(Leases!J12,Leases!J30,XLease!J11)</f>
        <v>0</v>
      </c>
      <c r="I27" s="81">
        <f>SUM(Leases!K12,Leases!K30,XLease!K11)</f>
        <v>0</v>
      </c>
      <c r="J27" s="81">
        <f>SUM(Leases!L12,Leases!L30,XLease!L11)</f>
        <v>0</v>
      </c>
      <c r="K27" s="81">
        <f>SUM(Leases!M12,Leases!M30,XLease!M11)</f>
        <v>0</v>
      </c>
      <c r="L27" s="81">
        <f>SUM(Leases!N12,Leases!N30,XLease!N11)</f>
        <v>0</v>
      </c>
      <c r="M27" s="81">
        <f>SUM(Leases!O12,Leases!O30,XLease!O11)</f>
        <v>0</v>
      </c>
      <c r="N27" s="81">
        <f>SUM(Leases!P12,Leases!P30,XLease!P11)</f>
        <v>0</v>
      </c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6"/>
      <c r="AN27" s="16"/>
      <c r="AO27" s="16"/>
    </row>
    <row r="28" spans="1:41" s="7" customFormat="1">
      <c r="A28" s="52" t="s">
        <v>81</v>
      </c>
      <c r="B28" s="52"/>
      <c r="C28" s="59">
        <f t="shared" ref="C28:N28" si="2">SUM(C16:C27)</f>
        <v>93057.5327762128</v>
      </c>
      <c r="D28" s="59">
        <f t="shared" si="2"/>
        <v>213171.90426775732</v>
      </c>
      <c r="E28" s="59">
        <f t="shared" si="2"/>
        <v>626024.61287821853</v>
      </c>
      <c r="F28" s="59">
        <f t="shared" si="2"/>
        <v>196132.44287378906</v>
      </c>
      <c r="G28" s="59">
        <f t="shared" si="2"/>
        <v>238070.87036661396</v>
      </c>
      <c r="H28" s="59">
        <f t="shared" si="2"/>
        <v>267366.24592296564</v>
      </c>
      <c r="I28" s="59">
        <f t="shared" si="2"/>
        <v>280461.0602243992</v>
      </c>
      <c r="J28" s="59">
        <f t="shared" si="2"/>
        <v>343038.76119330298</v>
      </c>
      <c r="K28" s="59">
        <f t="shared" si="2"/>
        <v>272340.99173357576</v>
      </c>
      <c r="L28" s="59">
        <f t="shared" si="2"/>
        <v>273867.95182636345</v>
      </c>
      <c r="M28" s="59">
        <f t="shared" si="2"/>
        <v>257432.8997471348</v>
      </c>
      <c r="N28" s="59">
        <f t="shared" si="2"/>
        <v>163866.56974946862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3"/>
      <c r="AO28" s="23"/>
    </row>
    <row r="29" spans="1:41">
      <c r="A29" s="54"/>
      <c r="B29" s="54"/>
      <c r="C29" s="57"/>
      <c r="D29" s="57"/>
      <c r="E29" s="57"/>
      <c r="F29" s="55"/>
      <c r="G29" s="56"/>
      <c r="H29" s="56"/>
      <c r="I29" s="56"/>
      <c r="J29" s="56"/>
      <c r="K29" s="56"/>
      <c r="L29" s="56"/>
      <c r="M29" s="56"/>
      <c r="N29" s="56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6"/>
      <c r="AN29" s="16"/>
      <c r="AO29" s="16"/>
    </row>
    <row r="30" spans="1:41">
      <c r="A30" s="52" t="s">
        <v>102</v>
      </c>
      <c r="B30" s="54"/>
      <c r="C30" s="61">
        <f t="shared" ref="C30:N30" si="3">C12-C28</f>
        <v>86669.095976019351</v>
      </c>
      <c r="D30" s="61">
        <f t="shared" si="3"/>
        <v>110000.05023492128</v>
      </c>
      <c r="E30" s="61">
        <f t="shared" si="3"/>
        <v>-461973.27825943881</v>
      </c>
      <c r="F30" s="61">
        <f t="shared" si="3"/>
        <v>10119.86552442523</v>
      </c>
      <c r="G30" s="61">
        <f t="shared" si="3"/>
        <v>70477.302542701538</v>
      </c>
      <c r="H30" s="61">
        <f t="shared" si="3"/>
        <v>57866.274513641489</v>
      </c>
      <c r="I30" s="61">
        <f t="shared" si="3"/>
        <v>86603.841241672228</v>
      </c>
      <c r="J30" s="61">
        <f t="shared" si="3"/>
        <v>36212.613712947059</v>
      </c>
      <c r="K30" s="61">
        <f t="shared" si="3"/>
        <v>75782.180203924247</v>
      </c>
      <c r="L30" s="61">
        <f t="shared" si="3"/>
        <v>58691.118626761599</v>
      </c>
      <c r="M30" s="61">
        <f t="shared" si="3"/>
        <v>-111364.87851049786</v>
      </c>
      <c r="N30" s="61">
        <f t="shared" si="3"/>
        <v>133542.04600053138</v>
      </c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16"/>
      <c r="AN30" s="16"/>
      <c r="AO30" s="16"/>
    </row>
    <row r="31" spans="1:41">
      <c r="A31" s="52"/>
      <c r="B31" s="52"/>
      <c r="C31" s="57"/>
      <c r="D31" s="57"/>
      <c r="E31" s="57"/>
      <c r="F31" s="55"/>
      <c r="G31" s="56"/>
      <c r="H31" s="56"/>
      <c r="I31" s="56"/>
      <c r="J31" s="56"/>
      <c r="K31" s="56"/>
      <c r="L31" s="56"/>
      <c r="M31" s="56"/>
      <c r="N31" s="56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6"/>
      <c r="AN31" s="16"/>
      <c r="AO31" s="16"/>
    </row>
    <row r="32" spans="1:41">
      <c r="A32" s="52" t="s">
        <v>82</v>
      </c>
      <c r="B32" s="54"/>
      <c r="C32" s="57"/>
      <c r="D32" s="57"/>
      <c r="E32" s="57"/>
      <c r="F32" s="55"/>
      <c r="G32" s="56"/>
      <c r="H32" s="56"/>
      <c r="I32" s="56"/>
      <c r="J32" s="56"/>
      <c r="K32" s="56"/>
      <c r="L32" s="56"/>
      <c r="M32" s="56"/>
      <c r="N32" s="56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16"/>
      <c r="AN32" s="16"/>
      <c r="AO32" s="16"/>
    </row>
    <row r="33" spans="1:41">
      <c r="A33" s="54" t="s">
        <v>35</v>
      </c>
      <c r="B33" s="54"/>
      <c r="C33" s="61">
        <f>Balances!B132</f>
        <v>-20000</v>
      </c>
      <c r="D33" s="61">
        <f>C36</f>
        <v>66502.429309352679</v>
      </c>
      <c r="E33" s="61">
        <f>D36</f>
        <v>176502.47954427396</v>
      </c>
      <c r="F33" s="61">
        <f>E36</f>
        <v>-285470.79871516488</v>
      </c>
      <c r="G33" s="61">
        <f t="shared" ref="G33:N33" si="4">F36</f>
        <v>-277729.85651336604</v>
      </c>
      <c r="H33" s="61">
        <f t="shared" si="4"/>
        <v>-209566.96944160922</v>
      </c>
      <c r="I33" s="61">
        <f t="shared" si="4"/>
        <v>-153447.08633998115</v>
      </c>
      <c r="J33" s="61">
        <f t="shared" si="4"/>
        <v>-68121.97081780876</v>
      </c>
      <c r="K33" s="61">
        <f t="shared" si="4"/>
        <v>-32477.040195010108</v>
      </c>
      <c r="L33" s="61">
        <f t="shared" si="4"/>
        <v>43034.498007289054</v>
      </c>
      <c r="M33" s="61">
        <f t="shared" si="4"/>
        <v>101725.61663405065</v>
      </c>
      <c r="N33" s="61">
        <f t="shared" si="4"/>
        <v>-9639.2618764472136</v>
      </c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16"/>
      <c r="AN33" s="16"/>
      <c r="AO33" s="16"/>
    </row>
    <row r="34" spans="1:41">
      <c r="A34" s="54" t="s">
        <v>83</v>
      </c>
      <c r="B34" s="54"/>
      <c r="C34" s="61">
        <f>C30</f>
        <v>86669.095976019351</v>
      </c>
      <c r="D34" s="61">
        <f>D30</f>
        <v>110000.05023492128</v>
      </c>
      <c r="E34" s="61">
        <f>E30</f>
        <v>-461973.27825943881</v>
      </c>
      <c r="F34" s="61">
        <f t="shared" ref="F34:N34" si="5">F30</f>
        <v>10119.86552442523</v>
      </c>
      <c r="G34" s="61">
        <f t="shared" si="5"/>
        <v>70477.302542701538</v>
      </c>
      <c r="H34" s="61">
        <f t="shared" si="5"/>
        <v>57866.274513641489</v>
      </c>
      <c r="I34" s="61">
        <f t="shared" si="5"/>
        <v>86603.841241672228</v>
      </c>
      <c r="J34" s="61">
        <f t="shared" si="5"/>
        <v>36212.613712947059</v>
      </c>
      <c r="K34" s="61">
        <f t="shared" si="5"/>
        <v>75782.180203924247</v>
      </c>
      <c r="L34" s="61">
        <f t="shared" si="5"/>
        <v>58691.118626761599</v>
      </c>
      <c r="M34" s="61">
        <f t="shared" si="5"/>
        <v>-111364.87851049786</v>
      </c>
      <c r="N34" s="61">
        <f t="shared" si="5"/>
        <v>133542.04600053138</v>
      </c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16"/>
      <c r="AN34" s="16"/>
      <c r="AO34" s="16"/>
    </row>
    <row r="35" spans="1:41">
      <c r="A35" s="54" t="s">
        <v>84</v>
      </c>
      <c r="B35" s="54"/>
      <c r="C35" s="61">
        <f>(C33&lt;0)*C33*('IP1'!$F$134/12)</f>
        <v>-166.66666666666666</v>
      </c>
      <c r="D35" s="61">
        <f>(D33&lt;0)*D33*('IP1'!$F$134/12)</f>
        <v>0</v>
      </c>
      <c r="E35" s="61">
        <f>(E33&lt;0)*E33*('IP1'!$F$134/12)</f>
        <v>0</v>
      </c>
      <c r="F35" s="61">
        <f>(F33&lt;0)*F33*('IP1'!$F$134/12)</f>
        <v>-2378.9233226263741</v>
      </c>
      <c r="G35" s="61">
        <f>(G33&lt;0)*G33*('IP1'!$F$134/12)</f>
        <v>-2314.4154709447171</v>
      </c>
      <c r="H35" s="61">
        <f>(H33&lt;0)*H33*('IP1'!$F$134/12)</f>
        <v>-1746.3914120134102</v>
      </c>
      <c r="I35" s="61">
        <f>(I33&lt;0)*I33*('IP1'!$F$134/12)</f>
        <v>-1278.7257194998429</v>
      </c>
      <c r="J35" s="61">
        <f>(J33&lt;0)*J33*('IP1'!$F$134/12)</f>
        <v>-567.68309014840634</v>
      </c>
      <c r="K35" s="61">
        <f>(K33&lt;0)*K33*('IP1'!$F$134/12)</f>
        <v>-270.64200162508422</v>
      </c>
      <c r="L35" s="61">
        <f>(L33&lt;0)*L33*('IP1'!$F$134/12)</f>
        <v>0</v>
      </c>
      <c r="M35" s="61">
        <f>(M33&lt;0)*M33*('IP1'!$F$134/12)</f>
        <v>0</v>
      </c>
      <c r="N35" s="61">
        <f>(N33&lt;0)*N33*('IP1'!$F$134/12)</f>
        <v>-80.327182303726772</v>
      </c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6"/>
      <c r="AN35" s="16"/>
      <c r="AO35" s="16"/>
    </row>
    <row r="36" spans="1:41" ht="14.4" thickBot="1">
      <c r="A36" s="52" t="s">
        <v>37</v>
      </c>
      <c r="B36" s="52"/>
      <c r="C36" s="82">
        <f>SUM(C33:C35)</f>
        <v>66502.429309352679</v>
      </c>
      <c r="D36" s="82">
        <f t="shared" ref="D36:N36" si="6">SUM(D33:D35)</f>
        <v>176502.47954427396</v>
      </c>
      <c r="E36" s="82">
        <f t="shared" si="6"/>
        <v>-285470.79871516488</v>
      </c>
      <c r="F36" s="82">
        <f t="shared" si="6"/>
        <v>-277729.85651336604</v>
      </c>
      <c r="G36" s="82">
        <f t="shared" si="6"/>
        <v>-209566.96944160922</v>
      </c>
      <c r="H36" s="82">
        <f t="shared" si="6"/>
        <v>-153447.08633998115</v>
      </c>
      <c r="I36" s="82">
        <f t="shared" si="6"/>
        <v>-68121.97081780876</v>
      </c>
      <c r="J36" s="82">
        <f t="shared" si="6"/>
        <v>-32477.040195010108</v>
      </c>
      <c r="K36" s="82">
        <f t="shared" si="6"/>
        <v>43034.498007289054</v>
      </c>
      <c r="L36" s="82">
        <f t="shared" si="6"/>
        <v>101725.61663405065</v>
      </c>
      <c r="M36" s="82">
        <f t="shared" si="6"/>
        <v>-9639.2618764472136</v>
      </c>
      <c r="N36" s="82">
        <f t="shared" si="6"/>
        <v>123822.45694178045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16"/>
      <c r="AN36" s="16"/>
      <c r="AO36" s="16"/>
    </row>
    <row r="37" spans="1:41">
      <c r="A37" s="52"/>
      <c r="B37" s="52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16"/>
      <c r="AN37" s="16"/>
      <c r="AO37" s="16"/>
    </row>
    <row r="38" spans="1:41">
      <c r="A38" s="119" t="str">
        <f>'IP1'!$B$2</f>
        <v>XYZ Ltd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16"/>
      <c r="AN38" s="16"/>
      <c r="AO38" s="16"/>
    </row>
    <row r="39" spans="1:41" ht="12" customHeight="1">
      <c r="A39" s="91" t="s">
        <v>257</v>
      </c>
      <c r="B39" s="91"/>
      <c r="C39" s="118">
        <f>DATEVALUE(1&amp;"/"&amp;'IP1'!$B$3&amp;"/"&amp;('IP1'!$B$4+2))-1</f>
        <v>42004</v>
      </c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16"/>
      <c r="AO39" s="16"/>
    </row>
    <row r="40" spans="1:41">
      <c r="A40" s="45"/>
      <c r="B40" s="46"/>
      <c r="C40" s="13">
        <f>DATEVALUE(1&amp;"/"&amp;'IP1'!$B$3&amp;"/"&amp;('IP1'!$B$4+1))</f>
        <v>41640</v>
      </c>
      <c r="D40" s="13">
        <f>DATE(YEAR(C40),MONTH(C40)+1,1)</f>
        <v>41671</v>
      </c>
      <c r="E40" s="13">
        <f t="shared" ref="E40:N40" si="7">DATE(YEAR(D40),MONTH(D40)+1,1)</f>
        <v>41699</v>
      </c>
      <c r="F40" s="13">
        <f t="shared" si="7"/>
        <v>41730</v>
      </c>
      <c r="G40" s="13">
        <f t="shared" si="7"/>
        <v>41760</v>
      </c>
      <c r="H40" s="13">
        <f t="shared" si="7"/>
        <v>41791</v>
      </c>
      <c r="I40" s="13">
        <f t="shared" si="7"/>
        <v>41821</v>
      </c>
      <c r="J40" s="13">
        <f t="shared" si="7"/>
        <v>41852</v>
      </c>
      <c r="K40" s="13">
        <f t="shared" si="7"/>
        <v>41883</v>
      </c>
      <c r="L40" s="13">
        <f t="shared" si="7"/>
        <v>41913</v>
      </c>
      <c r="M40" s="13">
        <f t="shared" si="7"/>
        <v>41944</v>
      </c>
      <c r="N40" s="13">
        <f t="shared" si="7"/>
        <v>41974</v>
      </c>
      <c r="O40" s="1"/>
      <c r="R40" s="62"/>
      <c r="S40" s="68"/>
      <c r="T40" s="68"/>
      <c r="U40" s="68"/>
      <c r="V40" s="68"/>
      <c r="W40" s="68"/>
      <c r="X40" s="68"/>
      <c r="Y40" s="68"/>
      <c r="Z40" s="68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</row>
    <row r="41" spans="1:41">
      <c r="A41" s="52" t="s">
        <v>71</v>
      </c>
      <c r="B41" s="52"/>
      <c r="O41" s="1"/>
      <c r="R41" s="19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 spans="1:41">
      <c r="A42" s="54" t="s">
        <v>72</v>
      </c>
      <c r="B42" s="54"/>
      <c r="C42" s="56">
        <f>-Balances!O73</f>
        <v>134335.61514877231</v>
      </c>
      <c r="D42" s="56">
        <f>-Balances!P73</f>
        <v>97159.87010450894</v>
      </c>
      <c r="E42" s="56">
        <f>-Balances!Q73</f>
        <v>174146.91830203126</v>
      </c>
      <c r="F42" s="56">
        <f>-Balances!R73</f>
        <v>227790.12865098217</v>
      </c>
      <c r="G42" s="56">
        <f>-Balances!S73</f>
        <v>332441.91815082589</v>
      </c>
      <c r="H42" s="56">
        <f>-Balances!T73</f>
        <v>358813.35162200895</v>
      </c>
      <c r="I42" s="56">
        <f>-Balances!U73</f>
        <v>406367.85197651788</v>
      </c>
      <c r="J42" s="56">
        <f>-Balances!V73</f>
        <v>419965.54900513391</v>
      </c>
      <c r="K42" s="56">
        <f>-Balances!W73</f>
        <v>384310.90551294643</v>
      </c>
      <c r="L42" s="56">
        <f>-Balances!X73</f>
        <v>366483.58376685268</v>
      </c>
      <c r="M42" s="56">
        <f>-Balances!Y73</f>
        <v>157274.85085613839</v>
      </c>
      <c r="N42" s="56">
        <f>-Balances!Z73</f>
        <v>329830.26320892863</v>
      </c>
      <c r="O42" s="1"/>
      <c r="R42" s="19"/>
      <c r="S42" s="18"/>
      <c r="T42" s="18"/>
      <c r="U42" s="18"/>
      <c r="V42" s="18"/>
      <c r="W42" s="18"/>
      <c r="X42" s="18"/>
      <c r="Y42" s="18"/>
      <c r="Z42" s="18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</row>
    <row r="43" spans="1:41" s="7" customFormat="1">
      <c r="A43" s="54" t="s">
        <v>173</v>
      </c>
      <c r="B43" s="52"/>
      <c r="C43" s="56">
        <f>IF(Balances!O110&lt;0,-Balances!O110,0)</f>
        <v>634.21664547618275</v>
      </c>
      <c r="D43" s="56">
        <f>IF(Balances!P110&lt;0,-Balances!P110,0)</f>
        <v>0</v>
      </c>
      <c r="E43" s="56">
        <f>IF(Balances!Q110&lt;0,-Balances!Q110,0)</f>
        <v>21586.198020255935</v>
      </c>
      <c r="F43" s="56">
        <f>IF(Balances!R110&lt;0,-Balances!R110,0)</f>
        <v>0</v>
      </c>
      <c r="G43" s="56">
        <f>IF(Balances!S110&lt;0,-Balances!S110,0)</f>
        <v>0</v>
      </c>
      <c r="H43" s="56">
        <f>IF(Balances!T110&lt;0,-Balances!T110,0)</f>
        <v>0</v>
      </c>
      <c r="I43" s="56">
        <f>IF(Balances!U110&lt;0,-Balances!U110,0)</f>
        <v>0</v>
      </c>
      <c r="J43" s="56">
        <f>IF(Balances!V110&lt;0,-Balances!V110,0)</f>
        <v>0</v>
      </c>
      <c r="K43" s="56">
        <f>IF(Balances!W110&lt;0,-Balances!W110,0)</f>
        <v>0</v>
      </c>
      <c r="L43" s="56">
        <f>IF(Balances!X110&lt;0,-Balances!X110,0)</f>
        <v>0</v>
      </c>
      <c r="M43" s="56">
        <f>IF(Balances!Y110&lt;0,-Balances!Y110,0)</f>
        <v>0</v>
      </c>
      <c r="N43" s="56">
        <f>IF(Balances!Z110&lt;0,-Balances!Z110,0)</f>
        <v>0</v>
      </c>
      <c r="O43" s="1"/>
      <c r="P43" s="1"/>
      <c r="Q43" s="1"/>
      <c r="R43" s="19"/>
      <c r="S43" s="18"/>
      <c r="T43" s="18"/>
      <c r="U43" s="18"/>
      <c r="V43" s="18"/>
      <c r="W43" s="18"/>
      <c r="X43" s="18"/>
      <c r="Y43" s="18"/>
      <c r="Z43" s="18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</row>
    <row r="44" spans="1:41">
      <c r="A44" s="54" t="s">
        <v>111</v>
      </c>
      <c r="C44" s="56">
        <f>Loans!Q60</f>
        <v>0</v>
      </c>
      <c r="D44" s="56">
        <f>Loans!R60</f>
        <v>0</v>
      </c>
      <c r="E44" s="56">
        <f>Loans!S60</f>
        <v>0</v>
      </c>
      <c r="F44" s="56">
        <f>Loans!T60</f>
        <v>0</v>
      </c>
      <c r="G44" s="56">
        <f>Loans!U60</f>
        <v>0</v>
      </c>
      <c r="H44" s="56">
        <f>Loans!V60</f>
        <v>0</v>
      </c>
      <c r="I44" s="56">
        <f>Loans!W60</f>
        <v>0</v>
      </c>
      <c r="J44" s="56">
        <f>Loans!X60</f>
        <v>0</v>
      </c>
      <c r="K44" s="56">
        <f>Loans!Y60</f>
        <v>0</v>
      </c>
      <c r="L44" s="56">
        <f>Loans!Z60</f>
        <v>0</v>
      </c>
      <c r="M44" s="56">
        <f>Loans!AA60</f>
        <v>0</v>
      </c>
      <c r="N44" s="56">
        <f>Loans!AB60</f>
        <v>0</v>
      </c>
      <c r="O44" s="1"/>
      <c r="R44" s="19"/>
      <c r="S44" s="18"/>
      <c r="T44" s="18"/>
      <c r="U44" s="18"/>
      <c r="V44" s="18"/>
      <c r="W44" s="18"/>
      <c r="X44" s="18"/>
      <c r="Y44" s="18"/>
      <c r="Z44" s="18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</row>
    <row r="45" spans="1:41">
      <c r="A45" s="54" t="s">
        <v>101</v>
      </c>
      <c r="C45" s="56">
        <f>SUM(Loans!Q58:Q59)</f>
        <v>0</v>
      </c>
      <c r="D45" s="56">
        <f>SUM(Loans!R58:R59)</f>
        <v>0</v>
      </c>
      <c r="E45" s="56">
        <f>SUM(Loans!S58:S59)</f>
        <v>250000</v>
      </c>
      <c r="F45" s="56">
        <f>SUM(Loans!T58:T59)</f>
        <v>0</v>
      </c>
      <c r="G45" s="56">
        <f>SUM(Loans!U58:U59)</f>
        <v>0</v>
      </c>
      <c r="H45" s="56">
        <f>SUM(Loans!V58:V59)</f>
        <v>0</v>
      </c>
      <c r="I45" s="56">
        <f>SUM(Loans!W58:W59)</f>
        <v>0</v>
      </c>
      <c r="J45" s="56">
        <f>SUM(Loans!X58:X59)</f>
        <v>0</v>
      </c>
      <c r="K45" s="56">
        <f>SUM(Loans!Y58:Y59)</f>
        <v>0</v>
      </c>
      <c r="L45" s="56">
        <f>SUM(Loans!Z58:Z59)</f>
        <v>0</v>
      </c>
      <c r="M45" s="56">
        <f>SUM(Loans!AA58:AA59)</f>
        <v>0</v>
      </c>
      <c r="N45" s="56">
        <f>SUM(Loans!AB58:AB59)</f>
        <v>0</v>
      </c>
      <c r="O45" s="1"/>
      <c r="R45" s="19"/>
      <c r="S45" s="18"/>
      <c r="T45" s="18"/>
      <c r="U45" s="18"/>
      <c r="V45" s="18"/>
      <c r="W45" s="18"/>
      <c r="X45" s="18"/>
      <c r="Y45" s="18"/>
      <c r="Z45" s="18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</row>
    <row r="46" spans="1:41">
      <c r="A46" s="54" t="s">
        <v>112</v>
      </c>
      <c r="C46" s="56">
        <f>SUM(Leases!Q38:Q39)</f>
        <v>0</v>
      </c>
      <c r="D46" s="56">
        <f>SUM(Leases!R38:R39)</f>
        <v>0</v>
      </c>
      <c r="E46" s="56">
        <f>SUM(Leases!S38:S39)</f>
        <v>0</v>
      </c>
      <c r="F46" s="56">
        <f>SUM(Leases!T38:T39)</f>
        <v>0</v>
      </c>
      <c r="G46" s="56">
        <f>SUM(Leases!U38:U39)</f>
        <v>0</v>
      </c>
      <c r="H46" s="56">
        <f>SUM(Leases!V38:V39)</f>
        <v>0</v>
      </c>
      <c r="I46" s="56">
        <f>SUM(Leases!W38:W39)</f>
        <v>0</v>
      </c>
      <c r="J46" s="56">
        <f>SUM(Leases!X38:X39)</f>
        <v>0</v>
      </c>
      <c r="K46" s="56">
        <f>SUM(Leases!Y38:Y39)</f>
        <v>0</v>
      </c>
      <c r="L46" s="56">
        <f>SUM(Leases!Z38:Z39)</f>
        <v>0</v>
      </c>
      <c r="M46" s="56">
        <f>SUM(Leases!AA38:AA39)</f>
        <v>0</v>
      </c>
      <c r="N46" s="56">
        <f>SUM(Leases!AB38:AB39)</f>
        <v>0</v>
      </c>
      <c r="O46" s="1"/>
      <c r="R46" s="19"/>
      <c r="S46" s="18"/>
      <c r="T46" s="18"/>
      <c r="U46" s="18"/>
      <c r="V46" s="18"/>
      <c r="W46" s="18"/>
      <c r="X46" s="18"/>
      <c r="Y46" s="18"/>
      <c r="Z46" s="18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</row>
    <row r="47" spans="1:41">
      <c r="A47" s="54" t="s">
        <v>109</v>
      </c>
      <c r="B47" s="52"/>
      <c r="C47" s="56">
        <f>Balances!O122</f>
        <v>0</v>
      </c>
      <c r="D47" s="56">
        <f>Balances!P122</f>
        <v>0</v>
      </c>
      <c r="E47" s="56">
        <f>Balances!Q122</f>
        <v>0</v>
      </c>
      <c r="F47" s="56">
        <f>Balances!R122</f>
        <v>0</v>
      </c>
      <c r="G47" s="56">
        <f>Balances!S122</f>
        <v>0</v>
      </c>
      <c r="H47" s="56">
        <f>Balances!T122</f>
        <v>0</v>
      </c>
      <c r="I47" s="56">
        <f>Balances!U122</f>
        <v>0</v>
      </c>
      <c r="J47" s="56">
        <f>Balances!V122</f>
        <v>0</v>
      </c>
      <c r="K47" s="56">
        <f>Balances!W122</f>
        <v>0</v>
      </c>
      <c r="L47" s="56">
        <f>Balances!X122</f>
        <v>0</v>
      </c>
      <c r="M47" s="56">
        <f>Balances!Y122</f>
        <v>0</v>
      </c>
      <c r="N47" s="56">
        <f>Balances!Z122</f>
        <v>0</v>
      </c>
      <c r="O47" s="1"/>
      <c r="R47" s="19"/>
      <c r="S47" s="18"/>
      <c r="T47" s="18"/>
      <c r="U47" s="18"/>
      <c r="V47" s="18"/>
      <c r="W47" s="18"/>
      <c r="X47" s="18"/>
      <c r="Y47" s="18"/>
      <c r="Z47" s="18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</row>
    <row r="48" spans="1:41">
      <c r="A48" s="54"/>
      <c r="B48" s="52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1"/>
      <c r="R48" s="19"/>
      <c r="S48" s="18"/>
      <c r="T48" s="18"/>
      <c r="U48" s="18"/>
      <c r="V48" s="18"/>
      <c r="W48" s="18"/>
      <c r="X48" s="18"/>
      <c r="Y48" s="18"/>
      <c r="Z48" s="18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</row>
    <row r="49" spans="1:39">
      <c r="A49" s="52" t="s">
        <v>73</v>
      </c>
      <c r="B49" s="54"/>
      <c r="C49" s="80">
        <f>SUM(C42:C47)</f>
        <v>134969.83179424849</v>
      </c>
      <c r="D49" s="80">
        <f t="shared" ref="D49:N49" si="8">SUM(D42:D47)</f>
        <v>97159.87010450894</v>
      </c>
      <c r="E49" s="80">
        <f t="shared" si="8"/>
        <v>445733.11632228718</v>
      </c>
      <c r="F49" s="80">
        <f t="shared" si="8"/>
        <v>227790.12865098217</v>
      </c>
      <c r="G49" s="80">
        <f t="shared" si="8"/>
        <v>332441.91815082589</v>
      </c>
      <c r="H49" s="80">
        <f t="shared" si="8"/>
        <v>358813.35162200895</v>
      </c>
      <c r="I49" s="80">
        <f t="shared" si="8"/>
        <v>406367.85197651788</v>
      </c>
      <c r="J49" s="80">
        <f t="shared" si="8"/>
        <v>419965.54900513391</v>
      </c>
      <c r="K49" s="80">
        <f t="shared" si="8"/>
        <v>384310.90551294643</v>
      </c>
      <c r="L49" s="80">
        <f t="shared" si="8"/>
        <v>366483.58376685268</v>
      </c>
      <c r="M49" s="80">
        <f t="shared" si="8"/>
        <v>157274.85085613839</v>
      </c>
      <c r="N49" s="80">
        <f t="shared" si="8"/>
        <v>329830.26320892863</v>
      </c>
      <c r="O49" s="7"/>
      <c r="R49" s="19"/>
      <c r="S49" s="18"/>
      <c r="T49" s="18"/>
      <c r="U49" s="18"/>
      <c r="V49" s="18"/>
      <c r="W49" s="18"/>
      <c r="X49" s="18"/>
      <c r="Y49" s="18"/>
      <c r="Z49" s="18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</row>
    <row r="50" spans="1:39">
      <c r="A50" s="54"/>
      <c r="B50" s="52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1"/>
      <c r="R50" s="19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</row>
    <row r="51" spans="1:39">
      <c r="A51" s="52" t="s">
        <v>74</v>
      </c>
      <c r="B51" s="54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1"/>
      <c r="R51" s="19"/>
      <c r="S51" s="18"/>
      <c r="T51" s="18"/>
      <c r="U51" s="18"/>
      <c r="V51" s="18"/>
      <c r="W51" s="18"/>
      <c r="X51" s="18"/>
      <c r="Y51" s="18"/>
      <c r="Z51" s="18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</row>
    <row r="52" spans="1:39">
      <c r="A52" s="52"/>
      <c r="B52" s="54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1"/>
      <c r="R52" s="19"/>
      <c r="S52" s="18"/>
      <c r="T52" s="18"/>
      <c r="U52" s="18"/>
      <c r="V52" s="18"/>
      <c r="W52" s="18"/>
      <c r="X52" s="18"/>
      <c r="Y52" s="18"/>
      <c r="Z52" s="18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</row>
    <row r="53" spans="1:39">
      <c r="A53" s="54" t="s">
        <v>75</v>
      </c>
      <c r="B53" s="54"/>
      <c r="C53" s="55">
        <f>Balances!O57</f>
        <v>0</v>
      </c>
      <c r="D53" s="55">
        <f>Balances!P57</f>
        <v>0</v>
      </c>
      <c r="E53" s="55">
        <f>Balances!Q57</f>
        <v>0</v>
      </c>
      <c r="F53" s="55">
        <f>Balances!R57</f>
        <v>0</v>
      </c>
      <c r="G53" s="55">
        <f>Balances!S57</f>
        <v>475000</v>
      </c>
      <c r="H53" s="55">
        <f>Balances!T57</f>
        <v>0</v>
      </c>
      <c r="I53" s="55">
        <f>Balances!U57</f>
        <v>0</v>
      </c>
      <c r="J53" s="55">
        <f>Balances!V57</f>
        <v>0</v>
      </c>
      <c r="K53" s="55">
        <f>Balances!W57</f>
        <v>0</v>
      </c>
      <c r="L53" s="55">
        <f>Balances!X57</f>
        <v>0</v>
      </c>
      <c r="M53" s="55">
        <f>Balances!Y57</f>
        <v>0</v>
      </c>
      <c r="N53" s="55">
        <f>Balances!Z57</f>
        <v>0</v>
      </c>
      <c r="O53" s="1"/>
      <c r="R53" s="19"/>
      <c r="S53" s="18"/>
      <c r="T53" s="18"/>
      <c r="U53" s="18"/>
      <c r="V53" s="18"/>
      <c r="W53" s="18"/>
      <c r="X53" s="18"/>
      <c r="Y53" s="18"/>
      <c r="Z53" s="18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</row>
    <row r="54" spans="1:39">
      <c r="A54" s="54" t="s">
        <v>76</v>
      </c>
      <c r="B54" s="54"/>
      <c r="C54" s="55">
        <f>-Balances!O84</f>
        <v>101862.95180979911</v>
      </c>
      <c r="D54" s="55">
        <f>-Balances!P84</f>
        <v>27835.499328482147</v>
      </c>
      <c r="E54" s="55">
        <f>-Balances!Q84</f>
        <v>39913.298856562506</v>
      </c>
      <c r="F54" s="55">
        <f>-Balances!R84</f>
        <v>77986.647576964286</v>
      </c>
      <c r="G54" s="55">
        <f>-Balances!S84</f>
        <v>100703.22220948662</v>
      </c>
      <c r="H54" s="55">
        <f>-Balances!T84</f>
        <v>152293.39488160715</v>
      </c>
      <c r="I54" s="55">
        <f>-Balances!U84</f>
        <v>153673.35748372768</v>
      </c>
      <c r="J54" s="55">
        <f>-Balances!V84</f>
        <v>157813.24529008928</v>
      </c>
      <c r="K54" s="55">
        <f>-Balances!W84</f>
        <v>156433.28268796875</v>
      </c>
      <c r="L54" s="55">
        <f>-Balances!X84</f>
        <v>151833.40734756697</v>
      </c>
      <c r="M54" s="55">
        <f>-Balances!Y84</f>
        <v>119798.95839120536</v>
      </c>
      <c r="N54" s="55">
        <f>-Balances!Z84</f>
        <v>54291.03605484376</v>
      </c>
      <c r="O54" s="1"/>
      <c r="P54" s="7"/>
      <c r="Q54" s="7"/>
      <c r="R54" s="22"/>
      <c r="S54" s="71"/>
      <c r="T54" s="71"/>
      <c r="U54" s="71"/>
      <c r="V54" s="71"/>
      <c r="W54" s="71"/>
      <c r="X54" s="71"/>
      <c r="Y54" s="71"/>
      <c r="Z54" s="71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 spans="1:39">
      <c r="A55" s="54" t="s">
        <v>77</v>
      </c>
      <c r="B55" s="52"/>
      <c r="C55" s="55">
        <f>-Balances!O92</f>
        <v>69024.356101140642</v>
      </c>
      <c r="D55" s="55">
        <f>-Balances!P92</f>
        <v>111630.79072018752</v>
      </c>
      <c r="E55" s="55">
        <f>-Balances!Q92</f>
        <v>47184.217330281244</v>
      </c>
      <c r="F55" s="55">
        <f>-Balances!R92</f>
        <v>59000.809660562503</v>
      </c>
      <c r="G55" s="55">
        <f>-Balances!S92</f>
        <v>85254.074575703125</v>
      </c>
      <c r="H55" s="55">
        <f>-Balances!T92</f>
        <v>57518.931821124999</v>
      </c>
      <c r="I55" s="55">
        <f>-Balances!U92</f>
        <v>69196.244321125007</v>
      </c>
      <c r="J55" s="55">
        <f>-Balances!V92</f>
        <v>96463.806821125021</v>
      </c>
      <c r="K55" s="55">
        <f>-Balances!W92</f>
        <v>58764.306821124999</v>
      </c>
      <c r="L55" s="55">
        <f>-Balances!X92</f>
        <v>67105.244321125007</v>
      </c>
      <c r="M55" s="55">
        <f>-Balances!Y92</f>
        <v>86295.052795890631</v>
      </c>
      <c r="N55" s="55">
        <f>-Balances!Z92</f>
        <v>46851.393940374997</v>
      </c>
      <c r="O55" s="1"/>
      <c r="R55" s="19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 spans="1:39">
      <c r="A56" s="54" t="s">
        <v>78</v>
      </c>
      <c r="C56" s="55">
        <f>Balances!O98</f>
        <v>48333.333333333336</v>
      </c>
      <c r="D56" s="55">
        <f>Balances!P98</f>
        <v>48333.333333333336</v>
      </c>
      <c r="E56" s="55">
        <f>Balances!Q98</f>
        <v>48333.333333333336</v>
      </c>
      <c r="F56" s="55">
        <f>Balances!R98</f>
        <v>48333.333333333336</v>
      </c>
      <c r="G56" s="55">
        <f>Balances!S98</f>
        <v>48333.333333333336</v>
      </c>
      <c r="H56" s="55">
        <f>Balances!T98</f>
        <v>48333.333333333336</v>
      </c>
      <c r="I56" s="55">
        <f>Balances!U98</f>
        <v>48333.333333333336</v>
      </c>
      <c r="J56" s="55">
        <f>Balances!V98</f>
        <v>48333.333333333336</v>
      </c>
      <c r="K56" s="55">
        <f>Balances!W98</f>
        <v>48333.333333333336</v>
      </c>
      <c r="L56" s="55">
        <f>Balances!X98</f>
        <v>48333.333333333336</v>
      </c>
      <c r="M56" s="55">
        <f>Balances!Y98</f>
        <v>48333.333333333336</v>
      </c>
      <c r="N56" s="55">
        <f>Balances!Z98</f>
        <v>48333.333333333336</v>
      </c>
      <c r="O56" s="1"/>
      <c r="R56" s="19"/>
      <c r="S56" s="18"/>
      <c r="T56" s="18"/>
      <c r="U56" s="18"/>
      <c r="V56" s="18"/>
      <c r="W56" s="18"/>
      <c r="X56" s="18"/>
      <c r="Y56" s="18"/>
      <c r="Z56" s="18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</row>
    <row r="57" spans="1:39">
      <c r="A57" s="54" t="s">
        <v>25</v>
      </c>
      <c r="C57" s="55">
        <f>Balances!O104</f>
        <v>7000</v>
      </c>
      <c r="D57" s="55">
        <f>Balances!P104</f>
        <v>7250</v>
      </c>
      <c r="E57" s="55">
        <f>Balances!Q104</f>
        <v>7250</v>
      </c>
      <c r="F57" s="55">
        <f>Balances!R104</f>
        <v>7250</v>
      </c>
      <c r="G57" s="55">
        <f>Balances!S104</f>
        <v>7250</v>
      </c>
      <c r="H57" s="55">
        <f>Balances!T104</f>
        <v>7250</v>
      </c>
      <c r="I57" s="55">
        <f>Balances!U104</f>
        <v>7250</v>
      </c>
      <c r="J57" s="55">
        <f>Balances!V104</f>
        <v>7250</v>
      </c>
      <c r="K57" s="55">
        <f>Balances!W104</f>
        <v>7250</v>
      </c>
      <c r="L57" s="55">
        <f>Balances!X104</f>
        <v>7250</v>
      </c>
      <c r="M57" s="55">
        <f>Balances!Y104</f>
        <v>7250</v>
      </c>
      <c r="N57" s="55">
        <f>Balances!Z104</f>
        <v>7250</v>
      </c>
      <c r="O57" s="1"/>
      <c r="R57" s="19"/>
      <c r="S57" s="18"/>
      <c r="T57" s="18"/>
      <c r="U57" s="18"/>
      <c r="V57" s="18"/>
      <c r="W57" s="18"/>
      <c r="X57" s="18"/>
      <c r="Y57" s="18"/>
      <c r="Z57" s="18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</row>
    <row r="58" spans="1:39">
      <c r="A58" s="54" t="s">
        <v>424</v>
      </c>
      <c r="C58" s="55">
        <f>Balances!O127</f>
        <v>6250</v>
      </c>
      <c r="D58" s="55">
        <f>Balances!P127</f>
        <v>6250</v>
      </c>
      <c r="E58" s="55">
        <f>Balances!Q127</f>
        <v>6250</v>
      </c>
      <c r="F58" s="55">
        <f>Balances!R127</f>
        <v>6250</v>
      </c>
      <c r="G58" s="55">
        <f>Balances!S127</f>
        <v>6250</v>
      </c>
      <c r="H58" s="55">
        <f>Balances!T127</f>
        <v>6250</v>
      </c>
      <c r="I58" s="55">
        <f>Balances!U127</f>
        <v>6250</v>
      </c>
      <c r="J58" s="55">
        <f>Balances!V127</f>
        <v>6250</v>
      </c>
      <c r="K58" s="55">
        <f>Balances!W127</f>
        <v>6250</v>
      </c>
      <c r="L58" s="55">
        <f>Balances!X127</f>
        <v>6250</v>
      </c>
      <c r="M58" s="55">
        <f>Balances!Y127</f>
        <v>6250</v>
      </c>
      <c r="N58" s="55">
        <f>Balances!Z127</f>
        <v>6250</v>
      </c>
      <c r="O58" s="1"/>
      <c r="R58" s="19"/>
      <c r="S58" s="18"/>
      <c r="T58" s="18"/>
      <c r="U58" s="18"/>
      <c r="V58" s="18"/>
      <c r="W58" s="18"/>
      <c r="X58" s="18"/>
      <c r="Y58" s="18"/>
      <c r="Z58" s="18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</row>
    <row r="59" spans="1:39">
      <c r="A59" s="54" t="s">
        <v>60</v>
      </c>
      <c r="C59" s="55">
        <f>-Balances!O116</f>
        <v>0</v>
      </c>
      <c r="D59" s="55">
        <f>-Balances!P116</f>
        <v>0</v>
      </c>
      <c r="E59" s="55">
        <f>-Balances!Q116</f>
        <v>0</v>
      </c>
      <c r="F59" s="55">
        <f>-Balances!R116</f>
        <v>0</v>
      </c>
      <c r="G59" s="55">
        <f>-Balances!S116</f>
        <v>0</v>
      </c>
      <c r="H59" s="55">
        <f>-Balances!T116</f>
        <v>0</v>
      </c>
      <c r="I59" s="55">
        <f>-Balances!U116</f>
        <v>0</v>
      </c>
      <c r="J59" s="55">
        <f>-Balances!V116</f>
        <v>0</v>
      </c>
      <c r="K59" s="55">
        <f>-Balances!W116</f>
        <v>0</v>
      </c>
      <c r="L59" s="55">
        <f>-Balances!X116</f>
        <v>0</v>
      </c>
      <c r="M59" s="55">
        <f>-Balances!Y116</f>
        <v>0</v>
      </c>
      <c r="N59" s="55">
        <f>-Balances!Z116</f>
        <v>0</v>
      </c>
      <c r="O59" s="1"/>
      <c r="R59" s="19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 spans="1:39">
      <c r="A60" s="54" t="s">
        <v>173</v>
      </c>
      <c r="C60" s="55">
        <f>IF(Balances!O110&gt;0,Balances!O110,0)</f>
        <v>0</v>
      </c>
      <c r="D60" s="55">
        <f>IF(Balances!P110&gt;0,Balances!P110,0)</f>
        <v>0</v>
      </c>
      <c r="E60" s="55">
        <f>IF(Balances!Q110&gt;0,Balances!Q110,0)</f>
        <v>0</v>
      </c>
      <c r="F60" s="55">
        <f>IF(Balances!R110&gt;0,Balances!R110,0)</f>
        <v>0</v>
      </c>
      <c r="G60" s="55">
        <f>IF(Balances!S110&gt;0,Balances!S110,0)</f>
        <v>3207.3822725654791</v>
      </c>
      <c r="H60" s="55">
        <f>IF(Balances!T110&gt;0,Balances!T110,0)</f>
        <v>0</v>
      </c>
      <c r="I60" s="55">
        <f>IF(Balances!U110&gt;0,Balances!U110,0)</f>
        <v>24626.967211797622</v>
      </c>
      <c r="J60" s="55">
        <f>IF(Balances!V110&gt;0,Balances!V110,0)</f>
        <v>0</v>
      </c>
      <c r="K60" s="55">
        <f>IF(Balances!W110&gt;0,Balances!W110,0)</f>
        <v>24513.377711797628</v>
      </c>
      <c r="L60" s="55">
        <f>IF(Balances!X110&gt;0,Balances!X110,0)</f>
        <v>0</v>
      </c>
      <c r="M60" s="55">
        <f>IF(Balances!Y110&gt;0,Balances!Y110,0)</f>
        <v>15033.815461797629</v>
      </c>
      <c r="N60" s="55">
        <f>IF(Balances!Z110&gt;0,Balances!Z110,0)</f>
        <v>0</v>
      </c>
      <c r="O60" s="1"/>
      <c r="R60" s="19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 spans="1:39">
      <c r="A61" s="54" t="s">
        <v>79</v>
      </c>
      <c r="C61" s="55">
        <f>Loans!Q49</f>
        <v>388.88888888888874</v>
      </c>
      <c r="D61" s="55">
        <f>Loans!R49</f>
        <v>361.11111111111103</v>
      </c>
      <c r="E61" s="55">
        <f>Loans!S49</f>
        <v>333.3333333333332</v>
      </c>
      <c r="F61" s="55">
        <f>Loans!T49</f>
        <v>305.55555555555543</v>
      </c>
      <c r="G61" s="55">
        <f>Loans!U49</f>
        <v>277.77777777777766</v>
      </c>
      <c r="H61" s="55">
        <f>Loans!V49</f>
        <v>249.99999999999986</v>
      </c>
      <c r="I61" s="55">
        <f>Loans!W49</f>
        <v>222.22222222222209</v>
      </c>
      <c r="J61" s="55">
        <f>Loans!X49</f>
        <v>194.44444444444431</v>
      </c>
      <c r="K61" s="55">
        <f>Loans!Y49</f>
        <v>166.66666666666654</v>
      </c>
      <c r="L61" s="55">
        <f>Loans!Z49</f>
        <v>138.88888888888877</v>
      </c>
      <c r="M61" s="55">
        <f>Loans!AA49</f>
        <v>111.11111111111099</v>
      </c>
      <c r="N61" s="55">
        <f>Loans!AB49</f>
        <v>83.333333333333215</v>
      </c>
      <c r="O61" s="7"/>
      <c r="R61" s="62"/>
      <c r="S61" s="68"/>
      <c r="T61" s="68"/>
      <c r="U61" s="68"/>
      <c r="V61" s="68"/>
      <c r="W61" s="68"/>
      <c r="X61" s="68"/>
      <c r="Y61" s="68"/>
      <c r="Z61" s="6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</row>
    <row r="62" spans="1:39">
      <c r="A62" s="54" t="s">
        <v>106</v>
      </c>
      <c r="C62" s="85">
        <f>Loans!Q50</f>
        <v>4166.666666666667</v>
      </c>
      <c r="D62" s="85">
        <f>Loans!R50</f>
        <v>4166.666666666667</v>
      </c>
      <c r="E62" s="85">
        <f>Loans!S50</f>
        <v>4166.666666666667</v>
      </c>
      <c r="F62" s="85">
        <f>Loans!T50</f>
        <v>4166.666666666667</v>
      </c>
      <c r="G62" s="85">
        <f>Loans!U50</f>
        <v>4166.666666666667</v>
      </c>
      <c r="H62" s="85">
        <f>Loans!V50</f>
        <v>4166.666666666667</v>
      </c>
      <c r="I62" s="85">
        <f>Loans!W50</f>
        <v>4166.666666666667</v>
      </c>
      <c r="J62" s="85">
        <f>Loans!X50</f>
        <v>4166.666666666667</v>
      </c>
      <c r="K62" s="85">
        <f>Loans!Y50</f>
        <v>4166.666666666667</v>
      </c>
      <c r="L62" s="85">
        <f>Loans!Z50</f>
        <v>4166.666666666667</v>
      </c>
      <c r="M62" s="85">
        <f>Loans!AA50</f>
        <v>4166.666666666667</v>
      </c>
      <c r="N62" s="85">
        <f>Loans!AB50</f>
        <v>4166.666666666667</v>
      </c>
      <c r="O62" s="1"/>
      <c r="R62" s="19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 spans="1:39">
      <c r="A63" s="54" t="s">
        <v>161</v>
      </c>
      <c r="C63" s="55">
        <f>SUM(Loans!Q14,Loans!Q34,XLoan!R34)</f>
        <v>11249.898162906135</v>
      </c>
      <c r="D63" s="55">
        <f>SUM(Loans!R14,Loans!R34,XLoan!S34)</f>
        <v>11249.898162906135</v>
      </c>
      <c r="E63" s="55">
        <f>SUM(Loans!S14,Loans!S34,XLoan!T34)</f>
        <v>22499.796325812269</v>
      </c>
      <c r="F63" s="55">
        <f>SUM(Loans!T14,Loans!T34,XLoan!U34)</f>
        <v>22499.796325812269</v>
      </c>
      <c r="G63" s="55">
        <f>SUM(Loans!U14,Loans!U34,XLoan!V34)</f>
        <v>22499.796325812269</v>
      </c>
      <c r="H63" s="55">
        <f>SUM(Loans!V14,Loans!V34,XLoan!W34)</f>
        <v>22499.796325812269</v>
      </c>
      <c r="I63" s="55">
        <f>SUM(Loans!W14,Loans!W34,XLoan!X34)</f>
        <v>22499.796325812269</v>
      </c>
      <c r="J63" s="55">
        <f>SUM(Loans!X14,Loans!X34,XLoan!Y34)</f>
        <v>22499.796325812269</v>
      </c>
      <c r="K63" s="55">
        <f>SUM(Loans!Y14,Loans!Y34,XLoan!Z34)</f>
        <v>22499.796325812269</v>
      </c>
      <c r="L63" s="55">
        <f>SUM(Loans!Z14,Loans!Z34,XLoan!AA34)</f>
        <v>22499.796325812269</v>
      </c>
      <c r="M63" s="55">
        <f>SUM(Loans!AA14,Loans!AA34,XLoan!AB34)</f>
        <v>22499.796325812269</v>
      </c>
      <c r="N63" s="55">
        <f>SUM(Loans!AB14,Loans!AB34,XLoan!AC34)</f>
        <v>22499.796325812269</v>
      </c>
      <c r="O63" s="1"/>
      <c r="R63" s="19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 spans="1:39">
      <c r="A64" s="54" t="s">
        <v>80</v>
      </c>
      <c r="C64" s="81">
        <f>SUM(Leases!Q12,Leases!Q30,XLease!Q11)</f>
        <v>0</v>
      </c>
      <c r="D64" s="81">
        <f>SUM(Leases!R12,Leases!R30,XLease!R11)</f>
        <v>0</v>
      </c>
      <c r="E64" s="81">
        <f>SUM(Leases!S12,Leases!S30,XLease!S11)</f>
        <v>0</v>
      </c>
      <c r="F64" s="81">
        <f>SUM(Leases!T12,Leases!T30,XLease!T11)</f>
        <v>0</v>
      </c>
      <c r="G64" s="81">
        <f>SUM(Leases!U12,Leases!U30,XLease!U11)</f>
        <v>0</v>
      </c>
      <c r="H64" s="81">
        <f>SUM(Leases!V12,Leases!V30,XLease!V11)</f>
        <v>0</v>
      </c>
      <c r="I64" s="81">
        <f>SUM(Leases!W12,Leases!W30,XLease!W11)</f>
        <v>0</v>
      </c>
      <c r="J64" s="81">
        <f>SUM(Leases!X12,Leases!X30,XLease!X11)</f>
        <v>0</v>
      </c>
      <c r="K64" s="81">
        <f>SUM(Leases!Y12,Leases!Y30,XLease!Y11)</f>
        <v>0</v>
      </c>
      <c r="L64" s="81">
        <f>SUM(Leases!Z12,Leases!Z30,XLease!Z11)</f>
        <v>0</v>
      </c>
      <c r="M64" s="81">
        <f>SUM(Leases!AA12,Leases!AA30,XLease!AA11)</f>
        <v>0</v>
      </c>
      <c r="N64" s="81">
        <f>SUM(Leases!AB12,Leases!AB30,XLease!AB11)</f>
        <v>0</v>
      </c>
      <c r="O64" s="1"/>
      <c r="R64" s="19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 spans="1:39">
      <c r="A65" s="52" t="s">
        <v>81</v>
      </c>
      <c r="C65" s="59">
        <f t="shared" ref="C65:N65" si="9">SUM(C53:C64)</f>
        <v>248276.09496273476</v>
      </c>
      <c r="D65" s="59">
        <f t="shared" si="9"/>
        <v>217077.29932268694</v>
      </c>
      <c r="E65" s="59">
        <f t="shared" si="9"/>
        <v>175930.64584598935</v>
      </c>
      <c r="F65" s="59">
        <f t="shared" si="9"/>
        <v>225792.8091188946</v>
      </c>
      <c r="G65" s="59">
        <f t="shared" si="9"/>
        <v>752942.25316134526</v>
      </c>
      <c r="H65" s="59">
        <f t="shared" si="9"/>
        <v>298562.12302854448</v>
      </c>
      <c r="I65" s="59">
        <f t="shared" si="9"/>
        <v>336218.58756468486</v>
      </c>
      <c r="J65" s="59">
        <f t="shared" si="9"/>
        <v>342971.29288147105</v>
      </c>
      <c r="K65" s="59">
        <f t="shared" si="9"/>
        <v>328377.43021337042</v>
      </c>
      <c r="L65" s="59">
        <f t="shared" si="9"/>
        <v>307577.33688339317</v>
      </c>
      <c r="M65" s="59">
        <f t="shared" si="9"/>
        <v>309738.73408581712</v>
      </c>
      <c r="N65" s="59">
        <f t="shared" si="9"/>
        <v>189725.55965436436</v>
      </c>
      <c r="O65" s="7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 spans="1:39">
      <c r="A66" s="52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1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 spans="1:39" s="7" customFormat="1">
      <c r="A67" s="52" t="s">
        <v>102</v>
      </c>
      <c r="C67" s="61">
        <f t="shared" ref="C67:N67" si="10">C49-C65</f>
        <v>-113306.26316848627</v>
      </c>
      <c r="D67" s="61">
        <f t="shared" si="10"/>
        <v>-119917.429218178</v>
      </c>
      <c r="E67" s="61">
        <f t="shared" si="10"/>
        <v>269802.47047629784</v>
      </c>
      <c r="F67" s="61">
        <f t="shared" si="10"/>
        <v>1997.3195320875675</v>
      </c>
      <c r="G67" s="61">
        <f t="shared" si="10"/>
        <v>-420500.33501051937</v>
      </c>
      <c r="H67" s="61">
        <f t="shared" si="10"/>
        <v>60251.228593464475</v>
      </c>
      <c r="I67" s="61">
        <f t="shared" si="10"/>
        <v>70149.264411833021</v>
      </c>
      <c r="J67" s="61">
        <f t="shared" si="10"/>
        <v>76994.256123662868</v>
      </c>
      <c r="K67" s="61">
        <f t="shared" si="10"/>
        <v>55933.475299576006</v>
      </c>
      <c r="L67" s="61">
        <f t="shared" si="10"/>
        <v>58906.246883459506</v>
      </c>
      <c r="M67" s="61">
        <f t="shared" si="10"/>
        <v>-152463.88322967873</v>
      </c>
      <c r="N67" s="61">
        <f t="shared" si="10"/>
        <v>140104.70355456427</v>
      </c>
      <c r="O67" s="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</row>
    <row r="68" spans="1:39"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1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</row>
    <row r="69" spans="1:39"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1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</row>
    <row r="70" spans="1:39">
      <c r="A70" s="52" t="s">
        <v>82</v>
      </c>
      <c r="O70" s="1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</row>
    <row r="71" spans="1:39">
      <c r="A71" s="54" t="s">
        <v>35</v>
      </c>
      <c r="C71" s="61">
        <f>N36</f>
        <v>123822.45694178045</v>
      </c>
      <c r="D71" s="61">
        <f t="shared" ref="D71:N71" si="11">C74</f>
        <v>10516.193773294173</v>
      </c>
      <c r="E71" s="61">
        <f t="shared" si="11"/>
        <v>-109401.23544488383</v>
      </c>
      <c r="F71" s="61">
        <f t="shared" si="11"/>
        <v>159489.55806937334</v>
      </c>
      <c r="G71" s="61">
        <f t="shared" si="11"/>
        <v>161486.8776014609</v>
      </c>
      <c r="H71" s="61">
        <f t="shared" si="11"/>
        <v>-259013.45740905846</v>
      </c>
      <c r="I71" s="61">
        <f t="shared" si="11"/>
        <v>-200920.67429400282</v>
      </c>
      <c r="J71" s="61">
        <f t="shared" si="11"/>
        <v>-132445.74883461982</v>
      </c>
      <c r="K71" s="61">
        <f t="shared" si="11"/>
        <v>-56555.207284578784</v>
      </c>
      <c r="L71" s="61">
        <f t="shared" si="11"/>
        <v>-1093.0253790409345</v>
      </c>
      <c r="M71" s="61">
        <f t="shared" si="11"/>
        <v>57804.112959593229</v>
      </c>
      <c r="N71" s="61">
        <f t="shared" si="11"/>
        <v>-94659.770270085501</v>
      </c>
      <c r="O71" s="1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</row>
    <row r="72" spans="1:39">
      <c r="A72" s="54" t="s">
        <v>83</v>
      </c>
      <c r="C72" s="61">
        <f t="shared" ref="C72:N72" si="12">C67</f>
        <v>-113306.26316848627</v>
      </c>
      <c r="D72" s="61">
        <f t="shared" si="12"/>
        <v>-119917.429218178</v>
      </c>
      <c r="E72" s="61">
        <f t="shared" si="12"/>
        <v>269802.47047629784</v>
      </c>
      <c r="F72" s="61">
        <f t="shared" si="12"/>
        <v>1997.3195320875675</v>
      </c>
      <c r="G72" s="61">
        <f t="shared" si="12"/>
        <v>-420500.33501051937</v>
      </c>
      <c r="H72" s="61">
        <f t="shared" si="12"/>
        <v>60251.228593464475</v>
      </c>
      <c r="I72" s="61">
        <f t="shared" si="12"/>
        <v>70149.264411833021</v>
      </c>
      <c r="J72" s="61">
        <f t="shared" si="12"/>
        <v>76994.256123662868</v>
      </c>
      <c r="K72" s="61">
        <f t="shared" si="12"/>
        <v>55933.475299576006</v>
      </c>
      <c r="L72" s="61">
        <f t="shared" si="12"/>
        <v>58906.246883459506</v>
      </c>
      <c r="M72" s="61">
        <f t="shared" si="12"/>
        <v>-152463.88322967873</v>
      </c>
      <c r="N72" s="61">
        <f t="shared" si="12"/>
        <v>140104.70355456427</v>
      </c>
      <c r="O72" s="1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 spans="1:39">
      <c r="A73" s="54" t="s">
        <v>84</v>
      </c>
      <c r="C73" s="61">
        <f>(C71&lt;0)*C71*('IP1'!$F$134/12)</f>
        <v>0</v>
      </c>
      <c r="D73" s="61">
        <f>(D71&lt;0)*D71*('IP1'!$F$134/12)</f>
        <v>0</v>
      </c>
      <c r="E73" s="61">
        <f>(E71&lt;0)*E71*('IP1'!$F$134/12)</f>
        <v>-911.67696204069853</v>
      </c>
      <c r="F73" s="61">
        <f>(F71&lt;0)*F71*('IP1'!$F$134/12)</f>
        <v>0</v>
      </c>
      <c r="G73" s="61">
        <f>(G71&lt;0)*G71*('IP1'!$F$134/12)</f>
        <v>0</v>
      </c>
      <c r="H73" s="61">
        <f>(H71&lt;0)*H71*('IP1'!$F$134/12)</f>
        <v>-2158.4454784088207</v>
      </c>
      <c r="I73" s="61">
        <f>(I71&lt;0)*I71*('IP1'!$F$134/12)</f>
        <v>-1674.3389524500235</v>
      </c>
      <c r="J73" s="61">
        <f>(J71&lt;0)*J71*('IP1'!$F$134/12)</f>
        <v>-1103.7145736218317</v>
      </c>
      <c r="K73" s="61">
        <f>(K71&lt;0)*K71*('IP1'!$F$134/12)</f>
        <v>-471.29339403815652</v>
      </c>
      <c r="L73" s="61">
        <f>(L71&lt;0)*L71*('IP1'!$F$134/12)</f>
        <v>-9.1085448253411201</v>
      </c>
      <c r="M73" s="61">
        <f>(M71&lt;0)*M71*('IP1'!$F$134/12)</f>
        <v>0</v>
      </c>
      <c r="N73" s="61">
        <f>(N71&lt;0)*N71*('IP1'!$F$134/12)</f>
        <v>-788.83141891737921</v>
      </c>
      <c r="O73" s="1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</row>
    <row r="74" spans="1:39" ht="14.4" thickBot="1">
      <c r="A74" s="52" t="s">
        <v>37</v>
      </c>
      <c r="C74" s="82">
        <f t="shared" ref="C74:N74" si="13">SUM(C71:C73)</f>
        <v>10516.193773294173</v>
      </c>
      <c r="D74" s="82">
        <f t="shared" si="13"/>
        <v>-109401.23544488383</v>
      </c>
      <c r="E74" s="82">
        <f t="shared" si="13"/>
        <v>159489.55806937334</v>
      </c>
      <c r="F74" s="82">
        <f t="shared" si="13"/>
        <v>161486.8776014609</v>
      </c>
      <c r="G74" s="82">
        <f t="shared" si="13"/>
        <v>-259013.45740905846</v>
      </c>
      <c r="H74" s="82">
        <f t="shared" si="13"/>
        <v>-200920.67429400282</v>
      </c>
      <c r="I74" s="82">
        <f t="shared" si="13"/>
        <v>-132445.74883461982</v>
      </c>
      <c r="J74" s="82">
        <f t="shared" si="13"/>
        <v>-56555.207284578784</v>
      </c>
      <c r="K74" s="82">
        <f t="shared" si="13"/>
        <v>-1093.0253790409345</v>
      </c>
      <c r="L74" s="82">
        <f t="shared" si="13"/>
        <v>57804.112959593229</v>
      </c>
      <c r="M74" s="82">
        <f t="shared" si="13"/>
        <v>-94659.770270085501</v>
      </c>
      <c r="N74" s="82">
        <f t="shared" si="13"/>
        <v>44656.101865561395</v>
      </c>
      <c r="O74" s="1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</row>
    <row r="75" spans="1:39">
      <c r="A75" s="54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</row>
    <row r="76" spans="1:39" s="7" customFormat="1">
      <c r="A76" s="52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</row>
    <row r="77" spans="1:39"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</row>
    <row r="78" spans="1:39">
      <c r="A78" s="7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</row>
    <row r="79" spans="1:39"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 spans="1:39"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</row>
    <row r="81" spans="1:46"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 spans="1:46"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</row>
    <row r="83" spans="1:46">
      <c r="A83" s="7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</row>
    <row r="84" spans="1:46">
      <c r="A84" s="54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</row>
    <row r="85" spans="1:46">
      <c r="A85" s="54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6">
      <c r="A86" s="54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</row>
    <row r="87" spans="1:46">
      <c r="A87" s="54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</row>
    <row r="88" spans="1:46" s="7" customFormat="1">
      <c r="A88" s="52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</row>
    <row r="89" spans="1:46"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</row>
    <row r="90" spans="1:46">
      <c r="A90" s="7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</row>
    <row r="91" spans="1:46">
      <c r="A91" s="54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 spans="1:46">
      <c r="A92" s="54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 spans="1:46">
      <c r="A93" s="54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</row>
    <row r="94" spans="1:46">
      <c r="A94" s="54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</row>
    <row r="95" spans="1:46" s="7" customFormat="1">
      <c r="A95" s="52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</row>
    <row r="96" spans="1:46"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</row>
    <row r="97" spans="1:41">
      <c r="A97" s="52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</row>
    <row r="98" spans="1:41">
      <c r="A98" s="54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 spans="1:41">
      <c r="A99" s="54"/>
      <c r="F99" s="19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</row>
    <row r="100" spans="1:41">
      <c r="A100" s="54"/>
      <c r="F100" s="19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 spans="1:41" s="7" customFormat="1">
      <c r="A101" s="52"/>
      <c r="F101" s="22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</row>
    <row r="102" spans="1:41">
      <c r="A102" s="52"/>
      <c r="F102" s="19"/>
      <c r="G102" s="18"/>
      <c r="H102" s="18"/>
      <c r="I102" s="18"/>
      <c r="J102" s="18"/>
      <c r="K102" s="18"/>
      <c r="L102" s="18"/>
      <c r="M102" s="18"/>
      <c r="N102" s="18"/>
      <c r="O102" s="18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</row>
    <row r="103" spans="1:41">
      <c r="A103" s="52"/>
      <c r="F103" s="19"/>
      <c r="G103" s="18"/>
      <c r="H103" s="18"/>
      <c r="I103" s="18"/>
      <c r="J103" s="18"/>
      <c r="K103" s="18"/>
      <c r="L103" s="18"/>
      <c r="M103" s="18"/>
      <c r="N103" s="18"/>
      <c r="O103" s="18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</row>
    <row r="104" spans="1:41">
      <c r="A104" s="54"/>
      <c r="F104" s="19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 spans="1:41">
      <c r="A105" s="54"/>
      <c r="F105" s="19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 spans="1:41">
      <c r="A106" s="54"/>
      <c r="F106" s="19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 spans="1:41" s="7" customFormat="1">
      <c r="A107" s="52"/>
      <c r="F107" s="22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</row>
    <row r="108" spans="1:41">
      <c r="F108" s="19"/>
      <c r="G108" s="18"/>
      <c r="H108" s="18"/>
      <c r="I108" s="18"/>
      <c r="J108" s="18"/>
      <c r="K108" s="18"/>
      <c r="L108" s="18"/>
      <c r="M108" s="18"/>
      <c r="N108" s="18"/>
      <c r="O108" s="18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</row>
    <row r="109" spans="1:41">
      <c r="F109" s="19"/>
      <c r="G109" s="18"/>
      <c r="H109" s="18"/>
      <c r="I109" s="18"/>
      <c r="J109" s="18"/>
      <c r="K109" s="18"/>
      <c r="L109" s="18"/>
      <c r="M109" s="18"/>
      <c r="N109" s="18"/>
      <c r="O109" s="18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</row>
    <row r="110" spans="1:41">
      <c r="F110" s="19"/>
      <c r="G110" s="18"/>
      <c r="H110" s="18"/>
      <c r="I110" s="18"/>
      <c r="J110" s="18"/>
      <c r="K110" s="18"/>
      <c r="L110" s="18"/>
      <c r="M110" s="18"/>
      <c r="N110" s="18"/>
      <c r="O110" s="18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</row>
    <row r="111" spans="1:41">
      <c r="F111" s="19"/>
      <c r="G111" s="18"/>
      <c r="H111" s="18"/>
      <c r="I111" s="18"/>
      <c r="J111" s="18"/>
      <c r="K111" s="18"/>
      <c r="L111" s="18"/>
      <c r="M111" s="18"/>
      <c r="N111" s="18"/>
      <c r="O111" s="18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</row>
    <row r="112" spans="1:41">
      <c r="F112" s="19"/>
      <c r="G112" s="18"/>
      <c r="H112" s="18"/>
      <c r="I112" s="18"/>
      <c r="J112" s="18"/>
      <c r="K112" s="18"/>
      <c r="L112" s="18"/>
      <c r="M112" s="18"/>
      <c r="N112" s="18"/>
      <c r="O112" s="18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</row>
    <row r="113" spans="6:39">
      <c r="F113" s="19"/>
      <c r="G113" s="18"/>
      <c r="H113" s="18"/>
      <c r="I113" s="18"/>
      <c r="J113" s="18"/>
      <c r="K113" s="18"/>
      <c r="L113" s="18"/>
      <c r="M113" s="18"/>
      <c r="N113" s="18"/>
      <c r="O113" s="18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</row>
    <row r="114" spans="6:39">
      <c r="F114" s="19"/>
      <c r="G114" s="18"/>
      <c r="H114" s="18"/>
      <c r="I114" s="18"/>
      <c r="J114" s="18"/>
      <c r="K114" s="18"/>
      <c r="L114" s="18"/>
      <c r="M114" s="18"/>
      <c r="N114" s="18"/>
      <c r="O114" s="18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</row>
    <row r="115" spans="6:39">
      <c r="F115" s="19"/>
      <c r="G115" s="18"/>
      <c r="H115" s="18"/>
      <c r="I115" s="18"/>
      <c r="J115" s="18"/>
      <c r="K115" s="18"/>
      <c r="L115" s="18"/>
      <c r="M115" s="18"/>
      <c r="N115" s="18"/>
      <c r="O115" s="18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</row>
    <row r="116" spans="6:39">
      <c r="F116" s="19"/>
      <c r="G116" s="18"/>
      <c r="H116" s="18"/>
      <c r="I116" s="18"/>
      <c r="J116" s="18"/>
      <c r="K116" s="18"/>
      <c r="L116" s="18"/>
      <c r="M116" s="18"/>
      <c r="N116" s="18"/>
      <c r="O116" s="18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</row>
    <row r="117" spans="6:39">
      <c r="F117" s="19"/>
      <c r="G117" s="18"/>
      <c r="H117" s="18"/>
      <c r="I117" s="18"/>
      <c r="J117" s="18"/>
      <c r="K117" s="18"/>
      <c r="L117" s="18"/>
      <c r="M117" s="18"/>
      <c r="N117" s="18"/>
      <c r="O117" s="18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</row>
    <row r="118" spans="6:39">
      <c r="F118" s="19"/>
      <c r="G118" s="18"/>
      <c r="H118" s="18"/>
      <c r="I118" s="18"/>
      <c r="J118" s="18"/>
      <c r="K118" s="18"/>
      <c r="L118" s="18"/>
      <c r="M118" s="18"/>
      <c r="N118" s="18"/>
      <c r="O118" s="18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</row>
    <row r="119" spans="6:39">
      <c r="F119" s="19"/>
      <c r="G119" s="18"/>
      <c r="H119" s="18"/>
      <c r="I119" s="18"/>
      <c r="J119" s="18"/>
      <c r="K119" s="18"/>
      <c r="L119" s="18"/>
      <c r="M119" s="18"/>
      <c r="N119" s="18"/>
      <c r="O119" s="18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</row>
    <row r="120" spans="6:39">
      <c r="F120" s="19"/>
      <c r="G120" s="18"/>
      <c r="H120" s="18"/>
      <c r="I120" s="18"/>
      <c r="J120" s="18"/>
      <c r="K120" s="18"/>
      <c r="L120" s="18"/>
      <c r="M120" s="18"/>
      <c r="N120" s="18"/>
      <c r="O120" s="18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</row>
    <row r="121" spans="6:39">
      <c r="F121" s="19"/>
      <c r="G121" s="18"/>
      <c r="H121" s="18"/>
      <c r="I121" s="18"/>
      <c r="J121" s="18"/>
      <c r="K121" s="18"/>
      <c r="L121" s="18"/>
      <c r="M121" s="18"/>
      <c r="N121" s="18"/>
      <c r="O121" s="18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</row>
    <row r="122" spans="6:39">
      <c r="F122" s="19"/>
      <c r="G122" s="18"/>
      <c r="H122" s="18"/>
      <c r="I122" s="18"/>
      <c r="J122" s="18"/>
      <c r="K122" s="18"/>
      <c r="L122" s="18"/>
      <c r="M122" s="18"/>
      <c r="N122" s="18"/>
      <c r="O122" s="18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</row>
    <row r="123" spans="6:39">
      <c r="F123" s="19"/>
      <c r="G123" s="18"/>
      <c r="H123" s="18"/>
      <c r="I123" s="18"/>
      <c r="J123" s="18"/>
      <c r="K123" s="18"/>
      <c r="L123" s="18"/>
      <c r="M123" s="18"/>
      <c r="N123" s="18"/>
      <c r="O123" s="18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</row>
    <row r="124" spans="6:39">
      <c r="F124" s="19"/>
      <c r="G124" s="18"/>
      <c r="H124" s="18"/>
      <c r="I124" s="18"/>
      <c r="J124" s="18"/>
      <c r="K124" s="18"/>
      <c r="L124" s="18"/>
      <c r="M124" s="18"/>
      <c r="N124" s="18"/>
      <c r="O124" s="18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</row>
    <row r="125" spans="6:39">
      <c r="F125" s="19"/>
      <c r="G125" s="18"/>
      <c r="H125" s="18"/>
      <c r="I125" s="18"/>
      <c r="J125" s="18"/>
      <c r="K125" s="18"/>
      <c r="L125" s="18"/>
      <c r="M125" s="18"/>
      <c r="N125" s="18"/>
      <c r="O125" s="18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</row>
    <row r="126" spans="6:39"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</row>
    <row r="127" spans="6:39"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</row>
    <row r="128" spans="6:39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</row>
    <row r="129" spans="6:39"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</row>
    <row r="130" spans="6:39"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</row>
    <row r="131" spans="6:39"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</row>
    <row r="132" spans="6:39"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</row>
    <row r="133" spans="6:39"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</row>
    <row r="134" spans="6:39"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</row>
    <row r="135" spans="6:39"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</row>
    <row r="136" spans="6:39"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</row>
    <row r="137" spans="6:39"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</row>
    <row r="138" spans="6:39"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</row>
    <row r="139" spans="6:39"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</row>
    <row r="140" spans="6:39"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</row>
    <row r="141" spans="6:39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</row>
    <row r="142" spans="6:39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</row>
    <row r="143" spans="6:39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</row>
    <row r="144" spans="6:39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</row>
    <row r="145" spans="6:39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</row>
    <row r="146" spans="6:39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</row>
    <row r="147" spans="6:39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</row>
    <row r="148" spans="6:39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</row>
    <row r="149" spans="6:39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</row>
    <row r="150" spans="6:39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</row>
    <row r="151" spans="6:39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</row>
    <row r="152" spans="6:39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</row>
    <row r="153" spans="6:39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</row>
    <row r="154" spans="6:39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</row>
    <row r="155" spans="6:39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</row>
    <row r="156" spans="6:39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</row>
    <row r="157" spans="6:39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</row>
    <row r="158" spans="6:39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</row>
    <row r="159" spans="6:39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</row>
    <row r="160" spans="6:39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</row>
    <row r="161" spans="6:39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</row>
    <row r="162" spans="6:39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</row>
    <row r="163" spans="6:39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</row>
    <row r="164" spans="6:39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</row>
    <row r="165" spans="6:39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</row>
    <row r="166" spans="6:39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</row>
    <row r="167" spans="6:39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</row>
    <row r="168" spans="6:39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</row>
    <row r="169" spans="6:39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</row>
    <row r="170" spans="6:39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</row>
    <row r="171" spans="6:39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</row>
    <row r="172" spans="6:39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</row>
    <row r="173" spans="6:39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</row>
    <row r="174" spans="6:39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</row>
    <row r="175" spans="6:39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</row>
    <row r="176" spans="6:39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</row>
    <row r="177" spans="6:39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</row>
    <row r="178" spans="6:39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</row>
    <row r="179" spans="6:39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</row>
    <row r="180" spans="6:39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</row>
    <row r="181" spans="6:39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</row>
    <row r="182" spans="6:39"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</row>
    <row r="183" spans="6:39"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</row>
    <row r="184" spans="6:39"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</row>
    <row r="185" spans="6:39"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</row>
    <row r="186" spans="6:39"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</row>
    <row r="187" spans="6:39"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</row>
    <row r="188" spans="6:39"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</row>
    <row r="189" spans="6:39"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</row>
    <row r="190" spans="6:39"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</row>
    <row r="191" spans="6:39"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</row>
    <row r="192" spans="6:39"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</row>
    <row r="193" spans="6:39"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</row>
    <row r="194" spans="6:39"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</row>
    <row r="195" spans="6:39"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</row>
    <row r="196" spans="6:39"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</row>
    <row r="197" spans="6:39"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</row>
    <row r="198" spans="6:39"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</row>
    <row r="199" spans="6:39"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</row>
    <row r="200" spans="6:39"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</row>
    <row r="201" spans="6:39"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</row>
    <row r="202" spans="6:39"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</row>
    <row r="203" spans="6:39"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</row>
    <row r="204" spans="6:39"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</row>
    <row r="205" spans="6:39"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</row>
    <row r="206" spans="6:39"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</row>
    <row r="207" spans="6:39"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</row>
    <row r="208" spans="6:39"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</row>
    <row r="209" spans="6:39"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</row>
    <row r="210" spans="6:39"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</row>
    <row r="211" spans="6:39"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</row>
    <row r="212" spans="6:39"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</row>
    <row r="213" spans="6:39"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</row>
    <row r="214" spans="6:39"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</row>
    <row r="215" spans="6:39"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</row>
    <row r="216" spans="6:39"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</row>
    <row r="217" spans="6:39"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</row>
    <row r="218" spans="6:39"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</row>
    <row r="219" spans="6:39"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</row>
    <row r="220" spans="6:39"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</row>
    <row r="221" spans="6:39"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</row>
    <row r="222" spans="6:39"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</row>
    <row r="223" spans="6:39"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</row>
    <row r="224" spans="6:39"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</row>
    <row r="225" spans="6:39"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</row>
    <row r="226" spans="6:39"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</row>
    <row r="227" spans="6:39"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</row>
    <row r="228" spans="6:39"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</row>
    <row r="229" spans="6:39"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</row>
    <row r="230" spans="6:39"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</row>
    <row r="231" spans="6:39"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</row>
    <row r="232" spans="6:39"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</row>
    <row r="233" spans="6:39"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</row>
    <row r="234" spans="6:39"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</row>
    <row r="235" spans="6:39"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</row>
    <row r="236" spans="6:39"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</row>
    <row r="237" spans="6:39"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</row>
    <row r="238" spans="6:39"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</row>
    <row r="239" spans="6:39"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</row>
    <row r="240" spans="6:39"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</row>
    <row r="241" spans="6:39"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</row>
    <row r="242" spans="6:39"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</row>
    <row r="243" spans="6:39"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</row>
    <row r="244" spans="6:39"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</row>
    <row r="245" spans="6:39"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</row>
    <row r="246" spans="6:39"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</row>
    <row r="247" spans="6:39"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</row>
    <row r="248" spans="6:39"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</row>
    <row r="249" spans="6:39"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</row>
    <row r="250" spans="6:39"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</row>
    <row r="251" spans="6:39"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</row>
    <row r="252" spans="6:39"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</row>
    <row r="253" spans="6:39"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</row>
    <row r="254" spans="6:39"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</row>
    <row r="255" spans="6:39"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</row>
    <row r="256" spans="6:39"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</row>
    <row r="257" spans="6:39"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</row>
    <row r="258" spans="6:39"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</row>
    <row r="259" spans="6:39"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</row>
    <row r="260" spans="6:39"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</row>
    <row r="261" spans="6:39"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</row>
    <row r="262" spans="6:39"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</row>
    <row r="263" spans="6:39"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</row>
    <row r="264" spans="6:39"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</row>
    <row r="265" spans="6:39"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</row>
    <row r="266" spans="6:39"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</row>
    <row r="267" spans="6:39"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</row>
    <row r="268" spans="6:39"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</row>
    <row r="269" spans="6:39"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</row>
    <row r="270" spans="6:39"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</row>
    <row r="271" spans="6:39"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</row>
    <row r="272" spans="6:39"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</row>
    <row r="273" spans="6:39"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</row>
    <row r="274" spans="6:39"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</row>
    <row r="275" spans="6:39"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</row>
    <row r="276" spans="6:39"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</row>
    <row r="277" spans="6:39"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</row>
    <row r="278" spans="6:39"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</row>
    <row r="279" spans="6:39"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</row>
    <row r="280" spans="6:39"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</row>
    <row r="281" spans="6:39"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</row>
    <row r="282" spans="6:39"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</row>
    <row r="283" spans="6:39"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</row>
    <row r="284" spans="6:39"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</row>
    <row r="285" spans="6:39"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</row>
    <row r="286" spans="6:39"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</row>
    <row r="287" spans="6:39"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</row>
    <row r="288" spans="6:39"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</row>
    <row r="289" spans="6:39"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</row>
    <row r="290" spans="6:39"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</row>
    <row r="291" spans="6:39"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</row>
    <row r="292" spans="6:39"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</row>
    <row r="293" spans="6:39"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</row>
    <row r="294" spans="6:39"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</row>
    <row r="295" spans="6:39"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</row>
    <row r="296" spans="6:39"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</row>
    <row r="297" spans="6:39"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</row>
    <row r="298" spans="6:39"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</row>
    <row r="299" spans="6:39"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</row>
    <row r="300" spans="6:39"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</row>
    <row r="301" spans="6:39"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</row>
    <row r="302" spans="6:39"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</row>
    <row r="303" spans="6:39"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</row>
    <row r="304" spans="6:39"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</row>
    <row r="305" spans="6:39"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</row>
    <row r="306" spans="6:39"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</row>
    <row r="307" spans="6:39"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</row>
    <row r="308" spans="6:39"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</row>
    <row r="309" spans="6:39"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</row>
    <row r="310" spans="6:39"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</row>
    <row r="311" spans="6:39"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</row>
    <row r="312" spans="6:39"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</row>
    <row r="313" spans="6:39"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</row>
    <row r="314" spans="6:39"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</row>
    <row r="315" spans="6:39"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</row>
    <row r="316" spans="6:39"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</row>
    <row r="317" spans="6:39"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</row>
    <row r="318" spans="6:39"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</row>
    <row r="319" spans="6:39"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</row>
    <row r="320" spans="6:39"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</row>
    <row r="321" spans="6:39"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</row>
    <row r="322" spans="6:39"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</row>
    <row r="323" spans="6:39"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</row>
    <row r="324" spans="6:39"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</row>
    <row r="325" spans="6:39"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</row>
    <row r="326" spans="6:39"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</row>
    <row r="327" spans="6:39"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</row>
    <row r="328" spans="6:39"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</row>
    <row r="329" spans="6:39"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</row>
    <row r="330" spans="6:39"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</row>
    <row r="331" spans="6:39"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</row>
    <row r="332" spans="6:39"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</row>
    <row r="333" spans="6:39"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</row>
    <row r="334" spans="6:39"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</row>
    <row r="335" spans="6:39"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</row>
    <row r="336" spans="6:39"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</row>
    <row r="337" spans="6:39"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</row>
    <row r="338" spans="6:39"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</row>
    <row r="339" spans="6:39"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</row>
    <row r="340" spans="6:39"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</row>
    <row r="341" spans="6:39"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</row>
    <row r="342" spans="6:39"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</row>
    <row r="343" spans="6:39"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</row>
    <row r="344" spans="6:39"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</row>
    <row r="345" spans="6:39"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</row>
    <row r="346" spans="6:39"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</row>
    <row r="347" spans="6:39"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</row>
    <row r="348" spans="6:39"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</row>
    <row r="349" spans="6:39"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</row>
    <row r="350" spans="6:39"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</row>
    <row r="351" spans="6:39"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</row>
    <row r="352" spans="6:39"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</row>
    <row r="353" spans="6:39"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</row>
    <row r="354" spans="6:39"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</row>
    <row r="355" spans="6:39"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</row>
    <row r="356" spans="6:39"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</row>
    <row r="357" spans="6:39"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</row>
    <row r="358" spans="6:39"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</row>
    <row r="359" spans="6:39"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</row>
    <row r="360" spans="6:39"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</row>
    <row r="361" spans="6:39"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</row>
    <row r="362" spans="6:39"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</row>
    <row r="363" spans="6:39"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</row>
    <row r="364" spans="6:39"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</row>
    <row r="365" spans="6:39"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</row>
    <row r="366" spans="6:39"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</row>
    <row r="367" spans="6:39"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</row>
    <row r="368" spans="6:39"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</row>
    <row r="369" spans="6:39"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</row>
    <row r="370" spans="6:39"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</row>
    <row r="371" spans="6:39"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</row>
    <row r="372" spans="6:39"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</row>
    <row r="373" spans="6:39"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</row>
    <row r="374" spans="6:39"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</row>
    <row r="375" spans="6:39"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</row>
    <row r="376" spans="6:39"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</row>
    <row r="377" spans="6:39"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</row>
    <row r="378" spans="6:39"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</row>
    <row r="379" spans="6:39"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</row>
    <row r="380" spans="6:39"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</row>
    <row r="381" spans="6:39"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</row>
    <row r="382" spans="6:39"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</row>
    <row r="383" spans="6:39"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</row>
    <row r="384" spans="6:39"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</row>
    <row r="385" spans="6:39"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</row>
    <row r="386" spans="6:39"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</row>
    <row r="387" spans="6:39"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</row>
    <row r="388" spans="6:39"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</row>
    <row r="389" spans="6:39"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</row>
    <row r="390" spans="6:39"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</row>
    <row r="391" spans="6:39"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</row>
    <row r="392" spans="6:39"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</row>
    <row r="393" spans="6:39"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</row>
    <row r="394" spans="6:39"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</row>
    <row r="395" spans="6:39"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</row>
    <row r="396" spans="6:39"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</row>
    <row r="397" spans="6:39"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</row>
    <row r="398" spans="6:39"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</row>
    <row r="399" spans="6:39"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</row>
    <row r="400" spans="6:39"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</row>
    <row r="401" spans="6:39"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</row>
    <row r="402" spans="6:39"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</row>
    <row r="403" spans="6:39"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</row>
    <row r="404" spans="6:39"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</row>
    <row r="405" spans="6:39"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</row>
    <row r="406" spans="6:39"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</row>
    <row r="407" spans="6:39"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</row>
    <row r="408" spans="6:39"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</row>
    <row r="409" spans="6:39"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</row>
    <row r="410" spans="6:39"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</row>
    <row r="411" spans="6:39"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</row>
    <row r="412" spans="6:39"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</row>
    <row r="413" spans="6:39"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</row>
    <row r="414" spans="6:39"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</row>
    <row r="415" spans="6:39"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</row>
    <row r="416" spans="6:39"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</row>
    <row r="417" spans="6:39"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</row>
    <row r="418" spans="6:39"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</row>
    <row r="419" spans="6:39"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</row>
    <row r="420" spans="6:39"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</row>
    <row r="421" spans="6:39"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</row>
    <row r="422" spans="6:39"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</row>
    <row r="423" spans="6:39"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</row>
    <row r="424" spans="6:39"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</row>
    <row r="425" spans="6:39"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</row>
    <row r="426" spans="6:39"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</row>
    <row r="427" spans="6:39"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</row>
    <row r="428" spans="6:39"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</row>
    <row r="429" spans="6:39"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</row>
    <row r="430" spans="6:39"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</row>
    <row r="431" spans="6:39"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</row>
    <row r="432" spans="6:39"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</row>
    <row r="433" spans="6:39"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</row>
    <row r="434" spans="6:39"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</row>
  </sheetData>
  <sheetProtection selectLockedCells="1"/>
  <phoneticPr fontId="2" type="noConversion"/>
  <pageMargins left="0.74803149606299213" right="0.74803149606299213" top="0.98425196850393704" bottom="0.98425196850393704" header="0.51181102362204722" footer="0.51181102362204722"/>
  <pageSetup paperSize="9" scale="85" pageOrder="overThenDown" orientation="landscape" r:id="rId1"/>
  <headerFooter alignWithMargins="0">
    <oddFooter>&amp;A&amp;RPage &amp;P</oddFooter>
  </headerFooter>
  <rowBreaks count="1" manualBreakCount="1">
    <brk id="39" max="16383" man="1"/>
  </rowBreaks>
  <colBreaks count="1" manualBreakCount="1">
    <brk id="2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6">
    <tabColor rgb="FFFFFF00"/>
  </sheetPr>
  <dimension ref="A1:I25"/>
  <sheetViews>
    <sheetView showGridLines="0" showRowColHeaders="0" zoomScaleNormal="100" workbookViewId="0"/>
  </sheetViews>
  <sheetFormatPr defaultColWidth="9.109375" defaultRowHeight="13.8"/>
  <cols>
    <col min="1" max="1" width="19.44140625" style="1" customWidth="1"/>
    <col min="2" max="2" width="17.44140625" style="1" customWidth="1"/>
    <col min="3" max="4" width="10.6640625" style="1" customWidth="1"/>
    <col min="5" max="5" width="6.109375" style="1" customWidth="1"/>
    <col min="6" max="6" width="26.44140625" style="1" bestFit="1" customWidth="1"/>
    <col min="7" max="7" width="9.109375" style="1" customWidth="1"/>
    <col min="8" max="8" width="8.6640625" style="1" customWidth="1"/>
    <col min="9" max="9" width="33.88671875" style="1" customWidth="1"/>
    <col min="10" max="10" width="17.44140625" style="1" customWidth="1"/>
    <col min="11" max="12" width="10.6640625" style="1" customWidth="1"/>
    <col min="13" max="16384" width="9.109375" style="1"/>
  </cols>
  <sheetData>
    <row r="1" spans="1:9">
      <c r="A1" s="119" t="str">
        <f>'IP1'!$B$2</f>
        <v>XYZ Ltd</v>
      </c>
      <c r="B1" s="97" t="s">
        <v>166</v>
      </c>
      <c r="C1" s="110">
        <f>DATEVALUE(1&amp;"/"&amp;'IP1'!$B$3&amp;"/"&amp;('IP1'!$B$4+1))-1</f>
        <v>41639</v>
      </c>
      <c r="D1" s="110">
        <f>DATEVALUE(1&amp;"/"&amp;'IP1'!$B$3&amp;"/"&amp;('IP1'!$B$4+2))-1</f>
        <v>42004</v>
      </c>
      <c r="E1" s="119"/>
      <c r="F1" s="97" t="s">
        <v>70</v>
      </c>
      <c r="G1" s="110">
        <f>DATEVALUE(1&amp;"/"&amp;'IP1'!$B$3&amp;"/"&amp;('IP1'!$B$4+1))-1</f>
        <v>41639</v>
      </c>
      <c r="H1" s="110">
        <f>DATEVALUE(1&amp;"/"&amp;'IP1'!$B$3&amp;"/"&amp;('IP1'!$B$4+2))-1</f>
        <v>42004</v>
      </c>
      <c r="I1" s="119"/>
    </row>
    <row r="2" spans="1:9">
      <c r="A2" s="119"/>
      <c r="B2" s="97"/>
      <c r="C2" s="77" t="s">
        <v>165</v>
      </c>
      <c r="D2" s="77" t="s">
        <v>165</v>
      </c>
      <c r="E2" s="119"/>
      <c r="F2" s="97"/>
      <c r="G2" s="77" t="s">
        <v>165</v>
      </c>
      <c r="H2" s="77" t="s">
        <v>165</v>
      </c>
      <c r="I2" s="119"/>
    </row>
    <row r="3" spans="1:9" ht="15" customHeight="1">
      <c r="A3" s="119"/>
      <c r="B3" s="1" t="s">
        <v>29</v>
      </c>
      <c r="C3" s="96">
        <f>SUM('P&amp;L'!C4:N4)</f>
        <v>2739306.875</v>
      </c>
      <c r="D3" s="96">
        <f>SUM('P&amp;L'!C36:N36)</f>
        <v>2938237.5625000005</v>
      </c>
      <c r="E3" s="119"/>
      <c r="F3" s="1" t="s">
        <v>252</v>
      </c>
      <c r="G3" s="96">
        <f>Cash!C33</f>
        <v>-20000</v>
      </c>
      <c r="H3" s="96">
        <f>G12</f>
        <v>132626.23180760955</v>
      </c>
      <c r="I3" s="119"/>
    </row>
    <row r="4" spans="1:9" ht="15" customHeight="1">
      <c r="A4" s="119"/>
      <c r="B4" s="1" t="s">
        <v>9</v>
      </c>
      <c r="C4" s="96">
        <f>SUM('P&amp;L'!C5:N5)</f>
        <v>-1001572.4017857143</v>
      </c>
      <c r="D4" s="96">
        <f>SUM('P&amp;L'!C37:N37)</f>
        <v>-1056729.6419642856</v>
      </c>
      <c r="E4" s="119"/>
      <c r="I4" s="119"/>
    </row>
    <row r="5" spans="1:9" ht="15" customHeight="1">
      <c r="A5" s="119"/>
      <c r="B5" s="98" t="s">
        <v>5</v>
      </c>
      <c r="C5" s="113">
        <f>SUM(C3:C4)</f>
        <v>1737734.4732142857</v>
      </c>
      <c r="D5" s="113">
        <f>SUM(D3:D4)</f>
        <v>1881507.9205357148</v>
      </c>
      <c r="E5" s="119"/>
      <c r="F5" s="1" t="s">
        <v>71</v>
      </c>
      <c r="G5" s="96">
        <f>SUM(Cash!C12:N12)</f>
        <v>3377458.0753674111</v>
      </c>
      <c r="H5" s="96">
        <f>SUM(Cash!C49:N49)</f>
        <v>3661141.2209713794</v>
      </c>
      <c r="I5" s="119"/>
    </row>
    <row r="6" spans="1:9" ht="15" customHeight="1">
      <c r="A6" s="119"/>
      <c r="B6" s="1" t="s">
        <v>1</v>
      </c>
      <c r="C6" s="96">
        <f>-SUM('P&amp;L'!C14:N14)</f>
        <v>-1224346.5343750005</v>
      </c>
      <c r="D6" s="96">
        <f>-SUM('P&amp;L'!C46:N46)</f>
        <v>-1366091.1878125004</v>
      </c>
      <c r="E6" s="119"/>
      <c r="I6" s="119"/>
    </row>
    <row r="7" spans="1:9" ht="15" customHeight="1">
      <c r="A7" s="119"/>
      <c r="E7" s="119"/>
      <c r="I7" s="119"/>
    </row>
    <row r="8" spans="1:9" ht="15" customHeight="1">
      <c r="A8" s="119"/>
      <c r="B8" s="99" t="s">
        <v>7</v>
      </c>
      <c r="C8" s="114">
        <f>SUM(C5:C6)</f>
        <v>513387.93883928517</v>
      </c>
      <c r="D8" s="114">
        <f>SUM(D5:D6)</f>
        <v>515416.73272321443</v>
      </c>
      <c r="E8" s="119"/>
      <c r="F8" s="1" t="s">
        <v>74</v>
      </c>
      <c r="G8" s="96">
        <f>-SUM(Cash!C28:N28)</f>
        <v>-3224831.8435598016</v>
      </c>
      <c r="H8" s="96">
        <f>-SUM(Cash!C65:N65)</f>
        <v>-3733190.166723296</v>
      </c>
      <c r="I8" s="119"/>
    </row>
    <row r="9" spans="1:9" ht="15" customHeight="1">
      <c r="A9" s="119"/>
      <c r="B9" s="1" t="s">
        <v>0</v>
      </c>
      <c r="C9" s="96">
        <f>-SUM('P&amp;L'!C18:N18)</f>
        <v>-531340.17309438495</v>
      </c>
      <c r="D9" s="96">
        <f>-SUM('P&amp;L'!C50:N50)</f>
        <v>-564418.86527514772</v>
      </c>
      <c r="E9" s="119"/>
      <c r="I9" s="119"/>
    </row>
    <row r="10" spans="1:9" ht="15" customHeight="1">
      <c r="A10" s="119"/>
      <c r="B10" s="1" t="s">
        <v>164</v>
      </c>
      <c r="C10" s="96">
        <f>-SUM('P&amp;L'!C24:N24)</f>
        <v>-29348.00608793792</v>
      </c>
      <c r="D10" s="96">
        <f>-SUM('P&amp;L'!C56:N56)</f>
        <v>-28938.701376352037</v>
      </c>
      <c r="E10" s="119"/>
      <c r="I10" s="119"/>
    </row>
    <row r="11" spans="1:9" ht="15" customHeight="1">
      <c r="A11" s="119"/>
      <c r="B11" s="1" t="s">
        <v>6</v>
      </c>
      <c r="C11" s="96">
        <f>-SUM('P&amp;L'!C28:N28)</f>
        <v>0</v>
      </c>
      <c r="D11" s="96">
        <f>-SUM('P&amp;L'!C60:N60)</f>
        <v>0</v>
      </c>
      <c r="E11" s="119"/>
      <c r="I11" s="119"/>
    </row>
    <row r="12" spans="1:9" ht="15" customHeight="1">
      <c r="A12" s="119"/>
      <c r="B12" s="99" t="s">
        <v>253</v>
      </c>
      <c r="C12" s="112">
        <f>SUM(C8:C11)</f>
        <v>-47300.240343037702</v>
      </c>
      <c r="D12" s="112">
        <f>SUM(D8:D11)</f>
        <v>-77940.833928285327</v>
      </c>
      <c r="E12" s="119"/>
      <c r="F12" s="99" t="s">
        <v>37</v>
      </c>
      <c r="G12" s="112">
        <f>SUM(G3:G8)</f>
        <v>132626.23180760955</v>
      </c>
      <c r="H12" s="112">
        <f>SUM(H3:H8)</f>
        <v>60577.286055692937</v>
      </c>
      <c r="I12" s="119"/>
    </row>
    <row r="13" spans="1:9">
      <c r="A13" s="119"/>
      <c r="E13" s="119"/>
      <c r="I13" s="119"/>
    </row>
    <row r="14" spans="1:9">
      <c r="A14" s="119"/>
      <c r="B14" s="97" t="s">
        <v>45</v>
      </c>
      <c r="C14" s="110">
        <f>DATEVALUE(1&amp;"/"&amp;'IP1'!$B$3&amp;"/"&amp;('IP1'!$B$4+1))-1</f>
        <v>41639</v>
      </c>
      <c r="D14" s="110">
        <f>DATEVALUE(1&amp;"/"&amp;'IP1'!$B$3&amp;"/"&amp;('IP1'!$B$4+2))-1</f>
        <v>42004</v>
      </c>
      <c r="E14" s="119"/>
      <c r="F14" s="97" t="s">
        <v>291</v>
      </c>
      <c r="G14" s="110">
        <f>DATEVALUE(1&amp;"/"&amp;'IP1'!$B$3&amp;"/"&amp;('IP1'!$B$4+1))-1</f>
        <v>41639</v>
      </c>
      <c r="H14" s="110">
        <f>DATEVALUE(1&amp;"/"&amp;'IP1'!$B$3&amp;"/"&amp;('IP1'!$B$4+2))-1</f>
        <v>42004</v>
      </c>
      <c r="I14" s="119"/>
    </row>
    <row r="15" spans="1:9">
      <c r="A15" s="119"/>
      <c r="B15" s="97"/>
      <c r="C15" s="77" t="s">
        <v>165</v>
      </c>
      <c r="D15" s="77" t="s">
        <v>165</v>
      </c>
      <c r="E15" s="119"/>
      <c r="F15" s="46"/>
      <c r="G15" s="46"/>
      <c r="H15" s="46"/>
      <c r="I15" s="119"/>
    </row>
    <row r="16" spans="1:9" ht="25.5" customHeight="1">
      <c r="A16" s="119"/>
      <c r="B16" s="1" t="s">
        <v>33</v>
      </c>
      <c r="C16" s="115">
        <f>BS!N5</f>
        <v>7148659.8269056156</v>
      </c>
      <c r="D16" s="115">
        <f>BS!N48</f>
        <v>7059240.9616304673</v>
      </c>
      <c r="E16" s="119"/>
      <c r="F16" s="1" t="s">
        <v>213</v>
      </c>
      <c r="G16" s="106">
        <f>IFERROR(BS!N12/BS!N23,0)</f>
        <v>0.73477761281277199</v>
      </c>
      <c r="H16" s="106">
        <f>IFERROR(BS!N55/BS!N66,0)</f>
        <v>0.53206095443988166</v>
      </c>
      <c r="I16" s="119"/>
    </row>
    <row r="17" spans="1:9">
      <c r="A17" s="119"/>
      <c r="E17" s="119"/>
      <c r="F17" s="1" t="s">
        <v>214</v>
      </c>
      <c r="G17" s="106">
        <f>IFERROR((BS!N12-BS!N8)/BS!N23,0)</f>
        <v>0.73477761281277199</v>
      </c>
      <c r="H17" s="106">
        <f>IFERROR((BS!N55-BS!N51)/BS!N66,0)</f>
        <v>0.53206095443988166</v>
      </c>
      <c r="I17" s="119"/>
    </row>
    <row r="18" spans="1:9" ht="25.5" customHeight="1">
      <c r="A18" s="119"/>
      <c r="B18" s="1" t="s">
        <v>47</v>
      </c>
      <c r="C18" s="96">
        <f>BS!N12</f>
        <v>232567.71228859568</v>
      </c>
      <c r="D18" s="96">
        <f>BS!N55</f>
        <v>164518.56627018162</v>
      </c>
      <c r="E18" s="119"/>
      <c r="F18" s="1" t="s">
        <v>215</v>
      </c>
      <c r="G18" s="107">
        <f>IFERROR((BS!N8+BS!N9-SUM(BS!N14:N19))/SUM('P&amp;L'!C4:N4),0)</f>
        <v>-1.078304017049324E-2</v>
      </c>
      <c r="H18" s="107">
        <f>IFERROR((SUM(BS!N51:N52)-SUM(BS!N57:N62))/SUM('P&amp;L'!C36:N36),0)</f>
        <v>-1.4215751102696888E-2</v>
      </c>
      <c r="I18" s="119"/>
    </row>
    <row r="19" spans="1:9">
      <c r="A19" s="119"/>
      <c r="B19" s="1" t="s">
        <v>56</v>
      </c>
      <c r="C19" s="96">
        <f>-BS!N23</f>
        <v>-316514.42318487738</v>
      </c>
      <c r="D19" s="96">
        <f>-BS!N66</f>
        <v>-309209.99727066199</v>
      </c>
      <c r="E19" s="119"/>
      <c r="F19" s="1" t="s">
        <v>216</v>
      </c>
      <c r="G19" s="106">
        <f>IFERROR(BS!N9/SUM(BS!N14:N19),0)</f>
        <v>0.78541045895739892</v>
      </c>
      <c r="H19" s="106">
        <f>IFERROR(BS!N52/SUM(BS!N57:N62),0)</f>
        <v>0.74157761660145993</v>
      </c>
      <c r="I19" s="119"/>
    </row>
    <row r="20" spans="1:9">
      <c r="A20" s="119"/>
      <c r="E20" s="119"/>
      <c r="G20" s="106"/>
      <c r="H20" s="106"/>
      <c r="I20" s="119"/>
    </row>
    <row r="21" spans="1:9">
      <c r="A21" s="119"/>
      <c r="B21" s="99" t="s">
        <v>169</v>
      </c>
      <c r="C21" s="116">
        <f>SUM(C18:C19)</f>
        <v>-83946.7108962817</v>
      </c>
      <c r="D21" s="116">
        <f>SUM(D18:D19)</f>
        <v>-144691.43100048037</v>
      </c>
      <c r="E21" s="119"/>
      <c r="F21" s="1" t="s">
        <v>217</v>
      </c>
      <c r="I21" s="119"/>
    </row>
    <row r="22" spans="1:9">
      <c r="A22" s="119"/>
      <c r="B22" s="1" t="s">
        <v>168</v>
      </c>
      <c r="C22" s="96">
        <f>-BS!N31</f>
        <v>-19513.356352370516</v>
      </c>
      <c r="D22" s="96">
        <f>-BS!N74</f>
        <v>-22290.604901310144</v>
      </c>
      <c r="E22" s="119"/>
      <c r="F22" s="1" t="s">
        <v>7</v>
      </c>
      <c r="G22" s="107">
        <f>IFERROR(SUM('P&amp;L'!C16:N16)/SUM('P&amp;L'!$C$3:$N$4),0)</f>
        <v>0.1586192812118549</v>
      </c>
      <c r="H22" s="107">
        <f>IFERROR(SUM('P&amp;L'!C48:N48)/SUM('P&amp;L'!$C$36:$N$36),0)</f>
        <v>0.17541697080636051</v>
      </c>
      <c r="I22" s="119"/>
    </row>
    <row r="23" spans="1:9">
      <c r="A23" s="119"/>
      <c r="E23" s="119"/>
      <c r="F23" s="1" t="s">
        <v>11</v>
      </c>
      <c r="G23" s="107">
        <f>IFERROR(SUM('P&amp;L'!C19:N19)/SUM('P&amp;L'!$C$3:$N$4),0)</f>
        <v>-5.5466252287281826E-3</v>
      </c>
      <c r="H23" s="107">
        <f>IFERROR(SUM('P&amp;L'!C51:N51)/SUM('P&amp;L'!$C$36:$N$36),0)</f>
        <v>-1.6677389594815403E-2</v>
      </c>
      <c r="I23" s="119"/>
    </row>
    <row r="24" spans="1:9">
      <c r="A24" s="119"/>
      <c r="E24" s="119"/>
      <c r="F24" s="1" t="s">
        <v>13</v>
      </c>
      <c r="G24" s="107">
        <f>IFERROR(SUM('P&amp;L'!C26:N26)/SUM('P&amp;L'!$C$3:$N$4),0)</f>
        <v>-1.4614153463214296E-2</v>
      </c>
      <c r="H24" s="107">
        <f>IFERROR(SUM('P&amp;L'!C58:N58)/SUM('P&amp;L'!$C$36:$N$36),0)</f>
        <v>-2.6526389466605741E-2</v>
      </c>
      <c r="I24" s="119"/>
    </row>
    <row r="25" spans="1:9">
      <c r="A25" s="119"/>
      <c r="B25" s="99" t="s">
        <v>167</v>
      </c>
      <c r="C25" s="112">
        <f>SUM(C16,C21:C22)</f>
        <v>7045199.7596569639</v>
      </c>
      <c r="D25" s="112">
        <f>SUM(D16,D21:D22)</f>
        <v>6892258.9257286768</v>
      </c>
      <c r="E25" s="119"/>
      <c r="F25" s="1" t="s">
        <v>14</v>
      </c>
      <c r="G25" s="107">
        <f>IFERROR(SUM('P&amp;L'!C29:N29)/SUM('P&amp;L'!$C$3:$N$4),0)</f>
        <v>-1.4614153463214296E-2</v>
      </c>
      <c r="H25" s="107">
        <f>IFERROR(SUM('P&amp;L'!C61:N61)/SUM('P&amp;L'!$C$36:$N$36),0)</f>
        <v>-2.6526389466605741E-2</v>
      </c>
      <c r="I25" s="119"/>
    </row>
  </sheetData>
  <sheetProtection selectLockedCells="1"/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7">
    <tabColor rgb="FFFFFF00"/>
  </sheetPr>
  <dimension ref="A1:AR42"/>
  <sheetViews>
    <sheetView showGridLines="0" showRowColHeaders="0" topLeftCell="B1" zoomScaleNormal="100" workbookViewId="0">
      <selection activeCell="B1" sqref="B1"/>
    </sheetView>
  </sheetViews>
  <sheetFormatPr defaultColWidth="9.109375" defaultRowHeight="13.8"/>
  <cols>
    <col min="1" max="2" width="9.109375" style="1"/>
    <col min="3" max="3" width="26.33203125" style="1" bestFit="1" customWidth="1"/>
    <col min="4" max="16384" width="9.109375" style="1"/>
  </cols>
  <sheetData>
    <row r="1" spans="1:20">
      <c r="A1" s="119"/>
      <c r="B1" s="119"/>
      <c r="C1" s="119" t="s">
        <v>371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</row>
    <row r="2" spans="1:20">
      <c r="A2" s="119"/>
      <c r="B2" s="119"/>
      <c r="C2" s="119" t="str">
        <f>'IP1'!$B$2</f>
        <v>XYZ Ltd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</row>
    <row r="3" spans="1:20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</row>
    <row r="4" spans="1:20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</row>
    <row r="5" spans="1:20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</row>
    <row r="6" spans="1:20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</row>
    <row r="7" spans="1:20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</row>
    <row r="8" spans="1:20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</row>
    <row r="9" spans="1:20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</row>
    <row r="10" spans="1:20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</row>
    <row r="11" spans="1:20">
      <c r="A11" s="119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</row>
    <row r="12" spans="1:20">
      <c r="A12" s="119"/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</row>
    <row r="13" spans="1:20">
      <c r="A13" s="119"/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</row>
    <row r="14" spans="1:20">
      <c r="A14" s="119"/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</row>
    <row r="15" spans="1:20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</row>
    <row r="16" spans="1:20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</row>
    <row r="17" spans="1:20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</row>
    <row r="18" spans="1:20">
      <c r="A18" s="119"/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</row>
    <row r="19" spans="1:20">
      <c r="A19" s="119"/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</row>
    <row r="20" spans="1:20">
      <c r="A20" s="119"/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</row>
    <row r="21" spans="1:20">
      <c r="A21" s="119"/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</row>
    <row r="22" spans="1:20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</row>
    <row r="23" spans="1:20">
      <c r="A23" s="119"/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</row>
    <row r="24" spans="1:20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</row>
    <row r="25" spans="1:20">
      <c r="A25" s="119"/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</row>
    <row r="26" spans="1:20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</row>
    <row r="27" spans="1:20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</row>
    <row r="28" spans="1:20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</row>
    <row r="29" spans="1:20">
      <c r="A29" s="119"/>
      <c r="B29" s="119"/>
      <c r="C29" s="119" t="str">
        <f t="shared" ref="C29:O31" si="0">T39</f>
        <v>Date</v>
      </c>
      <c r="D29" s="46">
        <f t="shared" si="0"/>
        <v>41275</v>
      </c>
      <c r="E29" s="46">
        <f t="shared" si="0"/>
        <v>41306</v>
      </c>
      <c r="F29" s="46">
        <f t="shared" si="0"/>
        <v>41334</v>
      </c>
      <c r="G29" s="46">
        <f t="shared" si="0"/>
        <v>41365</v>
      </c>
      <c r="H29" s="46">
        <f t="shared" si="0"/>
        <v>41395</v>
      </c>
      <c r="I29" s="46">
        <f t="shared" si="0"/>
        <v>41426</v>
      </c>
      <c r="J29" s="46">
        <f t="shared" si="0"/>
        <v>41456</v>
      </c>
      <c r="K29" s="46">
        <f t="shared" si="0"/>
        <v>41487</v>
      </c>
      <c r="L29" s="46">
        <f t="shared" si="0"/>
        <v>41518</v>
      </c>
      <c r="M29" s="46">
        <f t="shared" si="0"/>
        <v>41548</v>
      </c>
      <c r="N29" s="46">
        <f t="shared" si="0"/>
        <v>41579</v>
      </c>
      <c r="O29" s="46">
        <f t="shared" si="0"/>
        <v>41609</v>
      </c>
      <c r="P29" s="119"/>
      <c r="Q29" s="119"/>
      <c r="R29" s="119"/>
      <c r="S29" s="119"/>
      <c r="T29" s="119"/>
    </row>
    <row r="30" spans="1:20">
      <c r="A30" s="119"/>
      <c r="B30" s="119"/>
      <c r="C30" s="119" t="str">
        <f t="shared" si="0"/>
        <v>In</v>
      </c>
      <c r="D30" s="124">
        <f t="shared" si="0"/>
        <v>179726.62875223215</v>
      </c>
      <c r="E30" s="124">
        <f t="shared" si="0"/>
        <v>323171.95450267859</v>
      </c>
      <c r="F30" s="124">
        <f t="shared" si="0"/>
        <v>164051.33461877974</v>
      </c>
      <c r="G30" s="124">
        <f t="shared" si="0"/>
        <v>206252.30839821429</v>
      </c>
      <c r="H30" s="124">
        <f t="shared" si="0"/>
        <v>308548.1729093155</v>
      </c>
      <c r="I30" s="124">
        <f t="shared" si="0"/>
        <v>325232.52043660713</v>
      </c>
      <c r="J30" s="124">
        <f t="shared" si="0"/>
        <v>367064.90146607143</v>
      </c>
      <c r="K30" s="124">
        <f t="shared" si="0"/>
        <v>379251.37490625004</v>
      </c>
      <c r="L30" s="124">
        <f t="shared" si="0"/>
        <v>348123.17193750001</v>
      </c>
      <c r="M30" s="124">
        <f t="shared" si="0"/>
        <v>332559.07045312505</v>
      </c>
      <c r="N30" s="124">
        <f t="shared" si="0"/>
        <v>146068.02123663694</v>
      </c>
      <c r="O30" s="124">
        <f t="shared" si="0"/>
        <v>297408.61575</v>
      </c>
      <c r="P30" s="119"/>
      <c r="Q30" s="119"/>
      <c r="R30" s="119"/>
      <c r="S30" s="119"/>
      <c r="T30" s="119"/>
    </row>
    <row r="31" spans="1:20">
      <c r="A31" s="119"/>
      <c r="B31" s="119"/>
      <c r="C31" s="119" t="str">
        <f t="shared" si="0"/>
        <v>Out</v>
      </c>
      <c r="D31" s="124">
        <f t="shared" si="0"/>
        <v>-93057.5327762128</v>
      </c>
      <c r="E31" s="124">
        <f t="shared" si="0"/>
        <v>-213171.90426775732</v>
      </c>
      <c r="F31" s="124">
        <f t="shared" si="0"/>
        <v>-626024.61287821853</v>
      </c>
      <c r="G31" s="124">
        <f t="shared" si="0"/>
        <v>-196132.44287378906</v>
      </c>
      <c r="H31" s="124">
        <f t="shared" si="0"/>
        <v>-238070.87036661396</v>
      </c>
      <c r="I31" s="124">
        <f t="shared" si="0"/>
        <v>-267366.24592296564</v>
      </c>
      <c r="J31" s="124">
        <f t="shared" si="0"/>
        <v>-280461.0602243992</v>
      </c>
      <c r="K31" s="124">
        <f t="shared" si="0"/>
        <v>-343038.76119330298</v>
      </c>
      <c r="L31" s="124">
        <f t="shared" si="0"/>
        <v>-272340.99173357576</v>
      </c>
      <c r="M31" s="124">
        <f t="shared" si="0"/>
        <v>-273867.95182636345</v>
      </c>
      <c r="N31" s="124">
        <f t="shared" si="0"/>
        <v>-257432.8997471348</v>
      </c>
      <c r="O31" s="124">
        <f t="shared" si="0"/>
        <v>-163866.56974946862</v>
      </c>
      <c r="P31" s="119"/>
      <c r="Q31" s="119"/>
      <c r="R31" s="119"/>
      <c r="S31" s="119"/>
      <c r="T31" s="119"/>
    </row>
    <row r="32" spans="1:20">
      <c r="A32" s="119"/>
      <c r="B32" s="119"/>
      <c r="C32" s="119" t="s">
        <v>261</v>
      </c>
      <c r="D32" s="124">
        <f>SUM(D30:D31)</f>
        <v>86669.095976019351</v>
      </c>
      <c r="E32" s="124">
        <f t="shared" ref="E32:O32" si="1">SUM(E30:E31)</f>
        <v>110000.05023492128</v>
      </c>
      <c r="F32" s="124">
        <f t="shared" si="1"/>
        <v>-461973.27825943881</v>
      </c>
      <c r="G32" s="124">
        <f t="shared" si="1"/>
        <v>10119.86552442523</v>
      </c>
      <c r="H32" s="124">
        <f t="shared" si="1"/>
        <v>70477.302542701538</v>
      </c>
      <c r="I32" s="124">
        <f t="shared" si="1"/>
        <v>57866.274513641489</v>
      </c>
      <c r="J32" s="124">
        <f t="shared" si="1"/>
        <v>86603.841241672228</v>
      </c>
      <c r="K32" s="124">
        <f t="shared" si="1"/>
        <v>36212.613712947059</v>
      </c>
      <c r="L32" s="124">
        <f t="shared" si="1"/>
        <v>75782.180203924247</v>
      </c>
      <c r="M32" s="124">
        <f t="shared" si="1"/>
        <v>58691.118626761599</v>
      </c>
      <c r="N32" s="124">
        <f t="shared" si="1"/>
        <v>-111364.87851049786</v>
      </c>
      <c r="O32" s="124">
        <f t="shared" si="1"/>
        <v>133542.04600053138</v>
      </c>
      <c r="P32" s="119"/>
      <c r="Q32" s="119"/>
      <c r="R32" s="119"/>
      <c r="S32" s="119"/>
      <c r="T32" s="119"/>
    </row>
    <row r="33" spans="1:44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</row>
    <row r="34" spans="1:44">
      <c r="A34" s="119"/>
      <c r="B34" s="119"/>
      <c r="C34" s="119" t="str">
        <f>T39</f>
        <v>Date</v>
      </c>
      <c r="D34" s="46">
        <f t="shared" ref="D34:O36" si="2">AG39</f>
        <v>41640</v>
      </c>
      <c r="E34" s="46">
        <f t="shared" si="2"/>
        <v>41671</v>
      </c>
      <c r="F34" s="46">
        <f t="shared" si="2"/>
        <v>41699</v>
      </c>
      <c r="G34" s="46">
        <f t="shared" si="2"/>
        <v>41730</v>
      </c>
      <c r="H34" s="46">
        <f t="shared" si="2"/>
        <v>41760</v>
      </c>
      <c r="I34" s="46">
        <f t="shared" si="2"/>
        <v>41791</v>
      </c>
      <c r="J34" s="46">
        <f t="shared" si="2"/>
        <v>41821</v>
      </c>
      <c r="K34" s="46">
        <f t="shared" si="2"/>
        <v>41852</v>
      </c>
      <c r="L34" s="46">
        <f t="shared" si="2"/>
        <v>41883</v>
      </c>
      <c r="M34" s="46">
        <f t="shared" si="2"/>
        <v>41913</v>
      </c>
      <c r="N34" s="46">
        <f t="shared" si="2"/>
        <v>41944</v>
      </c>
      <c r="O34" s="46">
        <f t="shared" si="2"/>
        <v>41974</v>
      </c>
      <c r="P34" s="119"/>
      <c r="Q34" s="119"/>
      <c r="R34" s="119"/>
      <c r="S34" s="119"/>
      <c r="T34" s="119"/>
    </row>
    <row r="35" spans="1:44">
      <c r="A35" s="119"/>
      <c r="B35" s="119"/>
      <c r="C35" s="119" t="str">
        <f>T40</f>
        <v>In</v>
      </c>
      <c r="D35" s="124">
        <f t="shared" si="2"/>
        <v>134969.83179424849</v>
      </c>
      <c r="E35" s="124">
        <f t="shared" si="2"/>
        <v>97159.87010450894</v>
      </c>
      <c r="F35" s="124">
        <f t="shared" si="2"/>
        <v>445733.11632228718</v>
      </c>
      <c r="G35" s="124">
        <f t="shared" si="2"/>
        <v>227790.12865098217</v>
      </c>
      <c r="H35" s="124">
        <f t="shared" si="2"/>
        <v>332441.91815082589</v>
      </c>
      <c r="I35" s="124">
        <f t="shared" si="2"/>
        <v>358813.35162200895</v>
      </c>
      <c r="J35" s="124">
        <f t="shared" si="2"/>
        <v>406367.85197651788</v>
      </c>
      <c r="K35" s="124">
        <f t="shared" si="2"/>
        <v>419965.54900513391</v>
      </c>
      <c r="L35" s="124">
        <f t="shared" si="2"/>
        <v>384310.90551294643</v>
      </c>
      <c r="M35" s="124">
        <f t="shared" si="2"/>
        <v>366483.58376685268</v>
      </c>
      <c r="N35" s="124">
        <f t="shared" si="2"/>
        <v>157274.85085613839</v>
      </c>
      <c r="O35" s="124">
        <f t="shared" si="2"/>
        <v>329830.26320892863</v>
      </c>
      <c r="P35" s="119"/>
      <c r="Q35" s="119"/>
      <c r="R35" s="119"/>
      <c r="S35" s="119"/>
      <c r="T35" s="119"/>
    </row>
    <row r="36" spans="1:44">
      <c r="A36" s="119"/>
      <c r="B36" s="119"/>
      <c r="C36" s="119" t="str">
        <f>T41</f>
        <v>Out</v>
      </c>
      <c r="D36" s="124">
        <f t="shared" si="2"/>
        <v>-248276.09496273476</v>
      </c>
      <c r="E36" s="124">
        <f t="shared" si="2"/>
        <v>-217077.29932268694</v>
      </c>
      <c r="F36" s="124">
        <f t="shared" si="2"/>
        <v>-175930.64584598935</v>
      </c>
      <c r="G36" s="124">
        <f t="shared" si="2"/>
        <v>-225792.8091188946</v>
      </c>
      <c r="H36" s="124">
        <f t="shared" si="2"/>
        <v>-752942.25316134526</v>
      </c>
      <c r="I36" s="124">
        <f t="shared" si="2"/>
        <v>-298562.12302854448</v>
      </c>
      <c r="J36" s="124">
        <f t="shared" si="2"/>
        <v>-336218.58756468486</v>
      </c>
      <c r="K36" s="124">
        <f t="shared" si="2"/>
        <v>-342971.29288147105</v>
      </c>
      <c r="L36" s="124">
        <f t="shared" si="2"/>
        <v>-328377.43021337042</v>
      </c>
      <c r="M36" s="124">
        <f t="shared" si="2"/>
        <v>-307577.33688339317</v>
      </c>
      <c r="N36" s="124">
        <f t="shared" si="2"/>
        <v>-309738.73408581712</v>
      </c>
      <c r="O36" s="124">
        <f t="shared" si="2"/>
        <v>-189725.55965436436</v>
      </c>
      <c r="P36" s="119"/>
      <c r="Q36" s="119"/>
      <c r="R36" s="119"/>
      <c r="S36" s="119"/>
      <c r="T36" s="119"/>
    </row>
    <row r="37" spans="1:44">
      <c r="A37" s="119"/>
      <c r="B37" s="119"/>
      <c r="C37" s="119" t="str">
        <f>T42</f>
        <v>Cum</v>
      </c>
      <c r="D37" s="124">
        <f t="shared" ref="D37:O37" si="3">SUM(D35:D36)</f>
        <v>-113306.26316848627</v>
      </c>
      <c r="E37" s="124">
        <f t="shared" si="3"/>
        <v>-119917.429218178</v>
      </c>
      <c r="F37" s="124">
        <f t="shared" si="3"/>
        <v>269802.47047629784</v>
      </c>
      <c r="G37" s="124">
        <f t="shared" si="3"/>
        <v>1997.3195320875675</v>
      </c>
      <c r="H37" s="124">
        <f t="shared" si="3"/>
        <v>-420500.33501051937</v>
      </c>
      <c r="I37" s="124">
        <f t="shared" si="3"/>
        <v>60251.228593464475</v>
      </c>
      <c r="J37" s="124">
        <f t="shared" si="3"/>
        <v>70149.264411833021</v>
      </c>
      <c r="K37" s="124">
        <f t="shared" si="3"/>
        <v>76994.256123662868</v>
      </c>
      <c r="L37" s="124">
        <f t="shared" si="3"/>
        <v>55933.475299576006</v>
      </c>
      <c r="M37" s="124">
        <f t="shared" si="3"/>
        <v>58906.246883459506</v>
      </c>
      <c r="N37" s="124">
        <f t="shared" si="3"/>
        <v>-152463.88322967873</v>
      </c>
      <c r="O37" s="124">
        <f t="shared" si="3"/>
        <v>140104.70355456427</v>
      </c>
      <c r="P37" s="119"/>
      <c r="Q37" s="119"/>
      <c r="R37" s="119"/>
      <c r="S37" s="119"/>
      <c r="T37" s="119"/>
    </row>
    <row r="38" spans="1:44">
      <c r="A38" s="119"/>
      <c r="B38" s="119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</row>
    <row r="39" spans="1:44">
      <c r="A39" s="119"/>
      <c r="B39" s="119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T39" s="1" t="s">
        <v>221</v>
      </c>
      <c r="U39" s="46">
        <f>Cash!C3</f>
        <v>41275</v>
      </c>
      <c r="V39" s="46">
        <f>Cash!D3</f>
        <v>41306</v>
      </c>
      <c r="W39" s="46">
        <f>Cash!E3</f>
        <v>41334</v>
      </c>
      <c r="X39" s="46">
        <f>Cash!F3</f>
        <v>41365</v>
      </c>
      <c r="Y39" s="46">
        <f>Cash!G3</f>
        <v>41395</v>
      </c>
      <c r="Z39" s="46">
        <f>Cash!H3</f>
        <v>41426</v>
      </c>
      <c r="AA39" s="46">
        <f>Cash!I3</f>
        <v>41456</v>
      </c>
      <c r="AB39" s="46">
        <f>Cash!J3</f>
        <v>41487</v>
      </c>
      <c r="AC39" s="46">
        <f>Cash!K3</f>
        <v>41518</v>
      </c>
      <c r="AD39" s="46">
        <f>Cash!L3</f>
        <v>41548</v>
      </c>
      <c r="AE39" s="46">
        <f>Cash!M3</f>
        <v>41579</v>
      </c>
      <c r="AF39" s="46">
        <f>Cash!N3</f>
        <v>41609</v>
      </c>
      <c r="AG39" s="46">
        <f>Cash!C40</f>
        <v>41640</v>
      </c>
      <c r="AH39" s="46">
        <f>Cash!D40</f>
        <v>41671</v>
      </c>
      <c r="AI39" s="46">
        <f>Cash!E40</f>
        <v>41699</v>
      </c>
      <c r="AJ39" s="46">
        <f>Cash!F40</f>
        <v>41730</v>
      </c>
      <c r="AK39" s="46">
        <f>Cash!G40</f>
        <v>41760</v>
      </c>
      <c r="AL39" s="46">
        <f>Cash!H40</f>
        <v>41791</v>
      </c>
      <c r="AM39" s="46">
        <f>Cash!I40</f>
        <v>41821</v>
      </c>
      <c r="AN39" s="46">
        <f>Cash!J40</f>
        <v>41852</v>
      </c>
      <c r="AO39" s="46">
        <f>Cash!K40</f>
        <v>41883</v>
      </c>
      <c r="AP39" s="46">
        <f>Cash!L40</f>
        <v>41913</v>
      </c>
      <c r="AQ39" s="46">
        <f>Cash!M40</f>
        <v>41944</v>
      </c>
      <c r="AR39" s="46">
        <f>Cash!N40</f>
        <v>41974</v>
      </c>
    </row>
    <row r="40" spans="1:44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T40" s="1" t="s">
        <v>218</v>
      </c>
      <c r="U40" s="50">
        <f>Cash!C12</f>
        <v>179726.62875223215</v>
      </c>
      <c r="V40" s="50">
        <f>Cash!D12</f>
        <v>323171.95450267859</v>
      </c>
      <c r="W40" s="50">
        <f>Cash!E12</f>
        <v>164051.33461877974</v>
      </c>
      <c r="X40" s="50">
        <f>Cash!F12</f>
        <v>206252.30839821429</v>
      </c>
      <c r="Y40" s="50">
        <f>Cash!G12</f>
        <v>308548.1729093155</v>
      </c>
      <c r="Z40" s="50">
        <f>Cash!H12</f>
        <v>325232.52043660713</v>
      </c>
      <c r="AA40" s="50">
        <f>Cash!I12</f>
        <v>367064.90146607143</v>
      </c>
      <c r="AB40" s="50">
        <f>Cash!J12</f>
        <v>379251.37490625004</v>
      </c>
      <c r="AC40" s="50">
        <f>Cash!K12</f>
        <v>348123.17193750001</v>
      </c>
      <c r="AD40" s="50">
        <f>Cash!L12</f>
        <v>332559.07045312505</v>
      </c>
      <c r="AE40" s="50">
        <f>Cash!M12</f>
        <v>146068.02123663694</v>
      </c>
      <c r="AF40" s="50">
        <f>Cash!N12</f>
        <v>297408.61575</v>
      </c>
      <c r="AG40" s="50">
        <f>Cash!C49</f>
        <v>134969.83179424849</v>
      </c>
      <c r="AH40" s="50">
        <f>Cash!D49</f>
        <v>97159.87010450894</v>
      </c>
      <c r="AI40" s="50">
        <f>Cash!E49</f>
        <v>445733.11632228718</v>
      </c>
      <c r="AJ40" s="50">
        <f>Cash!F49</f>
        <v>227790.12865098217</v>
      </c>
      <c r="AK40" s="50">
        <f>Cash!G49</f>
        <v>332441.91815082589</v>
      </c>
      <c r="AL40" s="50">
        <f>Cash!H49</f>
        <v>358813.35162200895</v>
      </c>
      <c r="AM40" s="50">
        <f>Cash!I49</f>
        <v>406367.85197651788</v>
      </c>
      <c r="AN40" s="50">
        <f>Cash!J49</f>
        <v>419965.54900513391</v>
      </c>
      <c r="AO40" s="50">
        <f>Cash!K49</f>
        <v>384310.90551294643</v>
      </c>
      <c r="AP40" s="50">
        <f>Cash!L49</f>
        <v>366483.58376685268</v>
      </c>
      <c r="AQ40" s="50">
        <f>Cash!M49</f>
        <v>157274.85085613839</v>
      </c>
      <c r="AR40" s="50">
        <f>Cash!N49</f>
        <v>329830.26320892863</v>
      </c>
    </row>
    <row r="41" spans="1:44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T41" s="1" t="s">
        <v>219</v>
      </c>
      <c r="U41" s="50">
        <f>-Cash!C28</f>
        <v>-93057.5327762128</v>
      </c>
      <c r="V41" s="50">
        <f>-Cash!D28</f>
        <v>-213171.90426775732</v>
      </c>
      <c r="W41" s="50">
        <f>-Cash!E28</f>
        <v>-626024.61287821853</v>
      </c>
      <c r="X41" s="50">
        <f>-Cash!F28</f>
        <v>-196132.44287378906</v>
      </c>
      <c r="Y41" s="50">
        <f>-Cash!G28</f>
        <v>-238070.87036661396</v>
      </c>
      <c r="Z41" s="50">
        <f>-Cash!H28</f>
        <v>-267366.24592296564</v>
      </c>
      <c r="AA41" s="50">
        <f>-Cash!I28</f>
        <v>-280461.0602243992</v>
      </c>
      <c r="AB41" s="50">
        <f>-Cash!J28</f>
        <v>-343038.76119330298</v>
      </c>
      <c r="AC41" s="50">
        <f>-Cash!K28</f>
        <v>-272340.99173357576</v>
      </c>
      <c r="AD41" s="50">
        <f>-Cash!L28</f>
        <v>-273867.95182636345</v>
      </c>
      <c r="AE41" s="50">
        <f>-Cash!M28</f>
        <v>-257432.8997471348</v>
      </c>
      <c r="AF41" s="50">
        <f>-Cash!N28</f>
        <v>-163866.56974946862</v>
      </c>
      <c r="AG41" s="50">
        <f>-Cash!C65</f>
        <v>-248276.09496273476</v>
      </c>
      <c r="AH41" s="50">
        <f>-Cash!D65</f>
        <v>-217077.29932268694</v>
      </c>
      <c r="AI41" s="50">
        <f>-Cash!E65</f>
        <v>-175930.64584598935</v>
      </c>
      <c r="AJ41" s="50">
        <f>-Cash!F65</f>
        <v>-225792.8091188946</v>
      </c>
      <c r="AK41" s="50">
        <f>-Cash!G65</f>
        <v>-752942.25316134526</v>
      </c>
      <c r="AL41" s="50">
        <f>-Cash!H65</f>
        <v>-298562.12302854448</v>
      </c>
      <c r="AM41" s="50">
        <f>-Cash!I65</f>
        <v>-336218.58756468486</v>
      </c>
      <c r="AN41" s="50">
        <f>-Cash!J65</f>
        <v>-342971.29288147105</v>
      </c>
      <c r="AO41" s="50">
        <f>-Cash!K65</f>
        <v>-328377.43021337042</v>
      </c>
      <c r="AP41" s="50">
        <f>-Cash!L65</f>
        <v>-307577.33688339317</v>
      </c>
      <c r="AQ41" s="50">
        <f>-Cash!M65</f>
        <v>-309738.73408581712</v>
      </c>
      <c r="AR41" s="50">
        <f>-Cash!N65</f>
        <v>-189725.55965436436</v>
      </c>
    </row>
    <row r="42" spans="1:44">
      <c r="T42" s="1" t="s">
        <v>220</v>
      </c>
      <c r="U42" s="1">
        <f>Cash!C36</f>
        <v>66502.429309352679</v>
      </c>
      <c r="V42" s="1">
        <f>Cash!D36</f>
        <v>176502.47954427396</v>
      </c>
      <c r="W42" s="1">
        <f>Cash!E36</f>
        <v>-285470.79871516488</v>
      </c>
      <c r="X42" s="1">
        <f>Cash!F36</f>
        <v>-277729.85651336604</v>
      </c>
      <c r="Y42" s="1">
        <f>Cash!G36</f>
        <v>-209566.96944160922</v>
      </c>
      <c r="Z42" s="1">
        <f>Cash!H36</f>
        <v>-153447.08633998115</v>
      </c>
      <c r="AA42" s="1">
        <f>Cash!I36</f>
        <v>-68121.97081780876</v>
      </c>
      <c r="AB42" s="1">
        <f>Cash!J36</f>
        <v>-32477.040195010108</v>
      </c>
      <c r="AC42" s="1">
        <f>Cash!K36</f>
        <v>43034.498007289054</v>
      </c>
      <c r="AD42" s="1">
        <f>Cash!L36</f>
        <v>101725.61663405065</v>
      </c>
      <c r="AE42" s="1">
        <f>Cash!M36</f>
        <v>-9639.2618764472136</v>
      </c>
      <c r="AF42" s="1">
        <f>Cash!N36</f>
        <v>123822.45694178045</v>
      </c>
      <c r="AG42" s="1">
        <f>Cash!C74</f>
        <v>10516.193773294173</v>
      </c>
      <c r="AH42" s="1">
        <f>Cash!D74</f>
        <v>-109401.23544488383</v>
      </c>
      <c r="AI42" s="1">
        <f>Cash!E74</f>
        <v>159489.55806937334</v>
      </c>
      <c r="AJ42" s="1">
        <f>Cash!F74</f>
        <v>161486.8776014609</v>
      </c>
      <c r="AK42" s="1">
        <f>Cash!G74</f>
        <v>-259013.45740905846</v>
      </c>
      <c r="AL42" s="1">
        <f>Cash!H74</f>
        <v>-200920.67429400282</v>
      </c>
      <c r="AM42" s="1">
        <f>Cash!I74</f>
        <v>-132445.74883461982</v>
      </c>
      <c r="AN42" s="1">
        <f>Cash!J74</f>
        <v>-56555.207284578784</v>
      </c>
      <c r="AO42" s="1">
        <f>Cash!K74</f>
        <v>-1093.0253790409345</v>
      </c>
      <c r="AP42" s="1">
        <f>Cash!L74</f>
        <v>57804.112959593229</v>
      </c>
      <c r="AQ42" s="1">
        <f>Cash!M74</f>
        <v>-94659.770270085501</v>
      </c>
      <c r="AR42" s="1">
        <f>Cash!N74</f>
        <v>44656.101865561395</v>
      </c>
    </row>
  </sheetData>
  <sheetProtection selectLockedCells="1"/>
  <pageMargins left="0.70866141732283472" right="0.70866141732283472" top="0.74803149606299213" bottom="0.74803149606299213" header="0.31496062992125984" footer="0.31496062992125984"/>
  <pageSetup paperSize="9" scale="54"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4">
    <tabColor rgb="FFFF0000"/>
  </sheetPr>
  <dimension ref="A1:N28"/>
  <sheetViews>
    <sheetView zoomScale="138" zoomScaleNormal="138" workbookViewId="0">
      <pane ySplit="1" topLeftCell="A3" activePane="bottomLeft" state="frozen"/>
      <selection pane="bottomLeft" activeCell="A15" sqref="A15"/>
    </sheetView>
  </sheetViews>
  <sheetFormatPr defaultRowHeight="13.2"/>
  <cols>
    <col min="1" max="1" width="13.5546875" bestFit="1" customWidth="1"/>
    <col min="2" max="14" width="6.6640625" customWidth="1"/>
  </cols>
  <sheetData>
    <row r="1" spans="1:14">
      <c r="A1" s="101" t="s">
        <v>182</v>
      </c>
      <c r="B1" s="101" t="s">
        <v>181</v>
      </c>
      <c r="C1" s="101">
        <v>1</v>
      </c>
      <c r="D1" s="101">
        <v>2</v>
      </c>
      <c r="E1" s="101">
        <v>3</v>
      </c>
      <c r="F1" s="101">
        <v>4</v>
      </c>
      <c r="G1" s="101">
        <v>5</v>
      </c>
      <c r="H1" s="101">
        <v>6</v>
      </c>
      <c r="I1" s="101">
        <v>7</v>
      </c>
      <c r="J1" s="101">
        <v>8</v>
      </c>
      <c r="K1" s="101">
        <v>9</v>
      </c>
      <c r="L1" s="101">
        <v>10</v>
      </c>
      <c r="M1" s="101">
        <v>11</v>
      </c>
      <c r="N1" s="101">
        <v>12</v>
      </c>
    </row>
    <row r="2" spans="1:14">
      <c r="A2" t="s">
        <v>183</v>
      </c>
      <c r="B2">
        <f>SUM(C2:N2)</f>
        <v>12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t="s">
        <v>184</v>
      </c>
      <c r="B3">
        <f t="shared" ref="B3:B28" si="0">SUM(C3:N3)</f>
        <v>52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  <c r="I3">
        <v>4</v>
      </c>
      <c r="J3">
        <v>4</v>
      </c>
      <c r="K3">
        <v>5</v>
      </c>
      <c r="L3">
        <v>4</v>
      </c>
      <c r="M3">
        <v>4</v>
      </c>
      <c r="N3">
        <v>5</v>
      </c>
    </row>
    <row r="4" spans="1:14">
      <c r="A4" t="s">
        <v>185</v>
      </c>
      <c r="B4">
        <f t="shared" si="0"/>
        <v>6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</row>
    <row r="5" spans="1:14">
      <c r="A5" t="s">
        <v>186</v>
      </c>
      <c r="B5">
        <f t="shared" si="0"/>
        <v>6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</row>
    <row r="6" spans="1:14">
      <c r="A6" t="s">
        <v>187</v>
      </c>
      <c r="B6">
        <f t="shared" si="0"/>
        <v>4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</row>
    <row r="7" spans="1:14">
      <c r="A7" t="s">
        <v>188</v>
      </c>
      <c r="B7">
        <f t="shared" si="0"/>
        <v>4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</row>
    <row r="8" spans="1:14">
      <c r="A8" t="s">
        <v>189</v>
      </c>
      <c r="B8">
        <f t="shared" si="0"/>
        <v>4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</row>
    <row r="9" spans="1:14">
      <c r="A9" t="s">
        <v>190</v>
      </c>
      <c r="B9">
        <f t="shared" si="0"/>
        <v>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191</v>
      </c>
      <c r="B10">
        <f t="shared" si="0"/>
        <v>2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</row>
    <row r="11" spans="1:14">
      <c r="A11" t="s">
        <v>192</v>
      </c>
      <c r="B11">
        <f t="shared" si="0"/>
        <v>2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>
      <c r="A12" t="s">
        <v>193</v>
      </c>
      <c r="B12">
        <f t="shared" si="0"/>
        <v>2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</row>
    <row r="13" spans="1:14">
      <c r="A13" t="s">
        <v>194</v>
      </c>
      <c r="B13">
        <f t="shared" si="0"/>
        <v>2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>
      <c r="A14" t="s">
        <v>195</v>
      </c>
      <c r="B14">
        <f t="shared" si="0"/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4">
      <c r="A15" t="s">
        <v>501</v>
      </c>
      <c r="B15">
        <f t="shared" si="0"/>
        <v>1</v>
      </c>
      <c r="C15">
        <f>Bespoke!B3</f>
        <v>0.03</v>
      </c>
      <c r="D15">
        <f>Bespoke!C3</f>
        <v>0.03</v>
      </c>
      <c r="E15">
        <f>Bespoke!D3</f>
        <v>0.05</v>
      </c>
      <c r="F15">
        <f>Bespoke!E3</f>
        <v>0.09</v>
      </c>
      <c r="G15">
        <f>Bespoke!F3</f>
        <v>0.1</v>
      </c>
      <c r="H15">
        <f>Bespoke!G3</f>
        <v>0.1</v>
      </c>
      <c r="I15">
        <f>Bespoke!H3</f>
        <v>0.13</v>
      </c>
      <c r="J15">
        <f>Bespoke!I3</f>
        <v>0.13</v>
      </c>
      <c r="K15">
        <f>Bespoke!J3</f>
        <v>0.1</v>
      </c>
      <c r="L15">
        <f>Bespoke!K3</f>
        <v>0.09</v>
      </c>
      <c r="M15">
        <f>Bespoke!L3</f>
        <v>0.03</v>
      </c>
      <c r="N15">
        <f>Bespoke!M3</f>
        <v>0.12</v>
      </c>
    </row>
    <row r="16" spans="1:14">
      <c r="A16" t="s">
        <v>502</v>
      </c>
      <c r="B16">
        <f t="shared" si="0"/>
        <v>1</v>
      </c>
      <c r="C16">
        <f>Bespoke!B4</f>
        <v>0.02</v>
      </c>
      <c r="D16">
        <f>Bespoke!C4</f>
        <v>0.02</v>
      </c>
      <c r="E16">
        <f>Bespoke!D4</f>
        <v>0.06</v>
      </c>
      <c r="F16">
        <f>Bespoke!E4</f>
        <v>0.06</v>
      </c>
      <c r="G16">
        <f>Bespoke!F4</f>
        <v>0.12</v>
      </c>
      <c r="H16">
        <f>Bespoke!G4</f>
        <v>0.12</v>
      </c>
      <c r="I16">
        <f>Bespoke!H4</f>
        <v>0.12</v>
      </c>
      <c r="J16">
        <f>Bespoke!I4</f>
        <v>0.12</v>
      </c>
      <c r="K16">
        <f>Bespoke!J4</f>
        <v>0.12</v>
      </c>
      <c r="L16">
        <f>Bespoke!K4</f>
        <v>0.12</v>
      </c>
      <c r="M16">
        <f>Bespoke!L4</f>
        <v>0.02</v>
      </c>
      <c r="N16">
        <f>Bespoke!M4</f>
        <v>0.1</v>
      </c>
    </row>
    <row r="17" spans="1:14">
      <c r="A17" t="s">
        <v>196</v>
      </c>
      <c r="B17">
        <f t="shared" si="0"/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>
      <c r="A18" t="s">
        <v>197</v>
      </c>
      <c r="B18">
        <f t="shared" si="0"/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t="s">
        <v>198</v>
      </c>
      <c r="B19">
        <f t="shared" si="0"/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199</v>
      </c>
      <c r="B20">
        <f t="shared" si="0"/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200</v>
      </c>
      <c r="B21">
        <f t="shared" si="0"/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201</v>
      </c>
      <c r="B22">
        <f t="shared" si="0"/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t="s">
        <v>202</v>
      </c>
      <c r="B23">
        <f t="shared" si="0"/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203</v>
      </c>
      <c r="B24">
        <f t="shared" si="0"/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</row>
    <row r="25" spans="1:14">
      <c r="A25" t="s">
        <v>204</v>
      </c>
      <c r="B25">
        <f t="shared" si="0"/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>
      <c r="A26" t="s">
        <v>205</v>
      </c>
      <c r="B26">
        <f t="shared" si="0"/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</row>
    <row r="27" spans="1:14">
      <c r="A27" t="s">
        <v>206</v>
      </c>
      <c r="B27">
        <f t="shared" si="0"/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</row>
    <row r="28" spans="1:14">
      <c r="A28" t="s">
        <v>207</v>
      </c>
      <c r="B28">
        <f t="shared" si="0"/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>
    <tabColor rgb="FFFF0000"/>
  </sheetPr>
  <dimension ref="A1:AB64"/>
  <sheetViews>
    <sheetView zoomScale="103" zoomScaleNormal="103" workbookViewId="0">
      <pane xSplit="4" ySplit="1" topLeftCell="E2" activePane="bottomRight" state="frozen"/>
      <selection pane="topRight"/>
      <selection pane="bottomLeft"/>
      <selection pane="bottomRight" activeCell="E2" sqref="E2"/>
    </sheetView>
  </sheetViews>
  <sheetFormatPr defaultColWidth="9.109375" defaultRowHeight="13.8"/>
  <cols>
    <col min="1" max="1" width="3.109375" style="1" customWidth="1"/>
    <col min="2" max="2" width="12.88671875" style="1" bestFit="1" customWidth="1"/>
    <col min="3" max="3" width="23.33203125" style="1" bestFit="1" customWidth="1"/>
    <col min="4" max="4" width="23.33203125" style="1" customWidth="1"/>
    <col min="5" max="16384" width="9.109375" style="1"/>
  </cols>
  <sheetData>
    <row r="1" spans="1:28">
      <c r="A1" s="46"/>
      <c r="B1" s="46"/>
      <c r="C1" s="46"/>
      <c r="D1" s="46"/>
      <c r="E1" s="46">
        <f>DATEVALUE(1&amp;"/"&amp;'IP1'!$B$3&amp;"/"&amp;'IP1'!$B$4)</f>
        <v>41275</v>
      </c>
      <c r="F1" s="46">
        <f>DATE(YEAR(E1),MONTH(E1)+1,1)</f>
        <v>41306</v>
      </c>
      <c r="G1" s="46">
        <f t="shared" ref="G1:AB1" si="0">DATE(YEAR(F1),MONTH(F1)+1,1)</f>
        <v>41334</v>
      </c>
      <c r="H1" s="46">
        <f t="shared" si="0"/>
        <v>41365</v>
      </c>
      <c r="I1" s="46">
        <f t="shared" si="0"/>
        <v>41395</v>
      </c>
      <c r="J1" s="46">
        <f t="shared" si="0"/>
        <v>41426</v>
      </c>
      <c r="K1" s="46">
        <f t="shared" si="0"/>
        <v>41456</v>
      </c>
      <c r="L1" s="46">
        <f t="shared" si="0"/>
        <v>41487</v>
      </c>
      <c r="M1" s="46">
        <f t="shared" si="0"/>
        <v>41518</v>
      </c>
      <c r="N1" s="46">
        <f t="shared" si="0"/>
        <v>41548</v>
      </c>
      <c r="O1" s="46">
        <f t="shared" si="0"/>
        <v>41579</v>
      </c>
      <c r="P1" s="46">
        <f t="shared" si="0"/>
        <v>41609</v>
      </c>
      <c r="Q1" s="46">
        <f t="shared" si="0"/>
        <v>41640</v>
      </c>
      <c r="R1" s="46">
        <f t="shared" si="0"/>
        <v>41671</v>
      </c>
      <c r="S1" s="46">
        <f t="shared" si="0"/>
        <v>41699</v>
      </c>
      <c r="T1" s="46">
        <f t="shared" si="0"/>
        <v>41730</v>
      </c>
      <c r="U1" s="46">
        <f t="shared" si="0"/>
        <v>41760</v>
      </c>
      <c r="V1" s="46">
        <f t="shared" si="0"/>
        <v>41791</v>
      </c>
      <c r="W1" s="46">
        <f t="shared" si="0"/>
        <v>41821</v>
      </c>
      <c r="X1" s="46">
        <f t="shared" si="0"/>
        <v>41852</v>
      </c>
      <c r="Y1" s="46">
        <f t="shared" si="0"/>
        <v>41883</v>
      </c>
      <c r="Z1" s="46">
        <f t="shared" si="0"/>
        <v>41913</v>
      </c>
      <c r="AA1" s="46">
        <f t="shared" si="0"/>
        <v>41944</v>
      </c>
      <c r="AB1" s="46">
        <f t="shared" si="0"/>
        <v>41974</v>
      </c>
    </row>
    <row r="2" spans="1:28">
      <c r="A2" s="1" t="str">
        <f>B2&amp;C2</f>
        <v>MarketingWages &amp; Salaries</v>
      </c>
      <c r="B2" s="1" t="s">
        <v>10</v>
      </c>
      <c r="C2" s="11" t="s">
        <v>66</v>
      </c>
      <c r="D2" s="11" t="s">
        <v>62</v>
      </c>
      <c r="E2" s="85">
        <f>IF(LEFT($D2,5)="Other",
VLOOKUP($A2,'IP1'!$A$37:$G$89,4,0)*
VLOOKUP(
VLOOKUP($A2,'IP1'!$A$37:$G$89,7,0),Patterns!$A$2:$N$28,COLUMN(E2)-2,0)/
VLOOKUP(
VLOOKUP($A2,'IP1'!$A$37:$G$89,7,0),Patterns!$A$2:$N$28,2,0),
IF(LEFT($D2,7)="Payroll",
SUMPRODUCT(($B2='IP1'!$B$96:$B$114)*('IP1'!$D$96:$D$114))/12,
SUMPRODUCT(($B2='IP1'!$B$96:$B$114)*('IP1'!$D$96:$D$114))/12*'IP1'!$F$154))</f>
        <v>1666.6666666666667</v>
      </c>
      <c r="F2" s="85">
        <f>IF(LEFT($D2,5)="Other",VLOOKUP($A2,'IP1'!$A$37:$G$89,4,0)*VLOOKUP(VLOOKUP($A2,'IP1'!$A$37:$G$89,7,0),Patterns!$A$2:$N$28,COLUMN(F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G2" s="85">
        <f>IF(LEFT($D2,5)="Other",VLOOKUP($A2,'IP1'!$A$37:$G$89,4,0)*VLOOKUP(VLOOKUP($A2,'IP1'!$A$37:$G$89,7,0),Patterns!$A$2:$N$28,COLUMN(G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H2" s="85">
        <f>IF(LEFT($D2,5)="Other",VLOOKUP($A2,'IP1'!$A$37:$G$89,4,0)*VLOOKUP(VLOOKUP($A2,'IP1'!$A$37:$G$89,7,0),Patterns!$A$2:$N$28,COLUMN(H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I2" s="85">
        <f>IF(LEFT($D2,5)="Other",VLOOKUP($A2,'IP1'!$A$37:$G$89,4,0)*VLOOKUP(VLOOKUP($A2,'IP1'!$A$37:$G$89,7,0),Patterns!$A$2:$N$28,COLUMN(I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J2" s="85">
        <f>IF(LEFT($D2,5)="Other",VLOOKUP($A2,'IP1'!$A$37:$G$89,4,0)*VLOOKUP(VLOOKUP($A2,'IP1'!$A$37:$G$89,7,0),Patterns!$A$2:$N$28,COLUMN(J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K2" s="85">
        <f>IF(LEFT($D2,5)="Other",VLOOKUP($A2,'IP1'!$A$37:$G$89,4,0)*VLOOKUP(VLOOKUP($A2,'IP1'!$A$37:$G$89,7,0),Patterns!$A$2:$N$28,COLUMN(K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L2" s="85">
        <f>IF(LEFT($D2,5)="Other",VLOOKUP($A2,'IP1'!$A$37:$G$89,4,0)*VLOOKUP(VLOOKUP($A2,'IP1'!$A$37:$G$89,7,0),Patterns!$A$2:$N$28,COLUMN(L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M2" s="85">
        <f>IF(LEFT($D2,5)="Other",VLOOKUP($A2,'IP1'!$A$37:$G$89,4,0)*VLOOKUP(VLOOKUP($A2,'IP1'!$A$37:$G$89,7,0),Patterns!$A$2:$N$28,COLUMN(M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N2" s="85">
        <f>IF(LEFT($D2,5)="Other",VLOOKUP($A2,'IP1'!$A$37:$G$89,4,0)*VLOOKUP(VLOOKUP($A2,'IP1'!$A$37:$G$89,7,0),Patterns!$A$2:$N$28,COLUMN(N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O2" s="85">
        <f>IF(LEFT($D2,5)="Other",VLOOKUP($A2,'IP1'!$A$37:$G$89,4,0)*VLOOKUP(VLOOKUP($A2,'IP1'!$A$37:$G$89,7,0),Patterns!$A$2:$N$28,COLUMN(O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P2" s="85">
        <f>IF(LEFT($D2,5)="Other",VLOOKUP($A2,'IP1'!$A$37:$G$89,4,0)*VLOOKUP(VLOOKUP($A2,'IP1'!$A$37:$G$89,7,0),Patterns!$A$2:$N$28,COLUMN(P2)-2,0)/VLOOKUP(VLOOKUP($A2,'IP1'!$A$37:$G$89,7,0),Patterns!$A$2:$N$28,2,0),IF(LEFT($D2,7)="Payroll",SUMPRODUCT(($B2='IP1'!$B$96:$B$114)*('IP1'!$D$96:$D$114))/12,SUMPRODUCT(($B2='IP1'!$B$96:$B$114)*('IP1'!$D$96:$D$114))/12*'IP1'!$F$154))</f>
        <v>1666.6666666666667</v>
      </c>
      <c r="Q2" s="85">
        <f>IF(LEFT($D2,5)="Other",VLOOKUP($A2,'IP1'!$A$37:$G$89,5,0)*VLOOKUP(VLOOKUP($A2,'IP1'!$A$37:$G$89,7,0),Patterns!$A$2:$N$28,COLUMN(Q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R2" s="85">
        <f>IF(LEFT($D2,5)="Other",VLOOKUP($A2,'IP1'!$A$37:$G$89,5,0)*VLOOKUP(VLOOKUP($A2,'IP1'!$A$37:$G$89,7,0),Patterns!$A$2:$N$28,COLUMN(R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S2" s="85">
        <f>IF(LEFT($D2,5)="Other",VLOOKUP($A2,'IP1'!$A$37:$G$89,5,0)*VLOOKUP(VLOOKUP($A2,'IP1'!$A$37:$G$89,7,0),Patterns!$A$2:$N$28,COLUMN(S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T2" s="85">
        <f>IF(LEFT($D2,5)="Other",VLOOKUP($A2,'IP1'!$A$37:$G$89,5,0)*VLOOKUP(VLOOKUP($A2,'IP1'!$A$37:$G$89,7,0),Patterns!$A$2:$N$28,COLUMN(T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U2" s="85">
        <f>IF(LEFT($D2,5)="Other",VLOOKUP($A2,'IP1'!$A$37:$G$89,5,0)*VLOOKUP(VLOOKUP($A2,'IP1'!$A$37:$G$89,7,0),Patterns!$A$2:$N$28,COLUMN(U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V2" s="85">
        <f>IF(LEFT($D2,5)="Other",VLOOKUP($A2,'IP1'!$A$37:$G$89,5,0)*VLOOKUP(VLOOKUP($A2,'IP1'!$A$37:$G$89,7,0),Patterns!$A$2:$N$28,COLUMN(V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W2" s="85">
        <f>IF(LEFT($D2,5)="Other",VLOOKUP($A2,'IP1'!$A$37:$G$89,5,0)*VLOOKUP(VLOOKUP($A2,'IP1'!$A$37:$G$89,7,0),Patterns!$A$2:$N$28,COLUMN(W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X2" s="85">
        <f>IF(LEFT($D2,5)="Other",VLOOKUP($A2,'IP1'!$A$37:$G$89,5,0)*VLOOKUP(VLOOKUP($A2,'IP1'!$A$37:$G$89,7,0),Patterns!$A$2:$N$28,COLUMN(X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Y2" s="85">
        <f>IF(LEFT($D2,5)="Other",VLOOKUP($A2,'IP1'!$A$37:$G$89,5,0)*VLOOKUP(VLOOKUP($A2,'IP1'!$A$37:$G$89,7,0),Patterns!$A$2:$N$28,COLUMN(Y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Z2" s="85">
        <f>IF(LEFT($D2,5)="Other",VLOOKUP($A2,'IP1'!$A$37:$G$89,5,0)*VLOOKUP(VLOOKUP($A2,'IP1'!$A$37:$G$89,7,0),Patterns!$A$2:$N$28,COLUMN(Z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AA2" s="85">
        <f>IF(LEFT($D2,5)="Other",VLOOKUP($A2,'IP1'!$A$37:$G$89,5,0)*VLOOKUP(VLOOKUP($A2,'IP1'!$A$37:$G$89,7,0),Patterns!$A$2:$N$28,COLUMN(AA2)-14,0)/VLOOKUP(VLOOKUP($A2,'IP1'!$A$37:$G$89,7,0),Patterns!$A$2:$N$28,2,0),IF(LEFT($D2,7)="Payroll",SUMPRODUCT(($B2='IP1'!$B$96:$B$114)*('IP1'!$E$96:$E$114))/12,SUMPRODUCT(($B2='IP1'!$B$96:$B$114)*('IP1'!$E$96:$E$114))/12*'IP1'!$F$154))</f>
        <v>2500</v>
      </c>
      <c r="AB2" s="85">
        <f>IF(LEFT($D2,5)="Other",VLOOKUP($A2,'IP1'!$A$37:$G$89,5,0)*VLOOKUP(VLOOKUP($A2,'IP1'!$A$37:$G$89,7,0),Patterns!$A$2:$N$28,COLUMN(AB2)-14,0)/VLOOKUP(VLOOKUP($A2,'IP1'!$A$37:$G$89,7,0),Patterns!$A$2:$N$28,2,0),IF(LEFT($D2,7)="Payroll",SUMPRODUCT(($B2='IP1'!$B$96:$B$114)*('IP1'!$E$96:$E$114))/12,SUMPRODUCT(($B2='IP1'!$B$96:$B$114)*('IP1'!$E$96:$E$114))/12*'IP1'!$F$154))</f>
        <v>2500</v>
      </c>
    </row>
    <row r="3" spans="1:28">
      <c r="A3" s="1" t="str">
        <f t="shared" ref="A3:A62" si="1">B3&amp;C3</f>
        <v>MarketingPAYE / PRSI</v>
      </c>
      <c r="B3" s="1" t="s">
        <v>10</v>
      </c>
      <c r="C3" s="11" t="s">
        <v>25</v>
      </c>
      <c r="D3" s="11" t="s">
        <v>65</v>
      </c>
      <c r="E3" s="85">
        <f>IF(LEFT($D3,5)="Other",
VLOOKUP($A3,'IP1'!$A$37:$G$89,4,0)*
VLOOKUP(
VLOOKUP($A3,'IP1'!$A$37:$G$89,7,0),Patterns!$A$2:$N$28,COLUMN(E3)-2,0)/
VLOOKUP(
VLOOKUP($A3,'IP1'!$A$37:$G$89,7,0),Patterns!$A$2:$N$28,2,0),
IF(LEFT($D3,7)="Payroll",
SUMPRODUCT(($B3='IP1'!$B$96:$B$114)*('IP1'!$D$96:$D$114))/12,
SUMPRODUCT(($B3='IP1'!$B$96:$B$114)*('IP1'!$D$96:$D$114))/12*'IP1'!$F$154))</f>
        <v>250</v>
      </c>
      <c r="F3" s="85">
        <f>IF(LEFT($D3,5)="Other",VLOOKUP($A3,'IP1'!$A$37:$G$89,4,0)*VLOOKUP(VLOOKUP($A3,'IP1'!$A$37:$G$89,7,0),Patterns!$A$2:$N$28,COLUMN(F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G3" s="85">
        <f>IF(LEFT($D3,5)="Other",VLOOKUP($A3,'IP1'!$A$37:$G$89,4,0)*VLOOKUP(VLOOKUP($A3,'IP1'!$A$37:$G$89,7,0),Patterns!$A$2:$N$28,COLUMN(G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H3" s="85">
        <f>IF(LEFT($D3,5)="Other",VLOOKUP($A3,'IP1'!$A$37:$G$89,4,0)*VLOOKUP(VLOOKUP($A3,'IP1'!$A$37:$G$89,7,0),Patterns!$A$2:$N$28,COLUMN(H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I3" s="85">
        <f>IF(LEFT($D3,5)="Other",VLOOKUP($A3,'IP1'!$A$37:$G$89,4,0)*VLOOKUP(VLOOKUP($A3,'IP1'!$A$37:$G$89,7,0),Patterns!$A$2:$N$28,COLUMN(I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J3" s="85">
        <f>IF(LEFT($D3,5)="Other",VLOOKUP($A3,'IP1'!$A$37:$G$89,4,0)*VLOOKUP(VLOOKUP($A3,'IP1'!$A$37:$G$89,7,0),Patterns!$A$2:$N$28,COLUMN(J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K3" s="85">
        <f>IF(LEFT($D3,5)="Other",VLOOKUP($A3,'IP1'!$A$37:$G$89,4,0)*VLOOKUP(VLOOKUP($A3,'IP1'!$A$37:$G$89,7,0),Patterns!$A$2:$N$28,COLUMN(K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L3" s="85">
        <f>IF(LEFT($D3,5)="Other",VLOOKUP($A3,'IP1'!$A$37:$G$89,4,0)*VLOOKUP(VLOOKUP($A3,'IP1'!$A$37:$G$89,7,0),Patterns!$A$2:$N$28,COLUMN(L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M3" s="85">
        <f>IF(LEFT($D3,5)="Other",VLOOKUP($A3,'IP1'!$A$37:$G$89,4,0)*VLOOKUP(VLOOKUP($A3,'IP1'!$A$37:$G$89,7,0),Patterns!$A$2:$N$28,COLUMN(M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N3" s="85">
        <f>IF(LEFT($D3,5)="Other",VLOOKUP($A3,'IP1'!$A$37:$G$89,4,0)*VLOOKUP(VLOOKUP($A3,'IP1'!$A$37:$G$89,7,0),Patterns!$A$2:$N$28,COLUMN(N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O3" s="85">
        <f>IF(LEFT($D3,5)="Other",VLOOKUP($A3,'IP1'!$A$37:$G$89,4,0)*VLOOKUP(VLOOKUP($A3,'IP1'!$A$37:$G$89,7,0),Patterns!$A$2:$N$28,COLUMN(O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P3" s="85">
        <f>IF(LEFT($D3,5)="Other",VLOOKUP($A3,'IP1'!$A$37:$G$89,4,0)*VLOOKUP(VLOOKUP($A3,'IP1'!$A$37:$G$89,7,0),Patterns!$A$2:$N$28,COLUMN(P3)-2,0)/VLOOKUP(VLOOKUP($A3,'IP1'!$A$37:$G$89,7,0),Patterns!$A$2:$N$28,2,0),IF(LEFT($D3,7)="Payroll",SUMPRODUCT(($B3='IP1'!$B$96:$B$114)*('IP1'!$D$96:$D$114))/12,SUMPRODUCT(($B3='IP1'!$B$96:$B$114)*('IP1'!$D$96:$D$114))/12*'IP1'!$F$154))</f>
        <v>250</v>
      </c>
      <c r="Q3" s="85">
        <f>IF(LEFT($D3,5)="Other",VLOOKUP($A3,'IP1'!$A$37:$G$89,5,0)*VLOOKUP(VLOOKUP($A3,'IP1'!$A$37:$G$89,7,0),Patterns!$A$2:$N$28,COLUMN(Q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R3" s="85">
        <f>IF(LEFT($D3,5)="Other",VLOOKUP($A3,'IP1'!$A$37:$G$89,5,0)*VLOOKUP(VLOOKUP($A3,'IP1'!$A$37:$G$89,7,0),Patterns!$A$2:$N$28,COLUMN(R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S3" s="85">
        <f>IF(LEFT($D3,5)="Other",VLOOKUP($A3,'IP1'!$A$37:$G$89,5,0)*VLOOKUP(VLOOKUP($A3,'IP1'!$A$37:$G$89,7,0),Patterns!$A$2:$N$28,COLUMN(S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T3" s="85">
        <f>IF(LEFT($D3,5)="Other",VLOOKUP($A3,'IP1'!$A$37:$G$89,5,0)*VLOOKUP(VLOOKUP($A3,'IP1'!$A$37:$G$89,7,0),Patterns!$A$2:$N$28,COLUMN(T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U3" s="85">
        <f>IF(LEFT($D3,5)="Other",VLOOKUP($A3,'IP1'!$A$37:$G$89,5,0)*VLOOKUP(VLOOKUP($A3,'IP1'!$A$37:$G$89,7,0),Patterns!$A$2:$N$28,COLUMN(U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V3" s="85">
        <f>IF(LEFT($D3,5)="Other",VLOOKUP($A3,'IP1'!$A$37:$G$89,5,0)*VLOOKUP(VLOOKUP($A3,'IP1'!$A$37:$G$89,7,0),Patterns!$A$2:$N$28,COLUMN(V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W3" s="85">
        <f>IF(LEFT($D3,5)="Other",VLOOKUP($A3,'IP1'!$A$37:$G$89,5,0)*VLOOKUP(VLOOKUP($A3,'IP1'!$A$37:$G$89,7,0),Patterns!$A$2:$N$28,COLUMN(W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X3" s="85">
        <f>IF(LEFT($D3,5)="Other",VLOOKUP($A3,'IP1'!$A$37:$G$89,5,0)*VLOOKUP(VLOOKUP($A3,'IP1'!$A$37:$G$89,7,0),Patterns!$A$2:$N$28,COLUMN(X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Y3" s="85">
        <f>IF(LEFT($D3,5)="Other",VLOOKUP($A3,'IP1'!$A$37:$G$89,5,0)*VLOOKUP(VLOOKUP($A3,'IP1'!$A$37:$G$89,7,0),Patterns!$A$2:$N$28,COLUMN(Y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Z3" s="85">
        <f>IF(LEFT($D3,5)="Other",VLOOKUP($A3,'IP1'!$A$37:$G$89,5,0)*VLOOKUP(VLOOKUP($A3,'IP1'!$A$37:$G$89,7,0),Patterns!$A$2:$N$28,COLUMN(Z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AA3" s="85">
        <f>IF(LEFT($D3,5)="Other",VLOOKUP($A3,'IP1'!$A$37:$G$89,5,0)*VLOOKUP(VLOOKUP($A3,'IP1'!$A$37:$G$89,7,0),Patterns!$A$2:$N$28,COLUMN(AA3)-14,0)/VLOOKUP(VLOOKUP($A3,'IP1'!$A$37:$G$89,7,0),Patterns!$A$2:$N$28,2,0),IF(LEFT($D3,7)="Payroll",SUMPRODUCT(($B3='IP1'!$B$96:$B$114)*('IP1'!$E$96:$E$114))/12,SUMPRODUCT(($B3='IP1'!$B$96:$B$114)*('IP1'!$E$96:$E$114))/12*'IP1'!$F$154))</f>
        <v>375</v>
      </c>
      <c r="AB3" s="85">
        <f>IF(LEFT($D3,5)="Other",VLOOKUP($A3,'IP1'!$A$37:$G$89,5,0)*VLOOKUP(VLOOKUP($A3,'IP1'!$A$37:$G$89,7,0),Patterns!$A$2:$N$28,COLUMN(AB3)-14,0)/VLOOKUP(VLOOKUP($A3,'IP1'!$A$37:$G$89,7,0),Patterns!$A$2:$N$28,2,0),IF(LEFT($D3,7)="Payroll",SUMPRODUCT(($B3='IP1'!$B$96:$B$114)*('IP1'!$E$96:$E$114))/12,SUMPRODUCT(($B3='IP1'!$B$96:$B$114)*('IP1'!$E$96:$E$114))/12*'IP1'!$F$154))</f>
        <v>375</v>
      </c>
    </row>
    <row r="4" spans="1:28">
      <c r="A4" s="1" t="str">
        <f t="shared" si="1"/>
        <v>MarketingAdvertising</v>
      </c>
      <c r="B4" s="1" t="s">
        <v>10</v>
      </c>
      <c r="C4" s="11" t="s">
        <v>440</v>
      </c>
      <c r="D4" s="11" t="s">
        <v>100</v>
      </c>
      <c r="E4" s="85">
        <f>IF(LEFT($D4,5)="Other",
VLOOKUP($A4,'IP1'!$A$37:$G$89,4,0)*
VLOOKUP(
VLOOKUP($A4,'IP1'!$A$37:$G$89,7,0),Patterns!$A$2:$N$28,COLUMN(E4)-2,0)/
VLOOKUP(
VLOOKUP($A4,'IP1'!$A$37:$G$89,7,0),Patterns!$A$2:$N$28,2,0),
IF(LEFT($D4,7)="Payroll",
SUMPRODUCT(($B4='IP1'!$B$96:$B$114)*('IP1'!$D$96:$D$114))/12,
SUMPRODUCT(($B4='IP1'!$B$96:$B$114)*('IP1'!$D$96:$D$114))/12*'IP1'!$F$154))</f>
        <v>1250</v>
      </c>
      <c r="F4" s="85">
        <f>IF(LEFT($D4,5)="Other",VLOOKUP($A4,'IP1'!$A$37:$G$89,4,0)*VLOOKUP(VLOOKUP($A4,'IP1'!$A$37:$G$89,7,0),Patterns!$A$2:$N$28,COLUMN(F4)-2,0)/VLOOKUP(VLOOKUP($A4,'IP1'!$A$37:$G$89,7,0),Patterns!$A$2:$N$28,2,0),IF(LEFT($D4,7)="Payroll",SUMPRODUCT(($B4='IP1'!$B$96:$B$114)*('IP1'!$D$96:$D$114))/12,SUMPRODUCT(($B4='IP1'!$B$96:$B$114)*('IP1'!$D$96:$D$114))/12*'IP1'!$F$154))</f>
        <v>0</v>
      </c>
      <c r="G4" s="85">
        <f>IF(LEFT($D4,5)="Other",VLOOKUP($A4,'IP1'!$A$37:$G$89,4,0)*VLOOKUP(VLOOKUP($A4,'IP1'!$A$37:$G$89,7,0),Patterns!$A$2:$N$28,COLUMN(G4)-2,0)/VLOOKUP(VLOOKUP($A4,'IP1'!$A$37:$G$89,7,0),Patterns!$A$2:$N$28,2,0),IF(LEFT($D4,7)="Payroll",SUMPRODUCT(($B4='IP1'!$B$96:$B$114)*('IP1'!$D$96:$D$114))/12,SUMPRODUCT(($B4='IP1'!$B$96:$B$114)*('IP1'!$D$96:$D$114))/12*'IP1'!$F$154))</f>
        <v>0</v>
      </c>
      <c r="H4" s="85">
        <f>IF(LEFT($D4,5)="Other",VLOOKUP($A4,'IP1'!$A$37:$G$89,4,0)*VLOOKUP(VLOOKUP($A4,'IP1'!$A$37:$G$89,7,0),Patterns!$A$2:$N$28,COLUMN(H4)-2,0)/VLOOKUP(VLOOKUP($A4,'IP1'!$A$37:$G$89,7,0),Patterns!$A$2:$N$28,2,0),IF(LEFT($D4,7)="Payroll",SUMPRODUCT(($B4='IP1'!$B$96:$B$114)*('IP1'!$D$96:$D$114))/12,SUMPRODUCT(($B4='IP1'!$B$96:$B$114)*('IP1'!$D$96:$D$114))/12*'IP1'!$F$154))</f>
        <v>1250</v>
      </c>
      <c r="I4" s="85">
        <f>IF(LEFT($D4,5)="Other",VLOOKUP($A4,'IP1'!$A$37:$G$89,4,0)*VLOOKUP(VLOOKUP($A4,'IP1'!$A$37:$G$89,7,0),Patterns!$A$2:$N$28,COLUMN(I4)-2,0)/VLOOKUP(VLOOKUP($A4,'IP1'!$A$37:$G$89,7,0),Patterns!$A$2:$N$28,2,0),IF(LEFT($D4,7)="Payroll",SUMPRODUCT(($B4='IP1'!$B$96:$B$114)*('IP1'!$D$96:$D$114))/12,SUMPRODUCT(($B4='IP1'!$B$96:$B$114)*('IP1'!$D$96:$D$114))/12*'IP1'!$F$154))</f>
        <v>0</v>
      </c>
      <c r="J4" s="85">
        <f>IF(LEFT($D4,5)="Other",VLOOKUP($A4,'IP1'!$A$37:$G$89,4,0)*VLOOKUP(VLOOKUP($A4,'IP1'!$A$37:$G$89,7,0),Patterns!$A$2:$N$28,COLUMN(J4)-2,0)/VLOOKUP(VLOOKUP($A4,'IP1'!$A$37:$G$89,7,0),Patterns!$A$2:$N$28,2,0),IF(LEFT($D4,7)="Payroll",SUMPRODUCT(($B4='IP1'!$B$96:$B$114)*('IP1'!$D$96:$D$114))/12,SUMPRODUCT(($B4='IP1'!$B$96:$B$114)*('IP1'!$D$96:$D$114))/12*'IP1'!$F$154))</f>
        <v>0</v>
      </c>
      <c r="K4" s="85">
        <f>IF(LEFT($D4,5)="Other",VLOOKUP($A4,'IP1'!$A$37:$G$89,4,0)*VLOOKUP(VLOOKUP($A4,'IP1'!$A$37:$G$89,7,0),Patterns!$A$2:$N$28,COLUMN(K4)-2,0)/VLOOKUP(VLOOKUP($A4,'IP1'!$A$37:$G$89,7,0),Patterns!$A$2:$N$28,2,0),IF(LEFT($D4,7)="Payroll",SUMPRODUCT(($B4='IP1'!$B$96:$B$114)*('IP1'!$D$96:$D$114))/12,SUMPRODUCT(($B4='IP1'!$B$96:$B$114)*('IP1'!$D$96:$D$114))/12*'IP1'!$F$154))</f>
        <v>1250</v>
      </c>
      <c r="L4" s="85">
        <f>IF(LEFT($D4,5)="Other",VLOOKUP($A4,'IP1'!$A$37:$G$89,4,0)*VLOOKUP(VLOOKUP($A4,'IP1'!$A$37:$G$89,7,0),Patterns!$A$2:$N$28,COLUMN(L4)-2,0)/VLOOKUP(VLOOKUP($A4,'IP1'!$A$37:$G$89,7,0),Patterns!$A$2:$N$28,2,0),IF(LEFT($D4,7)="Payroll",SUMPRODUCT(($B4='IP1'!$B$96:$B$114)*('IP1'!$D$96:$D$114))/12,SUMPRODUCT(($B4='IP1'!$B$96:$B$114)*('IP1'!$D$96:$D$114))/12*'IP1'!$F$154))</f>
        <v>0</v>
      </c>
      <c r="M4" s="85">
        <f>IF(LEFT($D4,5)="Other",VLOOKUP($A4,'IP1'!$A$37:$G$89,4,0)*VLOOKUP(VLOOKUP($A4,'IP1'!$A$37:$G$89,7,0),Patterns!$A$2:$N$28,COLUMN(M4)-2,0)/VLOOKUP(VLOOKUP($A4,'IP1'!$A$37:$G$89,7,0),Patterns!$A$2:$N$28,2,0),IF(LEFT($D4,7)="Payroll",SUMPRODUCT(($B4='IP1'!$B$96:$B$114)*('IP1'!$D$96:$D$114))/12,SUMPRODUCT(($B4='IP1'!$B$96:$B$114)*('IP1'!$D$96:$D$114))/12*'IP1'!$F$154))</f>
        <v>0</v>
      </c>
      <c r="N4" s="85">
        <f>IF(LEFT($D4,5)="Other",VLOOKUP($A4,'IP1'!$A$37:$G$89,4,0)*VLOOKUP(VLOOKUP($A4,'IP1'!$A$37:$G$89,7,0),Patterns!$A$2:$N$28,COLUMN(N4)-2,0)/VLOOKUP(VLOOKUP($A4,'IP1'!$A$37:$G$89,7,0),Patterns!$A$2:$N$28,2,0),IF(LEFT($D4,7)="Payroll",SUMPRODUCT(($B4='IP1'!$B$96:$B$114)*('IP1'!$D$96:$D$114))/12,SUMPRODUCT(($B4='IP1'!$B$96:$B$114)*('IP1'!$D$96:$D$114))/12*'IP1'!$F$154))</f>
        <v>1250</v>
      </c>
      <c r="O4" s="85">
        <f>IF(LEFT($D4,5)="Other",VLOOKUP($A4,'IP1'!$A$37:$G$89,4,0)*VLOOKUP(VLOOKUP($A4,'IP1'!$A$37:$G$89,7,0),Patterns!$A$2:$N$28,COLUMN(O4)-2,0)/VLOOKUP(VLOOKUP($A4,'IP1'!$A$37:$G$89,7,0),Patterns!$A$2:$N$28,2,0),IF(LEFT($D4,7)="Payroll",SUMPRODUCT(($B4='IP1'!$B$96:$B$114)*('IP1'!$D$96:$D$114))/12,SUMPRODUCT(($B4='IP1'!$B$96:$B$114)*('IP1'!$D$96:$D$114))/12*'IP1'!$F$154))</f>
        <v>0</v>
      </c>
      <c r="P4" s="85">
        <f>IF(LEFT($D4,5)="Other",VLOOKUP($A4,'IP1'!$A$37:$G$89,4,0)*VLOOKUP(VLOOKUP($A4,'IP1'!$A$37:$G$89,7,0),Patterns!$A$2:$N$28,COLUMN(P4)-2,0)/VLOOKUP(VLOOKUP($A4,'IP1'!$A$37:$G$89,7,0),Patterns!$A$2:$N$28,2,0),IF(LEFT($D4,7)="Payroll",SUMPRODUCT(($B4='IP1'!$B$96:$B$114)*('IP1'!$D$96:$D$114))/12,SUMPRODUCT(($B4='IP1'!$B$96:$B$114)*('IP1'!$D$96:$D$114))/12*'IP1'!$F$154))</f>
        <v>0</v>
      </c>
      <c r="Q4" s="85">
        <f>IF(LEFT($D4,5)="Other",VLOOKUP($A4,'IP1'!$A$37:$G$89,5,0)*VLOOKUP(VLOOKUP($A4,'IP1'!$A$37:$G$89,7,0),Patterns!$A$2:$N$28,COLUMN(Q4)-14,0)/VLOOKUP(VLOOKUP($A4,'IP1'!$A$37:$G$89,7,0),Patterns!$A$2:$N$28,2,0),IF(LEFT($D4,7)="Payroll",SUMPRODUCT(($B4='IP1'!$B$96:$B$114)*('IP1'!$E$96:$E$114))/12,SUMPRODUCT(($B4='IP1'!$B$96:$B$114)*('IP1'!$E$96:$E$114))/12*'IP1'!$F$154))</f>
        <v>1250</v>
      </c>
      <c r="R4" s="85">
        <f>IF(LEFT($D4,5)="Other",VLOOKUP($A4,'IP1'!$A$37:$G$89,5,0)*VLOOKUP(VLOOKUP($A4,'IP1'!$A$37:$G$89,7,0),Patterns!$A$2:$N$28,COLUMN(R4)-14,0)/VLOOKUP(VLOOKUP($A4,'IP1'!$A$37:$G$89,7,0),Patterns!$A$2:$N$28,2,0),IF(LEFT($D4,7)="Payroll",SUMPRODUCT(($B4='IP1'!$B$96:$B$114)*('IP1'!$E$96:$E$114))/12,SUMPRODUCT(($B4='IP1'!$B$96:$B$114)*('IP1'!$E$96:$E$114))/12*'IP1'!$F$154))</f>
        <v>0</v>
      </c>
      <c r="S4" s="85">
        <f>IF(LEFT($D4,5)="Other",VLOOKUP($A4,'IP1'!$A$37:$G$89,5,0)*VLOOKUP(VLOOKUP($A4,'IP1'!$A$37:$G$89,7,0),Patterns!$A$2:$N$28,COLUMN(S4)-14,0)/VLOOKUP(VLOOKUP($A4,'IP1'!$A$37:$G$89,7,0),Patterns!$A$2:$N$28,2,0),IF(LEFT($D4,7)="Payroll",SUMPRODUCT(($B4='IP1'!$B$96:$B$114)*('IP1'!$E$96:$E$114))/12,SUMPRODUCT(($B4='IP1'!$B$96:$B$114)*('IP1'!$E$96:$E$114))/12*'IP1'!$F$154))</f>
        <v>0</v>
      </c>
      <c r="T4" s="85">
        <f>IF(LEFT($D4,5)="Other",VLOOKUP($A4,'IP1'!$A$37:$G$89,5,0)*VLOOKUP(VLOOKUP($A4,'IP1'!$A$37:$G$89,7,0),Patterns!$A$2:$N$28,COLUMN(T4)-14,0)/VLOOKUP(VLOOKUP($A4,'IP1'!$A$37:$G$89,7,0),Patterns!$A$2:$N$28,2,0),IF(LEFT($D4,7)="Payroll",SUMPRODUCT(($B4='IP1'!$B$96:$B$114)*('IP1'!$E$96:$E$114))/12,SUMPRODUCT(($B4='IP1'!$B$96:$B$114)*('IP1'!$E$96:$E$114))/12*'IP1'!$F$154))</f>
        <v>1250</v>
      </c>
      <c r="U4" s="85">
        <f>IF(LEFT($D4,5)="Other",VLOOKUP($A4,'IP1'!$A$37:$G$89,5,0)*VLOOKUP(VLOOKUP($A4,'IP1'!$A$37:$G$89,7,0),Patterns!$A$2:$N$28,COLUMN(U4)-14,0)/VLOOKUP(VLOOKUP($A4,'IP1'!$A$37:$G$89,7,0),Patterns!$A$2:$N$28,2,0),IF(LEFT($D4,7)="Payroll",SUMPRODUCT(($B4='IP1'!$B$96:$B$114)*('IP1'!$E$96:$E$114))/12,SUMPRODUCT(($B4='IP1'!$B$96:$B$114)*('IP1'!$E$96:$E$114))/12*'IP1'!$F$154))</f>
        <v>0</v>
      </c>
      <c r="V4" s="85">
        <f>IF(LEFT($D4,5)="Other",VLOOKUP($A4,'IP1'!$A$37:$G$89,5,0)*VLOOKUP(VLOOKUP($A4,'IP1'!$A$37:$G$89,7,0),Patterns!$A$2:$N$28,COLUMN(V4)-14,0)/VLOOKUP(VLOOKUP($A4,'IP1'!$A$37:$G$89,7,0),Patterns!$A$2:$N$28,2,0),IF(LEFT($D4,7)="Payroll",SUMPRODUCT(($B4='IP1'!$B$96:$B$114)*('IP1'!$E$96:$E$114))/12,SUMPRODUCT(($B4='IP1'!$B$96:$B$114)*('IP1'!$E$96:$E$114))/12*'IP1'!$F$154))</f>
        <v>0</v>
      </c>
      <c r="W4" s="85">
        <f>IF(LEFT($D4,5)="Other",VLOOKUP($A4,'IP1'!$A$37:$G$89,5,0)*VLOOKUP(VLOOKUP($A4,'IP1'!$A$37:$G$89,7,0),Patterns!$A$2:$N$28,COLUMN(W4)-14,0)/VLOOKUP(VLOOKUP($A4,'IP1'!$A$37:$G$89,7,0),Patterns!$A$2:$N$28,2,0),IF(LEFT($D4,7)="Payroll",SUMPRODUCT(($B4='IP1'!$B$96:$B$114)*('IP1'!$E$96:$E$114))/12,SUMPRODUCT(($B4='IP1'!$B$96:$B$114)*('IP1'!$E$96:$E$114))/12*'IP1'!$F$154))</f>
        <v>1250</v>
      </c>
      <c r="X4" s="85">
        <f>IF(LEFT($D4,5)="Other",VLOOKUP($A4,'IP1'!$A$37:$G$89,5,0)*VLOOKUP(VLOOKUP($A4,'IP1'!$A$37:$G$89,7,0),Patterns!$A$2:$N$28,COLUMN(X4)-14,0)/VLOOKUP(VLOOKUP($A4,'IP1'!$A$37:$G$89,7,0),Patterns!$A$2:$N$28,2,0),IF(LEFT($D4,7)="Payroll",SUMPRODUCT(($B4='IP1'!$B$96:$B$114)*('IP1'!$E$96:$E$114))/12,SUMPRODUCT(($B4='IP1'!$B$96:$B$114)*('IP1'!$E$96:$E$114))/12*'IP1'!$F$154))</f>
        <v>0</v>
      </c>
      <c r="Y4" s="85">
        <f>IF(LEFT($D4,5)="Other",VLOOKUP($A4,'IP1'!$A$37:$G$89,5,0)*VLOOKUP(VLOOKUP($A4,'IP1'!$A$37:$G$89,7,0),Patterns!$A$2:$N$28,COLUMN(Y4)-14,0)/VLOOKUP(VLOOKUP($A4,'IP1'!$A$37:$G$89,7,0),Patterns!$A$2:$N$28,2,0),IF(LEFT($D4,7)="Payroll",SUMPRODUCT(($B4='IP1'!$B$96:$B$114)*('IP1'!$E$96:$E$114))/12,SUMPRODUCT(($B4='IP1'!$B$96:$B$114)*('IP1'!$E$96:$E$114))/12*'IP1'!$F$154))</f>
        <v>0</v>
      </c>
      <c r="Z4" s="85">
        <f>IF(LEFT($D4,5)="Other",VLOOKUP($A4,'IP1'!$A$37:$G$89,5,0)*VLOOKUP(VLOOKUP($A4,'IP1'!$A$37:$G$89,7,0),Patterns!$A$2:$N$28,COLUMN(Z4)-14,0)/VLOOKUP(VLOOKUP($A4,'IP1'!$A$37:$G$89,7,0),Patterns!$A$2:$N$28,2,0),IF(LEFT($D4,7)="Payroll",SUMPRODUCT(($B4='IP1'!$B$96:$B$114)*('IP1'!$E$96:$E$114))/12,SUMPRODUCT(($B4='IP1'!$B$96:$B$114)*('IP1'!$E$96:$E$114))/12*'IP1'!$F$154))</f>
        <v>1250</v>
      </c>
      <c r="AA4" s="85">
        <f>IF(LEFT($D4,5)="Other",VLOOKUP($A4,'IP1'!$A$37:$G$89,5,0)*VLOOKUP(VLOOKUP($A4,'IP1'!$A$37:$G$89,7,0),Patterns!$A$2:$N$28,COLUMN(AA4)-14,0)/VLOOKUP(VLOOKUP($A4,'IP1'!$A$37:$G$89,7,0),Patterns!$A$2:$N$28,2,0),IF(LEFT($D4,7)="Payroll",SUMPRODUCT(($B4='IP1'!$B$96:$B$114)*('IP1'!$E$96:$E$114))/12,SUMPRODUCT(($B4='IP1'!$B$96:$B$114)*('IP1'!$E$96:$E$114))/12*'IP1'!$F$154))</f>
        <v>0</v>
      </c>
      <c r="AB4" s="85">
        <f>IF(LEFT($D4,5)="Other",VLOOKUP($A4,'IP1'!$A$37:$G$89,5,0)*VLOOKUP(VLOOKUP($A4,'IP1'!$A$37:$G$89,7,0),Patterns!$A$2:$N$28,COLUMN(AB4)-14,0)/VLOOKUP(VLOOKUP($A4,'IP1'!$A$37:$G$89,7,0),Patterns!$A$2:$N$28,2,0),IF(LEFT($D4,7)="Payroll",SUMPRODUCT(($B4='IP1'!$B$96:$B$114)*('IP1'!$E$96:$E$114))/12,SUMPRODUCT(($B4='IP1'!$B$96:$B$114)*('IP1'!$E$96:$E$114))/12*'IP1'!$F$154))</f>
        <v>0</v>
      </c>
    </row>
    <row r="5" spans="1:28">
      <c r="A5" s="1" t="str">
        <f t="shared" si="1"/>
        <v>MarketingFees / Commissions</v>
      </c>
      <c r="B5" s="1" t="s">
        <v>10</v>
      </c>
      <c r="C5" s="11" t="s">
        <v>441</v>
      </c>
      <c r="D5" s="11" t="s">
        <v>100</v>
      </c>
      <c r="E5" s="85">
        <f>IF(LEFT($D5,5)="Other",
VLOOKUP($A5,'IP1'!$A$37:$G$89,4,0)*
VLOOKUP(
VLOOKUP($A5,'IP1'!$A$37:$G$89,7,0),Patterns!$A$2:$N$28,COLUMN(E5)-2,0)/
VLOOKUP(
VLOOKUP($A5,'IP1'!$A$37:$G$89,7,0),Patterns!$A$2:$N$28,2,0),
IF(LEFT($D5,7)="Payroll",
SUMPRODUCT(($B5='IP1'!$B$96:$B$114)*('IP1'!$D$96:$D$114))/12,
SUMPRODUCT(($B5='IP1'!$B$96:$B$114)*('IP1'!$D$96:$D$114))/12*'IP1'!$F$154))</f>
        <v>1250</v>
      </c>
      <c r="F5" s="85">
        <f>IF(LEFT($D5,5)="Other",VLOOKUP($A5,'IP1'!$A$37:$G$89,4,0)*VLOOKUP(VLOOKUP($A5,'IP1'!$A$37:$G$89,7,0),Patterns!$A$2:$N$28,COLUMN(F5)-2,0)/VLOOKUP(VLOOKUP($A5,'IP1'!$A$37:$G$89,7,0),Patterns!$A$2:$N$28,2,0),IF(LEFT($D5,7)="Payroll",SUMPRODUCT(($B5='IP1'!$B$96:$B$114)*('IP1'!$D$96:$D$114))/12,SUMPRODUCT(($B5='IP1'!$B$96:$B$114)*('IP1'!$D$96:$D$114))/12*'IP1'!$F$154))</f>
        <v>0</v>
      </c>
      <c r="G5" s="85">
        <f>IF(LEFT($D5,5)="Other",VLOOKUP($A5,'IP1'!$A$37:$G$89,4,0)*VLOOKUP(VLOOKUP($A5,'IP1'!$A$37:$G$89,7,0),Patterns!$A$2:$N$28,COLUMN(G5)-2,0)/VLOOKUP(VLOOKUP($A5,'IP1'!$A$37:$G$89,7,0),Patterns!$A$2:$N$28,2,0),IF(LEFT($D5,7)="Payroll",SUMPRODUCT(($B5='IP1'!$B$96:$B$114)*('IP1'!$D$96:$D$114))/12,SUMPRODUCT(($B5='IP1'!$B$96:$B$114)*('IP1'!$D$96:$D$114))/12*'IP1'!$F$154))</f>
        <v>0</v>
      </c>
      <c r="H5" s="85">
        <f>IF(LEFT($D5,5)="Other",VLOOKUP($A5,'IP1'!$A$37:$G$89,4,0)*VLOOKUP(VLOOKUP($A5,'IP1'!$A$37:$G$89,7,0),Patterns!$A$2:$N$28,COLUMN(H5)-2,0)/VLOOKUP(VLOOKUP($A5,'IP1'!$A$37:$G$89,7,0),Patterns!$A$2:$N$28,2,0),IF(LEFT($D5,7)="Payroll",SUMPRODUCT(($B5='IP1'!$B$96:$B$114)*('IP1'!$D$96:$D$114))/12,SUMPRODUCT(($B5='IP1'!$B$96:$B$114)*('IP1'!$D$96:$D$114))/12*'IP1'!$F$154))</f>
        <v>1250</v>
      </c>
      <c r="I5" s="85">
        <f>IF(LEFT($D5,5)="Other",VLOOKUP($A5,'IP1'!$A$37:$G$89,4,0)*VLOOKUP(VLOOKUP($A5,'IP1'!$A$37:$G$89,7,0),Patterns!$A$2:$N$28,COLUMN(I5)-2,0)/VLOOKUP(VLOOKUP($A5,'IP1'!$A$37:$G$89,7,0),Patterns!$A$2:$N$28,2,0),IF(LEFT($D5,7)="Payroll",SUMPRODUCT(($B5='IP1'!$B$96:$B$114)*('IP1'!$D$96:$D$114))/12,SUMPRODUCT(($B5='IP1'!$B$96:$B$114)*('IP1'!$D$96:$D$114))/12*'IP1'!$F$154))</f>
        <v>0</v>
      </c>
      <c r="J5" s="85">
        <f>IF(LEFT($D5,5)="Other",VLOOKUP($A5,'IP1'!$A$37:$G$89,4,0)*VLOOKUP(VLOOKUP($A5,'IP1'!$A$37:$G$89,7,0),Patterns!$A$2:$N$28,COLUMN(J5)-2,0)/VLOOKUP(VLOOKUP($A5,'IP1'!$A$37:$G$89,7,0),Patterns!$A$2:$N$28,2,0),IF(LEFT($D5,7)="Payroll",SUMPRODUCT(($B5='IP1'!$B$96:$B$114)*('IP1'!$D$96:$D$114))/12,SUMPRODUCT(($B5='IP1'!$B$96:$B$114)*('IP1'!$D$96:$D$114))/12*'IP1'!$F$154))</f>
        <v>0</v>
      </c>
      <c r="K5" s="85">
        <f>IF(LEFT($D5,5)="Other",VLOOKUP($A5,'IP1'!$A$37:$G$89,4,0)*VLOOKUP(VLOOKUP($A5,'IP1'!$A$37:$G$89,7,0),Patterns!$A$2:$N$28,COLUMN(K5)-2,0)/VLOOKUP(VLOOKUP($A5,'IP1'!$A$37:$G$89,7,0),Patterns!$A$2:$N$28,2,0),IF(LEFT($D5,7)="Payroll",SUMPRODUCT(($B5='IP1'!$B$96:$B$114)*('IP1'!$D$96:$D$114))/12,SUMPRODUCT(($B5='IP1'!$B$96:$B$114)*('IP1'!$D$96:$D$114))/12*'IP1'!$F$154))</f>
        <v>1250</v>
      </c>
      <c r="L5" s="85">
        <f>IF(LEFT($D5,5)="Other",VLOOKUP($A5,'IP1'!$A$37:$G$89,4,0)*VLOOKUP(VLOOKUP($A5,'IP1'!$A$37:$G$89,7,0),Patterns!$A$2:$N$28,COLUMN(L5)-2,0)/VLOOKUP(VLOOKUP($A5,'IP1'!$A$37:$G$89,7,0),Patterns!$A$2:$N$28,2,0),IF(LEFT($D5,7)="Payroll",SUMPRODUCT(($B5='IP1'!$B$96:$B$114)*('IP1'!$D$96:$D$114))/12,SUMPRODUCT(($B5='IP1'!$B$96:$B$114)*('IP1'!$D$96:$D$114))/12*'IP1'!$F$154))</f>
        <v>0</v>
      </c>
      <c r="M5" s="85">
        <f>IF(LEFT($D5,5)="Other",VLOOKUP($A5,'IP1'!$A$37:$G$89,4,0)*VLOOKUP(VLOOKUP($A5,'IP1'!$A$37:$G$89,7,0),Patterns!$A$2:$N$28,COLUMN(M5)-2,0)/VLOOKUP(VLOOKUP($A5,'IP1'!$A$37:$G$89,7,0),Patterns!$A$2:$N$28,2,0),IF(LEFT($D5,7)="Payroll",SUMPRODUCT(($B5='IP1'!$B$96:$B$114)*('IP1'!$D$96:$D$114))/12,SUMPRODUCT(($B5='IP1'!$B$96:$B$114)*('IP1'!$D$96:$D$114))/12*'IP1'!$F$154))</f>
        <v>0</v>
      </c>
      <c r="N5" s="85">
        <f>IF(LEFT($D5,5)="Other",VLOOKUP($A5,'IP1'!$A$37:$G$89,4,0)*VLOOKUP(VLOOKUP($A5,'IP1'!$A$37:$G$89,7,0),Patterns!$A$2:$N$28,COLUMN(N5)-2,0)/VLOOKUP(VLOOKUP($A5,'IP1'!$A$37:$G$89,7,0),Patterns!$A$2:$N$28,2,0),IF(LEFT($D5,7)="Payroll",SUMPRODUCT(($B5='IP1'!$B$96:$B$114)*('IP1'!$D$96:$D$114))/12,SUMPRODUCT(($B5='IP1'!$B$96:$B$114)*('IP1'!$D$96:$D$114))/12*'IP1'!$F$154))</f>
        <v>1250</v>
      </c>
      <c r="O5" s="85">
        <f>IF(LEFT($D5,5)="Other",VLOOKUP($A5,'IP1'!$A$37:$G$89,4,0)*VLOOKUP(VLOOKUP($A5,'IP1'!$A$37:$G$89,7,0),Patterns!$A$2:$N$28,COLUMN(O5)-2,0)/VLOOKUP(VLOOKUP($A5,'IP1'!$A$37:$G$89,7,0),Patterns!$A$2:$N$28,2,0),IF(LEFT($D5,7)="Payroll",SUMPRODUCT(($B5='IP1'!$B$96:$B$114)*('IP1'!$D$96:$D$114))/12,SUMPRODUCT(($B5='IP1'!$B$96:$B$114)*('IP1'!$D$96:$D$114))/12*'IP1'!$F$154))</f>
        <v>0</v>
      </c>
      <c r="P5" s="85">
        <f>IF(LEFT($D5,5)="Other",VLOOKUP($A5,'IP1'!$A$37:$G$89,4,0)*VLOOKUP(VLOOKUP($A5,'IP1'!$A$37:$G$89,7,0),Patterns!$A$2:$N$28,COLUMN(P5)-2,0)/VLOOKUP(VLOOKUP($A5,'IP1'!$A$37:$G$89,7,0),Patterns!$A$2:$N$28,2,0),IF(LEFT($D5,7)="Payroll",SUMPRODUCT(($B5='IP1'!$B$96:$B$114)*('IP1'!$D$96:$D$114))/12,SUMPRODUCT(($B5='IP1'!$B$96:$B$114)*('IP1'!$D$96:$D$114))/12*'IP1'!$F$154))</f>
        <v>0</v>
      </c>
      <c r="Q5" s="85">
        <f>IF(LEFT($D5,5)="Other",VLOOKUP($A5,'IP1'!$A$37:$G$89,5,0)*VLOOKUP(VLOOKUP($A5,'IP1'!$A$37:$G$89,7,0),Patterns!$A$2:$N$28,COLUMN(Q5)-14,0)/VLOOKUP(VLOOKUP($A5,'IP1'!$A$37:$G$89,7,0),Patterns!$A$2:$N$28,2,0),IF(LEFT($D5,7)="Payroll",SUMPRODUCT(($B5='IP1'!$B$96:$B$114)*('IP1'!$E$96:$E$114))/12,SUMPRODUCT(($B5='IP1'!$B$96:$B$114)*('IP1'!$E$96:$E$114))/12*'IP1'!$F$154))</f>
        <v>1250</v>
      </c>
      <c r="R5" s="85">
        <f>IF(LEFT($D5,5)="Other",VLOOKUP($A5,'IP1'!$A$37:$G$89,5,0)*VLOOKUP(VLOOKUP($A5,'IP1'!$A$37:$G$89,7,0),Patterns!$A$2:$N$28,COLUMN(R5)-14,0)/VLOOKUP(VLOOKUP($A5,'IP1'!$A$37:$G$89,7,0),Patterns!$A$2:$N$28,2,0),IF(LEFT($D5,7)="Payroll",SUMPRODUCT(($B5='IP1'!$B$96:$B$114)*('IP1'!$E$96:$E$114))/12,SUMPRODUCT(($B5='IP1'!$B$96:$B$114)*('IP1'!$E$96:$E$114))/12*'IP1'!$F$154))</f>
        <v>0</v>
      </c>
      <c r="S5" s="85">
        <f>IF(LEFT($D5,5)="Other",VLOOKUP($A5,'IP1'!$A$37:$G$89,5,0)*VLOOKUP(VLOOKUP($A5,'IP1'!$A$37:$G$89,7,0),Patterns!$A$2:$N$28,COLUMN(S5)-14,0)/VLOOKUP(VLOOKUP($A5,'IP1'!$A$37:$G$89,7,0),Patterns!$A$2:$N$28,2,0),IF(LEFT($D5,7)="Payroll",SUMPRODUCT(($B5='IP1'!$B$96:$B$114)*('IP1'!$E$96:$E$114))/12,SUMPRODUCT(($B5='IP1'!$B$96:$B$114)*('IP1'!$E$96:$E$114))/12*'IP1'!$F$154))</f>
        <v>0</v>
      </c>
      <c r="T5" s="85">
        <f>IF(LEFT($D5,5)="Other",VLOOKUP($A5,'IP1'!$A$37:$G$89,5,0)*VLOOKUP(VLOOKUP($A5,'IP1'!$A$37:$G$89,7,0),Patterns!$A$2:$N$28,COLUMN(T5)-14,0)/VLOOKUP(VLOOKUP($A5,'IP1'!$A$37:$G$89,7,0),Patterns!$A$2:$N$28,2,0),IF(LEFT($D5,7)="Payroll",SUMPRODUCT(($B5='IP1'!$B$96:$B$114)*('IP1'!$E$96:$E$114))/12,SUMPRODUCT(($B5='IP1'!$B$96:$B$114)*('IP1'!$E$96:$E$114))/12*'IP1'!$F$154))</f>
        <v>1250</v>
      </c>
      <c r="U5" s="85">
        <f>IF(LEFT($D5,5)="Other",VLOOKUP($A5,'IP1'!$A$37:$G$89,5,0)*VLOOKUP(VLOOKUP($A5,'IP1'!$A$37:$G$89,7,0),Patterns!$A$2:$N$28,COLUMN(U5)-14,0)/VLOOKUP(VLOOKUP($A5,'IP1'!$A$37:$G$89,7,0),Patterns!$A$2:$N$28,2,0),IF(LEFT($D5,7)="Payroll",SUMPRODUCT(($B5='IP1'!$B$96:$B$114)*('IP1'!$E$96:$E$114))/12,SUMPRODUCT(($B5='IP1'!$B$96:$B$114)*('IP1'!$E$96:$E$114))/12*'IP1'!$F$154))</f>
        <v>0</v>
      </c>
      <c r="V5" s="85">
        <f>IF(LEFT($D5,5)="Other",VLOOKUP($A5,'IP1'!$A$37:$G$89,5,0)*VLOOKUP(VLOOKUP($A5,'IP1'!$A$37:$G$89,7,0),Patterns!$A$2:$N$28,COLUMN(V5)-14,0)/VLOOKUP(VLOOKUP($A5,'IP1'!$A$37:$G$89,7,0),Patterns!$A$2:$N$28,2,0),IF(LEFT($D5,7)="Payroll",SUMPRODUCT(($B5='IP1'!$B$96:$B$114)*('IP1'!$E$96:$E$114))/12,SUMPRODUCT(($B5='IP1'!$B$96:$B$114)*('IP1'!$E$96:$E$114))/12*'IP1'!$F$154))</f>
        <v>0</v>
      </c>
      <c r="W5" s="85">
        <f>IF(LEFT($D5,5)="Other",VLOOKUP($A5,'IP1'!$A$37:$G$89,5,0)*VLOOKUP(VLOOKUP($A5,'IP1'!$A$37:$G$89,7,0),Patterns!$A$2:$N$28,COLUMN(W5)-14,0)/VLOOKUP(VLOOKUP($A5,'IP1'!$A$37:$G$89,7,0),Patterns!$A$2:$N$28,2,0),IF(LEFT($D5,7)="Payroll",SUMPRODUCT(($B5='IP1'!$B$96:$B$114)*('IP1'!$E$96:$E$114))/12,SUMPRODUCT(($B5='IP1'!$B$96:$B$114)*('IP1'!$E$96:$E$114))/12*'IP1'!$F$154))</f>
        <v>1250</v>
      </c>
      <c r="X5" s="85">
        <f>IF(LEFT($D5,5)="Other",VLOOKUP($A5,'IP1'!$A$37:$G$89,5,0)*VLOOKUP(VLOOKUP($A5,'IP1'!$A$37:$G$89,7,0),Patterns!$A$2:$N$28,COLUMN(X5)-14,0)/VLOOKUP(VLOOKUP($A5,'IP1'!$A$37:$G$89,7,0),Patterns!$A$2:$N$28,2,0),IF(LEFT($D5,7)="Payroll",SUMPRODUCT(($B5='IP1'!$B$96:$B$114)*('IP1'!$E$96:$E$114))/12,SUMPRODUCT(($B5='IP1'!$B$96:$B$114)*('IP1'!$E$96:$E$114))/12*'IP1'!$F$154))</f>
        <v>0</v>
      </c>
      <c r="Y5" s="85">
        <f>IF(LEFT($D5,5)="Other",VLOOKUP($A5,'IP1'!$A$37:$G$89,5,0)*VLOOKUP(VLOOKUP($A5,'IP1'!$A$37:$G$89,7,0),Patterns!$A$2:$N$28,COLUMN(Y5)-14,0)/VLOOKUP(VLOOKUP($A5,'IP1'!$A$37:$G$89,7,0),Patterns!$A$2:$N$28,2,0),IF(LEFT($D5,7)="Payroll",SUMPRODUCT(($B5='IP1'!$B$96:$B$114)*('IP1'!$E$96:$E$114))/12,SUMPRODUCT(($B5='IP1'!$B$96:$B$114)*('IP1'!$E$96:$E$114))/12*'IP1'!$F$154))</f>
        <v>0</v>
      </c>
      <c r="Z5" s="85">
        <f>IF(LEFT($D5,5)="Other",VLOOKUP($A5,'IP1'!$A$37:$G$89,5,0)*VLOOKUP(VLOOKUP($A5,'IP1'!$A$37:$G$89,7,0),Patterns!$A$2:$N$28,COLUMN(Z5)-14,0)/VLOOKUP(VLOOKUP($A5,'IP1'!$A$37:$G$89,7,0),Patterns!$A$2:$N$28,2,0),IF(LEFT($D5,7)="Payroll",SUMPRODUCT(($B5='IP1'!$B$96:$B$114)*('IP1'!$E$96:$E$114))/12,SUMPRODUCT(($B5='IP1'!$B$96:$B$114)*('IP1'!$E$96:$E$114))/12*'IP1'!$F$154))</f>
        <v>1250</v>
      </c>
      <c r="AA5" s="85">
        <f>IF(LEFT($D5,5)="Other",VLOOKUP($A5,'IP1'!$A$37:$G$89,5,0)*VLOOKUP(VLOOKUP($A5,'IP1'!$A$37:$G$89,7,0),Patterns!$A$2:$N$28,COLUMN(AA5)-14,0)/VLOOKUP(VLOOKUP($A5,'IP1'!$A$37:$G$89,7,0),Patterns!$A$2:$N$28,2,0),IF(LEFT($D5,7)="Payroll",SUMPRODUCT(($B5='IP1'!$B$96:$B$114)*('IP1'!$E$96:$E$114))/12,SUMPRODUCT(($B5='IP1'!$B$96:$B$114)*('IP1'!$E$96:$E$114))/12*'IP1'!$F$154))</f>
        <v>0</v>
      </c>
      <c r="AB5" s="85">
        <f>IF(LEFT($D5,5)="Other",VLOOKUP($A5,'IP1'!$A$37:$G$89,5,0)*VLOOKUP(VLOOKUP($A5,'IP1'!$A$37:$G$89,7,0),Patterns!$A$2:$N$28,COLUMN(AB5)-14,0)/VLOOKUP(VLOOKUP($A5,'IP1'!$A$37:$G$89,7,0),Patterns!$A$2:$N$28,2,0),IF(LEFT($D5,7)="Payroll",SUMPRODUCT(($B5='IP1'!$B$96:$B$114)*('IP1'!$E$96:$E$114))/12,SUMPRODUCT(($B5='IP1'!$B$96:$B$114)*('IP1'!$E$96:$E$114))/12*'IP1'!$F$154))</f>
        <v>0</v>
      </c>
    </row>
    <row r="6" spans="1:28">
      <c r="A6" s="1" t="str">
        <f t="shared" si="1"/>
        <v>MarketingMerchandising</v>
      </c>
      <c r="B6" s="1" t="s">
        <v>10</v>
      </c>
      <c r="C6" s="11" t="s">
        <v>442</v>
      </c>
      <c r="D6" s="11" t="s">
        <v>100</v>
      </c>
      <c r="E6" s="85">
        <f>IF(LEFT($D6,5)="Other",
VLOOKUP($A6,'IP1'!$A$37:$G$89,4,0)*
VLOOKUP(
VLOOKUP($A6,'IP1'!$A$37:$G$89,7,0),Patterns!$A$2:$N$28,COLUMN(E6)-2,0)/
VLOOKUP(
VLOOKUP($A6,'IP1'!$A$37:$G$89,7,0),Patterns!$A$2:$N$28,2,0),
IF(LEFT($D6,7)="Payroll",
SUMPRODUCT(($B6='IP1'!$B$96:$B$114)*('IP1'!$D$96:$D$114))/12,
SUMPRODUCT(($B6='IP1'!$B$96:$B$114)*('IP1'!$D$96:$D$114))/12*'IP1'!$F$154))</f>
        <v>0</v>
      </c>
      <c r="F6" s="85">
        <f>IF(LEFT($D6,5)="Other",VLOOKUP($A6,'IP1'!$A$37:$G$89,4,0)*VLOOKUP(VLOOKUP($A6,'IP1'!$A$37:$G$89,7,0),Patterns!$A$2:$N$28,COLUMN(F6)-2,0)/VLOOKUP(VLOOKUP($A6,'IP1'!$A$37:$G$89,7,0),Patterns!$A$2:$N$28,2,0),IF(LEFT($D6,7)="Payroll",SUMPRODUCT(($B6='IP1'!$B$96:$B$114)*('IP1'!$D$96:$D$114))/12,SUMPRODUCT(($B6='IP1'!$B$96:$B$114)*('IP1'!$D$96:$D$114))/12*'IP1'!$F$154))</f>
        <v>0</v>
      </c>
      <c r="G6" s="85">
        <f>IF(LEFT($D6,5)="Other",VLOOKUP($A6,'IP1'!$A$37:$G$89,4,0)*VLOOKUP(VLOOKUP($A6,'IP1'!$A$37:$G$89,7,0),Patterns!$A$2:$N$28,COLUMN(G6)-2,0)/VLOOKUP(VLOOKUP($A6,'IP1'!$A$37:$G$89,7,0),Patterns!$A$2:$N$28,2,0),IF(LEFT($D6,7)="Payroll",SUMPRODUCT(($B6='IP1'!$B$96:$B$114)*('IP1'!$D$96:$D$114))/12,SUMPRODUCT(($B6='IP1'!$B$96:$B$114)*('IP1'!$D$96:$D$114))/12*'IP1'!$F$154))</f>
        <v>1250</v>
      </c>
      <c r="H6" s="85">
        <f>IF(LEFT($D6,5)="Other",VLOOKUP($A6,'IP1'!$A$37:$G$89,4,0)*VLOOKUP(VLOOKUP($A6,'IP1'!$A$37:$G$89,7,0),Patterns!$A$2:$N$28,COLUMN(H6)-2,0)/VLOOKUP(VLOOKUP($A6,'IP1'!$A$37:$G$89,7,0),Patterns!$A$2:$N$28,2,0),IF(LEFT($D6,7)="Payroll",SUMPRODUCT(($B6='IP1'!$B$96:$B$114)*('IP1'!$D$96:$D$114))/12,SUMPRODUCT(($B6='IP1'!$B$96:$B$114)*('IP1'!$D$96:$D$114))/12*'IP1'!$F$154))</f>
        <v>0</v>
      </c>
      <c r="I6" s="85">
        <f>IF(LEFT($D6,5)="Other",VLOOKUP($A6,'IP1'!$A$37:$G$89,4,0)*VLOOKUP(VLOOKUP($A6,'IP1'!$A$37:$G$89,7,0),Patterns!$A$2:$N$28,COLUMN(I6)-2,0)/VLOOKUP(VLOOKUP($A6,'IP1'!$A$37:$G$89,7,0),Patterns!$A$2:$N$28,2,0),IF(LEFT($D6,7)="Payroll",SUMPRODUCT(($B6='IP1'!$B$96:$B$114)*('IP1'!$D$96:$D$114))/12,SUMPRODUCT(($B6='IP1'!$B$96:$B$114)*('IP1'!$D$96:$D$114))/12*'IP1'!$F$154))</f>
        <v>0</v>
      </c>
      <c r="J6" s="85">
        <f>IF(LEFT($D6,5)="Other",VLOOKUP($A6,'IP1'!$A$37:$G$89,4,0)*VLOOKUP(VLOOKUP($A6,'IP1'!$A$37:$G$89,7,0),Patterns!$A$2:$N$28,COLUMN(J6)-2,0)/VLOOKUP(VLOOKUP($A6,'IP1'!$A$37:$G$89,7,0),Patterns!$A$2:$N$28,2,0),IF(LEFT($D6,7)="Payroll",SUMPRODUCT(($B6='IP1'!$B$96:$B$114)*('IP1'!$D$96:$D$114))/12,SUMPRODUCT(($B6='IP1'!$B$96:$B$114)*('IP1'!$D$96:$D$114))/12*'IP1'!$F$154))</f>
        <v>1250</v>
      </c>
      <c r="K6" s="85">
        <f>IF(LEFT($D6,5)="Other",VLOOKUP($A6,'IP1'!$A$37:$G$89,4,0)*VLOOKUP(VLOOKUP($A6,'IP1'!$A$37:$G$89,7,0),Patterns!$A$2:$N$28,COLUMN(K6)-2,0)/VLOOKUP(VLOOKUP($A6,'IP1'!$A$37:$G$89,7,0),Patterns!$A$2:$N$28,2,0),IF(LEFT($D6,7)="Payroll",SUMPRODUCT(($B6='IP1'!$B$96:$B$114)*('IP1'!$D$96:$D$114))/12,SUMPRODUCT(($B6='IP1'!$B$96:$B$114)*('IP1'!$D$96:$D$114))/12*'IP1'!$F$154))</f>
        <v>0</v>
      </c>
      <c r="L6" s="85">
        <f>IF(LEFT($D6,5)="Other",VLOOKUP($A6,'IP1'!$A$37:$G$89,4,0)*VLOOKUP(VLOOKUP($A6,'IP1'!$A$37:$G$89,7,0),Patterns!$A$2:$N$28,COLUMN(L6)-2,0)/VLOOKUP(VLOOKUP($A6,'IP1'!$A$37:$G$89,7,0),Patterns!$A$2:$N$28,2,0),IF(LEFT($D6,7)="Payroll",SUMPRODUCT(($B6='IP1'!$B$96:$B$114)*('IP1'!$D$96:$D$114))/12,SUMPRODUCT(($B6='IP1'!$B$96:$B$114)*('IP1'!$D$96:$D$114))/12*'IP1'!$F$154))</f>
        <v>0</v>
      </c>
      <c r="M6" s="85">
        <f>IF(LEFT($D6,5)="Other",VLOOKUP($A6,'IP1'!$A$37:$G$89,4,0)*VLOOKUP(VLOOKUP($A6,'IP1'!$A$37:$G$89,7,0),Patterns!$A$2:$N$28,COLUMN(M6)-2,0)/VLOOKUP(VLOOKUP($A6,'IP1'!$A$37:$G$89,7,0),Patterns!$A$2:$N$28,2,0),IF(LEFT($D6,7)="Payroll",SUMPRODUCT(($B6='IP1'!$B$96:$B$114)*('IP1'!$D$96:$D$114))/12,SUMPRODUCT(($B6='IP1'!$B$96:$B$114)*('IP1'!$D$96:$D$114))/12*'IP1'!$F$154))</f>
        <v>1250</v>
      </c>
      <c r="N6" s="85">
        <f>IF(LEFT($D6,5)="Other",VLOOKUP($A6,'IP1'!$A$37:$G$89,4,0)*VLOOKUP(VLOOKUP($A6,'IP1'!$A$37:$G$89,7,0),Patterns!$A$2:$N$28,COLUMN(N6)-2,0)/VLOOKUP(VLOOKUP($A6,'IP1'!$A$37:$G$89,7,0),Patterns!$A$2:$N$28,2,0),IF(LEFT($D6,7)="Payroll",SUMPRODUCT(($B6='IP1'!$B$96:$B$114)*('IP1'!$D$96:$D$114))/12,SUMPRODUCT(($B6='IP1'!$B$96:$B$114)*('IP1'!$D$96:$D$114))/12*'IP1'!$F$154))</f>
        <v>0</v>
      </c>
      <c r="O6" s="85">
        <f>IF(LEFT($D6,5)="Other",VLOOKUP($A6,'IP1'!$A$37:$G$89,4,0)*VLOOKUP(VLOOKUP($A6,'IP1'!$A$37:$G$89,7,0),Patterns!$A$2:$N$28,COLUMN(O6)-2,0)/VLOOKUP(VLOOKUP($A6,'IP1'!$A$37:$G$89,7,0),Patterns!$A$2:$N$28,2,0),IF(LEFT($D6,7)="Payroll",SUMPRODUCT(($B6='IP1'!$B$96:$B$114)*('IP1'!$D$96:$D$114))/12,SUMPRODUCT(($B6='IP1'!$B$96:$B$114)*('IP1'!$D$96:$D$114))/12*'IP1'!$F$154))</f>
        <v>0</v>
      </c>
      <c r="P6" s="85">
        <f>IF(LEFT($D6,5)="Other",VLOOKUP($A6,'IP1'!$A$37:$G$89,4,0)*VLOOKUP(VLOOKUP($A6,'IP1'!$A$37:$G$89,7,0),Patterns!$A$2:$N$28,COLUMN(P6)-2,0)/VLOOKUP(VLOOKUP($A6,'IP1'!$A$37:$G$89,7,0),Patterns!$A$2:$N$28,2,0),IF(LEFT($D6,7)="Payroll",SUMPRODUCT(($B6='IP1'!$B$96:$B$114)*('IP1'!$D$96:$D$114))/12,SUMPRODUCT(($B6='IP1'!$B$96:$B$114)*('IP1'!$D$96:$D$114))/12*'IP1'!$F$154))</f>
        <v>1250</v>
      </c>
      <c r="Q6" s="85">
        <f>IF(LEFT($D6,5)="Other",VLOOKUP($A6,'IP1'!$A$37:$G$89,5,0)*VLOOKUP(VLOOKUP($A6,'IP1'!$A$37:$G$89,7,0),Patterns!$A$2:$N$28,COLUMN(Q6)-14,0)/VLOOKUP(VLOOKUP($A6,'IP1'!$A$37:$G$89,7,0),Patterns!$A$2:$N$28,2,0),IF(LEFT($D6,7)="Payroll",SUMPRODUCT(($B6='IP1'!$B$96:$B$114)*('IP1'!$E$96:$E$114))/12,SUMPRODUCT(($B6='IP1'!$B$96:$B$114)*('IP1'!$E$96:$E$114))/12*'IP1'!$F$154))</f>
        <v>0</v>
      </c>
      <c r="R6" s="85">
        <f>IF(LEFT($D6,5)="Other",VLOOKUP($A6,'IP1'!$A$37:$G$89,5,0)*VLOOKUP(VLOOKUP($A6,'IP1'!$A$37:$G$89,7,0),Patterns!$A$2:$N$28,COLUMN(R6)-14,0)/VLOOKUP(VLOOKUP($A6,'IP1'!$A$37:$G$89,7,0),Patterns!$A$2:$N$28,2,0),IF(LEFT($D6,7)="Payroll",SUMPRODUCT(($B6='IP1'!$B$96:$B$114)*('IP1'!$E$96:$E$114))/12,SUMPRODUCT(($B6='IP1'!$B$96:$B$114)*('IP1'!$E$96:$E$114))/12*'IP1'!$F$154))</f>
        <v>0</v>
      </c>
      <c r="S6" s="85">
        <f>IF(LEFT($D6,5)="Other",VLOOKUP($A6,'IP1'!$A$37:$G$89,5,0)*VLOOKUP(VLOOKUP($A6,'IP1'!$A$37:$G$89,7,0),Patterns!$A$2:$N$28,COLUMN(S6)-14,0)/VLOOKUP(VLOOKUP($A6,'IP1'!$A$37:$G$89,7,0),Patterns!$A$2:$N$28,2,0),IF(LEFT($D6,7)="Payroll",SUMPRODUCT(($B6='IP1'!$B$96:$B$114)*('IP1'!$E$96:$E$114))/12,SUMPRODUCT(($B6='IP1'!$B$96:$B$114)*('IP1'!$E$96:$E$114))/12*'IP1'!$F$154))</f>
        <v>1250</v>
      </c>
      <c r="T6" s="85">
        <f>IF(LEFT($D6,5)="Other",VLOOKUP($A6,'IP1'!$A$37:$G$89,5,0)*VLOOKUP(VLOOKUP($A6,'IP1'!$A$37:$G$89,7,0),Patterns!$A$2:$N$28,COLUMN(T6)-14,0)/VLOOKUP(VLOOKUP($A6,'IP1'!$A$37:$G$89,7,0),Patterns!$A$2:$N$28,2,0),IF(LEFT($D6,7)="Payroll",SUMPRODUCT(($B6='IP1'!$B$96:$B$114)*('IP1'!$E$96:$E$114))/12,SUMPRODUCT(($B6='IP1'!$B$96:$B$114)*('IP1'!$E$96:$E$114))/12*'IP1'!$F$154))</f>
        <v>0</v>
      </c>
      <c r="U6" s="85">
        <f>IF(LEFT($D6,5)="Other",VLOOKUP($A6,'IP1'!$A$37:$G$89,5,0)*VLOOKUP(VLOOKUP($A6,'IP1'!$A$37:$G$89,7,0),Patterns!$A$2:$N$28,COLUMN(U6)-14,0)/VLOOKUP(VLOOKUP($A6,'IP1'!$A$37:$G$89,7,0),Patterns!$A$2:$N$28,2,0),IF(LEFT($D6,7)="Payroll",SUMPRODUCT(($B6='IP1'!$B$96:$B$114)*('IP1'!$E$96:$E$114))/12,SUMPRODUCT(($B6='IP1'!$B$96:$B$114)*('IP1'!$E$96:$E$114))/12*'IP1'!$F$154))</f>
        <v>0</v>
      </c>
      <c r="V6" s="85">
        <f>IF(LEFT($D6,5)="Other",VLOOKUP($A6,'IP1'!$A$37:$G$89,5,0)*VLOOKUP(VLOOKUP($A6,'IP1'!$A$37:$G$89,7,0),Patterns!$A$2:$N$28,COLUMN(V6)-14,0)/VLOOKUP(VLOOKUP($A6,'IP1'!$A$37:$G$89,7,0),Patterns!$A$2:$N$28,2,0),IF(LEFT($D6,7)="Payroll",SUMPRODUCT(($B6='IP1'!$B$96:$B$114)*('IP1'!$E$96:$E$114))/12,SUMPRODUCT(($B6='IP1'!$B$96:$B$114)*('IP1'!$E$96:$E$114))/12*'IP1'!$F$154))</f>
        <v>1250</v>
      </c>
      <c r="W6" s="85">
        <f>IF(LEFT($D6,5)="Other",VLOOKUP($A6,'IP1'!$A$37:$G$89,5,0)*VLOOKUP(VLOOKUP($A6,'IP1'!$A$37:$G$89,7,0),Patterns!$A$2:$N$28,COLUMN(W6)-14,0)/VLOOKUP(VLOOKUP($A6,'IP1'!$A$37:$G$89,7,0),Patterns!$A$2:$N$28,2,0),IF(LEFT($D6,7)="Payroll",SUMPRODUCT(($B6='IP1'!$B$96:$B$114)*('IP1'!$E$96:$E$114))/12,SUMPRODUCT(($B6='IP1'!$B$96:$B$114)*('IP1'!$E$96:$E$114))/12*'IP1'!$F$154))</f>
        <v>0</v>
      </c>
      <c r="X6" s="85">
        <f>IF(LEFT($D6,5)="Other",VLOOKUP($A6,'IP1'!$A$37:$G$89,5,0)*VLOOKUP(VLOOKUP($A6,'IP1'!$A$37:$G$89,7,0),Patterns!$A$2:$N$28,COLUMN(X6)-14,0)/VLOOKUP(VLOOKUP($A6,'IP1'!$A$37:$G$89,7,0),Patterns!$A$2:$N$28,2,0),IF(LEFT($D6,7)="Payroll",SUMPRODUCT(($B6='IP1'!$B$96:$B$114)*('IP1'!$E$96:$E$114))/12,SUMPRODUCT(($B6='IP1'!$B$96:$B$114)*('IP1'!$E$96:$E$114))/12*'IP1'!$F$154))</f>
        <v>0</v>
      </c>
      <c r="Y6" s="85">
        <f>IF(LEFT($D6,5)="Other",VLOOKUP($A6,'IP1'!$A$37:$G$89,5,0)*VLOOKUP(VLOOKUP($A6,'IP1'!$A$37:$G$89,7,0),Patterns!$A$2:$N$28,COLUMN(Y6)-14,0)/VLOOKUP(VLOOKUP($A6,'IP1'!$A$37:$G$89,7,0),Patterns!$A$2:$N$28,2,0),IF(LEFT($D6,7)="Payroll",SUMPRODUCT(($B6='IP1'!$B$96:$B$114)*('IP1'!$E$96:$E$114))/12,SUMPRODUCT(($B6='IP1'!$B$96:$B$114)*('IP1'!$E$96:$E$114))/12*'IP1'!$F$154))</f>
        <v>1250</v>
      </c>
      <c r="Z6" s="85">
        <f>IF(LEFT($D6,5)="Other",VLOOKUP($A6,'IP1'!$A$37:$G$89,5,0)*VLOOKUP(VLOOKUP($A6,'IP1'!$A$37:$G$89,7,0),Patterns!$A$2:$N$28,COLUMN(Z6)-14,0)/VLOOKUP(VLOOKUP($A6,'IP1'!$A$37:$G$89,7,0),Patterns!$A$2:$N$28,2,0),IF(LEFT($D6,7)="Payroll",SUMPRODUCT(($B6='IP1'!$B$96:$B$114)*('IP1'!$E$96:$E$114))/12,SUMPRODUCT(($B6='IP1'!$B$96:$B$114)*('IP1'!$E$96:$E$114))/12*'IP1'!$F$154))</f>
        <v>0</v>
      </c>
      <c r="AA6" s="85">
        <f>IF(LEFT($D6,5)="Other",VLOOKUP($A6,'IP1'!$A$37:$G$89,5,0)*VLOOKUP(VLOOKUP($A6,'IP1'!$A$37:$G$89,7,0),Patterns!$A$2:$N$28,COLUMN(AA6)-14,0)/VLOOKUP(VLOOKUP($A6,'IP1'!$A$37:$G$89,7,0),Patterns!$A$2:$N$28,2,0),IF(LEFT($D6,7)="Payroll",SUMPRODUCT(($B6='IP1'!$B$96:$B$114)*('IP1'!$E$96:$E$114))/12,SUMPRODUCT(($B6='IP1'!$B$96:$B$114)*('IP1'!$E$96:$E$114))/12*'IP1'!$F$154))</f>
        <v>0</v>
      </c>
      <c r="AB6" s="85">
        <f>IF(LEFT($D6,5)="Other",VLOOKUP($A6,'IP1'!$A$37:$G$89,5,0)*VLOOKUP(VLOOKUP($A6,'IP1'!$A$37:$G$89,7,0),Patterns!$A$2:$N$28,COLUMN(AB6)-14,0)/VLOOKUP(VLOOKUP($A6,'IP1'!$A$37:$G$89,7,0),Patterns!$A$2:$N$28,2,0),IF(LEFT($D6,7)="Payroll",SUMPRODUCT(($B6='IP1'!$B$96:$B$114)*('IP1'!$E$96:$E$114))/12,SUMPRODUCT(($B6='IP1'!$B$96:$B$114)*('IP1'!$E$96:$E$114))/12*'IP1'!$F$154))</f>
        <v>1250</v>
      </c>
    </row>
    <row r="7" spans="1:28">
      <c r="A7" s="1" t="str">
        <f t="shared" si="1"/>
        <v>MarketingSales</v>
      </c>
      <c r="B7" s="1" t="s">
        <v>10</v>
      </c>
      <c r="C7" s="11" t="s">
        <v>29</v>
      </c>
      <c r="D7" s="11" t="s">
        <v>100</v>
      </c>
      <c r="E7" s="85">
        <f>IF(LEFT($D7,5)="Other",
VLOOKUP($A7,'IP1'!$A$37:$G$89,4,0)*
VLOOKUP(
VLOOKUP($A7,'IP1'!$A$37:$G$89,7,0),Patterns!$A$2:$N$28,COLUMN(E7)-2,0)/
VLOOKUP(
VLOOKUP($A7,'IP1'!$A$37:$G$89,7,0),Patterns!$A$2:$N$28,2,0),
IF(LEFT($D7,7)="Payroll",
SUMPRODUCT(($B7='IP1'!$B$96:$B$114)*('IP1'!$D$96:$D$114))/12,
SUMPRODUCT(($B7='IP1'!$B$96:$B$114)*('IP1'!$D$96:$D$114))/12*'IP1'!$F$154))</f>
        <v>1250</v>
      </c>
      <c r="F7" s="85">
        <f>IF(LEFT($D7,5)="Other",VLOOKUP($A7,'IP1'!$A$37:$G$89,4,0)*VLOOKUP(VLOOKUP($A7,'IP1'!$A$37:$G$89,7,0),Patterns!$A$2:$N$28,COLUMN(F7)-2,0)/VLOOKUP(VLOOKUP($A7,'IP1'!$A$37:$G$89,7,0),Patterns!$A$2:$N$28,2,0),IF(LEFT($D7,7)="Payroll",SUMPRODUCT(($B7='IP1'!$B$96:$B$114)*('IP1'!$D$96:$D$114))/12,SUMPRODUCT(($B7='IP1'!$B$96:$B$114)*('IP1'!$D$96:$D$114))/12*'IP1'!$F$154))</f>
        <v>0</v>
      </c>
      <c r="G7" s="85">
        <f>IF(LEFT($D7,5)="Other",VLOOKUP($A7,'IP1'!$A$37:$G$89,4,0)*VLOOKUP(VLOOKUP($A7,'IP1'!$A$37:$G$89,7,0),Patterns!$A$2:$N$28,COLUMN(G7)-2,0)/VLOOKUP(VLOOKUP($A7,'IP1'!$A$37:$G$89,7,0),Patterns!$A$2:$N$28,2,0),IF(LEFT($D7,7)="Payroll",SUMPRODUCT(($B7='IP1'!$B$96:$B$114)*('IP1'!$D$96:$D$114))/12,SUMPRODUCT(($B7='IP1'!$B$96:$B$114)*('IP1'!$D$96:$D$114))/12*'IP1'!$F$154))</f>
        <v>0</v>
      </c>
      <c r="H7" s="85">
        <f>IF(LEFT($D7,5)="Other",VLOOKUP($A7,'IP1'!$A$37:$G$89,4,0)*VLOOKUP(VLOOKUP($A7,'IP1'!$A$37:$G$89,7,0),Patterns!$A$2:$N$28,COLUMN(H7)-2,0)/VLOOKUP(VLOOKUP($A7,'IP1'!$A$37:$G$89,7,0),Patterns!$A$2:$N$28,2,0),IF(LEFT($D7,7)="Payroll",SUMPRODUCT(($B7='IP1'!$B$96:$B$114)*('IP1'!$D$96:$D$114))/12,SUMPRODUCT(($B7='IP1'!$B$96:$B$114)*('IP1'!$D$96:$D$114))/12*'IP1'!$F$154))</f>
        <v>1250</v>
      </c>
      <c r="I7" s="85">
        <f>IF(LEFT($D7,5)="Other",VLOOKUP($A7,'IP1'!$A$37:$G$89,4,0)*VLOOKUP(VLOOKUP($A7,'IP1'!$A$37:$G$89,7,0),Patterns!$A$2:$N$28,COLUMN(I7)-2,0)/VLOOKUP(VLOOKUP($A7,'IP1'!$A$37:$G$89,7,0),Patterns!$A$2:$N$28,2,0),IF(LEFT($D7,7)="Payroll",SUMPRODUCT(($B7='IP1'!$B$96:$B$114)*('IP1'!$D$96:$D$114))/12,SUMPRODUCT(($B7='IP1'!$B$96:$B$114)*('IP1'!$D$96:$D$114))/12*'IP1'!$F$154))</f>
        <v>0</v>
      </c>
      <c r="J7" s="85">
        <f>IF(LEFT($D7,5)="Other",VLOOKUP($A7,'IP1'!$A$37:$G$89,4,0)*VLOOKUP(VLOOKUP($A7,'IP1'!$A$37:$G$89,7,0),Patterns!$A$2:$N$28,COLUMN(J7)-2,0)/VLOOKUP(VLOOKUP($A7,'IP1'!$A$37:$G$89,7,0),Patterns!$A$2:$N$28,2,0),IF(LEFT($D7,7)="Payroll",SUMPRODUCT(($B7='IP1'!$B$96:$B$114)*('IP1'!$D$96:$D$114))/12,SUMPRODUCT(($B7='IP1'!$B$96:$B$114)*('IP1'!$D$96:$D$114))/12*'IP1'!$F$154))</f>
        <v>0</v>
      </c>
      <c r="K7" s="85">
        <f>IF(LEFT($D7,5)="Other",VLOOKUP($A7,'IP1'!$A$37:$G$89,4,0)*VLOOKUP(VLOOKUP($A7,'IP1'!$A$37:$G$89,7,0),Patterns!$A$2:$N$28,COLUMN(K7)-2,0)/VLOOKUP(VLOOKUP($A7,'IP1'!$A$37:$G$89,7,0),Patterns!$A$2:$N$28,2,0),IF(LEFT($D7,7)="Payroll",SUMPRODUCT(($B7='IP1'!$B$96:$B$114)*('IP1'!$D$96:$D$114))/12,SUMPRODUCT(($B7='IP1'!$B$96:$B$114)*('IP1'!$D$96:$D$114))/12*'IP1'!$F$154))</f>
        <v>1250</v>
      </c>
      <c r="L7" s="85">
        <f>IF(LEFT($D7,5)="Other",VLOOKUP($A7,'IP1'!$A$37:$G$89,4,0)*VLOOKUP(VLOOKUP($A7,'IP1'!$A$37:$G$89,7,0),Patterns!$A$2:$N$28,COLUMN(L7)-2,0)/VLOOKUP(VLOOKUP($A7,'IP1'!$A$37:$G$89,7,0),Patterns!$A$2:$N$28,2,0),IF(LEFT($D7,7)="Payroll",SUMPRODUCT(($B7='IP1'!$B$96:$B$114)*('IP1'!$D$96:$D$114))/12,SUMPRODUCT(($B7='IP1'!$B$96:$B$114)*('IP1'!$D$96:$D$114))/12*'IP1'!$F$154))</f>
        <v>0</v>
      </c>
      <c r="M7" s="85">
        <f>IF(LEFT($D7,5)="Other",VLOOKUP($A7,'IP1'!$A$37:$G$89,4,0)*VLOOKUP(VLOOKUP($A7,'IP1'!$A$37:$G$89,7,0),Patterns!$A$2:$N$28,COLUMN(M7)-2,0)/VLOOKUP(VLOOKUP($A7,'IP1'!$A$37:$G$89,7,0),Patterns!$A$2:$N$28,2,0),IF(LEFT($D7,7)="Payroll",SUMPRODUCT(($B7='IP1'!$B$96:$B$114)*('IP1'!$D$96:$D$114))/12,SUMPRODUCT(($B7='IP1'!$B$96:$B$114)*('IP1'!$D$96:$D$114))/12*'IP1'!$F$154))</f>
        <v>0</v>
      </c>
      <c r="N7" s="85">
        <f>IF(LEFT($D7,5)="Other",VLOOKUP($A7,'IP1'!$A$37:$G$89,4,0)*VLOOKUP(VLOOKUP($A7,'IP1'!$A$37:$G$89,7,0),Patterns!$A$2:$N$28,COLUMN(N7)-2,0)/VLOOKUP(VLOOKUP($A7,'IP1'!$A$37:$G$89,7,0),Patterns!$A$2:$N$28,2,0),IF(LEFT($D7,7)="Payroll",SUMPRODUCT(($B7='IP1'!$B$96:$B$114)*('IP1'!$D$96:$D$114))/12,SUMPRODUCT(($B7='IP1'!$B$96:$B$114)*('IP1'!$D$96:$D$114))/12*'IP1'!$F$154))</f>
        <v>1250</v>
      </c>
      <c r="O7" s="85">
        <f>IF(LEFT($D7,5)="Other",VLOOKUP($A7,'IP1'!$A$37:$G$89,4,0)*VLOOKUP(VLOOKUP($A7,'IP1'!$A$37:$G$89,7,0),Patterns!$A$2:$N$28,COLUMN(O7)-2,0)/VLOOKUP(VLOOKUP($A7,'IP1'!$A$37:$G$89,7,0),Patterns!$A$2:$N$28,2,0),IF(LEFT($D7,7)="Payroll",SUMPRODUCT(($B7='IP1'!$B$96:$B$114)*('IP1'!$D$96:$D$114))/12,SUMPRODUCT(($B7='IP1'!$B$96:$B$114)*('IP1'!$D$96:$D$114))/12*'IP1'!$F$154))</f>
        <v>0</v>
      </c>
      <c r="P7" s="85">
        <f>IF(LEFT($D7,5)="Other",VLOOKUP($A7,'IP1'!$A$37:$G$89,4,0)*VLOOKUP(VLOOKUP($A7,'IP1'!$A$37:$G$89,7,0),Patterns!$A$2:$N$28,COLUMN(P7)-2,0)/VLOOKUP(VLOOKUP($A7,'IP1'!$A$37:$G$89,7,0),Patterns!$A$2:$N$28,2,0),IF(LEFT($D7,7)="Payroll",SUMPRODUCT(($B7='IP1'!$B$96:$B$114)*('IP1'!$D$96:$D$114))/12,SUMPRODUCT(($B7='IP1'!$B$96:$B$114)*('IP1'!$D$96:$D$114))/12*'IP1'!$F$154))</f>
        <v>0</v>
      </c>
      <c r="Q7" s="85">
        <f>IF(LEFT($D7,5)="Other",VLOOKUP($A7,'IP1'!$A$37:$G$89,5,0)*VLOOKUP(VLOOKUP($A7,'IP1'!$A$37:$G$89,7,0),Patterns!$A$2:$N$28,COLUMN(Q7)-14,0)/VLOOKUP(VLOOKUP($A7,'IP1'!$A$37:$G$89,7,0),Patterns!$A$2:$N$28,2,0),IF(LEFT($D7,7)="Payroll",SUMPRODUCT(($B7='IP1'!$B$96:$B$114)*('IP1'!$E$96:$E$114))/12,SUMPRODUCT(($B7='IP1'!$B$96:$B$114)*('IP1'!$E$96:$E$114))/12*'IP1'!$F$154))</f>
        <v>1250</v>
      </c>
      <c r="R7" s="85">
        <f>IF(LEFT($D7,5)="Other",VLOOKUP($A7,'IP1'!$A$37:$G$89,5,0)*VLOOKUP(VLOOKUP($A7,'IP1'!$A$37:$G$89,7,0),Patterns!$A$2:$N$28,COLUMN(R7)-14,0)/VLOOKUP(VLOOKUP($A7,'IP1'!$A$37:$G$89,7,0),Patterns!$A$2:$N$28,2,0),IF(LEFT($D7,7)="Payroll",SUMPRODUCT(($B7='IP1'!$B$96:$B$114)*('IP1'!$E$96:$E$114))/12,SUMPRODUCT(($B7='IP1'!$B$96:$B$114)*('IP1'!$E$96:$E$114))/12*'IP1'!$F$154))</f>
        <v>0</v>
      </c>
      <c r="S7" s="85">
        <f>IF(LEFT($D7,5)="Other",VLOOKUP($A7,'IP1'!$A$37:$G$89,5,0)*VLOOKUP(VLOOKUP($A7,'IP1'!$A$37:$G$89,7,0),Patterns!$A$2:$N$28,COLUMN(S7)-14,0)/VLOOKUP(VLOOKUP($A7,'IP1'!$A$37:$G$89,7,0),Patterns!$A$2:$N$28,2,0),IF(LEFT($D7,7)="Payroll",SUMPRODUCT(($B7='IP1'!$B$96:$B$114)*('IP1'!$E$96:$E$114))/12,SUMPRODUCT(($B7='IP1'!$B$96:$B$114)*('IP1'!$E$96:$E$114))/12*'IP1'!$F$154))</f>
        <v>0</v>
      </c>
      <c r="T7" s="85">
        <f>IF(LEFT($D7,5)="Other",VLOOKUP($A7,'IP1'!$A$37:$G$89,5,0)*VLOOKUP(VLOOKUP($A7,'IP1'!$A$37:$G$89,7,0),Patterns!$A$2:$N$28,COLUMN(T7)-14,0)/VLOOKUP(VLOOKUP($A7,'IP1'!$A$37:$G$89,7,0),Patterns!$A$2:$N$28,2,0),IF(LEFT($D7,7)="Payroll",SUMPRODUCT(($B7='IP1'!$B$96:$B$114)*('IP1'!$E$96:$E$114))/12,SUMPRODUCT(($B7='IP1'!$B$96:$B$114)*('IP1'!$E$96:$E$114))/12*'IP1'!$F$154))</f>
        <v>1250</v>
      </c>
      <c r="U7" s="85">
        <f>IF(LEFT($D7,5)="Other",VLOOKUP($A7,'IP1'!$A$37:$G$89,5,0)*VLOOKUP(VLOOKUP($A7,'IP1'!$A$37:$G$89,7,0),Patterns!$A$2:$N$28,COLUMN(U7)-14,0)/VLOOKUP(VLOOKUP($A7,'IP1'!$A$37:$G$89,7,0),Patterns!$A$2:$N$28,2,0),IF(LEFT($D7,7)="Payroll",SUMPRODUCT(($B7='IP1'!$B$96:$B$114)*('IP1'!$E$96:$E$114))/12,SUMPRODUCT(($B7='IP1'!$B$96:$B$114)*('IP1'!$E$96:$E$114))/12*'IP1'!$F$154))</f>
        <v>0</v>
      </c>
      <c r="V7" s="85">
        <f>IF(LEFT($D7,5)="Other",VLOOKUP($A7,'IP1'!$A$37:$G$89,5,0)*VLOOKUP(VLOOKUP($A7,'IP1'!$A$37:$G$89,7,0),Patterns!$A$2:$N$28,COLUMN(V7)-14,0)/VLOOKUP(VLOOKUP($A7,'IP1'!$A$37:$G$89,7,0),Patterns!$A$2:$N$28,2,0),IF(LEFT($D7,7)="Payroll",SUMPRODUCT(($B7='IP1'!$B$96:$B$114)*('IP1'!$E$96:$E$114))/12,SUMPRODUCT(($B7='IP1'!$B$96:$B$114)*('IP1'!$E$96:$E$114))/12*'IP1'!$F$154))</f>
        <v>0</v>
      </c>
      <c r="W7" s="85">
        <f>IF(LEFT($D7,5)="Other",VLOOKUP($A7,'IP1'!$A$37:$G$89,5,0)*VLOOKUP(VLOOKUP($A7,'IP1'!$A$37:$G$89,7,0),Patterns!$A$2:$N$28,COLUMN(W7)-14,0)/VLOOKUP(VLOOKUP($A7,'IP1'!$A$37:$G$89,7,0),Patterns!$A$2:$N$28,2,0),IF(LEFT($D7,7)="Payroll",SUMPRODUCT(($B7='IP1'!$B$96:$B$114)*('IP1'!$E$96:$E$114))/12,SUMPRODUCT(($B7='IP1'!$B$96:$B$114)*('IP1'!$E$96:$E$114))/12*'IP1'!$F$154))</f>
        <v>1250</v>
      </c>
      <c r="X7" s="85">
        <f>IF(LEFT($D7,5)="Other",VLOOKUP($A7,'IP1'!$A$37:$G$89,5,0)*VLOOKUP(VLOOKUP($A7,'IP1'!$A$37:$G$89,7,0),Patterns!$A$2:$N$28,COLUMN(X7)-14,0)/VLOOKUP(VLOOKUP($A7,'IP1'!$A$37:$G$89,7,0),Patterns!$A$2:$N$28,2,0),IF(LEFT($D7,7)="Payroll",SUMPRODUCT(($B7='IP1'!$B$96:$B$114)*('IP1'!$E$96:$E$114))/12,SUMPRODUCT(($B7='IP1'!$B$96:$B$114)*('IP1'!$E$96:$E$114))/12*'IP1'!$F$154))</f>
        <v>0</v>
      </c>
      <c r="Y7" s="85">
        <f>IF(LEFT($D7,5)="Other",VLOOKUP($A7,'IP1'!$A$37:$G$89,5,0)*VLOOKUP(VLOOKUP($A7,'IP1'!$A$37:$G$89,7,0),Patterns!$A$2:$N$28,COLUMN(Y7)-14,0)/VLOOKUP(VLOOKUP($A7,'IP1'!$A$37:$G$89,7,0),Patterns!$A$2:$N$28,2,0),IF(LEFT($D7,7)="Payroll",SUMPRODUCT(($B7='IP1'!$B$96:$B$114)*('IP1'!$E$96:$E$114))/12,SUMPRODUCT(($B7='IP1'!$B$96:$B$114)*('IP1'!$E$96:$E$114))/12*'IP1'!$F$154))</f>
        <v>0</v>
      </c>
      <c r="Z7" s="85">
        <f>IF(LEFT($D7,5)="Other",VLOOKUP($A7,'IP1'!$A$37:$G$89,5,0)*VLOOKUP(VLOOKUP($A7,'IP1'!$A$37:$G$89,7,0),Patterns!$A$2:$N$28,COLUMN(Z7)-14,0)/VLOOKUP(VLOOKUP($A7,'IP1'!$A$37:$G$89,7,0),Patterns!$A$2:$N$28,2,0),IF(LEFT($D7,7)="Payroll",SUMPRODUCT(($B7='IP1'!$B$96:$B$114)*('IP1'!$E$96:$E$114))/12,SUMPRODUCT(($B7='IP1'!$B$96:$B$114)*('IP1'!$E$96:$E$114))/12*'IP1'!$F$154))</f>
        <v>1250</v>
      </c>
      <c r="AA7" s="85">
        <f>IF(LEFT($D7,5)="Other",VLOOKUP($A7,'IP1'!$A$37:$G$89,5,0)*VLOOKUP(VLOOKUP($A7,'IP1'!$A$37:$G$89,7,0),Patterns!$A$2:$N$28,COLUMN(AA7)-14,0)/VLOOKUP(VLOOKUP($A7,'IP1'!$A$37:$G$89,7,0),Patterns!$A$2:$N$28,2,0),IF(LEFT($D7,7)="Payroll",SUMPRODUCT(($B7='IP1'!$B$96:$B$114)*('IP1'!$E$96:$E$114))/12,SUMPRODUCT(($B7='IP1'!$B$96:$B$114)*('IP1'!$E$96:$E$114))/12*'IP1'!$F$154))</f>
        <v>0</v>
      </c>
      <c r="AB7" s="85">
        <f>IF(LEFT($D7,5)="Other",VLOOKUP($A7,'IP1'!$A$37:$G$89,5,0)*VLOOKUP(VLOOKUP($A7,'IP1'!$A$37:$G$89,7,0),Patterns!$A$2:$N$28,COLUMN(AB7)-14,0)/VLOOKUP(VLOOKUP($A7,'IP1'!$A$37:$G$89,7,0),Patterns!$A$2:$N$28,2,0),IF(LEFT($D7,7)="Payroll",SUMPRODUCT(($B7='IP1'!$B$96:$B$114)*('IP1'!$E$96:$E$114))/12,SUMPRODUCT(($B7='IP1'!$B$96:$B$114)*('IP1'!$E$96:$E$114))/12*'IP1'!$F$154))</f>
        <v>0</v>
      </c>
    </row>
    <row r="8" spans="1:28">
      <c r="A8" s="1" t="str">
        <f t="shared" si="1"/>
        <v>MarketingMarketing &amp; Promotion</v>
      </c>
      <c r="B8" s="1" t="s">
        <v>10</v>
      </c>
      <c r="C8" s="11" t="s">
        <v>4</v>
      </c>
      <c r="D8" s="11" t="s">
        <v>100</v>
      </c>
      <c r="E8" s="85">
        <f>IF(LEFT($D8,5)="Other",
VLOOKUP($A8,'IP1'!$A$37:$G$89,4,0)*
VLOOKUP(
VLOOKUP($A8,'IP1'!$A$37:$G$89,7,0),Patterns!$A$2:$N$28,COLUMN(E8)-2,0)/
VLOOKUP(
VLOOKUP($A8,'IP1'!$A$37:$G$89,7,0),Patterns!$A$2:$N$28,2,0),
IF(LEFT($D8,7)="Payroll",
SUMPRODUCT(($B8='IP1'!$B$96:$B$114)*('IP1'!$D$96:$D$114))/12,
SUMPRODUCT(($B8='IP1'!$B$96:$B$114)*('IP1'!$D$96:$D$114))/12*'IP1'!$F$154))</f>
        <v>0</v>
      </c>
      <c r="F8" s="85">
        <f>IF(LEFT($D8,5)="Other",VLOOKUP($A8,'IP1'!$A$37:$G$89,4,0)*VLOOKUP(VLOOKUP($A8,'IP1'!$A$37:$G$89,7,0),Patterns!$A$2:$N$28,COLUMN(F8)-2,0)/VLOOKUP(VLOOKUP($A8,'IP1'!$A$37:$G$89,7,0),Patterns!$A$2:$N$28,2,0),IF(LEFT($D8,7)="Payroll",SUMPRODUCT(($B8='IP1'!$B$96:$B$114)*('IP1'!$D$96:$D$114))/12,SUMPRODUCT(($B8='IP1'!$B$96:$B$114)*('IP1'!$D$96:$D$114))/12*'IP1'!$F$154))</f>
        <v>1250</v>
      </c>
      <c r="G8" s="85">
        <f>IF(LEFT($D8,5)="Other",VLOOKUP($A8,'IP1'!$A$37:$G$89,4,0)*VLOOKUP(VLOOKUP($A8,'IP1'!$A$37:$G$89,7,0),Patterns!$A$2:$N$28,COLUMN(G8)-2,0)/VLOOKUP(VLOOKUP($A8,'IP1'!$A$37:$G$89,7,0),Patterns!$A$2:$N$28,2,0),IF(LEFT($D8,7)="Payroll",SUMPRODUCT(($B8='IP1'!$B$96:$B$114)*('IP1'!$D$96:$D$114))/12,SUMPRODUCT(($B8='IP1'!$B$96:$B$114)*('IP1'!$D$96:$D$114))/12*'IP1'!$F$154))</f>
        <v>0</v>
      </c>
      <c r="H8" s="85">
        <f>IF(LEFT($D8,5)="Other",VLOOKUP($A8,'IP1'!$A$37:$G$89,4,0)*VLOOKUP(VLOOKUP($A8,'IP1'!$A$37:$G$89,7,0),Patterns!$A$2:$N$28,COLUMN(H8)-2,0)/VLOOKUP(VLOOKUP($A8,'IP1'!$A$37:$G$89,7,0),Patterns!$A$2:$N$28,2,0),IF(LEFT($D8,7)="Payroll",SUMPRODUCT(($B8='IP1'!$B$96:$B$114)*('IP1'!$D$96:$D$114))/12,SUMPRODUCT(($B8='IP1'!$B$96:$B$114)*('IP1'!$D$96:$D$114))/12*'IP1'!$F$154))</f>
        <v>0</v>
      </c>
      <c r="I8" s="85">
        <f>IF(LEFT($D8,5)="Other",VLOOKUP($A8,'IP1'!$A$37:$G$89,4,0)*VLOOKUP(VLOOKUP($A8,'IP1'!$A$37:$G$89,7,0),Patterns!$A$2:$N$28,COLUMN(I8)-2,0)/VLOOKUP(VLOOKUP($A8,'IP1'!$A$37:$G$89,7,0),Patterns!$A$2:$N$28,2,0),IF(LEFT($D8,7)="Payroll",SUMPRODUCT(($B8='IP1'!$B$96:$B$114)*('IP1'!$D$96:$D$114))/12,SUMPRODUCT(($B8='IP1'!$B$96:$B$114)*('IP1'!$D$96:$D$114))/12*'IP1'!$F$154))</f>
        <v>1250</v>
      </c>
      <c r="J8" s="85">
        <f>IF(LEFT($D8,5)="Other",VLOOKUP($A8,'IP1'!$A$37:$G$89,4,0)*VLOOKUP(VLOOKUP($A8,'IP1'!$A$37:$G$89,7,0),Patterns!$A$2:$N$28,COLUMN(J8)-2,0)/VLOOKUP(VLOOKUP($A8,'IP1'!$A$37:$G$89,7,0),Patterns!$A$2:$N$28,2,0),IF(LEFT($D8,7)="Payroll",SUMPRODUCT(($B8='IP1'!$B$96:$B$114)*('IP1'!$D$96:$D$114))/12,SUMPRODUCT(($B8='IP1'!$B$96:$B$114)*('IP1'!$D$96:$D$114))/12*'IP1'!$F$154))</f>
        <v>0</v>
      </c>
      <c r="K8" s="85">
        <f>IF(LEFT($D8,5)="Other",VLOOKUP($A8,'IP1'!$A$37:$G$89,4,0)*VLOOKUP(VLOOKUP($A8,'IP1'!$A$37:$G$89,7,0),Patterns!$A$2:$N$28,COLUMN(K8)-2,0)/VLOOKUP(VLOOKUP($A8,'IP1'!$A$37:$G$89,7,0),Patterns!$A$2:$N$28,2,0),IF(LEFT($D8,7)="Payroll",SUMPRODUCT(($B8='IP1'!$B$96:$B$114)*('IP1'!$D$96:$D$114))/12,SUMPRODUCT(($B8='IP1'!$B$96:$B$114)*('IP1'!$D$96:$D$114))/12*'IP1'!$F$154))</f>
        <v>0</v>
      </c>
      <c r="L8" s="85">
        <f>IF(LEFT($D8,5)="Other",VLOOKUP($A8,'IP1'!$A$37:$G$89,4,0)*VLOOKUP(VLOOKUP($A8,'IP1'!$A$37:$G$89,7,0),Patterns!$A$2:$N$28,COLUMN(L8)-2,0)/VLOOKUP(VLOOKUP($A8,'IP1'!$A$37:$G$89,7,0),Patterns!$A$2:$N$28,2,0),IF(LEFT($D8,7)="Payroll",SUMPRODUCT(($B8='IP1'!$B$96:$B$114)*('IP1'!$D$96:$D$114))/12,SUMPRODUCT(($B8='IP1'!$B$96:$B$114)*('IP1'!$D$96:$D$114))/12*'IP1'!$F$154))</f>
        <v>1250</v>
      </c>
      <c r="M8" s="85">
        <f>IF(LEFT($D8,5)="Other",VLOOKUP($A8,'IP1'!$A$37:$G$89,4,0)*VLOOKUP(VLOOKUP($A8,'IP1'!$A$37:$G$89,7,0),Patterns!$A$2:$N$28,COLUMN(M8)-2,0)/VLOOKUP(VLOOKUP($A8,'IP1'!$A$37:$G$89,7,0),Patterns!$A$2:$N$28,2,0),IF(LEFT($D8,7)="Payroll",SUMPRODUCT(($B8='IP1'!$B$96:$B$114)*('IP1'!$D$96:$D$114))/12,SUMPRODUCT(($B8='IP1'!$B$96:$B$114)*('IP1'!$D$96:$D$114))/12*'IP1'!$F$154))</f>
        <v>0</v>
      </c>
      <c r="N8" s="85">
        <f>IF(LEFT($D8,5)="Other",VLOOKUP($A8,'IP1'!$A$37:$G$89,4,0)*VLOOKUP(VLOOKUP($A8,'IP1'!$A$37:$G$89,7,0),Patterns!$A$2:$N$28,COLUMN(N8)-2,0)/VLOOKUP(VLOOKUP($A8,'IP1'!$A$37:$G$89,7,0),Patterns!$A$2:$N$28,2,0),IF(LEFT($D8,7)="Payroll",SUMPRODUCT(($B8='IP1'!$B$96:$B$114)*('IP1'!$D$96:$D$114))/12,SUMPRODUCT(($B8='IP1'!$B$96:$B$114)*('IP1'!$D$96:$D$114))/12*'IP1'!$F$154))</f>
        <v>0</v>
      </c>
      <c r="O8" s="85">
        <f>IF(LEFT($D8,5)="Other",VLOOKUP($A8,'IP1'!$A$37:$G$89,4,0)*VLOOKUP(VLOOKUP($A8,'IP1'!$A$37:$G$89,7,0),Patterns!$A$2:$N$28,COLUMN(O8)-2,0)/VLOOKUP(VLOOKUP($A8,'IP1'!$A$37:$G$89,7,0),Patterns!$A$2:$N$28,2,0),IF(LEFT($D8,7)="Payroll",SUMPRODUCT(($B8='IP1'!$B$96:$B$114)*('IP1'!$D$96:$D$114))/12,SUMPRODUCT(($B8='IP1'!$B$96:$B$114)*('IP1'!$D$96:$D$114))/12*'IP1'!$F$154))</f>
        <v>1250</v>
      </c>
      <c r="P8" s="85">
        <f>IF(LEFT($D8,5)="Other",VLOOKUP($A8,'IP1'!$A$37:$G$89,4,0)*VLOOKUP(VLOOKUP($A8,'IP1'!$A$37:$G$89,7,0),Patterns!$A$2:$N$28,COLUMN(P8)-2,0)/VLOOKUP(VLOOKUP($A8,'IP1'!$A$37:$G$89,7,0),Patterns!$A$2:$N$28,2,0),IF(LEFT($D8,7)="Payroll",SUMPRODUCT(($B8='IP1'!$B$96:$B$114)*('IP1'!$D$96:$D$114))/12,SUMPRODUCT(($B8='IP1'!$B$96:$B$114)*('IP1'!$D$96:$D$114))/12*'IP1'!$F$154))</f>
        <v>0</v>
      </c>
      <c r="Q8" s="85">
        <f>IF(LEFT($D8,5)="Other",VLOOKUP($A8,'IP1'!$A$37:$G$89,5,0)*VLOOKUP(VLOOKUP($A8,'IP1'!$A$37:$G$89,7,0),Patterns!$A$2:$N$28,COLUMN(Q8)-14,0)/VLOOKUP(VLOOKUP($A8,'IP1'!$A$37:$G$89,7,0),Patterns!$A$2:$N$28,2,0),IF(LEFT($D8,7)="Payroll",SUMPRODUCT(($B8='IP1'!$B$96:$B$114)*('IP1'!$E$96:$E$114))/12,SUMPRODUCT(($B8='IP1'!$B$96:$B$114)*('IP1'!$E$96:$E$114))/12*'IP1'!$F$154))</f>
        <v>0</v>
      </c>
      <c r="R8" s="85">
        <f>IF(LEFT($D8,5)="Other",VLOOKUP($A8,'IP1'!$A$37:$G$89,5,0)*VLOOKUP(VLOOKUP($A8,'IP1'!$A$37:$G$89,7,0),Patterns!$A$2:$N$28,COLUMN(R8)-14,0)/VLOOKUP(VLOOKUP($A8,'IP1'!$A$37:$G$89,7,0),Patterns!$A$2:$N$28,2,0),IF(LEFT($D8,7)="Payroll",SUMPRODUCT(($B8='IP1'!$B$96:$B$114)*('IP1'!$E$96:$E$114))/12,SUMPRODUCT(($B8='IP1'!$B$96:$B$114)*('IP1'!$E$96:$E$114))/12*'IP1'!$F$154))</f>
        <v>1250</v>
      </c>
      <c r="S8" s="85">
        <f>IF(LEFT($D8,5)="Other",VLOOKUP($A8,'IP1'!$A$37:$G$89,5,0)*VLOOKUP(VLOOKUP($A8,'IP1'!$A$37:$G$89,7,0),Patterns!$A$2:$N$28,COLUMN(S8)-14,0)/VLOOKUP(VLOOKUP($A8,'IP1'!$A$37:$G$89,7,0),Patterns!$A$2:$N$28,2,0),IF(LEFT($D8,7)="Payroll",SUMPRODUCT(($B8='IP1'!$B$96:$B$114)*('IP1'!$E$96:$E$114))/12,SUMPRODUCT(($B8='IP1'!$B$96:$B$114)*('IP1'!$E$96:$E$114))/12*'IP1'!$F$154))</f>
        <v>0</v>
      </c>
      <c r="T8" s="85">
        <f>IF(LEFT($D8,5)="Other",VLOOKUP($A8,'IP1'!$A$37:$G$89,5,0)*VLOOKUP(VLOOKUP($A8,'IP1'!$A$37:$G$89,7,0),Patterns!$A$2:$N$28,COLUMN(T8)-14,0)/VLOOKUP(VLOOKUP($A8,'IP1'!$A$37:$G$89,7,0),Patterns!$A$2:$N$28,2,0),IF(LEFT($D8,7)="Payroll",SUMPRODUCT(($B8='IP1'!$B$96:$B$114)*('IP1'!$E$96:$E$114))/12,SUMPRODUCT(($B8='IP1'!$B$96:$B$114)*('IP1'!$E$96:$E$114))/12*'IP1'!$F$154))</f>
        <v>0</v>
      </c>
      <c r="U8" s="85">
        <f>IF(LEFT($D8,5)="Other",VLOOKUP($A8,'IP1'!$A$37:$G$89,5,0)*VLOOKUP(VLOOKUP($A8,'IP1'!$A$37:$G$89,7,0),Patterns!$A$2:$N$28,COLUMN(U8)-14,0)/VLOOKUP(VLOOKUP($A8,'IP1'!$A$37:$G$89,7,0),Patterns!$A$2:$N$28,2,0),IF(LEFT($D8,7)="Payroll",SUMPRODUCT(($B8='IP1'!$B$96:$B$114)*('IP1'!$E$96:$E$114))/12,SUMPRODUCT(($B8='IP1'!$B$96:$B$114)*('IP1'!$E$96:$E$114))/12*'IP1'!$F$154))</f>
        <v>1250</v>
      </c>
      <c r="V8" s="85">
        <f>IF(LEFT($D8,5)="Other",VLOOKUP($A8,'IP1'!$A$37:$G$89,5,0)*VLOOKUP(VLOOKUP($A8,'IP1'!$A$37:$G$89,7,0),Patterns!$A$2:$N$28,COLUMN(V8)-14,0)/VLOOKUP(VLOOKUP($A8,'IP1'!$A$37:$G$89,7,0),Patterns!$A$2:$N$28,2,0),IF(LEFT($D8,7)="Payroll",SUMPRODUCT(($B8='IP1'!$B$96:$B$114)*('IP1'!$E$96:$E$114))/12,SUMPRODUCT(($B8='IP1'!$B$96:$B$114)*('IP1'!$E$96:$E$114))/12*'IP1'!$F$154))</f>
        <v>0</v>
      </c>
      <c r="W8" s="85">
        <f>IF(LEFT($D8,5)="Other",VLOOKUP($A8,'IP1'!$A$37:$G$89,5,0)*VLOOKUP(VLOOKUP($A8,'IP1'!$A$37:$G$89,7,0),Patterns!$A$2:$N$28,COLUMN(W8)-14,0)/VLOOKUP(VLOOKUP($A8,'IP1'!$A$37:$G$89,7,0),Patterns!$A$2:$N$28,2,0),IF(LEFT($D8,7)="Payroll",SUMPRODUCT(($B8='IP1'!$B$96:$B$114)*('IP1'!$E$96:$E$114))/12,SUMPRODUCT(($B8='IP1'!$B$96:$B$114)*('IP1'!$E$96:$E$114))/12*'IP1'!$F$154))</f>
        <v>0</v>
      </c>
      <c r="X8" s="85">
        <f>IF(LEFT($D8,5)="Other",VLOOKUP($A8,'IP1'!$A$37:$G$89,5,0)*VLOOKUP(VLOOKUP($A8,'IP1'!$A$37:$G$89,7,0),Patterns!$A$2:$N$28,COLUMN(X8)-14,0)/VLOOKUP(VLOOKUP($A8,'IP1'!$A$37:$G$89,7,0),Patterns!$A$2:$N$28,2,0),IF(LEFT($D8,7)="Payroll",SUMPRODUCT(($B8='IP1'!$B$96:$B$114)*('IP1'!$E$96:$E$114))/12,SUMPRODUCT(($B8='IP1'!$B$96:$B$114)*('IP1'!$E$96:$E$114))/12*'IP1'!$F$154))</f>
        <v>1250</v>
      </c>
      <c r="Y8" s="85">
        <f>IF(LEFT($D8,5)="Other",VLOOKUP($A8,'IP1'!$A$37:$G$89,5,0)*VLOOKUP(VLOOKUP($A8,'IP1'!$A$37:$G$89,7,0),Patterns!$A$2:$N$28,COLUMN(Y8)-14,0)/VLOOKUP(VLOOKUP($A8,'IP1'!$A$37:$G$89,7,0),Patterns!$A$2:$N$28,2,0),IF(LEFT($D8,7)="Payroll",SUMPRODUCT(($B8='IP1'!$B$96:$B$114)*('IP1'!$E$96:$E$114))/12,SUMPRODUCT(($B8='IP1'!$B$96:$B$114)*('IP1'!$E$96:$E$114))/12*'IP1'!$F$154))</f>
        <v>0</v>
      </c>
      <c r="Z8" s="85">
        <f>IF(LEFT($D8,5)="Other",VLOOKUP($A8,'IP1'!$A$37:$G$89,5,0)*VLOOKUP(VLOOKUP($A8,'IP1'!$A$37:$G$89,7,0),Patterns!$A$2:$N$28,COLUMN(Z8)-14,0)/VLOOKUP(VLOOKUP($A8,'IP1'!$A$37:$G$89,7,0),Patterns!$A$2:$N$28,2,0),IF(LEFT($D8,7)="Payroll",SUMPRODUCT(($B8='IP1'!$B$96:$B$114)*('IP1'!$E$96:$E$114))/12,SUMPRODUCT(($B8='IP1'!$B$96:$B$114)*('IP1'!$E$96:$E$114))/12*'IP1'!$F$154))</f>
        <v>0</v>
      </c>
      <c r="AA8" s="85">
        <f>IF(LEFT($D8,5)="Other",VLOOKUP($A8,'IP1'!$A$37:$G$89,5,0)*VLOOKUP(VLOOKUP($A8,'IP1'!$A$37:$G$89,7,0),Patterns!$A$2:$N$28,COLUMN(AA8)-14,0)/VLOOKUP(VLOOKUP($A8,'IP1'!$A$37:$G$89,7,0),Patterns!$A$2:$N$28,2,0),IF(LEFT($D8,7)="Payroll",SUMPRODUCT(($B8='IP1'!$B$96:$B$114)*('IP1'!$E$96:$E$114))/12,SUMPRODUCT(($B8='IP1'!$B$96:$B$114)*('IP1'!$E$96:$E$114))/12*'IP1'!$F$154))</f>
        <v>1250</v>
      </c>
      <c r="AB8" s="85">
        <f>IF(LEFT($D8,5)="Other",VLOOKUP($A8,'IP1'!$A$37:$G$89,5,0)*VLOOKUP(VLOOKUP($A8,'IP1'!$A$37:$G$89,7,0),Patterns!$A$2:$N$28,COLUMN(AB8)-14,0)/VLOOKUP(VLOOKUP($A8,'IP1'!$A$37:$G$89,7,0),Patterns!$A$2:$N$28,2,0),IF(LEFT($D8,7)="Payroll",SUMPRODUCT(($B8='IP1'!$B$96:$B$114)*('IP1'!$E$96:$E$114))/12,SUMPRODUCT(($B8='IP1'!$B$96:$B$114)*('IP1'!$E$96:$E$114))/12*'IP1'!$F$154))</f>
        <v>0</v>
      </c>
    </row>
    <row r="9" spans="1:28">
      <c r="A9" s="1" t="str">
        <f t="shared" si="1"/>
        <v>AdministrationWages &amp; Salaries</v>
      </c>
      <c r="B9" s="1" t="s">
        <v>155</v>
      </c>
      <c r="C9" s="11" t="s">
        <v>66</v>
      </c>
      <c r="D9" s="11" t="s">
        <v>62</v>
      </c>
      <c r="E9" s="85">
        <f>IF(LEFT($D9,5)="Other",
VLOOKUP($A9,'IP1'!$A$37:$G$89,4,0)*
VLOOKUP(
VLOOKUP($A9,'IP1'!$A$37:$G$89,7,0),Patterns!$A$2:$N$28,COLUMN(E9)-2,0)/
VLOOKUP(
VLOOKUP($A9,'IP1'!$A$37:$G$89,7,0),Patterns!$A$2:$N$28,2,0),
IF(LEFT($D9,7)="Payroll",
SUMPRODUCT(($B9='IP1'!$B$96:$B$114)*('IP1'!$D$96:$D$114))/12,
SUMPRODUCT(($B9='IP1'!$B$96:$B$114)*('IP1'!$D$96:$D$114))/12*'IP1'!$F$154))</f>
        <v>12083.333333333334</v>
      </c>
      <c r="F9" s="85">
        <f>IF(LEFT($D9,5)="Other",VLOOKUP($A9,'IP1'!$A$37:$G$89,4,0)*VLOOKUP(VLOOKUP($A9,'IP1'!$A$37:$G$89,7,0),Patterns!$A$2:$N$28,COLUMN(F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G9" s="85">
        <f>IF(LEFT($D9,5)="Other",VLOOKUP($A9,'IP1'!$A$37:$G$89,4,0)*VLOOKUP(VLOOKUP($A9,'IP1'!$A$37:$G$89,7,0),Patterns!$A$2:$N$28,COLUMN(G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H9" s="85">
        <f>IF(LEFT($D9,5)="Other",VLOOKUP($A9,'IP1'!$A$37:$G$89,4,0)*VLOOKUP(VLOOKUP($A9,'IP1'!$A$37:$G$89,7,0),Patterns!$A$2:$N$28,COLUMN(H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I9" s="85">
        <f>IF(LEFT($D9,5)="Other",VLOOKUP($A9,'IP1'!$A$37:$G$89,4,0)*VLOOKUP(VLOOKUP($A9,'IP1'!$A$37:$G$89,7,0),Patterns!$A$2:$N$28,COLUMN(I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J9" s="85">
        <f>IF(LEFT($D9,5)="Other",VLOOKUP($A9,'IP1'!$A$37:$G$89,4,0)*VLOOKUP(VLOOKUP($A9,'IP1'!$A$37:$G$89,7,0),Patterns!$A$2:$N$28,COLUMN(J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K9" s="85">
        <f>IF(LEFT($D9,5)="Other",VLOOKUP($A9,'IP1'!$A$37:$G$89,4,0)*VLOOKUP(VLOOKUP($A9,'IP1'!$A$37:$G$89,7,0),Patterns!$A$2:$N$28,COLUMN(K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L9" s="85">
        <f>IF(LEFT($D9,5)="Other",VLOOKUP($A9,'IP1'!$A$37:$G$89,4,0)*VLOOKUP(VLOOKUP($A9,'IP1'!$A$37:$G$89,7,0),Patterns!$A$2:$N$28,COLUMN(L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M9" s="85">
        <f>IF(LEFT($D9,5)="Other",VLOOKUP($A9,'IP1'!$A$37:$G$89,4,0)*VLOOKUP(VLOOKUP($A9,'IP1'!$A$37:$G$89,7,0),Patterns!$A$2:$N$28,COLUMN(M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N9" s="85">
        <f>IF(LEFT($D9,5)="Other",VLOOKUP($A9,'IP1'!$A$37:$G$89,4,0)*VLOOKUP(VLOOKUP($A9,'IP1'!$A$37:$G$89,7,0),Patterns!$A$2:$N$28,COLUMN(N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O9" s="85">
        <f>IF(LEFT($D9,5)="Other",VLOOKUP($A9,'IP1'!$A$37:$G$89,4,0)*VLOOKUP(VLOOKUP($A9,'IP1'!$A$37:$G$89,7,0),Patterns!$A$2:$N$28,COLUMN(O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P9" s="85">
        <f>IF(LEFT($D9,5)="Other",VLOOKUP($A9,'IP1'!$A$37:$G$89,4,0)*VLOOKUP(VLOOKUP($A9,'IP1'!$A$37:$G$89,7,0),Patterns!$A$2:$N$28,COLUMN(P9)-2,0)/VLOOKUP(VLOOKUP($A9,'IP1'!$A$37:$G$89,7,0),Patterns!$A$2:$N$28,2,0),IF(LEFT($D9,7)="Payroll",SUMPRODUCT(($B9='IP1'!$B$96:$B$114)*('IP1'!$D$96:$D$114))/12,SUMPRODUCT(($B9='IP1'!$B$96:$B$114)*('IP1'!$D$96:$D$114))/12*'IP1'!$F$154))</f>
        <v>12083.333333333334</v>
      </c>
      <c r="Q9" s="85">
        <f>IF(LEFT($D9,5)="Other",VLOOKUP($A9,'IP1'!$A$37:$G$89,5,0)*VLOOKUP(VLOOKUP($A9,'IP1'!$A$37:$G$89,7,0),Patterns!$A$2:$N$28,COLUMN(Q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R9" s="85">
        <f>IF(LEFT($D9,5)="Other",VLOOKUP($A9,'IP1'!$A$37:$G$89,5,0)*VLOOKUP(VLOOKUP($A9,'IP1'!$A$37:$G$89,7,0),Patterns!$A$2:$N$28,COLUMN(R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S9" s="85">
        <f>IF(LEFT($D9,5)="Other",VLOOKUP($A9,'IP1'!$A$37:$G$89,5,0)*VLOOKUP(VLOOKUP($A9,'IP1'!$A$37:$G$89,7,0),Patterns!$A$2:$N$28,COLUMN(S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T9" s="85">
        <f>IF(LEFT($D9,5)="Other",VLOOKUP($A9,'IP1'!$A$37:$G$89,5,0)*VLOOKUP(VLOOKUP($A9,'IP1'!$A$37:$G$89,7,0),Patterns!$A$2:$N$28,COLUMN(T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U9" s="85">
        <f>IF(LEFT($D9,5)="Other",VLOOKUP($A9,'IP1'!$A$37:$G$89,5,0)*VLOOKUP(VLOOKUP($A9,'IP1'!$A$37:$G$89,7,0),Patterns!$A$2:$N$28,COLUMN(U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V9" s="85">
        <f>IF(LEFT($D9,5)="Other",VLOOKUP($A9,'IP1'!$A$37:$G$89,5,0)*VLOOKUP(VLOOKUP($A9,'IP1'!$A$37:$G$89,7,0),Patterns!$A$2:$N$28,COLUMN(V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W9" s="85">
        <f>IF(LEFT($D9,5)="Other",VLOOKUP($A9,'IP1'!$A$37:$G$89,5,0)*VLOOKUP(VLOOKUP($A9,'IP1'!$A$37:$G$89,7,0),Patterns!$A$2:$N$28,COLUMN(W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X9" s="85">
        <f>IF(LEFT($D9,5)="Other",VLOOKUP($A9,'IP1'!$A$37:$G$89,5,0)*VLOOKUP(VLOOKUP($A9,'IP1'!$A$37:$G$89,7,0),Patterns!$A$2:$N$28,COLUMN(X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Y9" s="85">
        <f>IF(LEFT($D9,5)="Other",VLOOKUP($A9,'IP1'!$A$37:$G$89,5,0)*VLOOKUP(VLOOKUP($A9,'IP1'!$A$37:$G$89,7,0),Patterns!$A$2:$N$28,COLUMN(Y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Z9" s="85">
        <f>IF(LEFT($D9,5)="Other",VLOOKUP($A9,'IP1'!$A$37:$G$89,5,0)*VLOOKUP(VLOOKUP($A9,'IP1'!$A$37:$G$89,7,0),Patterns!$A$2:$N$28,COLUMN(Z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AA9" s="85">
        <f>IF(LEFT($D9,5)="Other",VLOOKUP($A9,'IP1'!$A$37:$G$89,5,0)*VLOOKUP(VLOOKUP($A9,'IP1'!$A$37:$G$89,7,0),Patterns!$A$2:$N$28,COLUMN(AA9)-14,0)/VLOOKUP(VLOOKUP($A9,'IP1'!$A$37:$G$89,7,0),Patterns!$A$2:$N$28,2,0),IF(LEFT($D9,7)="Payroll",SUMPRODUCT(($B9='IP1'!$B$96:$B$114)*('IP1'!$E$96:$E$114))/12,SUMPRODUCT(($B9='IP1'!$B$96:$B$114)*('IP1'!$E$96:$E$114))/12*'IP1'!$F$154))</f>
        <v>12500</v>
      </c>
      <c r="AB9" s="85">
        <f>IF(LEFT($D9,5)="Other",VLOOKUP($A9,'IP1'!$A$37:$G$89,5,0)*VLOOKUP(VLOOKUP($A9,'IP1'!$A$37:$G$89,7,0),Patterns!$A$2:$N$28,COLUMN(AB9)-14,0)/VLOOKUP(VLOOKUP($A9,'IP1'!$A$37:$G$89,7,0),Patterns!$A$2:$N$28,2,0),IF(LEFT($D9,7)="Payroll",SUMPRODUCT(($B9='IP1'!$B$96:$B$114)*('IP1'!$E$96:$E$114))/12,SUMPRODUCT(($B9='IP1'!$B$96:$B$114)*('IP1'!$E$96:$E$114))/12*'IP1'!$F$154))</f>
        <v>12500</v>
      </c>
    </row>
    <row r="10" spans="1:28">
      <c r="A10" s="1" t="str">
        <f t="shared" si="1"/>
        <v>AdministrationPAYE / PRSI</v>
      </c>
      <c r="B10" s="1" t="s">
        <v>155</v>
      </c>
      <c r="C10" s="1" t="s">
        <v>25</v>
      </c>
      <c r="D10" s="11" t="s">
        <v>65</v>
      </c>
      <c r="E10" s="85">
        <f>IF(LEFT($D10,5)="Other",
VLOOKUP($A10,'IP1'!$A$37:$G$89,4,0)*
VLOOKUP(
VLOOKUP($A10,'IP1'!$A$37:$G$89,7,0),Patterns!$A$2:$N$28,COLUMN(E10)-2,0)/
VLOOKUP(
VLOOKUP($A10,'IP1'!$A$37:$G$89,7,0),Patterns!$A$2:$N$28,2,0),
IF(LEFT($D10,7)="Payroll",
SUMPRODUCT(($B10='IP1'!$B$96:$B$114)*('IP1'!$D$96:$D$114))/12,
SUMPRODUCT(($B10='IP1'!$B$96:$B$114)*('IP1'!$D$96:$D$114))/12*'IP1'!$F$154))</f>
        <v>1812.5</v>
      </c>
      <c r="F10" s="85">
        <f>IF(LEFT($D10,5)="Other",VLOOKUP($A10,'IP1'!$A$37:$G$89,4,0)*VLOOKUP(VLOOKUP($A10,'IP1'!$A$37:$G$89,7,0),Patterns!$A$2:$N$28,COLUMN(F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G10" s="85">
        <f>IF(LEFT($D10,5)="Other",VLOOKUP($A10,'IP1'!$A$37:$G$89,4,0)*VLOOKUP(VLOOKUP($A10,'IP1'!$A$37:$G$89,7,0),Patterns!$A$2:$N$28,COLUMN(G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H10" s="85">
        <f>IF(LEFT($D10,5)="Other",VLOOKUP($A10,'IP1'!$A$37:$G$89,4,0)*VLOOKUP(VLOOKUP($A10,'IP1'!$A$37:$G$89,7,0),Patterns!$A$2:$N$28,COLUMN(H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I10" s="85">
        <f>IF(LEFT($D10,5)="Other",VLOOKUP($A10,'IP1'!$A$37:$G$89,4,0)*VLOOKUP(VLOOKUP($A10,'IP1'!$A$37:$G$89,7,0),Patterns!$A$2:$N$28,COLUMN(I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J10" s="85">
        <f>IF(LEFT($D10,5)="Other",VLOOKUP($A10,'IP1'!$A$37:$G$89,4,0)*VLOOKUP(VLOOKUP($A10,'IP1'!$A$37:$G$89,7,0),Patterns!$A$2:$N$28,COLUMN(J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K10" s="85">
        <f>IF(LEFT($D10,5)="Other",VLOOKUP($A10,'IP1'!$A$37:$G$89,4,0)*VLOOKUP(VLOOKUP($A10,'IP1'!$A$37:$G$89,7,0),Patterns!$A$2:$N$28,COLUMN(K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L10" s="85">
        <f>IF(LEFT($D10,5)="Other",VLOOKUP($A10,'IP1'!$A$37:$G$89,4,0)*VLOOKUP(VLOOKUP($A10,'IP1'!$A$37:$G$89,7,0),Patterns!$A$2:$N$28,COLUMN(L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M10" s="85">
        <f>IF(LEFT($D10,5)="Other",VLOOKUP($A10,'IP1'!$A$37:$G$89,4,0)*VLOOKUP(VLOOKUP($A10,'IP1'!$A$37:$G$89,7,0),Patterns!$A$2:$N$28,COLUMN(M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N10" s="85">
        <f>IF(LEFT($D10,5)="Other",VLOOKUP($A10,'IP1'!$A$37:$G$89,4,0)*VLOOKUP(VLOOKUP($A10,'IP1'!$A$37:$G$89,7,0),Patterns!$A$2:$N$28,COLUMN(N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O10" s="85">
        <f>IF(LEFT($D10,5)="Other",VLOOKUP($A10,'IP1'!$A$37:$G$89,4,0)*VLOOKUP(VLOOKUP($A10,'IP1'!$A$37:$G$89,7,0),Patterns!$A$2:$N$28,COLUMN(O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P10" s="85">
        <f>IF(LEFT($D10,5)="Other",VLOOKUP($A10,'IP1'!$A$37:$G$89,4,0)*VLOOKUP(VLOOKUP($A10,'IP1'!$A$37:$G$89,7,0),Patterns!$A$2:$N$28,COLUMN(P10)-2,0)/VLOOKUP(VLOOKUP($A10,'IP1'!$A$37:$G$89,7,0),Patterns!$A$2:$N$28,2,0),IF(LEFT($D10,7)="Payroll",SUMPRODUCT(($B10='IP1'!$B$96:$B$114)*('IP1'!$D$96:$D$114))/12,SUMPRODUCT(($B10='IP1'!$B$96:$B$114)*('IP1'!$D$96:$D$114))/12*'IP1'!$F$154))</f>
        <v>1812.5</v>
      </c>
      <c r="Q10" s="85">
        <f>IF(LEFT($D10,5)="Other",VLOOKUP($A10,'IP1'!$A$37:$G$89,5,0)*VLOOKUP(VLOOKUP($A10,'IP1'!$A$37:$G$89,7,0),Patterns!$A$2:$N$28,COLUMN(Q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R10" s="85">
        <f>IF(LEFT($D10,5)="Other",VLOOKUP($A10,'IP1'!$A$37:$G$89,5,0)*VLOOKUP(VLOOKUP($A10,'IP1'!$A$37:$G$89,7,0),Patterns!$A$2:$N$28,COLUMN(R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S10" s="85">
        <f>IF(LEFT($D10,5)="Other",VLOOKUP($A10,'IP1'!$A$37:$G$89,5,0)*VLOOKUP(VLOOKUP($A10,'IP1'!$A$37:$G$89,7,0),Patterns!$A$2:$N$28,COLUMN(S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T10" s="85">
        <f>IF(LEFT($D10,5)="Other",VLOOKUP($A10,'IP1'!$A$37:$G$89,5,0)*VLOOKUP(VLOOKUP($A10,'IP1'!$A$37:$G$89,7,0),Patterns!$A$2:$N$28,COLUMN(T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U10" s="85">
        <f>IF(LEFT($D10,5)="Other",VLOOKUP($A10,'IP1'!$A$37:$G$89,5,0)*VLOOKUP(VLOOKUP($A10,'IP1'!$A$37:$G$89,7,0),Patterns!$A$2:$N$28,COLUMN(U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V10" s="85">
        <f>IF(LEFT($D10,5)="Other",VLOOKUP($A10,'IP1'!$A$37:$G$89,5,0)*VLOOKUP(VLOOKUP($A10,'IP1'!$A$37:$G$89,7,0),Patterns!$A$2:$N$28,COLUMN(V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W10" s="85">
        <f>IF(LEFT($D10,5)="Other",VLOOKUP($A10,'IP1'!$A$37:$G$89,5,0)*VLOOKUP(VLOOKUP($A10,'IP1'!$A$37:$G$89,7,0),Patterns!$A$2:$N$28,COLUMN(W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X10" s="85">
        <f>IF(LEFT($D10,5)="Other",VLOOKUP($A10,'IP1'!$A$37:$G$89,5,0)*VLOOKUP(VLOOKUP($A10,'IP1'!$A$37:$G$89,7,0),Patterns!$A$2:$N$28,COLUMN(X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Y10" s="85">
        <f>IF(LEFT($D10,5)="Other",VLOOKUP($A10,'IP1'!$A$37:$G$89,5,0)*VLOOKUP(VLOOKUP($A10,'IP1'!$A$37:$G$89,7,0),Patterns!$A$2:$N$28,COLUMN(Y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Z10" s="85">
        <f>IF(LEFT($D10,5)="Other",VLOOKUP($A10,'IP1'!$A$37:$G$89,5,0)*VLOOKUP(VLOOKUP($A10,'IP1'!$A$37:$G$89,7,0),Patterns!$A$2:$N$28,COLUMN(Z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AA10" s="85">
        <f>IF(LEFT($D10,5)="Other",VLOOKUP($A10,'IP1'!$A$37:$G$89,5,0)*VLOOKUP(VLOOKUP($A10,'IP1'!$A$37:$G$89,7,0),Patterns!$A$2:$N$28,COLUMN(AA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  <c r="AB10" s="85">
        <f>IF(LEFT($D10,5)="Other",VLOOKUP($A10,'IP1'!$A$37:$G$89,5,0)*VLOOKUP(VLOOKUP($A10,'IP1'!$A$37:$G$89,7,0),Patterns!$A$2:$N$28,COLUMN(AB10)-14,0)/VLOOKUP(VLOOKUP($A10,'IP1'!$A$37:$G$89,7,0),Patterns!$A$2:$N$28,2,0),IF(LEFT($D10,7)="Payroll",SUMPRODUCT(($B10='IP1'!$B$96:$B$114)*('IP1'!$E$96:$E$114))/12,SUMPRODUCT(($B10='IP1'!$B$96:$B$114)*('IP1'!$E$96:$E$114))/12*'IP1'!$F$154))</f>
        <v>1875</v>
      </c>
    </row>
    <row r="11" spans="1:28">
      <c r="A11" s="1" t="str">
        <f t="shared" si="1"/>
        <v xml:space="preserve">AdministrationBank charges </v>
      </c>
      <c r="B11" s="1" t="s">
        <v>155</v>
      </c>
      <c r="C11" s="1" t="s">
        <v>452</v>
      </c>
      <c r="D11" s="11" t="s">
        <v>100</v>
      </c>
      <c r="E11" s="85">
        <f>IF(LEFT($D11,5)="Other",
VLOOKUP($A11,'IP1'!$A$37:$G$89,4,0)*
VLOOKUP(
VLOOKUP($A11,'IP1'!$A$37:$G$89,7,0),Patterns!$A$2:$N$28,COLUMN(E11)-2,0)/
VLOOKUP(
VLOOKUP($A11,'IP1'!$A$37:$G$89,7,0),Patterns!$A$2:$N$28,2,0),
IF(LEFT($D11,7)="Payroll",
SUMPRODUCT(($B11='IP1'!$B$96:$B$114)*('IP1'!$D$96:$D$114))/12,
SUMPRODUCT(($B11='IP1'!$B$96:$B$114)*('IP1'!$D$96:$D$114))/12*'IP1'!$F$154))</f>
        <v>250</v>
      </c>
      <c r="F11" s="85">
        <f>IF(LEFT($D11,5)="Other",VLOOKUP($A11,'IP1'!$A$37:$G$89,4,0)*VLOOKUP(VLOOKUP($A11,'IP1'!$A$37:$G$89,7,0),Patterns!$A$2:$N$28,COLUMN(F11)-2,0)/VLOOKUP(VLOOKUP($A11,'IP1'!$A$37:$G$89,7,0),Patterns!$A$2:$N$28,2,0),IF(LEFT($D11,7)="Payroll",SUMPRODUCT(($B11='IP1'!$B$96:$B$114)*('IP1'!$D$96:$D$114))/12,SUMPRODUCT(($B11='IP1'!$B$96:$B$114)*('IP1'!$D$96:$D$114))/12*'IP1'!$F$154))</f>
        <v>0</v>
      </c>
      <c r="G11" s="85">
        <f>IF(LEFT($D11,5)="Other",VLOOKUP($A11,'IP1'!$A$37:$G$89,4,0)*VLOOKUP(VLOOKUP($A11,'IP1'!$A$37:$G$89,7,0),Patterns!$A$2:$N$28,COLUMN(G11)-2,0)/VLOOKUP(VLOOKUP($A11,'IP1'!$A$37:$G$89,7,0),Patterns!$A$2:$N$28,2,0),IF(LEFT($D11,7)="Payroll",SUMPRODUCT(($B11='IP1'!$B$96:$B$114)*('IP1'!$D$96:$D$114))/12,SUMPRODUCT(($B11='IP1'!$B$96:$B$114)*('IP1'!$D$96:$D$114))/12*'IP1'!$F$154))</f>
        <v>0</v>
      </c>
      <c r="H11" s="85">
        <f>IF(LEFT($D11,5)="Other",VLOOKUP($A11,'IP1'!$A$37:$G$89,4,0)*VLOOKUP(VLOOKUP($A11,'IP1'!$A$37:$G$89,7,0),Patterns!$A$2:$N$28,COLUMN(H11)-2,0)/VLOOKUP(VLOOKUP($A11,'IP1'!$A$37:$G$89,7,0),Patterns!$A$2:$N$28,2,0),IF(LEFT($D11,7)="Payroll",SUMPRODUCT(($B11='IP1'!$B$96:$B$114)*('IP1'!$D$96:$D$114))/12,SUMPRODUCT(($B11='IP1'!$B$96:$B$114)*('IP1'!$D$96:$D$114))/12*'IP1'!$F$154))</f>
        <v>250</v>
      </c>
      <c r="I11" s="85">
        <f>IF(LEFT($D11,5)="Other",VLOOKUP($A11,'IP1'!$A$37:$G$89,4,0)*VLOOKUP(VLOOKUP($A11,'IP1'!$A$37:$G$89,7,0),Patterns!$A$2:$N$28,COLUMN(I11)-2,0)/VLOOKUP(VLOOKUP($A11,'IP1'!$A$37:$G$89,7,0),Patterns!$A$2:$N$28,2,0),IF(LEFT($D11,7)="Payroll",SUMPRODUCT(($B11='IP1'!$B$96:$B$114)*('IP1'!$D$96:$D$114))/12,SUMPRODUCT(($B11='IP1'!$B$96:$B$114)*('IP1'!$D$96:$D$114))/12*'IP1'!$F$154))</f>
        <v>0</v>
      </c>
      <c r="J11" s="85">
        <f>IF(LEFT($D11,5)="Other",VLOOKUP($A11,'IP1'!$A$37:$G$89,4,0)*VLOOKUP(VLOOKUP($A11,'IP1'!$A$37:$G$89,7,0),Patterns!$A$2:$N$28,COLUMN(J11)-2,0)/VLOOKUP(VLOOKUP($A11,'IP1'!$A$37:$G$89,7,0),Patterns!$A$2:$N$28,2,0),IF(LEFT($D11,7)="Payroll",SUMPRODUCT(($B11='IP1'!$B$96:$B$114)*('IP1'!$D$96:$D$114))/12,SUMPRODUCT(($B11='IP1'!$B$96:$B$114)*('IP1'!$D$96:$D$114))/12*'IP1'!$F$154))</f>
        <v>0</v>
      </c>
      <c r="K11" s="85">
        <f>IF(LEFT($D11,5)="Other",VLOOKUP($A11,'IP1'!$A$37:$G$89,4,0)*VLOOKUP(VLOOKUP($A11,'IP1'!$A$37:$G$89,7,0),Patterns!$A$2:$N$28,COLUMN(K11)-2,0)/VLOOKUP(VLOOKUP($A11,'IP1'!$A$37:$G$89,7,0),Patterns!$A$2:$N$28,2,0),IF(LEFT($D11,7)="Payroll",SUMPRODUCT(($B11='IP1'!$B$96:$B$114)*('IP1'!$D$96:$D$114))/12,SUMPRODUCT(($B11='IP1'!$B$96:$B$114)*('IP1'!$D$96:$D$114))/12*'IP1'!$F$154))</f>
        <v>250</v>
      </c>
      <c r="L11" s="85">
        <f>IF(LEFT($D11,5)="Other",VLOOKUP($A11,'IP1'!$A$37:$G$89,4,0)*VLOOKUP(VLOOKUP($A11,'IP1'!$A$37:$G$89,7,0),Patterns!$A$2:$N$28,COLUMN(L11)-2,0)/VLOOKUP(VLOOKUP($A11,'IP1'!$A$37:$G$89,7,0),Patterns!$A$2:$N$28,2,0),IF(LEFT($D11,7)="Payroll",SUMPRODUCT(($B11='IP1'!$B$96:$B$114)*('IP1'!$D$96:$D$114))/12,SUMPRODUCT(($B11='IP1'!$B$96:$B$114)*('IP1'!$D$96:$D$114))/12*'IP1'!$F$154))</f>
        <v>0</v>
      </c>
      <c r="M11" s="85">
        <f>IF(LEFT($D11,5)="Other",VLOOKUP($A11,'IP1'!$A$37:$G$89,4,0)*VLOOKUP(VLOOKUP($A11,'IP1'!$A$37:$G$89,7,0),Patterns!$A$2:$N$28,COLUMN(M11)-2,0)/VLOOKUP(VLOOKUP($A11,'IP1'!$A$37:$G$89,7,0),Patterns!$A$2:$N$28,2,0),IF(LEFT($D11,7)="Payroll",SUMPRODUCT(($B11='IP1'!$B$96:$B$114)*('IP1'!$D$96:$D$114))/12,SUMPRODUCT(($B11='IP1'!$B$96:$B$114)*('IP1'!$D$96:$D$114))/12*'IP1'!$F$154))</f>
        <v>0</v>
      </c>
      <c r="N11" s="85">
        <f>IF(LEFT($D11,5)="Other",VLOOKUP($A11,'IP1'!$A$37:$G$89,4,0)*VLOOKUP(VLOOKUP($A11,'IP1'!$A$37:$G$89,7,0),Patterns!$A$2:$N$28,COLUMN(N11)-2,0)/VLOOKUP(VLOOKUP($A11,'IP1'!$A$37:$G$89,7,0),Patterns!$A$2:$N$28,2,0),IF(LEFT($D11,7)="Payroll",SUMPRODUCT(($B11='IP1'!$B$96:$B$114)*('IP1'!$D$96:$D$114))/12,SUMPRODUCT(($B11='IP1'!$B$96:$B$114)*('IP1'!$D$96:$D$114))/12*'IP1'!$F$154))</f>
        <v>250</v>
      </c>
      <c r="O11" s="85">
        <f>IF(LEFT($D11,5)="Other",VLOOKUP($A11,'IP1'!$A$37:$G$89,4,0)*VLOOKUP(VLOOKUP($A11,'IP1'!$A$37:$G$89,7,0),Patterns!$A$2:$N$28,COLUMN(O11)-2,0)/VLOOKUP(VLOOKUP($A11,'IP1'!$A$37:$G$89,7,0),Patterns!$A$2:$N$28,2,0),IF(LEFT($D11,7)="Payroll",SUMPRODUCT(($B11='IP1'!$B$96:$B$114)*('IP1'!$D$96:$D$114))/12,SUMPRODUCT(($B11='IP1'!$B$96:$B$114)*('IP1'!$D$96:$D$114))/12*'IP1'!$F$154))</f>
        <v>0</v>
      </c>
      <c r="P11" s="85">
        <f>IF(LEFT($D11,5)="Other",VLOOKUP($A11,'IP1'!$A$37:$G$89,4,0)*VLOOKUP(VLOOKUP($A11,'IP1'!$A$37:$G$89,7,0),Patterns!$A$2:$N$28,COLUMN(P11)-2,0)/VLOOKUP(VLOOKUP($A11,'IP1'!$A$37:$G$89,7,0),Patterns!$A$2:$N$28,2,0),IF(LEFT($D11,7)="Payroll",SUMPRODUCT(($B11='IP1'!$B$96:$B$114)*('IP1'!$D$96:$D$114))/12,SUMPRODUCT(($B11='IP1'!$B$96:$B$114)*('IP1'!$D$96:$D$114))/12*'IP1'!$F$154))</f>
        <v>0</v>
      </c>
      <c r="Q11" s="85">
        <f>IF(LEFT($D11,5)="Other",VLOOKUP($A11,'IP1'!$A$37:$G$89,5,0)*VLOOKUP(VLOOKUP($A11,'IP1'!$A$37:$G$89,7,0),Patterns!$A$2:$N$28,COLUMN(Q11)-14,0)/VLOOKUP(VLOOKUP($A11,'IP1'!$A$37:$G$89,7,0),Patterns!$A$2:$N$28,2,0),IF(LEFT($D11,7)="Payroll",SUMPRODUCT(($B11='IP1'!$B$96:$B$114)*('IP1'!$E$96:$E$114))/12,SUMPRODUCT(($B11='IP1'!$B$96:$B$114)*('IP1'!$E$96:$E$114))/12*'IP1'!$F$154))</f>
        <v>250</v>
      </c>
      <c r="R11" s="85">
        <f>IF(LEFT($D11,5)="Other",VLOOKUP($A11,'IP1'!$A$37:$G$89,5,0)*VLOOKUP(VLOOKUP($A11,'IP1'!$A$37:$G$89,7,0),Patterns!$A$2:$N$28,COLUMN(R11)-14,0)/VLOOKUP(VLOOKUP($A11,'IP1'!$A$37:$G$89,7,0),Patterns!$A$2:$N$28,2,0),IF(LEFT($D11,7)="Payroll",SUMPRODUCT(($B11='IP1'!$B$96:$B$114)*('IP1'!$E$96:$E$114))/12,SUMPRODUCT(($B11='IP1'!$B$96:$B$114)*('IP1'!$E$96:$E$114))/12*'IP1'!$F$154))</f>
        <v>0</v>
      </c>
      <c r="S11" s="85">
        <f>IF(LEFT($D11,5)="Other",VLOOKUP($A11,'IP1'!$A$37:$G$89,5,0)*VLOOKUP(VLOOKUP($A11,'IP1'!$A$37:$G$89,7,0),Patterns!$A$2:$N$28,COLUMN(S11)-14,0)/VLOOKUP(VLOOKUP($A11,'IP1'!$A$37:$G$89,7,0),Patterns!$A$2:$N$28,2,0),IF(LEFT($D11,7)="Payroll",SUMPRODUCT(($B11='IP1'!$B$96:$B$114)*('IP1'!$E$96:$E$114))/12,SUMPRODUCT(($B11='IP1'!$B$96:$B$114)*('IP1'!$E$96:$E$114))/12*'IP1'!$F$154))</f>
        <v>0</v>
      </c>
      <c r="T11" s="85">
        <f>IF(LEFT($D11,5)="Other",VLOOKUP($A11,'IP1'!$A$37:$G$89,5,0)*VLOOKUP(VLOOKUP($A11,'IP1'!$A$37:$G$89,7,0),Patterns!$A$2:$N$28,COLUMN(T11)-14,0)/VLOOKUP(VLOOKUP($A11,'IP1'!$A$37:$G$89,7,0),Patterns!$A$2:$N$28,2,0),IF(LEFT($D11,7)="Payroll",SUMPRODUCT(($B11='IP1'!$B$96:$B$114)*('IP1'!$E$96:$E$114))/12,SUMPRODUCT(($B11='IP1'!$B$96:$B$114)*('IP1'!$E$96:$E$114))/12*'IP1'!$F$154))</f>
        <v>250</v>
      </c>
      <c r="U11" s="85">
        <f>IF(LEFT($D11,5)="Other",VLOOKUP($A11,'IP1'!$A$37:$G$89,5,0)*VLOOKUP(VLOOKUP($A11,'IP1'!$A$37:$G$89,7,0),Patterns!$A$2:$N$28,COLUMN(U11)-14,0)/VLOOKUP(VLOOKUP($A11,'IP1'!$A$37:$G$89,7,0),Patterns!$A$2:$N$28,2,0),IF(LEFT($D11,7)="Payroll",SUMPRODUCT(($B11='IP1'!$B$96:$B$114)*('IP1'!$E$96:$E$114))/12,SUMPRODUCT(($B11='IP1'!$B$96:$B$114)*('IP1'!$E$96:$E$114))/12*'IP1'!$F$154))</f>
        <v>0</v>
      </c>
      <c r="V11" s="85">
        <f>IF(LEFT($D11,5)="Other",VLOOKUP($A11,'IP1'!$A$37:$G$89,5,0)*VLOOKUP(VLOOKUP($A11,'IP1'!$A$37:$G$89,7,0),Patterns!$A$2:$N$28,COLUMN(V11)-14,0)/VLOOKUP(VLOOKUP($A11,'IP1'!$A$37:$G$89,7,0),Patterns!$A$2:$N$28,2,0),IF(LEFT($D11,7)="Payroll",SUMPRODUCT(($B11='IP1'!$B$96:$B$114)*('IP1'!$E$96:$E$114))/12,SUMPRODUCT(($B11='IP1'!$B$96:$B$114)*('IP1'!$E$96:$E$114))/12*'IP1'!$F$154))</f>
        <v>0</v>
      </c>
      <c r="W11" s="85">
        <f>IF(LEFT($D11,5)="Other",VLOOKUP($A11,'IP1'!$A$37:$G$89,5,0)*VLOOKUP(VLOOKUP($A11,'IP1'!$A$37:$G$89,7,0),Patterns!$A$2:$N$28,COLUMN(W11)-14,0)/VLOOKUP(VLOOKUP($A11,'IP1'!$A$37:$G$89,7,0),Patterns!$A$2:$N$28,2,0),IF(LEFT($D11,7)="Payroll",SUMPRODUCT(($B11='IP1'!$B$96:$B$114)*('IP1'!$E$96:$E$114))/12,SUMPRODUCT(($B11='IP1'!$B$96:$B$114)*('IP1'!$E$96:$E$114))/12*'IP1'!$F$154))</f>
        <v>250</v>
      </c>
      <c r="X11" s="85">
        <f>IF(LEFT($D11,5)="Other",VLOOKUP($A11,'IP1'!$A$37:$G$89,5,0)*VLOOKUP(VLOOKUP($A11,'IP1'!$A$37:$G$89,7,0),Patterns!$A$2:$N$28,COLUMN(X11)-14,0)/VLOOKUP(VLOOKUP($A11,'IP1'!$A$37:$G$89,7,0),Patterns!$A$2:$N$28,2,0),IF(LEFT($D11,7)="Payroll",SUMPRODUCT(($B11='IP1'!$B$96:$B$114)*('IP1'!$E$96:$E$114))/12,SUMPRODUCT(($B11='IP1'!$B$96:$B$114)*('IP1'!$E$96:$E$114))/12*'IP1'!$F$154))</f>
        <v>0</v>
      </c>
      <c r="Y11" s="85">
        <f>IF(LEFT($D11,5)="Other",VLOOKUP($A11,'IP1'!$A$37:$G$89,5,0)*VLOOKUP(VLOOKUP($A11,'IP1'!$A$37:$G$89,7,0),Patterns!$A$2:$N$28,COLUMN(Y11)-14,0)/VLOOKUP(VLOOKUP($A11,'IP1'!$A$37:$G$89,7,0),Patterns!$A$2:$N$28,2,0),IF(LEFT($D11,7)="Payroll",SUMPRODUCT(($B11='IP1'!$B$96:$B$114)*('IP1'!$E$96:$E$114))/12,SUMPRODUCT(($B11='IP1'!$B$96:$B$114)*('IP1'!$E$96:$E$114))/12*'IP1'!$F$154))</f>
        <v>0</v>
      </c>
      <c r="Z11" s="85">
        <f>IF(LEFT($D11,5)="Other",VLOOKUP($A11,'IP1'!$A$37:$G$89,5,0)*VLOOKUP(VLOOKUP($A11,'IP1'!$A$37:$G$89,7,0),Patterns!$A$2:$N$28,COLUMN(Z11)-14,0)/VLOOKUP(VLOOKUP($A11,'IP1'!$A$37:$G$89,7,0),Patterns!$A$2:$N$28,2,0),IF(LEFT($D11,7)="Payroll",SUMPRODUCT(($B11='IP1'!$B$96:$B$114)*('IP1'!$E$96:$E$114))/12,SUMPRODUCT(($B11='IP1'!$B$96:$B$114)*('IP1'!$E$96:$E$114))/12*'IP1'!$F$154))</f>
        <v>250</v>
      </c>
      <c r="AA11" s="85">
        <f>IF(LEFT($D11,5)="Other",VLOOKUP($A11,'IP1'!$A$37:$G$89,5,0)*VLOOKUP(VLOOKUP($A11,'IP1'!$A$37:$G$89,7,0),Patterns!$A$2:$N$28,COLUMN(AA11)-14,0)/VLOOKUP(VLOOKUP($A11,'IP1'!$A$37:$G$89,7,0),Patterns!$A$2:$N$28,2,0),IF(LEFT($D11,7)="Payroll",SUMPRODUCT(($B11='IP1'!$B$96:$B$114)*('IP1'!$E$96:$E$114))/12,SUMPRODUCT(($B11='IP1'!$B$96:$B$114)*('IP1'!$E$96:$E$114))/12*'IP1'!$F$154))</f>
        <v>0</v>
      </c>
      <c r="AB11" s="85">
        <f>IF(LEFT($D11,5)="Other",VLOOKUP($A11,'IP1'!$A$37:$G$89,5,0)*VLOOKUP(VLOOKUP($A11,'IP1'!$A$37:$G$89,7,0),Patterns!$A$2:$N$28,COLUMN(AB11)-14,0)/VLOOKUP(VLOOKUP($A11,'IP1'!$A$37:$G$89,7,0),Patterns!$A$2:$N$28,2,0),IF(LEFT($D11,7)="Payroll",SUMPRODUCT(($B11='IP1'!$B$96:$B$114)*('IP1'!$E$96:$E$114))/12,SUMPRODUCT(($B11='IP1'!$B$96:$B$114)*('IP1'!$E$96:$E$114))/12*'IP1'!$F$154))</f>
        <v>0</v>
      </c>
    </row>
    <row r="12" spans="1:28">
      <c r="A12" s="1" t="str">
        <f t="shared" si="1"/>
        <v>AdministrationBad Debts</v>
      </c>
      <c r="B12" s="1" t="s">
        <v>155</v>
      </c>
      <c r="C12" s="1" t="s">
        <v>30</v>
      </c>
      <c r="D12" s="11" t="s">
        <v>100</v>
      </c>
      <c r="E12" s="85">
        <f>IF(LEFT($D12,5)="Other",
VLOOKUP($A12,'IP1'!$A$37:$G$89,4,0)*
VLOOKUP(
VLOOKUP($A12,'IP1'!$A$37:$G$89,7,0),Patterns!$A$2:$N$28,COLUMN(E12)-2,0)/
VLOOKUP(
VLOOKUP($A12,'IP1'!$A$37:$G$89,7,0),Patterns!$A$2:$N$28,2,0),
IF(LEFT($D12,7)="Payroll",
SUMPRODUCT(($B12='IP1'!$B$96:$B$114)*('IP1'!$D$96:$D$114))/12,
SUMPRODUCT(($B12='IP1'!$B$96:$B$114)*('IP1'!$D$96:$D$114))/12*'IP1'!$F$154))</f>
        <v>148.9306875</v>
      </c>
      <c r="F12" s="85">
        <f>IF(LEFT($D12,5)="Other",VLOOKUP($A12,'IP1'!$A$37:$G$89,4,0)*VLOOKUP(VLOOKUP($A12,'IP1'!$A$37:$G$89,7,0),Patterns!$A$2:$N$28,COLUMN(F12)-2,0)/VLOOKUP(VLOOKUP($A12,'IP1'!$A$37:$G$89,7,0),Patterns!$A$2:$N$28,2,0),IF(LEFT($D12,7)="Payroll",SUMPRODUCT(($B12='IP1'!$B$96:$B$114)*('IP1'!$D$96:$D$114))/12,SUMPRODUCT(($B12='IP1'!$B$96:$B$114)*('IP1'!$D$96:$D$114))/12*'IP1'!$F$154))</f>
        <v>148.9306875</v>
      </c>
      <c r="G12" s="85">
        <f>IF(LEFT($D12,5)="Other",VLOOKUP($A12,'IP1'!$A$37:$G$89,4,0)*VLOOKUP(VLOOKUP($A12,'IP1'!$A$37:$G$89,7,0),Patterns!$A$2:$N$28,COLUMN(G12)-2,0)/VLOOKUP(VLOOKUP($A12,'IP1'!$A$37:$G$89,7,0),Patterns!$A$2:$N$28,2,0),IF(LEFT($D12,7)="Payroll",SUMPRODUCT(($B12='IP1'!$B$96:$B$114)*('IP1'!$D$96:$D$114))/12,SUMPRODUCT(($B12='IP1'!$B$96:$B$114)*('IP1'!$D$96:$D$114))/12*'IP1'!$F$154))</f>
        <v>446.79206249999999</v>
      </c>
      <c r="H12" s="85">
        <f>IF(LEFT($D12,5)="Other",VLOOKUP($A12,'IP1'!$A$37:$G$89,4,0)*VLOOKUP(VLOOKUP($A12,'IP1'!$A$37:$G$89,7,0),Patterns!$A$2:$N$28,COLUMN(H12)-2,0)/VLOOKUP(VLOOKUP($A12,'IP1'!$A$37:$G$89,7,0),Patterns!$A$2:$N$28,2,0),IF(LEFT($D12,7)="Payroll",SUMPRODUCT(($B12='IP1'!$B$96:$B$114)*('IP1'!$D$96:$D$114))/12,SUMPRODUCT(($B12='IP1'!$B$96:$B$114)*('IP1'!$D$96:$D$114))/12*'IP1'!$F$154))</f>
        <v>446.79206249999999</v>
      </c>
      <c r="I12" s="85">
        <f>IF(LEFT($D12,5)="Other",VLOOKUP($A12,'IP1'!$A$37:$G$89,4,0)*VLOOKUP(VLOOKUP($A12,'IP1'!$A$37:$G$89,7,0),Patterns!$A$2:$N$28,COLUMN(I12)-2,0)/VLOOKUP(VLOOKUP($A12,'IP1'!$A$37:$G$89,7,0),Patterns!$A$2:$N$28,2,0),IF(LEFT($D12,7)="Payroll",SUMPRODUCT(($B12='IP1'!$B$96:$B$114)*('IP1'!$D$96:$D$114))/12,SUMPRODUCT(($B12='IP1'!$B$96:$B$114)*('IP1'!$D$96:$D$114))/12*'IP1'!$F$154))</f>
        <v>893.58412499999997</v>
      </c>
      <c r="J12" s="85">
        <f>IF(LEFT($D12,5)="Other",VLOOKUP($A12,'IP1'!$A$37:$G$89,4,0)*VLOOKUP(VLOOKUP($A12,'IP1'!$A$37:$G$89,7,0),Patterns!$A$2:$N$28,COLUMN(J12)-2,0)/VLOOKUP(VLOOKUP($A12,'IP1'!$A$37:$G$89,7,0),Patterns!$A$2:$N$28,2,0),IF(LEFT($D12,7)="Payroll",SUMPRODUCT(($B12='IP1'!$B$96:$B$114)*('IP1'!$D$96:$D$114))/12,SUMPRODUCT(($B12='IP1'!$B$96:$B$114)*('IP1'!$D$96:$D$114))/12*'IP1'!$F$154))</f>
        <v>893.58412499999997</v>
      </c>
      <c r="K12" s="85">
        <f>IF(LEFT($D12,5)="Other",VLOOKUP($A12,'IP1'!$A$37:$G$89,4,0)*VLOOKUP(VLOOKUP($A12,'IP1'!$A$37:$G$89,7,0),Patterns!$A$2:$N$28,COLUMN(K12)-2,0)/VLOOKUP(VLOOKUP($A12,'IP1'!$A$37:$G$89,7,0),Patterns!$A$2:$N$28,2,0),IF(LEFT($D12,7)="Payroll",SUMPRODUCT(($B12='IP1'!$B$96:$B$114)*('IP1'!$D$96:$D$114))/12,SUMPRODUCT(($B12='IP1'!$B$96:$B$114)*('IP1'!$D$96:$D$114))/12*'IP1'!$F$154))</f>
        <v>893.58412499999997</v>
      </c>
      <c r="L12" s="85">
        <f>IF(LEFT($D12,5)="Other",VLOOKUP($A12,'IP1'!$A$37:$G$89,4,0)*VLOOKUP(VLOOKUP($A12,'IP1'!$A$37:$G$89,7,0),Patterns!$A$2:$N$28,COLUMN(L12)-2,0)/VLOOKUP(VLOOKUP($A12,'IP1'!$A$37:$G$89,7,0),Patterns!$A$2:$N$28,2,0),IF(LEFT($D12,7)="Payroll",SUMPRODUCT(($B12='IP1'!$B$96:$B$114)*('IP1'!$D$96:$D$114))/12,SUMPRODUCT(($B12='IP1'!$B$96:$B$114)*('IP1'!$D$96:$D$114))/12*'IP1'!$F$154))</f>
        <v>893.58412499999997</v>
      </c>
      <c r="M12" s="85">
        <f>IF(LEFT($D12,5)="Other",VLOOKUP($A12,'IP1'!$A$37:$G$89,4,0)*VLOOKUP(VLOOKUP($A12,'IP1'!$A$37:$G$89,7,0),Patterns!$A$2:$N$28,COLUMN(M12)-2,0)/VLOOKUP(VLOOKUP($A12,'IP1'!$A$37:$G$89,7,0),Patterns!$A$2:$N$28,2,0),IF(LEFT($D12,7)="Payroll",SUMPRODUCT(($B12='IP1'!$B$96:$B$114)*('IP1'!$D$96:$D$114))/12,SUMPRODUCT(($B12='IP1'!$B$96:$B$114)*('IP1'!$D$96:$D$114))/12*'IP1'!$F$154))</f>
        <v>893.58412499999997</v>
      </c>
      <c r="N12" s="85">
        <f>IF(LEFT($D12,5)="Other",VLOOKUP($A12,'IP1'!$A$37:$G$89,4,0)*VLOOKUP(VLOOKUP($A12,'IP1'!$A$37:$G$89,7,0),Patterns!$A$2:$N$28,COLUMN(N12)-2,0)/VLOOKUP(VLOOKUP($A12,'IP1'!$A$37:$G$89,7,0),Patterns!$A$2:$N$28,2,0),IF(LEFT($D12,7)="Payroll",SUMPRODUCT(($B12='IP1'!$B$96:$B$114)*('IP1'!$D$96:$D$114))/12,SUMPRODUCT(($B12='IP1'!$B$96:$B$114)*('IP1'!$D$96:$D$114))/12*'IP1'!$F$154))</f>
        <v>893.58412499999997</v>
      </c>
      <c r="O12" s="85">
        <f>IF(LEFT($D12,5)="Other",VLOOKUP($A12,'IP1'!$A$37:$G$89,4,0)*VLOOKUP(VLOOKUP($A12,'IP1'!$A$37:$G$89,7,0),Patterns!$A$2:$N$28,COLUMN(O12)-2,0)/VLOOKUP(VLOOKUP($A12,'IP1'!$A$37:$G$89,7,0),Patterns!$A$2:$N$28,2,0),IF(LEFT($D12,7)="Payroll",SUMPRODUCT(($B12='IP1'!$B$96:$B$114)*('IP1'!$D$96:$D$114))/12,SUMPRODUCT(($B12='IP1'!$B$96:$B$114)*('IP1'!$D$96:$D$114))/12*'IP1'!$F$154))</f>
        <v>148.9306875</v>
      </c>
      <c r="P12" s="85">
        <f>IF(LEFT($D12,5)="Other",VLOOKUP($A12,'IP1'!$A$37:$G$89,4,0)*VLOOKUP(VLOOKUP($A12,'IP1'!$A$37:$G$89,7,0),Patterns!$A$2:$N$28,COLUMN(P12)-2,0)/VLOOKUP(VLOOKUP($A12,'IP1'!$A$37:$G$89,7,0),Patterns!$A$2:$N$28,2,0),IF(LEFT($D12,7)="Payroll",SUMPRODUCT(($B12='IP1'!$B$96:$B$114)*('IP1'!$D$96:$D$114))/12,SUMPRODUCT(($B12='IP1'!$B$96:$B$114)*('IP1'!$D$96:$D$114))/12*'IP1'!$F$154))</f>
        <v>744.65343750000011</v>
      </c>
      <c r="Q12" s="85">
        <f>IF(LEFT($D12,5)="Other",VLOOKUP($A12,'IP1'!$A$37:$G$89,5,0)*VLOOKUP(VLOOKUP($A12,'IP1'!$A$37:$G$89,7,0),Patterns!$A$2:$N$28,COLUMN(Q12)-14,0)/VLOOKUP(VLOOKUP($A12,'IP1'!$A$37:$G$89,7,0),Patterns!$A$2:$N$28,2,0),IF(LEFT($D12,7)="Payroll",SUMPRODUCT(($B12='IP1'!$B$96:$B$114)*('IP1'!$E$96:$E$114))/12,SUMPRODUCT(($B12='IP1'!$B$96:$B$114)*('IP1'!$E$96:$E$114))/12*'IP1'!$F$154))</f>
        <v>163.82375625000003</v>
      </c>
      <c r="R12" s="85">
        <f>IF(LEFT($D12,5)="Other",VLOOKUP($A12,'IP1'!$A$37:$G$89,5,0)*VLOOKUP(VLOOKUP($A12,'IP1'!$A$37:$G$89,7,0),Patterns!$A$2:$N$28,COLUMN(R12)-14,0)/VLOOKUP(VLOOKUP($A12,'IP1'!$A$37:$G$89,7,0),Patterns!$A$2:$N$28,2,0),IF(LEFT($D12,7)="Payroll",SUMPRODUCT(($B12='IP1'!$B$96:$B$114)*('IP1'!$E$96:$E$114))/12,SUMPRODUCT(($B12='IP1'!$B$96:$B$114)*('IP1'!$E$96:$E$114))/12*'IP1'!$F$154))</f>
        <v>163.82375625000003</v>
      </c>
      <c r="S12" s="85">
        <f>IF(LEFT($D12,5)="Other",VLOOKUP($A12,'IP1'!$A$37:$G$89,5,0)*VLOOKUP(VLOOKUP($A12,'IP1'!$A$37:$G$89,7,0),Patterns!$A$2:$N$28,COLUMN(S12)-14,0)/VLOOKUP(VLOOKUP($A12,'IP1'!$A$37:$G$89,7,0),Patterns!$A$2:$N$28,2,0),IF(LEFT($D12,7)="Payroll",SUMPRODUCT(($B12='IP1'!$B$96:$B$114)*('IP1'!$E$96:$E$114))/12,SUMPRODUCT(($B12='IP1'!$B$96:$B$114)*('IP1'!$E$96:$E$114))/12*'IP1'!$F$154))</f>
        <v>491.47126875000004</v>
      </c>
      <c r="T12" s="85">
        <f>IF(LEFT($D12,5)="Other",VLOOKUP($A12,'IP1'!$A$37:$G$89,5,0)*VLOOKUP(VLOOKUP($A12,'IP1'!$A$37:$G$89,7,0),Patterns!$A$2:$N$28,COLUMN(T12)-14,0)/VLOOKUP(VLOOKUP($A12,'IP1'!$A$37:$G$89,7,0),Patterns!$A$2:$N$28,2,0),IF(LEFT($D12,7)="Payroll",SUMPRODUCT(($B12='IP1'!$B$96:$B$114)*('IP1'!$E$96:$E$114))/12,SUMPRODUCT(($B12='IP1'!$B$96:$B$114)*('IP1'!$E$96:$E$114))/12*'IP1'!$F$154))</f>
        <v>491.47126875000004</v>
      </c>
      <c r="U12" s="85">
        <f>IF(LEFT($D12,5)="Other",VLOOKUP($A12,'IP1'!$A$37:$G$89,5,0)*VLOOKUP(VLOOKUP($A12,'IP1'!$A$37:$G$89,7,0),Patterns!$A$2:$N$28,COLUMN(U12)-14,0)/VLOOKUP(VLOOKUP($A12,'IP1'!$A$37:$G$89,7,0),Patterns!$A$2:$N$28,2,0),IF(LEFT($D12,7)="Payroll",SUMPRODUCT(($B12='IP1'!$B$96:$B$114)*('IP1'!$E$96:$E$114))/12,SUMPRODUCT(($B12='IP1'!$B$96:$B$114)*('IP1'!$E$96:$E$114))/12*'IP1'!$F$154))</f>
        <v>982.94253750000007</v>
      </c>
      <c r="V12" s="85">
        <f>IF(LEFT($D12,5)="Other",VLOOKUP($A12,'IP1'!$A$37:$G$89,5,0)*VLOOKUP(VLOOKUP($A12,'IP1'!$A$37:$G$89,7,0),Patterns!$A$2:$N$28,COLUMN(V12)-14,0)/VLOOKUP(VLOOKUP($A12,'IP1'!$A$37:$G$89,7,0),Patterns!$A$2:$N$28,2,0),IF(LEFT($D12,7)="Payroll",SUMPRODUCT(($B12='IP1'!$B$96:$B$114)*('IP1'!$E$96:$E$114))/12,SUMPRODUCT(($B12='IP1'!$B$96:$B$114)*('IP1'!$E$96:$E$114))/12*'IP1'!$F$154))</f>
        <v>982.94253750000007</v>
      </c>
      <c r="W12" s="85">
        <f>IF(LEFT($D12,5)="Other",VLOOKUP($A12,'IP1'!$A$37:$G$89,5,0)*VLOOKUP(VLOOKUP($A12,'IP1'!$A$37:$G$89,7,0),Patterns!$A$2:$N$28,COLUMN(W12)-14,0)/VLOOKUP(VLOOKUP($A12,'IP1'!$A$37:$G$89,7,0),Patterns!$A$2:$N$28,2,0),IF(LEFT($D12,7)="Payroll",SUMPRODUCT(($B12='IP1'!$B$96:$B$114)*('IP1'!$E$96:$E$114))/12,SUMPRODUCT(($B12='IP1'!$B$96:$B$114)*('IP1'!$E$96:$E$114))/12*'IP1'!$F$154))</f>
        <v>982.94253750000007</v>
      </c>
      <c r="X12" s="85">
        <f>IF(LEFT($D12,5)="Other",VLOOKUP($A12,'IP1'!$A$37:$G$89,5,0)*VLOOKUP(VLOOKUP($A12,'IP1'!$A$37:$G$89,7,0),Patterns!$A$2:$N$28,COLUMN(X12)-14,0)/VLOOKUP(VLOOKUP($A12,'IP1'!$A$37:$G$89,7,0),Patterns!$A$2:$N$28,2,0),IF(LEFT($D12,7)="Payroll",SUMPRODUCT(($B12='IP1'!$B$96:$B$114)*('IP1'!$E$96:$E$114))/12,SUMPRODUCT(($B12='IP1'!$B$96:$B$114)*('IP1'!$E$96:$E$114))/12*'IP1'!$F$154))</f>
        <v>982.94253750000007</v>
      </c>
      <c r="Y12" s="85">
        <f>IF(LEFT($D12,5)="Other",VLOOKUP($A12,'IP1'!$A$37:$G$89,5,0)*VLOOKUP(VLOOKUP($A12,'IP1'!$A$37:$G$89,7,0),Patterns!$A$2:$N$28,COLUMN(Y12)-14,0)/VLOOKUP(VLOOKUP($A12,'IP1'!$A$37:$G$89,7,0),Patterns!$A$2:$N$28,2,0),IF(LEFT($D12,7)="Payroll",SUMPRODUCT(($B12='IP1'!$B$96:$B$114)*('IP1'!$E$96:$E$114))/12,SUMPRODUCT(($B12='IP1'!$B$96:$B$114)*('IP1'!$E$96:$E$114))/12*'IP1'!$F$154))</f>
        <v>982.94253750000007</v>
      </c>
      <c r="Z12" s="85">
        <f>IF(LEFT($D12,5)="Other",VLOOKUP($A12,'IP1'!$A$37:$G$89,5,0)*VLOOKUP(VLOOKUP($A12,'IP1'!$A$37:$G$89,7,0),Patterns!$A$2:$N$28,COLUMN(Z12)-14,0)/VLOOKUP(VLOOKUP($A12,'IP1'!$A$37:$G$89,7,0),Patterns!$A$2:$N$28,2,0),IF(LEFT($D12,7)="Payroll",SUMPRODUCT(($B12='IP1'!$B$96:$B$114)*('IP1'!$E$96:$E$114))/12,SUMPRODUCT(($B12='IP1'!$B$96:$B$114)*('IP1'!$E$96:$E$114))/12*'IP1'!$F$154))</f>
        <v>982.94253750000007</v>
      </c>
      <c r="AA12" s="85">
        <f>IF(LEFT($D12,5)="Other",VLOOKUP($A12,'IP1'!$A$37:$G$89,5,0)*VLOOKUP(VLOOKUP($A12,'IP1'!$A$37:$G$89,7,0),Patterns!$A$2:$N$28,COLUMN(AA12)-14,0)/VLOOKUP(VLOOKUP($A12,'IP1'!$A$37:$G$89,7,0),Patterns!$A$2:$N$28,2,0),IF(LEFT($D12,7)="Payroll",SUMPRODUCT(($B12='IP1'!$B$96:$B$114)*('IP1'!$E$96:$E$114))/12,SUMPRODUCT(($B12='IP1'!$B$96:$B$114)*('IP1'!$E$96:$E$114))/12*'IP1'!$F$154))</f>
        <v>163.82375625000003</v>
      </c>
      <c r="AB12" s="85">
        <f>IF(LEFT($D12,5)="Other",VLOOKUP($A12,'IP1'!$A$37:$G$89,5,0)*VLOOKUP(VLOOKUP($A12,'IP1'!$A$37:$G$89,7,0),Patterns!$A$2:$N$28,COLUMN(AB12)-14,0)/VLOOKUP(VLOOKUP($A12,'IP1'!$A$37:$G$89,7,0),Patterns!$A$2:$N$28,2,0),IF(LEFT($D12,7)="Payroll",SUMPRODUCT(($B12='IP1'!$B$96:$B$114)*('IP1'!$E$96:$E$114))/12,SUMPRODUCT(($B12='IP1'!$B$96:$B$114)*('IP1'!$E$96:$E$114))/12*'IP1'!$F$154))</f>
        <v>819.11878125000021</v>
      </c>
    </row>
    <row r="13" spans="1:28">
      <c r="A13" s="1" t="str">
        <f t="shared" si="1"/>
        <v>AdministrationCleaning</v>
      </c>
      <c r="B13" s="1" t="s">
        <v>155</v>
      </c>
      <c r="C13" s="1" t="s">
        <v>31</v>
      </c>
      <c r="D13" s="11" t="s">
        <v>100</v>
      </c>
      <c r="E13" s="85">
        <f>IF(LEFT($D13,5)="Other",
VLOOKUP($A13,'IP1'!$A$37:$G$89,4,0)*
VLOOKUP(
VLOOKUP($A13,'IP1'!$A$37:$G$89,7,0),Patterns!$A$2:$N$28,COLUMN(E13)-2,0)/
VLOOKUP(
VLOOKUP($A13,'IP1'!$A$37:$G$89,7,0),Patterns!$A$2:$N$28,2,0),
IF(LEFT($D13,7)="Payroll",
SUMPRODUCT(($B13='IP1'!$B$96:$B$114)*('IP1'!$D$96:$D$114))/12,
SUMPRODUCT(($B13='IP1'!$B$96:$B$114)*('IP1'!$D$96:$D$114))/12*'IP1'!$F$154))</f>
        <v>4166.666666666667</v>
      </c>
      <c r="F13" s="85">
        <f>IF(LEFT($D13,5)="Other",VLOOKUP($A13,'IP1'!$A$37:$G$89,4,0)*VLOOKUP(VLOOKUP($A13,'IP1'!$A$37:$G$89,7,0),Patterns!$A$2:$N$28,COLUMN(F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G13" s="85">
        <f>IF(LEFT($D13,5)="Other",VLOOKUP($A13,'IP1'!$A$37:$G$89,4,0)*VLOOKUP(VLOOKUP($A13,'IP1'!$A$37:$G$89,7,0),Patterns!$A$2:$N$28,COLUMN(G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H13" s="85">
        <f>IF(LEFT($D13,5)="Other",VLOOKUP($A13,'IP1'!$A$37:$G$89,4,0)*VLOOKUP(VLOOKUP($A13,'IP1'!$A$37:$G$89,7,0),Patterns!$A$2:$N$28,COLUMN(H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I13" s="85">
        <f>IF(LEFT($D13,5)="Other",VLOOKUP($A13,'IP1'!$A$37:$G$89,4,0)*VLOOKUP(VLOOKUP($A13,'IP1'!$A$37:$G$89,7,0),Patterns!$A$2:$N$28,COLUMN(I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J13" s="85">
        <f>IF(LEFT($D13,5)="Other",VLOOKUP($A13,'IP1'!$A$37:$G$89,4,0)*VLOOKUP(VLOOKUP($A13,'IP1'!$A$37:$G$89,7,0),Patterns!$A$2:$N$28,COLUMN(J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K13" s="85">
        <f>IF(LEFT($D13,5)="Other",VLOOKUP($A13,'IP1'!$A$37:$G$89,4,0)*VLOOKUP(VLOOKUP($A13,'IP1'!$A$37:$G$89,7,0),Patterns!$A$2:$N$28,COLUMN(K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L13" s="85">
        <f>IF(LEFT($D13,5)="Other",VLOOKUP($A13,'IP1'!$A$37:$G$89,4,0)*VLOOKUP(VLOOKUP($A13,'IP1'!$A$37:$G$89,7,0),Patterns!$A$2:$N$28,COLUMN(L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M13" s="85">
        <f>IF(LEFT($D13,5)="Other",VLOOKUP($A13,'IP1'!$A$37:$G$89,4,0)*VLOOKUP(VLOOKUP($A13,'IP1'!$A$37:$G$89,7,0),Patterns!$A$2:$N$28,COLUMN(M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N13" s="85">
        <f>IF(LEFT($D13,5)="Other",VLOOKUP($A13,'IP1'!$A$37:$G$89,4,0)*VLOOKUP(VLOOKUP($A13,'IP1'!$A$37:$G$89,7,0),Patterns!$A$2:$N$28,COLUMN(N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O13" s="85">
        <f>IF(LEFT($D13,5)="Other",VLOOKUP($A13,'IP1'!$A$37:$G$89,4,0)*VLOOKUP(VLOOKUP($A13,'IP1'!$A$37:$G$89,7,0),Patterns!$A$2:$N$28,COLUMN(O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P13" s="85">
        <f>IF(LEFT($D13,5)="Other",VLOOKUP($A13,'IP1'!$A$37:$G$89,4,0)*VLOOKUP(VLOOKUP($A13,'IP1'!$A$37:$G$89,7,0),Patterns!$A$2:$N$28,COLUMN(P13)-2,0)/VLOOKUP(VLOOKUP($A13,'IP1'!$A$37:$G$89,7,0),Patterns!$A$2:$N$28,2,0),IF(LEFT($D13,7)="Payroll",SUMPRODUCT(($B13='IP1'!$B$96:$B$114)*('IP1'!$D$96:$D$114))/12,SUMPRODUCT(($B13='IP1'!$B$96:$B$114)*('IP1'!$D$96:$D$114))/12*'IP1'!$F$154))</f>
        <v>4166.666666666667</v>
      </c>
      <c r="Q13" s="85">
        <f>IF(LEFT($D13,5)="Other",VLOOKUP($A13,'IP1'!$A$37:$G$89,5,0)*VLOOKUP(VLOOKUP($A13,'IP1'!$A$37:$G$89,7,0),Patterns!$A$2:$N$28,COLUMN(Q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R13" s="85">
        <f>IF(LEFT($D13,5)="Other",VLOOKUP($A13,'IP1'!$A$37:$G$89,5,0)*VLOOKUP(VLOOKUP($A13,'IP1'!$A$37:$G$89,7,0),Patterns!$A$2:$N$28,COLUMN(R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S13" s="85">
        <f>IF(LEFT($D13,5)="Other",VLOOKUP($A13,'IP1'!$A$37:$G$89,5,0)*VLOOKUP(VLOOKUP($A13,'IP1'!$A$37:$G$89,7,0),Patterns!$A$2:$N$28,COLUMN(S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T13" s="85">
        <f>IF(LEFT($D13,5)="Other",VLOOKUP($A13,'IP1'!$A$37:$G$89,5,0)*VLOOKUP(VLOOKUP($A13,'IP1'!$A$37:$G$89,7,0),Patterns!$A$2:$N$28,COLUMN(T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U13" s="85">
        <f>IF(LEFT($D13,5)="Other",VLOOKUP($A13,'IP1'!$A$37:$G$89,5,0)*VLOOKUP(VLOOKUP($A13,'IP1'!$A$37:$G$89,7,0),Patterns!$A$2:$N$28,COLUMN(U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V13" s="85">
        <f>IF(LEFT($D13,5)="Other",VLOOKUP($A13,'IP1'!$A$37:$G$89,5,0)*VLOOKUP(VLOOKUP($A13,'IP1'!$A$37:$G$89,7,0),Patterns!$A$2:$N$28,COLUMN(V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W13" s="85">
        <f>IF(LEFT($D13,5)="Other",VLOOKUP($A13,'IP1'!$A$37:$G$89,5,0)*VLOOKUP(VLOOKUP($A13,'IP1'!$A$37:$G$89,7,0),Patterns!$A$2:$N$28,COLUMN(W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X13" s="85">
        <f>IF(LEFT($D13,5)="Other",VLOOKUP($A13,'IP1'!$A$37:$G$89,5,0)*VLOOKUP(VLOOKUP($A13,'IP1'!$A$37:$G$89,7,0),Patterns!$A$2:$N$28,COLUMN(X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Y13" s="85">
        <f>IF(LEFT($D13,5)="Other",VLOOKUP($A13,'IP1'!$A$37:$G$89,5,0)*VLOOKUP(VLOOKUP($A13,'IP1'!$A$37:$G$89,7,0),Patterns!$A$2:$N$28,COLUMN(Y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Z13" s="85">
        <f>IF(LEFT($D13,5)="Other",VLOOKUP($A13,'IP1'!$A$37:$G$89,5,0)*VLOOKUP(VLOOKUP($A13,'IP1'!$A$37:$G$89,7,0),Patterns!$A$2:$N$28,COLUMN(Z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AA13" s="85">
        <f>IF(LEFT($D13,5)="Other",VLOOKUP($A13,'IP1'!$A$37:$G$89,5,0)*VLOOKUP(VLOOKUP($A13,'IP1'!$A$37:$G$89,7,0),Patterns!$A$2:$N$28,COLUMN(AA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  <c r="AB13" s="85">
        <f>IF(LEFT($D13,5)="Other",VLOOKUP($A13,'IP1'!$A$37:$G$89,5,0)*VLOOKUP(VLOOKUP($A13,'IP1'!$A$37:$G$89,7,0),Patterns!$A$2:$N$28,COLUMN(AB13)-14,0)/VLOOKUP(VLOOKUP($A13,'IP1'!$A$37:$G$89,7,0),Patterns!$A$2:$N$28,2,0),IF(LEFT($D13,7)="Payroll",SUMPRODUCT(($B13='IP1'!$B$96:$B$114)*('IP1'!$E$96:$E$114))/12,SUMPRODUCT(($B13='IP1'!$B$96:$B$114)*('IP1'!$E$96:$E$114))/12*'IP1'!$F$154))</f>
        <v>4583.333333333333</v>
      </c>
    </row>
    <row r="14" spans="1:28">
      <c r="A14" s="1" t="str">
        <f t="shared" si="1"/>
        <v xml:space="preserve">AdministrationContract services </v>
      </c>
      <c r="B14" s="1" t="s">
        <v>155</v>
      </c>
      <c r="C14" s="1" t="s">
        <v>453</v>
      </c>
      <c r="D14" s="11" t="s">
        <v>100</v>
      </c>
      <c r="E14" s="85">
        <f>IF(LEFT($D14,5)="Other",
VLOOKUP($A14,'IP1'!$A$37:$G$89,4,0)*
VLOOKUP(
VLOOKUP($A14,'IP1'!$A$37:$G$89,7,0),Patterns!$A$2:$N$28,COLUMN(E14)-2,0)/
VLOOKUP(
VLOOKUP($A14,'IP1'!$A$37:$G$89,7,0),Patterns!$A$2:$N$28,2,0),
IF(LEFT($D14,7)="Payroll",
SUMPRODUCT(($B14='IP1'!$B$96:$B$114)*('IP1'!$D$96:$D$114))/12,
SUMPRODUCT(($B14='IP1'!$B$96:$B$114)*('IP1'!$D$96:$D$114))/12*'IP1'!$F$154))</f>
        <v>400</v>
      </c>
      <c r="F14" s="85">
        <f>IF(LEFT($D14,5)="Other",VLOOKUP($A14,'IP1'!$A$37:$G$89,4,0)*VLOOKUP(VLOOKUP($A14,'IP1'!$A$37:$G$89,7,0),Patterns!$A$2:$N$28,COLUMN(F14)-2,0)/VLOOKUP(VLOOKUP($A14,'IP1'!$A$37:$G$89,7,0),Patterns!$A$2:$N$28,2,0),IF(LEFT($D14,7)="Payroll",SUMPRODUCT(($B14='IP1'!$B$96:$B$114)*('IP1'!$D$96:$D$114))/12,SUMPRODUCT(($B14='IP1'!$B$96:$B$114)*('IP1'!$D$96:$D$114))/12*'IP1'!$F$154))</f>
        <v>400</v>
      </c>
      <c r="G14" s="85">
        <f>IF(LEFT($D14,5)="Other",VLOOKUP($A14,'IP1'!$A$37:$G$89,4,0)*VLOOKUP(VLOOKUP($A14,'IP1'!$A$37:$G$89,7,0),Patterns!$A$2:$N$28,COLUMN(G14)-2,0)/VLOOKUP(VLOOKUP($A14,'IP1'!$A$37:$G$89,7,0),Patterns!$A$2:$N$28,2,0),IF(LEFT($D14,7)="Payroll",SUMPRODUCT(($B14='IP1'!$B$96:$B$114)*('IP1'!$D$96:$D$114))/12,SUMPRODUCT(($B14='IP1'!$B$96:$B$114)*('IP1'!$D$96:$D$114))/12*'IP1'!$F$154))</f>
        <v>1200</v>
      </c>
      <c r="H14" s="85">
        <f>IF(LEFT($D14,5)="Other",VLOOKUP($A14,'IP1'!$A$37:$G$89,4,0)*VLOOKUP(VLOOKUP($A14,'IP1'!$A$37:$G$89,7,0),Patterns!$A$2:$N$28,COLUMN(H14)-2,0)/VLOOKUP(VLOOKUP($A14,'IP1'!$A$37:$G$89,7,0),Patterns!$A$2:$N$28,2,0),IF(LEFT($D14,7)="Payroll",SUMPRODUCT(($B14='IP1'!$B$96:$B$114)*('IP1'!$D$96:$D$114))/12,SUMPRODUCT(($B14='IP1'!$B$96:$B$114)*('IP1'!$D$96:$D$114))/12*'IP1'!$F$154))</f>
        <v>1200</v>
      </c>
      <c r="I14" s="85">
        <f>IF(LEFT($D14,5)="Other",VLOOKUP($A14,'IP1'!$A$37:$G$89,4,0)*VLOOKUP(VLOOKUP($A14,'IP1'!$A$37:$G$89,7,0),Patterns!$A$2:$N$28,COLUMN(I14)-2,0)/VLOOKUP(VLOOKUP($A14,'IP1'!$A$37:$G$89,7,0),Patterns!$A$2:$N$28,2,0),IF(LEFT($D14,7)="Payroll",SUMPRODUCT(($B14='IP1'!$B$96:$B$114)*('IP1'!$D$96:$D$114))/12,SUMPRODUCT(($B14='IP1'!$B$96:$B$114)*('IP1'!$D$96:$D$114))/12*'IP1'!$F$154))</f>
        <v>2400</v>
      </c>
      <c r="J14" s="85">
        <f>IF(LEFT($D14,5)="Other",VLOOKUP($A14,'IP1'!$A$37:$G$89,4,0)*VLOOKUP(VLOOKUP($A14,'IP1'!$A$37:$G$89,7,0),Patterns!$A$2:$N$28,COLUMN(J14)-2,0)/VLOOKUP(VLOOKUP($A14,'IP1'!$A$37:$G$89,7,0),Patterns!$A$2:$N$28,2,0),IF(LEFT($D14,7)="Payroll",SUMPRODUCT(($B14='IP1'!$B$96:$B$114)*('IP1'!$D$96:$D$114))/12,SUMPRODUCT(($B14='IP1'!$B$96:$B$114)*('IP1'!$D$96:$D$114))/12*'IP1'!$F$154))</f>
        <v>2400</v>
      </c>
      <c r="K14" s="85">
        <f>IF(LEFT($D14,5)="Other",VLOOKUP($A14,'IP1'!$A$37:$G$89,4,0)*VLOOKUP(VLOOKUP($A14,'IP1'!$A$37:$G$89,7,0),Patterns!$A$2:$N$28,COLUMN(K14)-2,0)/VLOOKUP(VLOOKUP($A14,'IP1'!$A$37:$G$89,7,0),Patterns!$A$2:$N$28,2,0),IF(LEFT($D14,7)="Payroll",SUMPRODUCT(($B14='IP1'!$B$96:$B$114)*('IP1'!$D$96:$D$114))/12,SUMPRODUCT(($B14='IP1'!$B$96:$B$114)*('IP1'!$D$96:$D$114))/12*'IP1'!$F$154))</f>
        <v>2400</v>
      </c>
      <c r="L14" s="85">
        <f>IF(LEFT($D14,5)="Other",VLOOKUP($A14,'IP1'!$A$37:$G$89,4,0)*VLOOKUP(VLOOKUP($A14,'IP1'!$A$37:$G$89,7,0),Patterns!$A$2:$N$28,COLUMN(L14)-2,0)/VLOOKUP(VLOOKUP($A14,'IP1'!$A$37:$G$89,7,0),Patterns!$A$2:$N$28,2,0),IF(LEFT($D14,7)="Payroll",SUMPRODUCT(($B14='IP1'!$B$96:$B$114)*('IP1'!$D$96:$D$114))/12,SUMPRODUCT(($B14='IP1'!$B$96:$B$114)*('IP1'!$D$96:$D$114))/12*'IP1'!$F$154))</f>
        <v>2400</v>
      </c>
      <c r="M14" s="85">
        <f>IF(LEFT($D14,5)="Other",VLOOKUP($A14,'IP1'!$A$37:$G$89,4,0)*VLOOKUP(VLOOKUP($A14,'IP1'!$A$37:$G$89,7,0),Patterns!$A$2:$N$28,COLUMN(M14)-2,0)/VLOOKUP(VLOOKUP($A14,'IP1'!$A$37:$G$89,7,0),Patterns!$A$2:$N$28,2,0),IF(LEFT($D14,7)="Payroll",SUMPRODUCT(($B14='IP1'!$B$96:$B$114)*('IP1'!$D$96:$D$114))/12,SUMPRODUCT(($B14='IP1'!$B$96:$B$114)*('IP1'!$D$96:$D$114))/12*'IP1'!$F$154))</f>
        <v>2400</v>
      </c>
      <c r="N14" s="85">
        <f>IF(LEFT($D14,5)="Other",VLOOKUP($A14,'IP1'!$A$37:$G$89,4,0)*VLOOKUP(VLOOKUP($A14,'IP1'!$A$37:$G$89,7,0),Patterns!$A$2:$N$28,COLUMN(N14)-2,0)/VLOOKUP(VLOOKUP($A14,'IP1'!$A$37:$G$89,7,0),Patterns!$A$2:$N$28,2,0),IF(LEFT($D14,7)="Payroll",SUMPRODUCT(($B14='IP1'!$B$96:$B$114)*('IP1'!$D$96:$D$114))/12,SUMPRODUCT(($B14='IP1'!$B$96:$B$114)*('IP1'!$D$96:$D$114))/12*'IP1'!$F$154))</f>
        <v>2400</v>
      </c>
      <c r="O14" s="85">
        <f>IF(LEFT($D14,5)="Other",VLOOKUP($A14,'IP1'!$A$37:$G$89,4,0)*VLOOKUP(VLOOKUP($A14,'IP1'!$A$37:$G$89,7,0),Patterns!$A$2:$N$28,COLUMN(O14)-2,0)/VLOOKUP(VLOOKUP($A14,'IP1'!$A$37:$G$89,7,0),Patterns!$A$2:$N$28,2,0),IF(LEFT($D14,7)="Payroll",SUMPRODUCT(($B14='IP1'!$B$96:$B$114)*('IP1'!$D$96:$D$114))/12,SUMPRODUCT(($B14='IP1'!$B$96:$B$114)*('IP1'!$D$96:$D$114))/12*'IP1'!$F$154))</f>
        <v>400</v>
      </c>
      <c r="P14" s="85">
        <f>IF(LEFT($D14,5)="Other",VLOOKUP($A14,'IP1'!$A$37:$G$89,4,0)*VLOOKUP(VLOOKUP($A14,'IP1'!$A$37:$G$89,7,0),Patterns!$A$2:$N$28,COLUMN(P14)-2,0)/VLOOKUP(VLOOKUP($A14,'IP1'!$A$37:$G$89,7,0),Patterns!$A$2:$N$28,2,0),IF(LEFT($D14,7)="Payroll",SUMPRODUCT(($B14='IP1'!$B$96:$B$114)*('IP1'!$D$96:$D$114))/12,SUMPRODUCT(($B14='IP1'!$B$96:$B$114)*('IP1'!$D$96:$D$114))/12*'IP1'!$F$154))</f>
        <v>2000</v>
      </c>
      <c r="Q14" s="85">
        <f>IF(LEFT($D14,5)="Other",VLOOKUP($A14,'IP1'!$A$37:$G$89,5,0)*VLOOKUP(VLOOKUP($A14,'IP1'!$A$37:$G$89,7,0),Patterns!$A$2:$N$28,COLUMN(Q14)-14,0)/VLOOKUP(VLOOKUP($A14,'IP1'!$A$37:$G$89,7,0),Patterns!$A$2:$N$28,2,0),IF(LEFT($D14,7)="Payroll",SUMPRODUCT(($B14='IP1'!$B$96:$B$114)*('IP1'!$E$96:$E$114))/12,SUMPRODUCT(($B14='IP1'!$B$96:$B$114)*('IP1'!$E$96:$E$114))/12*'IP1'!$F$154))</f>
        <v>400</v>
      </c>
      <c r="R14" s="85">
        <f>IF(LEFT($D14,5)="Other",VLOOKUP($A14,'IP1'!$A$37:$G$89,5,0)*VLOOKUP(VLOOKUP($A14,'IP1'!$A$37:$G$89,7,0),Patterns!$A$2:$N$28,COLUMN(R14)-14,0)/VLOOKUP(VLOOKUP($A14,'IP1'!$A$37:$G$89,7,0),Patterns!$A$2:$N$28,2,0),IF(LEFT($D14,7)="Payroll",SUMPRODUCT(($B14='IP1'!$B$96:$B$114)*('IP1'!$E$96:$E$114))/12,SUMPRODUCT(($B14='IP1'!$B$96:$B$114)*('IP1'!$E$96:$E$114))/12*'IP1'!$F$154))</f>
        <v>400</v>
      </c>
      <c r="S14" s="85">
        <f>IF(LEFT($D14,5)="Other",VLOOKUP($A14,'IP1'!$A$37:$G$89,5,0)*VLOOKUP(VLOOKUP($A14,'IP1'!$A$37:$G$89,7,0),Patterns!$A$2:$N$28,COLUMN(S14)-14,0)/VLOOKUP(VLOOKUP($A14,'IP1'!$A$37:$G$89,7,0),Patterns!$A$2:$N$28,2,0),IF(LEFT($D14,7)="Payroll",SUMPRODUCT(($B14='IP1'!$B$96:$B$114)*('IP1'!$E$96:$E$114))/12,SUMPRODUCT(($B14='IP1'!$B$96:$B$114)*('IP1'!$E$96:$E$114))/12*'IP1'!$F$154))</f>
        <v>1200</v>
      </c>
      <c r="T14" s="85">
        <f>IF(LEFT($D14,5)="Other",VLOOKUP($A14,'IP1'!$A$37:$G$89,5,0)*VLOOKUP(VLOOKUP($A14,'IP1'!$A$37:$G$89,7,0),Patterns!$A$2:$N$28,COLUMN(T14)-14,0)/VLOOKUP(VLOOKUP($A14,'IP1'!$A$37:$G$89,7,0),Patterns!$A$2:$N$28,2,0),IF(LEFT($D14,7)="Payroll",SUMPRODUCT(($B14='IP1'!$B$96:$B$114)*('IP1'!$E$96:$E$114))/12,SUMPRODUCT(($B14='IP1'!$B$96:$B$114)*('IP1'!$E$96:$E$114))/12*'IP1'!$F$154))</f>
        <v>1200</v>
      </c>
      <c r="U14" s="85">
        <f>IF(LEFT($D14,5)="Other",VLOOKUP($A14,'IP1'!$A$37:$G$89,5,0)*VLOOKUP(VLOOKUP($A14,'IP1'!$A$37:$G$89,7,0),Patterns!$A$2:$N$28,COLUMN(U14)-14,0)/VLOOKUP(VLOOKUP($A14,'IP1'!$A$37:$G$89,7,0),Patterns!$A$2:$N$28,2,0),IF(LEFT($D14,7)="Payroll",SUMPRODUCT(($B14='IP1'!$B$96:$B$114)*('IP1'!$E$96:$E$114))/12,SUMPRODUCT(($B14='IP1'!$B$96:$B$114)*('IP1'!$E$96:$E$114))/12*'IP1'!$F$154))</f>
        <v>2400</v>
      </c>
      <c r="V14" s="85">
        <f>IF(LEFT($D14,5)="Other",VLOOKUP($A14,'IP1'!$A$37:$G$89,5,0)*VLOOKUP(VLOOKUP($A14,'IP1'!$A$37:$G$89,7,0),Patterns!$A$2:$N$28,COLUMN(V14)-14,0)/VLOOKUP(VLOOKUP($A14,'IP1'!$A$37:$G$89,7,0),Patterns!$A$2:$N$28,2,0),IF(LEFT($D14,7)="Payroll",SUMPRODUCT(($B14='IP1'!$B$96:$B$114)*('IP1'!$E$96:$E$114))/12,SUMPRODUCT(($B14='IP1'!$B$96:$B$114)*('IP1'!$E$96:$E$114))/12*'IP1'!$F$154))</f>
        <v>2400</v>
      </c>
      <c r="W14" s="85">
        <f>IF(LEFT($D14,5)="Other",VLOOKUP($A14,'IP1'!$A$37:$G$89,5,0)*VLOOKUP(VLOOKUP($A14,'IP1'!$A$37:$G$89,7,0),Patterns!$A$2:$N$28,COLUMN(W14)-14,0)/VLOOKUP(VLOOKUP($A14,'IP1'!$A$37:$G$89,7,0),Patterns!$A$2:$N$28,2,0),IF(LEFT($D14,7)="Payroll",SUMPRODUCT(($B14='IP1'!$B$96:$B$114)*('IP1'!$E$96:$E$114))/12,SUMPRODUCT(($B14='IP1'!$B$96:$B$114)*('IP1'!$E$96:$E$114))/12*'IP1'!$F$154))</f>
        <v>2400</v>
      </c>
      <c r="X14" s="85">
        <f>IF(LEFT($D14,5)="Other",VLOOKUP($A14,'IP1'!$A$37:$G$89,5,0)*VLOOKUP(VLOOKUP($A14,'IP1'!$A$37:$G$89,7,0),Patterns!$A$2:$N$28,COLUMN(X14)-14,0)/VLOOKUP(VLOOKUP($A14,'IP1'!$A$37:$G$89,7,0),Patterns!$A$2:$N$28,2,0),IF(LEFT($D14,7)="Payroll",SUMPRODUCT(($B14='IP1'!$B$96:$B$114)*('IP1'!$E$96:$E$114))/12,SUMPRODUCT(($B14='IP1'!$B$96:$B$114)*('IP1'!$E$96:$E$114))/12*'IP1'!$F$154))</f>
        <v>2400</v>
      </c>
      <c r="Y14" s="85">
        <f>IF(LEFT($D14,5)="Other",VLOOKUP($A14,'IP1'!$A$37:$G$89,5,0)*VLOOKUP(VLOOKUP($A14,'IP1'!$A$37:$G$89,7,0),Patterns!$A$2:$N$28,COLUMN(Y14)-14,0)/VLOOKUP(VLOOKUP($A14,'IP1'!$A$37:$G$89,7,0),Patterns!$A$2:$N$28,2,0),IF(LEFT($D14,7)="Payroll",SUMPRODUCT(($B14='IP1'!$B$96:$B$114)*('IP1'!$E$96:$E$114))/12,SUMPRODUCT(($B14='IP1'!$B$96:$B$114)*('IP1'!$E$96:$E$114))/12*'IP1'!$F$154))</f>
        <v>2400</v>
      </c>
      <c r="Z14" s="85">
        <f>IF(LEFT($D14,5)="Other",VLOOKUP($A14,'IP1'!$A$37:$G$89,5,0)*VLOOKUP(VLOOKUP($A14,'IP1'!$A$37:$G$89,7,0),Patterns!$A$2:$N$28,COLUMN(Z14)-14,0)/VLOOKUP(VLOOKUP($A14,'IP1'!$A$37:$G$89,7,0),Patterns!$A$2:$N$28,2,0),IF(LEFT($D14,7)="Payroll",SUMPRODUCT(($B14='IP1'!$B$96:$B$114)*('IP1'!$E$96:$E$114))/12,SUMPRODUCT(($B14='IP1'!$B$96:$B$114)*('IP1'!$E$96:$E$114))/12*'IP1'!$F$154))</f>
        <v>2400</v>
      </c>
      <c r="AA14" s="85">
        <f>IF(LEFT($D14,5)="Other",VLOOKUP($A14,'IP1'!$A$37:$G$89,5,0)*VLOOKUP(VLOOKUP($A14,'IP1'!$A$37:$G$89,7,0),Patterns!$A$2:$N$28,COLUMN(AA14)-14,0)/VLOOKUP(VLOOKUP($A14,'IP1'!$A$37:$G$89,7,0),Patterns!$A$2:$N$28,2,0),IF(LEFT($D14,7)="Payroll",SUMPRODUCT(($B14='IP1'!$B$96:$B$114)*('IP1'!$E$96:$E$114))/12,SUMPRODUCT(($B14='IP1'!$B$96:$B$114)*('IP1'!$E$96:$E$114))/12*'IP1'!$F$154))</f>
        <v>400</v>
      </c>
      <c r="AB14" s="85">
        <f>IF(LEFT($D14,5)="Other",VLOOKUP($A14,'IP1'!$A$37:$G$89,5,0)*VLOOKUP(VLOOKUP($A14,'IP1'!$A$37:$G$89,7,0),Patterns!$A$2:$N$28,COLUMN(AB14)-14,0)/VLOOKUP(VLOOKUP($A14,'IP1'!$A$37:$G$89,7,0),Patterns!$A$2:$N$28,2,0),IF(LEFT($D14,7)="Payroll",SUMPRODUCT(($B14='IP1'!$B$96:$B$114)*('IP1'!$E$96:$E$114))/12,SUMPRODUCT(($B14='IP1'!$B$96:$B$114)*('IP1'!$E$96:$E$114))/12*'IP1'!$F$154))</f>
        <v>2000</v>
      </c>
    </row>
    <row r="15" spans="1:28">
      <c r="A15" s="1" t="str">
        <f t="shared" si="1"/>
        <v xml:space="preserve">AdministrationCredit card costs </v>
      </c>
      <c r="B15" s="1" t="s">
        <v>155</v>
      </c>
      <c r="C15" s="1" t="s">
        <v>487</v>
      </c>
      <c r="D15" s="11" t="s">
        <v>100</v>
      </c>
      <c r="E15" s="85">
        <f>IF(LEFT($D15,5)="Other",
VLOOKUP($A15,'IP1'!$A$37:$G$89,4,0)*
VLOOKUP(
VLOOKUP($A15,'IP1'!$A$37:$G$89,7,0),Patterns!$A$2:$N$28,COLUMN(E15)-2,0)/
VLOOKUP(
VLOOKUP($A15,'IP1'!$A$37:$G$89,7,0),Patterns!$A$2:$N$28,2,0),
IF(LEFT($D15,7)="Payroll",
SUMPRODUCT(($B15='IP1'!$B$96:$B$114)*('IP1'!$D$96:$D$114))/12,
SUMPRODUCT(($B15='IP1'!$B$96:$B$114)*('IP1'!$D$96:$D$114))/12*'IP1'!$F$154))</f>
        <v>1080</v>
      </c>
      <c r="F15" s="85">
        <f>IF(LEFT($D15,5)="Other",VLOOKUP($A15,'IP1'!$A$37:$G$89,4,0)*VLOOKUP(VLOOKUP($A15,'IP1'!$A$37:$G$89,7,0),Patterns!$A$2:$N$28,COLUMN(F15)-2,0)/VLOOKUP(VLOOKUP($A15,'IP1'!$A$37:$G$89,7,0),Patterns!$A$2:$N$28,2,0),IF(LEFT($D15,7)="Payroll",SUMPRODUCT(($B15='IP1'!$B$96:$B$114)*('IP1'!$D$96:$D$114))/12,SUMPRODUCT(($B15='IP1'!$B$96:$B$114)*('IP1'!$D$96:$D$114))/12*'IP1'!$F$154))</f>
        <v>1080</v>
      </c>
      <c r="G15" s="85">
        <f>IF(LEFT($D15,5)="Other",VLOOKUP($A15,'IP1'!$A$37:$G$89,4,0)*VLOOKUP(VLOOKUP($A15,'IP1'!$A$37:$G$89,7,0),Patterns!$A$2:$N$28,COLUMN(G15)-2,0)/VLOOKUP(VLOOKUP($A15,'IP1'!$A$37:$G$89,7,0),Patterns!$A$2:$N$28,2,0),IF(LEFT($D15,7)="Payroll",SUMPRODUCT(($B15='IP1'!$B$96:$B$114)*('IP1'!$D$96:$D$114))/12,SUMPRODUCT(($B15='IP1'!$B$96:$B$114)*('IP1'!$D$96:$D$114))/12*'IP1'!$F$154))</f>
        <v>1800</v>
      </c>
      <c r="H15" s="85">
        <f>IF(LEFT($D15,5)="Other",VLOOKUP($A15,'IP1'!$A$37:$G$89,4,0)*VLOOKUP(VLOOKUP($A15,'IP1'!$A$37:$G$89,7,0),Patterns!$A$2:$N$28,COLUMN(H15)-2,0)/VLOOKUP(VLOOKUP($A15,'IP1'!$A$37:$G$89,7,0),Patterns!$A$2:$N$28,2,0),IF(LEFT($D15,7)="Payroll",SUMPRODUCT(($B15='IP1'!$B$96:$B$114)*('IP1'!$D$96:$D$114))/12,SUMPRODUCT(($B15='IP1'!$B$96:$B$114)*('IP1'!$D$96:$D$114))/12*'IP1'!$F$154))</f>
        <v>3240</v>
      </c>
      <c r="I15" s="85">
        <f>IF(LEFT($D15,5)="Other",VLOOKUP($A15,'IP1'!$A$37:$G$89,4,0)*VLOOKUP(VLOOKUP($A15,'IP1'!$A$37:$G$89,7,0),Patterns!$A$2:$N$28,COLUMN(I15)-2,0)/VLOOKUP(VLOOKUP($A15,'IP1'!$A$37:$G$89,7,0),Patterns!$A$2:$N$28,2,0),IF(LEFT($D15,7)="Payroll",SUMPRODUCT(($B15='IP1'!$B$96:$B$114)*('IP1'!$D$96:$D$114))/12,SUMPRODUCT(($B15='IP1'!$B$96:$B$114)*('IP1'!$D$96:$D$114))/12*'IP1'!$F$154))</f>
        <v>3600</v>
      </c>
      <c r="J15" s="85">
        <f>IF(LEFT($D15,5)="Other",VLOOKUP($A15,'IP1'!$A$37:$G$89,4,0)*VLOOKUP(VLOOKUP($A15,'IP1'!$A$37:$G$89,7,0),Patterns!$A$2:$N$28,COLUMN(J15)-2,0)/VLOOKUP(VLOOKUP($A15,'IP1'!$A$37:$G$89,7,0),Patterns!$A$2:$N$28,2,0),IF(LEFT($D15,7)="Payroll",SUMPRODUCT(($B15='IP1'!$B$96:$B$114)*('IP1'!$D$96:$D$114))/12,SUMPRODUCT(($B15='IP1'!$B$96:$B$114)*('IP1'!$D$96:$D$114))/12*'IP1'!$F$154))</f>
        <v>3600</v>
      </c>
      <c r="K15" s="85">
        <f>IF(LEFT($D15,5)="Other",VLOOKUP($A15,'IP1'!$A$37:$G$89,4,0)*VLOOKUP(VLOOKUP($A15,'IP1'!$A$37:$G$89,7,0),Patterns!$A$2:$N$28,COLUMN(K15)-2,0)/VLOOKUP(VLOOKUP($A15,'IP1'!$A$37:$G$89,7,0),Patterns!$A$2:$N$28,2,0),IF(LEFT($D15,7)="Payroll",SUMPRODUCT(($B15='IP1'!$B$96:$B$114)*('IP1'!$D$96:$D$114))/12,SUMPRODUCT(($B15='IP1'!$B$96:$B$114)*('IP1'!$D$96:$D$114))/12*'IP1'!$F$154))</f>
        <v>4680</v>
      </c>
      <c r="L15" s="85">
        <f>IF(LEFT($D15,5)="Other",VLOOKUP($A15,'IP1'!$A$37:$G$89,4,0)*VLOOKUP(VLOOKUP($A15,'IP1'!$A$37:$G$89,7,0),Patterns!$A$2:$N$28,COLUMN(L15)-2,0)/VLOOKUP(VLOOKUP($A15,'IP1'!$A$37:$G$89,7,0),Patterns!$A$2:$N$28,2,0),IF(LEFT($D15,7)="Payroll",SUMPRODUCT(($B15='IP1'!$B$96:$B$114)*('IP1'!$D$96:$D$114))/12,SUMPRODUCT(($B15='IP1'!$B$96:$B$114)*('IP1'!$D$96:$D$114))/12*'IP1'!$F$154))</f>
        <v>4680</v>
      </c>
      <c r="M15" s="85">
        <f>IF(LEFT($D15,5)="Other",VLOOKUP($A15,'IP1'!$A$37:$G$89,4,0)*VLOOKUP(VLOOKUP($A15,'IP1'!$A$37:$G$89,7,0),Patterns!$A$2:$N$28,COLUMN(M15)-2,0)/VLOOKUP(VLOOKUP($A15,'IP1'!$A$37:$G$89,7,0),Patterns!$A$2:$N$28,2,0),IF(LEFT($D15,7)="Payroll",SUMPRODUCT(($B15='IP1'!$B$96:$B$114)*('IP1'!$D$96:$D$114))/12,SUMPRODUCT(($B15='IP1'!$B$96:$B$114)*('IP1'!$D$96:$D$114))/12*'IP1'!$F$154))</f>
        <v>3600</v>
      </c>
      <c r="N15" s="85">
        <f>IF(LEFT($D15,5)="Other",VLOOKUP($A15,'IP1'!$A$37:$G$89,4,0)*VLOOKUP(VLOOKUP($A15,'IP1'!$A$37:$G$89,7,0),Patterns!$A$2:$N$28,COLUMN(N15)-2,0)/VLOOKUP(VLOOKUP($A15,'IP1'!$A$37:$G$89,7,0),Patterns!$A$2:$N$28,2,0),IF(LEFT($D15,7)="Payroll",SUMPRODUCT(($B15='IP1'!$B$96:$B$114)*('IP1'!$D$96:$D$114))/12,SUMPRODUCT(($B15='IP1'!$B$96:$B$114)*('IP1'!$D$96:$D$114))/12*'IP1'!$F$154))</f>
        <v>3240</v>
      </c>
      <c r="O15" s="85">
        <f>IF(LEFT($D15,5)="Other",VLOOKUP($A15,'IP1'!$A$37:$G$89,4,0)*VLOOKUP(VLOOKUP($A15,'IP1'!$A$37:$G$89,7,0),Patterns!$A$2:$N$28,COLUMN(O15)-2,0)/VLOOKUP(VLOOKUP($A15,'IP1'!$A$37:$G$89,7,0),Patterns!$A$2:$N$28,2,0),IF(LEFT($D15,7)="Payroll",SUMPRODUCT(($B15='IP1'!$B$96:$B$114)*('IP1'!$D$96:$D$114))/12,SUMPRODUCT(($B15='IP1'!$B$96:$B$114)*('IP1'!$D$96:$D$114))/12*'IP1'!$F$154))</f>
        <v>1080</v>
      </c>
      <c r="P15" s="85">
        <f>IF(LEFT($D15,5)="Other",VLOOKUP($A15,'IP1'!$A$37:$G$89,4,0)*VLOOKUP(VLOOKUP($A15,'IP1'!$A$37:$G$89,7,0),Patterns!$A$2:$N$28,COLUMN(P15)-2,0)/VLOOKUP(VLOOKUP($A15,'IP1'!$A$37:$G$89,7,0),Patterns!$A$2:$N$28,2,0),IF(LEFT($D15,7)="Payroll",SUMPRODUCT(($B15='IP1'!$B$96:$B$114)*('IP1'!$D$96:$D$114))/12,SUMPRODUCT(($B15='IP1'!$B$96:$B$114)*('IP1'!$D$96:$D$114))/12*'IP1'!$F$154))</f>
        <v>4320</v>
      </c>
      <c r="Q15" s="85">
        <f>IF(LEFT($D15,5)="Other",VLOOKUP($A15,'IP1'!$A$37:$G$89,5,0)*VLOOKUP(VLOOKUP($A15,'IP1'!$A$37:$G$89,7,0),Patterns!$A$2:$N$28,COLUMN(Q15)-14,0)/VLOOKUP(VLOOKUP($A15,'IP1'!$A$37:$G$89,7,0),Patterns!$A$2:$N$28,2,0),IF(LEFT($D15,7)="Payroll",SUMPRODUCT(($B15='IP1'!$B$96:$B$114)*('IP1'!$E$96:$E$114))/12,SUMPRODUCT(($B15='IP1'!$B$96:$B$114)*('IP1'!$E$96:$E$114))/12*'IP1'!$F$154))</f>
        <v>1200</v>
      </c>
      <c r="R15" s="85">
        <f>IF(LEFT($D15,5)="Other",VLOOKUP($A15,'IP1'!$A$37:$G$89,5,0)*VLOOKUP(VLOOKUP($A15,'IP1'!$A$37:$G$89,7,0),Patterns!$A$2:$N$28,COLUMN(R15)-14,0)/VLOOKUP(VLOOKUP($A15,'IP1'!$A$37:$G$89,7,0),Patterns!$A$2:$N$28,2,0),IF(LEFT($D15,7)="Payroll",SUMPRODUCT(($B15='IP1'!$B$96:$B$114)*('IP1'!$E$96:$E$114))/12,SUMPRODUCT(($B15='IP1'!$B$96:$B$114)*('IP1'!$E$96:$E$114))/12*'IP1'!$F$154))</f>
        <v>1200</v>
      </c>
      <c r="S15" s="85">
        <f>IF(LEFT($D15,5)="Other",VLOOKUP($A15,'IP1'!$A$37:$G$89,5,0)*VLOOKUP(VLOOKUP($A15,'IP1'!$A$37:$G$89,7,0),Patterns!$A$2:$N$28,COLUMN(S15)-14,0)/VLOOKUP(VLOOKUP($A15,'IP1'!$A$37:$G$89,7,0),Patterns!$A$2:$N$28,2,0),IF(LEFT($D15,7)="Payroll",SUMPRODUCT(($B15='IP1'!$B$96:$B$114)*('IP1'!$E$96:$E$114))/12,SUMPRODUCT(($B15='IP1'!$B$96:$B$114)*('IP1'!$E$96:$E$114))/12*'IP1'!$F$154))</f>
        <v>2000</v>
      </c>
      <c r="T15" s="85">
        <f>IF(LEFT($D15,5)="Other",VLOOKUP($A15,'IP1'!$A$37:$G$89,5,0)*VLOOKUP(VLOOKUP($A15,'IP1'!$A$37:$G$89,7,0),Patterns!$A$2:$N$28,COLUMN(T15)-14,0)/VLOOKUP(VLOOKUP($A15,'IP1'!$A$37:$G$89,7,0),Patterns!$A$2:$N$28,2,0),IF(LEFT($D15,7)="Payroll",SUMPRODUCT(($B15='IP1'!$B$96:$B$114)*('IP1'!$E$96:$E$114))/12,SUMPRODUCT(($B15='IP1'!$B$96:$B$114)*('IP1'!$E$96:$E$114))/12*'IP1'!$F$154))</f>
        <v>3600</v>
      </c>
      <c r="U15" s="85">
        <f>IF(LEFT($D15,5)="Other",VLOOKUP($A15,'IP1'!$A$37:$G$89,5,0)*VLOOKUP(VLOOKUP($A15,'IP1'!$A$37:$G$89,7,0),Patterns!$A$2:$N$28,COLUMN(U15)-14,0)/VLOOKUP(VLOOKUP($A15,'IP1'!$A$37:$G$89,7,0),Patterns!$A$2:$N$28,2,0),IF(LEFT($D15,7)="Payroll",SUMPRODUCT(($B15='IP1'!$B$96:$B$114)*('IP1'!$E$96:$E$114))/12,SUMPRODUCT(($B15='IP1'!$B$96:$B$114)*('IP1'!$E$96:$E$114))/12*'IP1'!$F$154))</f>
        <v>4000</v>
      </c>
      <c r="V15" s="85">
        <f>IF(LEFT($D15,5)="Other",VLOOKUP($A15,'IP1'!$A$37:$G$89,5,0)*VLOOKUP(VLOOKUP($A15,'IP1'!$A$37:$G$89,7,0),Patterns!$A$2:$N$28,COLUMN(V15)-14,0)/VLOOKUP(VLOOKUP($A15,'IP1'!$A$37:$G$89,7,0),Patterns!$A$2:$N$28,2,0),IF(LEFT($D15,7)="Payroll",SUMPRODUCT(($B15='IP1'!$B$96:$B$114)*('IP1'!$E$96:$E$114))/12,SUMPRODUCT(($B15='IP1'!$B$96:$B$114)*('IP1'!$E$96:$E$114))/12*'IP1'!$F$154))</f>
        <v>4000</v>
      </c>
      <c r="W15" s="85">
        <f>IF(LEFT($D15,5)="Other",VLOOKUP($A15,'IP1'!$A$37:$G$89,5,0)*VLOOKUP(VLOOKUP($A15,'IP1'!$A$37:$G$89,7,0),Patterns!$A$2:$N$28,COLUMN(W15)-14,0)/VLOOKUP(VLOOKUP($A15,'IP1'!$A$37:$G$89,7,0),Patterns!$A$2:$N$28,2,0),IF(LEFT($D15,7)="Payroll",SUMPRODUCT(($B15='IP1'!$B$96:$B$114)*('IP1'!$E$96:$E$114))/12,SUMPRODUCT(($B15='IP1'!$B$96:$B$114)*('IP1'!$E$96:$E$114))/12*'IP1'!$F$154))</f>
        <v>5200</v>
      </c>
      <c r="X15" s="85">
        <f>IF(LEFT($D15,5)="Other",VLOOKUP($A15,'IP1'!$A$37:$G$89,5,0)*VLOOKUP(VLOOKUP($A15,'IP1'!$A$37:$G$89,7,0),Patterns!$A$2:$N$28,COLUMN(X15)-14,0)/VLOOKUP(VLOOKUP($A15,'IP1'!$A$37:$G$89,7,0),Patterns!$A$2:$N$28,2,0),IF(LEFT($D15,7)="Payroll",SUMPRODUCT(($B15='IP1'!$B$96:$B$114)*('IP1'!$E$96:$E$114))/12,SUMPRODUCT(($B15='IP1'!$B$96:$B$114)*('IP1'!$E$96:$E$114))/12*'IP1'!$F$154))</f>
        <v>5200</v>
      </c>
      <c r="Y15" s="85">
        <f>IF(LEFT($D15,5)="Other",VLOOKUP($A15,'IP1'!$A$37:$G$89,5,0)*VLOOKUP(VLOOKUP($A15,'IP1'!$A$37:$G$89,7,0),Patterns!$A$2:$N$28,COLUMN(Y15)-14,0)/VLOOKUP(VLOOKUP($A15,'IP1'!$A$37:$G$89,7,0),Patterns!$A$2:$N$28,2,0),IF(LEFT($D15,7)="Payroll",SUMPRODUCT(($B15='IP1'!$B$96:$B$114)*('IP1'!$E$96:$E$114))/12,SUMPRODUCT(($B15='IP1'!$B$96:$B$114)*('IP1'!$E$96:$E$114))/12*'IP1'!$F$154))</f>
        <v>4000</v>
      </c>
      <c r="Z15" s="85">
        <f>IF(LEFT($D15,5)="Other",VLOOKUP($A15,'IP1'!$A$37:$G$89,5,0)*VLOOKUP(VLOOKUP($A15,'IP1'!$A$37:$G$89,7,0),Patterns!$A$2:$N$28,COLUMN(Z15)-14,0)/VLOOKUP(VLOOKUP($A15,'IP1'!$A$37:$G$89,7,0),Patterns!$A$2:$N$28,2,0),IF(LEFT($D15,7)="Payroll",SUMPRODUCT(($B15='IP1'!$B$96:$B$114)*('IP1'!$E$96:$E$114))/12,SUMPRODUCT(($B15='IP1'!$B$96:$B$114)*('IP1'!$E$96:$E$114))/12*'IP1'!$F$154))</f>
        <v>3600</v>
      </c>
      <c r="AA15" s="85">
        <f>IF(LEFT($D15,5)="Other",VLOOKUP($A15,'IP1'!$A$37:$G$89,5,0)*VLOOKUP(VLOOKUP($A15,'IP1'!$A$37:$G$89,7,0),Patterns!$A$2:$N$28,COLUMN(AA15)-14,0)/VLOOKUP(VLOOKUP($A15,'IP1'!$A$37:$G$89,7,0),Patterns!$A$2:$N$28,2,0),IF(LEFT($D15,7)="Payroll",SUMPRODUCT(($B15='IP1'!$B$96:$B$114)*('IP1'!$E$96:$E$114))/12,SUMPRODUCT(($B15='IP1'!$B$96:$B$114)*('IP1'!$E$96:$E$114))/12*'IP1'!$F$154))</f>
        <v>1200</v>
      </c>
      <c r="AB15" s="85">
        <f>IF(LEFT($D15,5)="Other",VLOOKUP($A15,'IP1'!$A$37:$G$89,5,0)*VLOOKUP(VLOOKUP($A15,'IP1'!$A$37:$G$89,7,0),Patterns!$A$2:$N$28,COLUMN(AB15)-14,0)/VLOOKUP(VLOOKUP($A15,'IP1'!$A$37:$G$89,7,0),Patterns!$A$2:$N$28,2,0),IF(LEFT($D15,7)="Payroll",SUMPRODUCT(($B15='IP1'!$B$96:$B$114)*('IP1'!$E$96:$E$114))/12,SUMPRODUCT(($B15='IP1'!$B$96:$B$114)*('IP1'!$E$96:$E$114))/12*'IP1'!$F$154))</f>
        <v>4800</v>
      </c>
    </row>
    <row r="16" spans="1:28">
      <c r="A16" s="1" t="str">
        <f t="shared" si="1"/>
        <v xml:space="preserve">AdministrationDues and subscriptions </v>
      </c>
      <c r="B16" s="1" t="s">
        <v>155</v>
      </c>
      <c r="C16" s="1" t="s">
        <v>454</v>
      </c>
      <c r="D16" s="11" t="s">
        <v>100</v>
      </c>
      <c r="E16" s="85">
        <f>IF(LEFT($D16,5)="Other",
VLOOKUP($A16,'IP1'!$A$37:$G$89,4,0)*
VLOOKUP(
VLOOKUP($A16,'IP1'!$A$37:$G$89,7,0),Patterns!$A$2:$N$28,COLUMN(E16)-2,0)/
VLOOKUP(
VLOOKUP($A16,'IP1'!$A$37:$G$89,7,0),Patterns!$A$2:$N$28,2,0),
IF(LEFT($D16,7)="Payroll",
SUMPRODUCT(($B16='IP1'!$B$96:$B$114)*('IP1'!$D$96:$D$114))/12,
SUMPRODUCT(($B16='IP1'!$B$96:$B$114)*('IP1'!$D$96:$D$114))/12*'IP1'!$F$154))</f>
        <v>0</v>
      </c>
      <c r="F16" s="85">
        <f>IF(LEFT($D16,5)="Other",VLOOKUP($A16,'IP1'!$A$37:$G$89,4,0)*VLOOKUP(VLOOKUP($A16,'IP1'!$A$37:$G$89,7,0),Patterns!$A$2:$N$28,COLUMN(F16)-2,0)/VLOOKUP(VLOOKUP($A16,'IP1'!$A$37:$G$89,7,0),Patterns!$A$2:$N$28,2,0),IF(LEFT($D16,7)="Payroll",SUMPRODUCT(($B16='IP1'!$B$96:$B$114)*('IP1'!$D$96:$D$114))/12,SUMPRODUCT(($B16='IP1'!$B$96:$B$114)*('IP1'!$D$96:$D$114))/12*'IP1'!$F$154))</f>
        <v>250</v>
      </c>
      <c r="G16" s="85">
        <f>IF(LEFT($D16,5)="Other",VLOOKUP($A16,'IP1'!$A$37:$G$89,4,0)*VLOOKUP(VLOOKUP($A16,'IP1'!$A$37:$G$89,7,0),Patterns!$A$2:$N$28,COLUMN(G16)-2,0)/VLOOKUP(VLOOKUP($A16,'IP1'!$A$37:$G$89,7,0),Patterns!$A$2:$N$28,2,0),IF(LEFT($D16,7)="Payroll",SUMPRODUCT(($B16='IP1'!$B$96:$B$114)*('IP1'!$D$96:$D$114))/12,SUMPRODUCT(($B16='IP1'!$B$96:$B$114)*('IP1'!$D$96:$D$114))/12*'IP1'!$F$154))</f>
        <v>0</v>
      </c>
      <c r="H16" s="85">
        <f>IF(LEFT($D16,5)="Other",VLOOKUP($A16,'IP1'!$A$37:$G$89,4,0)*VLOOKUP(VLOOKUP($A16,'IP1'!$A$37:$G$89,7,0),Patterns!$A$2:$N$28,COLUMN(H16)-2,0)/VLOOKUP(VLOOKUP($A16,'IP1'!$A$37:$G$89,7,0),Patterns!$A$2:$N$28,2,0),IF(LEFT($D16,7)="Payroll",SUMPRODUCT(($B16='IP1'!$B$96:$B$114)*('IP1'!$D$96:$D$114))/12,SUMPRODUCT(($B16='IP1'!$B$96:$B$114)*('IP1'!$D$96:$D$114))/12*'IP1'!$F$154))</f>
        <v>0</v>
      </c>
      <c r="I16" s="85">
        <f>IF(LEFT($D16,5)="Other",VLOOKUP($A16,'IP1'!$A$37:$G$89,4,0)*VLOOKUP(VLOOKUP($A16,'IP1'!$A$37:$G$89,7,0),Patterns!$A$2:$N$28,COLUMN(I16)-2,0)/VLOOKUP(VLOOKUP($A16,'IP1'!$A$37:$G$89,7,0),Patterns!$A$2:$N$28,2,0),IF(LEFT($D16,7)="Payroll",SUMPRODUCT(($B16='IP1'!$B$96:$B$114)*('IP1'!$D$96:$D$114))/12,SUMPRODUCT(($B16='IP1'!$B$96:$B$114)*('IP1'!$D$96:$D$114))/12*'IP1'!$F$154))</f>
        <v>250</v>
      </c>
      <c r="J16" s="85">
        <f>IF(LEFT($D16,5)="Other",VLOOKUP($A16,'IP1'!$A$37:$G$89,4,0)*VLOOKUP(VLOOKUP($A16,'IP1'!$A$37:$G$89,7,0),Patterns!$A$2:$N$28,COLUMN(J16)-2,0)/VLOOKUP(VLOOKUP($A16,'IP1'!$A$37:$G$89,7,0),Patterns!$A$2:$N$28,2,0),IF(LEFT($D16,7)="Payroll",SUMPRODUCT(($B16='IP1'!$B$96:$B$114)*('IP1'!$D$96:$D$114))/12,SUMPRODUCT(($B16='IP1'!$B$96:$B$114)*('IP1'!$D$96:$D$114))/12*'IP1'!$F$154))</f>
        <v>0</v>
      </c>
      <c r="K16" s="85">
        <f>IF(LEFT($D16,5)="Other",VLOOKUP($A16,'IP1'!$A$37:$G$89,4,0)*VLOOKUP(VLOOKUP($A16,'IP1'!$A$37:$G$89,7,0),Patterns!$A$2:$N$28,COLUMN(K16)-2,0)/VLOOKUP(VLOOKUP($A16,'IP1'!$A$37:$G$89,7,0),Patterns!$A$2:$N$28,2,0),IF(LEFT($D16,7)="Payroll",SUMPRODUCT(($B16='IP1'!$B$96:$B$114)*('IP1'!$D$96:$D$114))/12,SUMPRODUCT(($B16='IP1'!$B$96:$B$114)*('IP1'!$D$96:$D$114))/12*'IP1'!$F$154))</f>
        <v>0</v>
      </c>
      <c r="L16" s="85">
        <f>IF(LEFT($D16,5)="Other",VLOOKUP($A16,'IP1'!$A$37:$G$89,4,0)*VLOOKUP(VLOOKUP($A16,'IP1'!$A$37:$G$89,7,0),Patterns!$A$2:$N$28,COLUMN(L16)-2,0)/VLOOKUP(VLOOKUP($A16,'IP1'!$A$37:$G$89,7,0),Patterns!$A$2:$N$28,2,0),IF(LEFT($D16,7)="Payroll",SUMPRODUCT(($B16='IP1'!$B$96:$B$114)*('IP1'!$D$96:$D$114))/12,SUMPRODUCT(($B16='IP1'!$B$96:$B$114)*('IP1'!$D$96:$D$114))/12*'IP1'!$F$154))</f>
        <v>250</v>
      </c>
      <c r="M16" s="85">
        <f>IF(LEFT($D16,5)="Other",VLOOKUP($A16,'IP1'!$A$37:$G$89,4,0)*VLOOKUP(VLOOKUP($A16,'IP1'!$A$37:$G$89,7,0),Patterns!$A$2:$N$28,COLUMN(M16)-2,0)/VLOOKUP(VLOOKUP($A16,'IP1'!$A$37:$G$89,7,0),Patterns!$A$2:$N$28,2,0),IF(LEFT($D16,7)="Payroll",SUMPRODUCT(($B16='IP1'!$B$96:$B$114)*('IP1'!$D$96:$D$114))/12,SUMPRODUCT(($B16='IP1'!$B$96:$B$114)*('IP1'!$D$96:$D$114))/12*'IP1'!$F$154))</f>
        <v>0</v>
      </c>
      <c r="N16" s="85">
        <f>IF(LEFT($D16,5)="Other",VLOOKUP($A16,'IP1'!$A$37:$G$89,4,0)*VLOOKUP(VLOOKUP($A16,'IP1'!$A$37:$G$89,7,0),Patterns!$A$2:$N$28,COLUMN(N16)-2,0)/VLOOKUP(VLOOKUP($A16,'IP1'!$A$37:$G$89,7,0),Patterns!$A$2:$N$28,2,0),IF(LEFT($D16,7)="Payroll",SUMPRODUCT(($B16='IP1'!$B$96:$B$114)*('IP1'!$D$96:$D$114))/12,SUMPRODUCT(($B16='IP1'!$B$96:$B$114)*('IP1'!$D$96:$D$114))/12*'IP1'!$F$154))</f>
        <v>0</v>
      </c>
      <c r="O16" s="85">
        <f>IF(LEFT($D16,5)="Other",VLOOKUP($A16,'IP1'!$A$37:$G$89,4,0)*VLOOKUP(VLOOKUP($A16,'IP1'!$A$37:$G$89,7,0),Patterns!$A$2:$N$28,COLUMN(O16)-2,0)/VLOOKUP(VLOOKUP($A16,'IP1'!$A$37:$G$89,7,0),Patterns!$A$2:$N$28,2,0),IF(LEFT($D16,7)="Payroll",SUMPRODUCT(($B16='IP1'!$B$96:$B$114)*('IP1'!$D$96:$D$114))/12,SUMPRODUCT(($B16='IP1'!$B$96:$B$114)*('IP1'!$D$96:$D$114))/12*'IP1'!$F$154))</f>
        <v>250</v>
      </c>
      <c r="P16" s="85">
        <f>IF(LEFT($D16,5)="Other",VLOOKUP($A16,'IP1'!$A$37:$G$89,4,0)*VLOOKUP(VLOOKUP($A16,'IP1'!$A$37:$G$89,7,0),Patterns!$A$2:$N$28,COLUMN(P16)-2,0)/VLOOKUP(VLOOKUP($A16,'IP1'!$A$37:$G$89,7,0),Patterns!$A$2:$N$28,2,0),IF(LEFT($D16,7)="Payroll",SUMPRODUCT(($B16='IP1'!$B$96:$B$114)*('IP1'!$D$96:$D$114))/12,SUMPRODUCT(($B16='IP1'!$B$96:$B$114)*('IP1'!$D$96:$D$114))/12*'IP1'!$F$154))</f>
        <v>0</v>
      </c>
      <c r="Q16" s="85">
        <f>IF(LEFT($D16,5)="Other",VLOOKUP($A16,'IP1'!$A$37:$G$89,5,0)*VLOOKUP(VLOOKUP($A16,'IP1'!$A$37:$G$89,7,0),Patterns!$A$2:$N$28,COLUMN(Q16)-14,0)/VLOOKUP(VLOOKUP($A16,'IP1'!$A$37:$G$89,7,0),Patterns!$A$2:$N$28,2,0),IF(LEFT($D16,7)="Payroll",SUMPRODUCT(($B16='IP1'!$B$96:$B$114)*('IP1'!$E$96:$E$114))/12,SUMPRODUCT(($B16='IP1'!$B$96:$B$114)*('IP1'!$E$96:$E$114))/12*'IP1'!$F$154))</f>
        <v>0</v>
      </c>
      <c r="R16" s="85">
        <f>IF(LEFT($D16,5)="Other",VLOOKUP($A16,'IP1'!$A$37:$G$89,5,0)*VLOOKUP(VLOOKUP($A16,'IP1'!$A$37:$G$89,7,0),Patterns!$A$2:$N$28,COLUMN(R16)-14,0)/VLOOKUP(VLOOKUP($A16,'IP1'!$A$37:$G$89,7,0),Patterns!$A$2:$N$28,2,0),IF(LEFT($D16,7)="Payroll",SUMPRODUCT(($B16='IP1'!$B$96:$B$114)*('IP1'!$E$96:$E$114))/12,SUMPRODUCT(($B16='IP1'!$B$96:$B$114)*('IP1'!$E$96:$E$114))/12*'IP1'!$F$154))</f>
        <v>375</v>
      </c>
      <c r="S16" s="85">
        <f>IF(LEFT($D16,5)="Other",VLOOKUP($A16,'IP1'!$A$37:$G$89,5,0)*VLOOKUP(VLOOKUP($A16,'IP1'!$A$37:$G$89,7,0),Patterns!$A$2:$N$28,COLUMN(S16)-14,0)/VLOOKUP(VLOOKUP($A16,'IP1'!$A$37:$G$89,7,0),Patterns!$A$2:$N$28,2,0),IF(LEFT($D16,7)="Payroll",SUMPRODUCT(($B16='IP1'!$B$96:$B$114)*('IP1'!$E$96:$E$114))/12,SUMPRODUCT(($B16='IP1'!$B$96:$B$114)*('IP1'!$E$96:$E$114))/12*'IP1'!$F$154))</f>
        <v>0</v>
      </c>
      <c r="T16" s="85">
        <f>IF(LEFT($D16,5)="Other",VLOOKUP($A16,'IP1'!$A$37:$G$89,5,0)*VLOOKUP(VLOOKUP($A16,'IP1'!$A$37:$G$89,7,0),Patterns!$A$2:$N$28,COLUMN(T16)-14,0)/VLOOKUP(VLOOKUP($A16,'IP1'!$A$37:$G$89,7,0),Patterns!$A$2:$N$28,2,0),IF(LEFT($D16,7)="Payroll",SUMPRODUCT(($B16='IP1'!$B$96:$B$114)*('IP1'!$E$96:$E$114))/12,SUMPRODUCT(($B16='IP1'!$B$96:$B$114)*('IP1'!$E$96:$E$114))/12*'IP1'!$F$154))</f>
        <v>0</v>
      </c>
      <c r="U16" s="85">
        <f>IF(LEFT($D16,5)="Other",VLOOKUP($A16,'IP1'!$A$37:$G$89,5,0)*VLOOKUP(VLOOKUP($A16,'IP1'!$A$37:$G$89,7,0),Patterns!$A$2:$N$28,COLUMN(U16)-14,0)/VLOOKUP(VLOOKUP($A16,'IP1'!$A$37:$G$89,7,0),Patterns!$A$2:$N$28,2,0),IF(LEFT($D16,7)="Payroll",SUMPRODUCT(($B16='IP1'!$B$96:$B$114)*('IP1'!$E$96:$E$114))/12,SUMPRODUCT(($B16='IP1'!$B$96:$B$114)*('IP1'!$E$96:$E$114))/12*'IP1'!$F$154))</f>
        <v>375</v>
      </c>
      <c r="V16" s="85">
        <f>IF(LEFT($D16,5)="Other",VLOOKUP($A16,'IP1'!$A$37:$G$89,5,0)*VLOOKUP(VLOOKUP($A16,'IP1'!$A$37:$G$89,7,0),Patterns!$A$2:$N$28,COLUMN(V16)-14,0)/VLOOKUP(VLOOKUP($A16,'IP1'!$A$37:$G$89,7,0),Patterns!$A$2:$N$28,2,0),IF(LEFT($D16,7)="Payroll",SUMPRODUCT(($B16='IP1'!$B$96:$B$114)*('IP1'!$E$96:$E$114))/12,SUMPRODUCT(($B16='IP1'!$B$96:$B$114)*('IP1'!$E$96:$E$114))/12*'IP1'!$F$154))</f>
        <v>0</v>
      </c>
      <c r="W16" s="85">
        <f>IF(LEFT($D16,5)="Other",VLOOKUP($A16,'IP1'!$A$37:$G$89,5,0)*VLOOKUP(VLOOKUP($A16,'IP1'!$A$37:$G$89,7,0),Patterns!$A$2:$N$28,COLUMN(W16)-14,0)/VLOOKUP(VLOOKUP($A16,'IP1'!$A$37:$G$89,7,0),Patterns!$A$2:$N$28,2,0),IF(LEFT($D16,7)="Payroll",SUMPRODUCT(($B16='IP1'!$B$96:$B$114)*('IP1'!$E$96:$E$114))/12,SUMPRODUCT(($B16='IP1'!$B$96:$B$114)*('IP1'!$E$96:$E$114))/12*'IP1'!$F$154))</f>
        <v>0</v>
      </c>
      <c r="X16" s="85">
        <f>IF(LEFT($D16,5)="Other",VLOOKUP($A16,'IP1'!$A$37:$G$89,5,0)*VLOOKUP(VLOOKUP($A16,'IP1'!$A$37:$G$89,7,0),Patterns!$A$2:$N$28,COLUMN(X16)-14,0)/VLOOKUP(VLOOKUP($A16,'IP1'!$A$37:$G$89,7,0),Patterns!$A$2:$N$28,2,0),IF(LEFT($D16,7)="Payroll",SUMPRODUCT(($B16='IP1'!$B$96:$B$114)*('IP1'!$E$96:$E$114))/12,SUMPRODUCT(($B16='IP1'!$B$96:$B$114)*('IP1'!$E$96:$E$114))/12*'IP1'!$F$154))</f>
        <v>375</v>
      </c>
      <c r="Y16" s="85">
        <f>IF(LEFT($D16,5)="Other",VLOOKUP($A16,'IP1'!$A$37:$G$89,5,0)*VLOOKUP(VLOOKUP($A16,'IP1'!$A$37:$G$89,7,0),Patterns!$A$2:$N$28,COLUMN(Y16)-14,0)/VLOOKUP(VLOOKUP($A16,'IP1'!$A$37:$G$89,7,0),Patterns!$A$2:$N$28,2,0),IF(LEFT($D16,7)="Payroll",SUMPRODUCT(($B16='IP1'!$B$96:$B$114)*('IP1'!$E$96:$E$114))/12,SUMPRODUCT(($B16='IP1'!$B$96:$B$114)*('IP1'!$E$96:$E$114))/12*'IP1'!$F$154))</f>
        <v>0</v>
      </c>
      <c r="Z16" s="85">
        <f>IF(LEFT($D16,5)="Other",VLOOKUP($A16,'IP1'!$A$37:$G$89,5,0)*VLOOKUP(VLOOKUP($A16,'IP1'!$A$37:$G$89,7,0),Patterns!$A$2:$N$28,COLUMN(Z16)-14,0)/VLOOKUP(VLOOKUP($A16,'IP1'!$A$37:$G$89,7,0),Patterns!$A$2:$N$28,2,0),IF(LEFT($D16,7)="Payroll",SUMPRODUCT(($B16='IP1'!$B$96:$B$114)*('IP1'!$E$96:$E$114))/12,SUMPRODUCT(($B16='IP1'!$B$96:$B$114)*('IP1'!$E$96:$E$114))/12*'IP1'!$F$154))</f>
        <v>0</v>
      </c>
      <c r="AA16" s="85">
        <f>IF(LEFT($D16,5)="Other",VLOOKUP($A16,'IP1'!$A$37:$G$89,5,0)*VLOOKUP(VLOOKUP($A16,'IP1'!$A$37:$G$89,7,0),Patterns!$A$2:$N$28,COLUMN(AA16)-14,0)/VLOOKUP(VLOOKUP($A16,'IP1'!$A$37:$G$89,7,0),Patterns!$A$2:$N$28,2,0),IF(LEFT($D16,7)="Payroll",SUMPRODUCT(($B16='IP1'!$B$96:$B$114)*('IP1'!$E$96:$E$114))/12,SUMPRODUCT(($B16='IP1'!$B$96:$B$114)*('IP1'!$E$96:$E$114))/12*'IP1'!$F$154))</f>
        <v>375</v>
      </c>
      <c r="AB16" s="85">
        <f>IF(LEFT($D16,5)="Other",VLOOKUP($A16,'IP1'!$A$37:$G$89,5,0)*VLOOKUP(VLOOKUP($A16,'IP1'!$A$37:$G$89,7,0),Patterns!$A$2:$N$28,COLUMN(AB16)-14,0)/VLOOKUP(VLOOKUP($A16,'IP1'!$A$37:$G$89,7,0),Patterns!$A$2:$N$28,2,0),IF(LEFT($D16,7)="Payroll",SUMPRODUCT(($B16='IP1'!$B$96:$B$114)*('IP1'!$E$96:$E$114))/12,SUMPRODUCT(($B16='IP1'!$B$96:$B$114)*('IP1'!$E$96:$E$114))/12*'IP1'!$F$154))</f>
        <v>0</v>
      </c>
    </row>
    <row r="17" spans="1:28">
      <c r="A17" s="1" t="str">
        <f t="shared" si="1"/>
        <v xml:space="preserve">AdministrationInformation systems </v>
      </c>
      <c r="B17" s="1" t="s">
        <v>155</v>
      </c>
      <c r="C17" s="1" t="s">
        <v>455</v>
      </c>
      <c r="D17" s="11" t="s">
        <v>100</v>
      </c>
      <c r="E17" s="85">
        <f>IF(LEFT($D17,5)="Other",
VLOOKUP($A17,'IP1'!$A$37:$G$89,4,0)*
VLOOKUP(
VLOOKUP($A17,'IP1'!$A$37:$G$89,7,0),Patterns!$A$2:$N$28,COLUMN(E17)-2,0)/
VLOOKUP(
VLOOKUP($A17,'IP1'!$A$37:$G$89,7,0),Patterns!$A$2:$N$28,2,0),
IF(LEFT($D17,7)="Payroll",
SUMPRODUCT(($B17='IP1'!$B$96:$B$114)*('IP1'!$D$96:$D$114))/12,
SUMPRODUCT(($B17='IP1'!$B$96:$B$114)*('IP1'!$D$96:$D$114))/12*'IP1'!$F$154))</f>
        <v>833.33333333333337</v>
      </c>
      <c r="F17" s="85">
        <f>IF(LEFT($D17,5)="Other",VLOOKUP($A17,'IP1'!$A$37:$G$89,4,0)*VLOOKUP(VLOOKUP($A17,'IP1'!$A$37:$G$89,7,0),Patterns!$A$2:$N$28,COLUMN(F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G17" s="85">
        <f>IF(LEFT($D17,5)="Other",VLOOKUP($A17,'IP1'!$A$37:$G$89,4,0)*VLOOKUP(VLOOKUP($A17,'IP1'!$A$37:$G$89,7,0),Patterns!$A$2:$N$28,COLUMN(G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H17" s="85">
        <f>IF(LEFT($D17,5)="Other",VLOOKUP($A17,'IP1'!$A$37:$G$89,4,0)*VLOOKUP(VLOOKUP($A17,'IP1'!$A$37:$G$89,7,0),Patterns!$A$2:$N$28,COLUMN(H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I17" s="85">
        <f>IF(LEFT($D17,5)="Other",VLOOKUP($A17,'IP1'!$A$37:$G$89,4,0)*VLOOKUP(VLOOKUP($A17,'IP1'!$A$37:$G$89,7,0),Patterns!$A$2:$N$28,COLUMN(I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J17" s="85">
        <f>IF(LEFT($D17,5)="Other",VLOOKUP($A17,'IP1'!$A$37:$G$89,4,0)*VLOOKUP(VLOOKUP($A17,'IP1'!$A$37:$G$89,7,0),Patterns!$A$2:$N$28,COLUMN(J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K17" s="85">
        <f>IF(LEFT($D17,5)="Other",VLOOKUP($A17,'IP1'!$A$37:$G$89,4,0)*VLOOKUP(VLOOKUP($A17,'IP1'!$A$37:$G$89,7,0),Patterns!$A$2:$N$28,COLUMN(K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L17" s="85">
        <f>IF(LEFT($D17,5)="Other",VLOOKUP($A17,'IP1'!$A$37:$G$89,4,0)*VLOOKUP(VLOOKUP($A17,'IP1'!$A$37:$G$89,7,0),Patterns!$A$2:$N$28,COLUMN(L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M17" s="85">
        <f>IF(LEFT($D17,5)="Other",VLOOKUP($A17,'IP1'!$A$37:$G$89,4,0)*VLOOKUP(VLOOKUP($A17,'IP1'!$A$37:$G$89,7,0),Patterns!$A$2:$N$28,COLUMN(M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N17" s="85">
        <f>IF(LEFT($D17,5)="Other",VLOOKUP($A17,'IP1'!$A$37:$G$89,4,0)*VLOOKUP(VLOOKUP($A17,'IP1'!$A$37:$G$89,7,0),Patterns!$A$2:$N$28,COLUMN(N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O17" s="85">
        <f>IF(LEFT($D17,5)="Other",VLOOKUP($A17,'IP1'!$A$37:$G$89,4,0)*VLOOKUP(VLOOKUP($A17,'IP1'!$A$37:$G$89,7,0),Patterns!$A$2:$N$28,COLUMN(O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P17" s="85">
        <f>IF(LEFT($D17,5)="Other",VLOOKUP($A17,'IP1'!$A$37:$G$89,4,0)*VLOOKUP(VLOOKUP($A17,'IP1'!$A$37:$G$89,7,0),Patterns!$A$2:$N$28,COLUMN(P17)-2,0)/VLOOKUP(VLOOKUP($A17,'IP1'!$A$37:$G$89,7,0),Patterns!$A$2:$N$28,2,0),IF(LEFT($D17,7)="Payroll",SUMPRODUCT(($B17='IP1'!$B$96:$B$114)*('IP1'!$D$96:$D$114))/12,SUMPRODUCT(($B17='IP1'!$B$96:$B$114)*('IP1'!$D$96:$D$114))/12*'IP1'!$F$154))</f>
        <v>833.33333333333337</v>
      </c>
      <c r="Q17" s="85">
        <f>IF(LEFT($D17,5)="Other",VLOOKUP($A17,'IP1'!$A$37:$G$89,5,0)*VLOOKUP(VLOOKUP($A17,'IP1'!$A$37:$G$89,7,0),Patterns!$A$2:$N$28,COLUMN(Q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R17" s="85">
        <f>IF(LEFT($D17,5)="Other",VLOOKUP($A17,'IP1'!$A$37:$G$89,5,0)*VLOOKUP(VLOOKUP($A17,'IP1'!$A$37:$G$89,7,0),Patterns!$A$2:$N$28,COLUMN(R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S17" s="85">
        <f>IF(LEFT($D17,5)="Other",VLOOKUP($A17,'IP1'!$A$37:$G$89,5,0)*VLOOKUP(VLOOKUP($A17,'IP1'!$A$37:$G$89,7,0),Patterns!$A$2:$N$28,COLUMN(S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T17" s="85">
        <f>IF(LEFT($D17,5)="Other",VLOOKUP($A17,'IP1'!$A$37:$G$89,5,0)*VLOOKUP(VLOOKUP($A17,'IP1'!$A$37:$G$89,7,0),Patterns!$A$2:$N$28,COLUMN(T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U17" s="85">
        <f>IF(LEFT($D17,5)="Other",VLOOKUP($A17,'IP1'!$A$37:$G$89,5,0)*VLOOKUP(VLOOKUP($A17,'IP1'!$A$37:$G$89,7,0),Patterns!$A$2:$N$28,COLUMN(U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V17" s="85">
        <f>IF(LEFT($D17,5)="Other",VLOOKUP($A17,'IP1'!$A$37:$G$89,5,0)*VLOOKUP(VLOOKUP($A17,'IP1'!$A$37:$G$89,7,0),Patterns!$A$2:$N$28,COLUMN(V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W17" s="85">
        <f>IF(LEFT($D17,5)="Other",VLOOKUP($A17,'IP1'!$A$37:$G$89,5,0)*VLOOKUP(VLOOKUP($A17,'IP1'!$A$37:$G$89,7,0),Patterns!$A$2:$N$28,COLUMN(W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X17" s="85">
        <f>IF(LEFT($D17,5)="Other",VLOOKUP($A17,'IP1'!$A$37:$G$89,5,0)*VLOOKUP(VLOOKUP($A17,'IP1'!$A$37:$G$89,7,0),Patterns!$A$2:$N$28,COLUMN(X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Y17" s="85">
        <f>IF(LEFT($D17,5)="Other",VLOOKUP($A17,'IP1'!$A$37:$G$89,5,0)*VLOOKUP(VLOOKUP($A17,'IP1'!$A$37:$G$89,7,0),Patterns!$A$2:$N$28,COLUMN(Y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Z17" s="85">
        <f>IF(LEFT($D17,5)="Other",VLOOKUP($A17,'IP1'!$A$37:$G$89,5,0)*VLOOKUP(VLOOKUP($A17,'IP1'!$A$37:$G$89,7,0),Patterns!$A$2:$N$28,COLUMN(Z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AA17" s="85">
        <f>IF(LEFT($D17,5)="Other",VLOOKUP($A17,'IP1'!$A$37:$G$89,5,0)*VLOOKUP(VLOOKUP($A17,'IP1'!$A$37:$G$89,7,0),Patterns!$A$2:$N$28,COLUMN(AA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  <c r="AB17" s="85">
        <f>IF(LEFT($D17,5)="Other",VLOOKUP($A17,'IP1'!$A$37:$G$89,5,0)*VLOOKUP(VLOOKUP($A17,'IP1'!$A$37:$G$89,7,0),Patterns!$A$2:$N$28,COLUMN(AB17)-14,0)/VLOOKUP(VLOOKUP($A17,'IP1'!$A$37:$G$89,7,0),Patterns!$A$2:$N$28,2,0),IF(LEFT($D17,7)="Payroll",SUMPRODUCT(($B17='IP1'!$B$96:$B$114)*('IP1'!$E$96:$E$114))/12,SUMPRODUCT(($B17='IP1'!$B$96:$B$114)*('IP1'!$E$96:$E$114))/12*'IP1'!$F$154))</f>
        <v>833.33333333333337</v>
      </c>
    </row>
    <row r="18" spans="1:28">
      <c r="A18" s="1" t="str">
        <f t="shared" si="1"/>
        <v>AdministrationLegal fees</v>
      </c>
      <c r="B18" s="1" t="s">
        <v>155</v>
      </c>
      <c r="C18" s="1" t="s">
        <v>456</v>
      </c>
      <c r="D18" s="11" t="s">
        <v>100</v>
      </c>
      <c r="E18" s="85">
        <f>IF(LEFT($D18,5)="Other",
VLOOKUP($A18,'IP1'!$A$37:$G$89,4,0)*
VLOOKUP(
VLOOKUP($A18,'IP1'!$A$37:$G$89,7,0),Patterns!$A$2:$N$28,COLUMN(E18)-2,0)/
VLOOKUP(
VLOOKUP($A18,'IP1'!$A$37:$G$89,7,0),Patterns!$A$2:$N$28,2,0),
IF(LEFT($D18,7)="Payroll",
SUMPRODUCT(($B18='IP1'!$B$96:$B$114)*('IP1'!$D$96:$D$114))/12,
SUMPRODUCT(($B18='IP1'!$B$96:$B$114)*('IP1'!$D$96:$D$114))/12*'IP1'!$F$154))</f>
        <v>0</v>
      </c>
      <c r="F18" s="85">
        <f>IF(LEFT($D18,5)="Other",VLOOKUP($A18,'IP1'!$A$37:$G$89,4,0)*VLOOKUP(VLOOKUP($A18,'IP1'!$A$37:$G$89,7,0),Patterns!$A$2:$N$28,COLUMN(F18)-2,0)/VLOOKUP(VLOOKUP($A18,'IP1'!$A$37:$G$89,7,0),Patterns!$A$2:$N$28,2,0),IF(LEFT($D18,7)="Payroll",SUMPRODUCT(($B18='IP1'!$B$96:$B$114)*('IP1'!$D$96:$D$114))/12,SUMPRODUCT(($B18='IP1'!$B$96:$B$114)*('IP1'!$D$96:$D$114))/12*'IP1'!$F$154))</f>
        <v>1250</v>
      </c>
      <c r="G18" s="85">
        <f>IF(LEFT($D18,5)="Other",VLOOKUP($A18,'IP1'!$A$37:$G$89,4,0)*VLOOKUP(VLOOKUP($A18,'IP1'!$A$37:$G$89,7,0),Patterns!$A$2:$N$28,COLUMN(G18)-2,0)/VLOOKUP(VLOOKUP($A18,'IP1'!$A$37:$G$89,7,0),Patterns!$A$2:$N$28,2,0),IF(LEFT($D18,7)="Payroll",SUMPRODUCT(($B18='IP1'!$B$96:$B$114)*('IP1'!$D$96:$D$114))/12,SUMPRODUCT(($B18='IP1'!$B$96:$B$114)*('IP1'!$D$96:$D$114))/12*'IP1'!$F$154))</f>
        <v>0</v>
      </c>
      <c r="H18" s="85">
        <f>IF(LEFT($D18,5)="Other",VLOOKUP($A18,'IP1'!$A$37:$G$89,4,0)*VLOOKUP(VLOOKUP($A18,'IP1'!$A$37:$G$89,7,0),Patterns!$A$2:$N$28,COLUMN(H18)-2,0)/VLOOKUP(VLOOKUP($A18,'IP1'!$A$37:$G$89,7,0),Patterns!$A$2:$N$28,2,0),IF(LEFT($D18,7)="Payroll",SUMPRODUCT(($B18='IP1'!$B$96:$B$114)*('IP1'!$D$96:$D$114))/12,SUMPRODUCT(($B18='IP1'!$B$96:$B$114)*('IP1'!$D$96:$D$114))/12*'IP1'!$F$154))</f>
        <v>0</v>
      </c>
      <c r="I18" s="85">
        <f>IF(LEFT($D18,5)="Other",VLOOKUP($A18,'IP1'!$A$37:$G$89,4,0)*VLOOKUP(VLOOKUP($A18,'IP1'!$A$37:$G$89,7,0),Patterns!$A$2:$N$28,COLUMN(I18)-2,0)/VLOOKUP(VLOOKUP($A18,'IP1'!$A$37:$G$89,7,0),Patterns!$A$2:$N$28,2,0),IF(LEFT($D18,7)="Payroll",SUMPRODUCT(($B18='IP1'!$B$96:$B$114)*('IP1'!$D$96:$D$114))/12,SUMPRODUCT(($B18='IP1'!$B$96:$B$114)*('IP1'!$D$96:$D$114))/12*'IP1'!$F$154))</f>
        <v>1250</v>
      </c>
      <c r="J18" s="85">
        <f>IF(LEFT($D18,5)="Other",VLOOKUP($A18,'IP1'!$A$37:$G$89,4,0)*VLOOKUP(VLOOKUP($A18,'IP1'!$A$37:$G$89,7,0),Patterns!$A$2:$N$28,COLUMN(J18)-2,0)/VLOOKUP(VLOOKUP($A18,'IP1'!$A$37:$G$89,7,0),Patterns!$A$2:$N$28,2,0),IF(LEFT($D18,7)="Payroll",SUMPRODUCT(($B18='IP1'!$B$96:$B$114)*('IP1'!$D$96:$D$114))/12,SUMPRODUCT(($B18='IP1'!$B$96:$B$114)*('IP1'!$D$96:$D$114))/12*'IP1'!$F$154))</f>
        <v>0</v>
      </c>
      <c r="K18" s="85">
        <f>IF(LEFT($D18,5)="Other",VLOOKUP($A18,'IP1'!$A$37:$G$89,4,0)*VLOOKUP(VLOOKUP($A18,'IP1'!$A$37:$G$89,7,0),Patterns!$A$2:$N$28,COLUMN(K18)-2,0)/VLOOKUP(VLOOKUP($A18,'IP1'!$A$37:$G$89,7,0),Patterns!$A$2:$N$28,2,0),IF(LEFT($D18,7)="Payroll",SUMPRODUCT(($B18='IP1'!$B$96:$B$114)*('IP1'!$D$96:$D$114))/12,SUMPRODUCT(($B18='IP1'!$B$96:$B$114)*('IP1'!$D$96:$D$114))/12*'IP1'!$F$154))</f>
        <v>0</v>
      </c>
      <c r="L18" s="85">
        <f>IF(LEFT($D18,5)="Other",VLOOKUP($A18,'IP1'!$A$37:$G$89,4,0)*VLOOKUP(VLOOKUP($A18,'IP1'!$A$37:$G$89,7,0),Patterns!$A$2:$N$28,COLUMN(L18)-2,0)/VLOOKUP(VLOOKUP($A18,'IP1'!$A$37:$G$89,7,0),Patterns!$A$2:$N$28,2,0),IF(LEFT($D18,7)="Payroll",SUMPRODUCT(($B18='IP1'!$B$96:$B$114)*('IP1'!$D$96:$D$114))/12,SUMPRODUCT(($B18='IP1'!$B$96:$B$114)*('IP1'!$D$96:$D$114))/12*'IP1'!$F$154))</f>
        <v>1250</v>
      </c>
      <c r="M18" s="85">
        <f>IF(LEFT($D18,5)="Other",VLOOKUP($A18,'IP1'!$A$37:$G$89,4,0)*VLOOKUP(VLOOKUP($A18,'IP1'!$A$37:$G$89,7,0),Patterns!$A$2:$N$28,COLUMN(M18)-2,0)/VLOOKUP(VLOOKUP($A18,'IP1'!$A$37:$G$89,7,0),Patterns!$A$2:$N$28,2,0),IF(LEFT($D18,7)="Payroll",SUMPRODUCT(($B18='IP1'!$B$96:$B$114)*('IP1'!$D$96:$D$114))/12,SUMPRODUCT(($B18='IP1'!$B$96:$B$114)*('IP1'!$D$96:$D$114))/12*'IP1'!$F$154))</f>
        <v>0</v>
      </c>
      <c r="N18" s="85">
        <f>IF(LEFT($D18,5)="Other",VLOOKUP($A18,'IP1'!$A$37:$G$89,4,0)*VLOOKUP(VLOOKUP($A18,'IP1'!$A$37:$G$89,7,0),Patterns!$A$2:$N$28,COLUMN(N18)-2,0)/VLOOKUP(VLOOKUP($A18,'IP1'!$A$37:$G$89,7,0),Patterns!$A$2:$N$28,2,0),IF(LEFT($D18,7)="Payroll",SUMPRODUCT(($B18='IP1'!$B$96:$B$114)*('IP1'!$D$96:$D$114))/12,SUMPRODUCT(($B18='IP1'!$B$96:$B$114)*('IP1'!$D$96:$D$114))/12*'IP1'!$F$154))</f>
        <v>0</v>
      </c>
      <c r="O18" s="85">
        <f>IF(LEFT($D18,5)="Other",VLOOKUP($A18,'IP1'!$A$37:$G$89,4,0)*VLOOKUP(VLOOKUP($A18,'IP1'!$A$37:$G$89,7,0),Patterns!$A$2:$N$28,COLUMN(O18)-2,0)/VLOOKUP(VLOOKUP($A18,'IP1'!$A$37:$G$89,7,0),Patterns!$A$2:$N$28,2,0),IF(LEFT($D18,7)="Payroll",SUMPRODUCT(($B18='IP1'!$B$96:$B$114)*('IP1'!$D$96:$D$114))/12,SUMPRODUCT(($B18='IP1'!$B$96:$B$114)*('IP1'!$D$96:$D$114))/12*'IP1'!$F$154))</f>
        <v>1250</v>
      </c>
      <c r="P18" s="85">
        <f>IF(LEFT($D18,5)="Other",VLOOKUP($A18,'IP1'!$A$37:$G$89,4,0)*VLOOKUP(VLOOKUP($A18,'IP1'!$A$37:$G$89,7,0),Patterns!$A$2:$N$28,COLUMN(P18)-2,0)/VLOOKUP(VLOOKUP($A18,'IP1'!$A$37:$G$89,7,0),Patterns!$A$2:$N$28,2,0),IF(LEFT($D18,7)="Payroll",SUMPRODUCT(($B18='IP1'!$B$96:$B$114)*('IP1'!$D$96:$D$114))/12,SUMPRODUCT(($B18='IP1'!$B$96:$B$114)*('IP1'!$D$96:$D$114))/12*'IP1'!$F$154))</f>
        <v>0</v>
      </c>
      <c r="Q18" s="85">
        <f>IF(LEFT($D18,5)="Other",VLOOKUP($A18,'IP1'!$A$37:$G$89,5,0)*VLOOKUP(VLOOKUP($A18,'IP1'!$A$37:$G$89,7,0),Patterns!$A$2:$N$28,COLUMN(Q18)-14,0)/VLOOKUP(VLOOKUP($A18,'IP1'!$A$37:$G$89,7,0),Patterns!$A$2:$N$28,2,0),IF(LEFT($D18,7)="Payroll",SUMPRODUCT(($B18='IP1'!$B$96:$B$114)*('IP1'!$E$96:$E$114))/12,SUMPRODUCT(($B18='IP1'!$B$96:$B$114)*('IP1'!$E$96:$E$114))/12*'IP1'!$F$154))</f>
        <v>0</v>
      </c>
      <c r="R18" s="85">
        <f>IF(LEFT($D18,5)="Other",VLOOKUP($A18,'IP1'!$A$37:$G$89,5,0)*VLOOKUP(VLOOKUP($A18,'IP1'!$A$37:$G$89,7,0),Patterns!$A$2:$N$28,COLUMN(R18)-14,0)/VLOOKUP(VLOOKUP($A18,'IP1'!$A$37:$G$89,7,0),Patterns!$A$2:$N$28,2,0),IF(LEFT($D18,7)="Payroll",SUMPRODUCT(($B18='IP1'!$B$96:$B$114)*('IP1'!$E$96:$E$114))/12,SUMPRODUCT(($B18='IP1'!$B$96:$B$114)*('IP1'!$E$96:$E$114))/12*'IP1'!$F$154))</f>
        <v>1250</v>
      </c>
      <c r="S18" s="85">
        <f>IF(LEFT($D18,5)="Other",VLOOKUP($A18,'IP1'!$A$37:$G$89,5,0)*VLOOKUP(VLOOKUP($A18,'IP1'!$A$37:$G$89,7,0),Patterns!$A$2:$N$28,COLUMN(S18)-14,0)/VLOOKUP(VLOOKUP($A18,'IP1'!$A$37:$G$89,7,0),Patterns!$A$2:$N$28,2,0),IF(LEFT($D18,7)="Payroll",SUMPRODUCT(($B18='IP1'!$B$96:$B$114)*('IP1'!$E$96:$E$114))/12,SUMPRODUCT(($B18='IP1'!$B$96:$B$114)*('IP1'!$E$96:$E$114))/12*'IP1'!$F$154))</f>
        <v>0</v>
      </c>
      <c r="T18" s="85">
        <f>IF(LEFT($D18,5)="Other",VLOOKUP($A18,'IP1'!$A$37:$G$89,5,0)*VLOOKUP(VLOOKUP($A18,'IP1'!$A$37:$G$89,7,0),Patterns!$A$2:$N$28,COLUMN(T18)-14,0)/VLOOKUP(VLOOKUP($A18,'IP1'!$A$37:$G$89,7,0),Patterns!$A$2:$N$28,2,0),IF(LEFT($D18,7)="Payroll",SUMPRODUCT(($B18='IP1'!$B$96:$B$114)*('IP1'!$E$96:$E$114))/12,SUMPRODUCT(($B18='IP1'!$B$96:$B$114)*('IP1'!$E$96:$E$114))/12*'IP1'!$F$154))</f>
        <v>0</v>
      </c>
      <c r="U18" s="85">
        <f>IF(LEFT($D18,5)="Other",VLOOKUP($A18,'IP1'!$A$37:$G$89,5,0)*VLOOKUP(VLOOKUP($A18,'IP1'!$A$37:$G$89,7,0),Patterns!$A$2:$N$28,COLUMN(U18)-14,0)/VLOOKUP(VLOOKUP($A18,'IP1'!$A$37:$G$89,7,0),Patterns!$A$2:$N$28,2,0),IF(LEFT($D18,7)="Payroll",SUMPRODUCT(($B18='IP1'!$B$96:$B$114)*('IP1'!$E$96:$E$114))/12,SUMPRODUCT(($B18='IP1'!$B$96:$B$114)*('IP1'!$E$96:$E$114))/12*'IP1'!$F$154))</f>
        <v>1250</v>
      </c>
      <c r="V18" s="85">
        <f>IF(LEFT($D18,5)="Other",VLOOKUP($A18,'IP1'!$A$37:$G$89,5,0)*VLOOKUP(VLOOKUP($A18,'IP1'!$A$37:$G$89,7,0),Patterns!$A$2:$N$28,COLUMN(V18)-14,0)/VLOOKUP(VLOOKUP($A18,'IP1'!$A$37:$G$89,7,0),Patterns!$A$2:$N$28,2,0),IF(LEFT($D18,7)="Payroll",SUMPRODUCT(($B18='IP1'!$B$96:$B$114)*('IP1'!$E$96:$E$114))/12,SUMPRODUCT(($B18='IP1'!$B$96:$B$114)*('IP1'!$E$96:$E$114))/12*'IP1'!$F$154))</f>
        <v>0</v>
      </c>
      <c r="W18" s="85">
        <f>IF(LEFT($D18,5)="Other",VLOOKUP($A18,'IP1'!$A$37:$G$89,5,0)*VLOOKUP(VLOOKUP($A18,'IP1'!$A$37:$G$89,7,0),Patterns!$A$2:$N$28,COLUMN(W18)-14,0)/VLOOKUP(VLOOKUP($A18,'IP1'!$A$37:$G$89,7,0),Patterns!$A$2:$N$28,2,0),IF(LEFT($D18,7)="Payroll",SUMPRODUCT(($B18='IP1'!$B$96:$B$114)*('IP1'!$E$96:$E$114))/12,SUMPRODUCT(($B18='IP1'!$B$96:$B$114)*('IP1'!$E$96:$E$114))/12*'IP1'!$F$154))</f>
        <v>0</v>
      </c>
      <c r="X18" s="85">
        <f>IF(LEFT($D18,5)="Other",VLOOKUP($A18,'IP1'!$A$37:$G$89,5,0)*VLOOKUP(VLOOKUP($A18,'IP1'!$A$37:$G$89,7,0),Patterns!$A$2:$N$28,COLUMN(X18)-14,0)/VLOOKUP(VLOOKUP($A18,'IP1'!$A$37:$G$89,7,0),Patterns!$A$2:$N$28,2,0),IF(LEFT($D18,7)="Payroll",SUMPRODUCT(($B18='IP1'!$B$96:$B$114)*('IP1'!$E$96:$E$114))/12,SUMPRODUCT(($B18='IP1'!$B$96:$B$114)*('IP1'!$E$96:$E$114))/12*'IP1'!$F$154))</f>
        <v>1250</v>
      </c>
      <c r="Y18" s="85">
        <f>IF(LEFT($D18,5)="Other",VLOOKUP($A18,'IP1'!$A$37:$G$89,5,0)*VLOOKUP(VLOOKUP($A18,'IP1'!$A$37:$G$89,7,0),Patterns!$A$2:$N$28,COLUMN(Y18)-14,0)/VLOOKUP(VLOOKUP($A18,'IP1'!$A$37:$G$89,7,0),Patterns!$A$2:$N$28,2,0),IF(LEFT($D18,7)="Payroll",SUMPRODUCT(($B18='IP1'!$B$96:$B$114)*('IP1'!$E$96:$E$114))/12,SUMPRODUCT(($B18='IP1'!$B$96:$B$114)*('IP1'!$E$96:$E$114))/12*'IP1'!$F$154))</f>
        <v>0</v>
      </c>
      <c r="Z18" s="85">
        <f>IF(LEFT($D18,5)="Other",VLOOKUP($A18,'IP1'!$A$37:$G$89,5,0)*VLOOKUP(VLOOKUP($A18,'IP1'!$A$37:$G$89,7,0),Patterns!$A$2:$N$28,COLUMN(Z18)-14,0)/VLOOKUP(VLOOKUP($A18,'IP1'!$A$37:$G$89,7,0),Patterns!$A$2:$N$28,2,0),IF(LEFT($D18,7)="Payroll",SUMPRODUCT(($B18='IP1'!$B$96:$B$114)*('IP1'!$E$96:$E$114))/12,SUMPRODUCT(($B18='IP1'!$B$96:$B$114)*('IP1'!$E$96:$E$114))/12*'IP1'!$F$154))</f>
        <v>0</v>
      </c>
      <c r="AA18" s="85">
        <f>IF(LEFT($D18,5)="Other",VLOOKUP($A18,'IP1'!$A$37:$G$89,5,0)*VLOOKUP(VLOOKUP($A18,'IP1'!$A$37:$G$89,7,0),Patterns!$A$2:$N$28,COLUMN(AA18)-14,0)/VLOOKUP(VLOOKUP($A18,'IP1'!$A$37:$G$89,7,0),Patterns!$A$2:$N$28,2,0),IF(LEFT($D18,7)="Payroll",SUMPRODUCT(($B18='IP1'!$B$96:$B$114)*('IP1'!$E$96:$E$114))/12,SUMPRODUCT(($B18='IP1'!$B$96:$B$114)*('IP1'!$E$96:$E$114))/12*'IP1'!$F$154))</f>
        <v>1250</v>
      </c>
      <c r="AB18" s="85">
        <f>IF(LEFT($D18,5)="Other",VLOOKUP($A18,'IP1'!$A$37:$G$89,5,0)*VLOOKUP(VLOOKUP($A18,'IP1'!$A$37:$G$89,7,0),Patterns!$A$2:$N$28,COLUMN(AB18)-14,0)/VLOOKUP(VLOOKUP($A18,'IP1'!$A$37:$G$89,7,0),Patterns!$A$2:$N$28,2,0),IF(LEFT($D18,7)="Payroll",SUMPRODUCT(($B18='IP1'!$B$96:$B$114)*('IP1'!$E$96:$E$114))/12,SUMPRODUCT(($B18='IP1'!$B$96:$B$114)*('IP1'!$E$96:$E$114))/12*'IP1'!$F$154))</f>
        <v>0</v>
      </c>
    </row>
    <row r="19" spans="1:28">
      <c r="A19" s="1" t="str">
        <f t="shared" si="1"/>
        <v xml:space="preserve">AdministrationLoss and damage </v>
      </c>
      <c r="B19" s="1" t="s">
        <v>155</v>
      </c>
      <c r="C19" s="1" t="s">
        <v>457</v>
      </c>
      <c r="D19" s="11" t="s">
        <v>100</v>
      </c>
      <c r="E19" s="85">
        <f>IF(LEFT($D19,5)="Other",
VLOOKUP($A19,'IP1'!$A$37:$G$89,4,0)*
VLOOKUP(
VLOOKUP($A19,'IP1'!$A$37:$G$89,7,0),Patterns!$A$2:$N$28,COLUMN(E19)-2,0)/
VLOOKUP(
VLOOKUP($A19,'IP1'!$A$37:$G$89,7,0),Patterns!$A$2:$N$28,2,0),
IF(LEFT($D19,7)="Payroll",
SUMPRODUCT(($B19='IP1'!$B$96:$B$114)*('IP1'!$D$96:$D$114))/12,
SUMPRODUCT(($B19='IP1'!$B$96:$B$114)*('IP1'!$D$96:$D$114))/12*'IP1'!$F$154))</f>
        <v>75</v>
      </c>
      <c r="F19" s="85">
        <f>IF(LEFT($D19,5)="Other",VLOOKUP($A19,'IP1'!$A$37:$G$89,4,0)*VLOOKUP(VLOOKUP($A19,'IP1'!$A$37:$G$89,7,0),Patterns!$A$2:$N$28,COLUMN(F19)-2,0)/VLOOKUP(VLOOKUP($A19,'IP1'!$A$37:$G$89,7,0),Patterns!$A$2:$N$28,2,0),IF(LEFT($D19,7)="Payroll",SUMPRODUCT(($B19='IP1'!$B$96:$B$114)*('IP1'!$D$96:$D$114))/12,SUMPRODUCT(($B19='IP1'!$B$96:$B$114)*('IP1'!$D$96:$D$114))/12*'IP1'!$F$154))</f>
        <v>75</v>
      </c>
      <c r="G19" s="85">
        <f>IF(LEFT($D19,5)="Other",VLOOKUP($A19,'IP1'!$A$37:$G$89,4,0)*VLOOKUP(VLOOKUP($A19,'IP1'!$A$37:$G$89,7,0),Patterns!$A$2:$N$28,COLUMN(G19)-2,0)/VLOOKUP(VLOOKUP($A19,'IP1'!$A$37:$G$89,7,0),Patterns!$A$2:$N$28,2,0),IF(LEFT($D19,7)="Payroll",SUMPRODUCT(($B19='IP1'!$B$96:$B$114)*('IP1'!$D$96:$D$114))/12,SUMPRODUCT(($B19='IP1'!$B$96:$B$114)*('IP1'!$D$96:$D$114))/12*'IP1'!$F$154))</f>
        <v>125</v>
      </c>
      <c r="H19" s="85">
        <f>IF(LEFT($D19,5)="Other",VLOOKUP($A19,'IP1'!$A$37:$G$89,4,0)*VLOOKUP(VLOOKUP($A19,'IP1'!$A$37:$G$89,7,0),Patterns!$A$2:$N$28,COLUMN(H19)-2,0)/VLOOKUP(VLOOKUP($A19,'IP1'!$A$37:$G$89,7,0),Patterns!$A$2:$N$28,2,0),IF(LEFT($D19,7)="Payroll",SUMPRODUCT(($B19='IP1'!$B$96:$B$114)*('IP1'!$D$96:$D$114))/12,SUMPRODUCT(($B19='IP1'!$B$96:$B$114)*('IP1'!$D$96:$D$114))/12*'IP1'!$F$154))</f>
        <v>225</v>
      </c>
      <c r="I19" s="85">
        <f>IF(LEFT($D19,5)="Other",VLOOKUP($A19,'IP1'!$A$37:$G$89,4,0)*VLOOKUP(VLOOKUP($A19,'IP1'!$A$37:$G$89,7,0),Patterns!$A$2:$N$28,COLUMN(I19)-2,0)/VLOOKUP(VLOOKUP($A19,'IP1'!$A$37:$G$89,7,0),Patterns!$A$2:$N$28,2,0),IF(LEFT($D19,7)="Payroll",SUMPRODUCT(($B19='IP1'!$B$96:$B$114)*('IP1'!$D$96:$D$114))/12,SUMPRODUCT(($B19='IP1'!$B$96:$B$114)*('IP1'!$D$96:$D$114))/12*'IP1'!$F$154))</f>
        <v>250</v>
      </c>
      <c r="J19" s="85">
        <f>IF(LEFT($D19,5)="Other",VLOOKUP($A19,'IP1'!$A$37:$G$89,4,0)*VLOOKUP(VLOOKUP($A19,'IP1'!$A$37:$G$89,7,0),Patterns!$A$2:$N$28,COLUMN(J19)-2,0)/VLOOKUP(VLOOKUP($A19,'IP1'!$A$37:$G$89,7,0),Patterns!$A$2:$N$28,2,0),IF(LEFT($D19,7)="Payroll",SUMPRODUCT(($B19='IP1'!$B$96:$B$114)*('IP1'!$D$96:$D$114))/12,SUMPRODUCT(($B19='IP1'!$B$96:$B$114)*('IP1'!$D$96:$D$114))/12*'IP1'!$F$154))</f>
        <v>250</v>
      </c>
      <c r="K19" s="85">
        <f>IF(LEFT($D19,5)="Other",VLOOKUP($A19,'IP1'!$A$37:$G$89,4,0)*VLOOKUP(VLOOKUP($A19,'IP1'!$A$37:$G$89,7,0),Patterns!$A$2:$N$28,COLUMN(K19)-2,0)/VLOOKUP(VLOOKUP($A19,'IP1'!$A$37:$G$89,7,0),Patterns!$A$2:$N$28,2,0),IF(LEFT($D19,7)="Payroll",SUMPRODUCT(($B19='IP1'!$B$96:$B$114)*('IP1'!$D$96:$D$114))/12,SUMPRODUCT(($B19='IP1'!$B$96:$B$114)*('IP1'!$D$96:$D$114))/12*'IP1'!$F$154))</f>
        <v>325</v>
      </c>
      <c r="L19" s="85">
        <f>IF(LEFT($D19,5)="Other",VLOOKUP($A19,'IP1'!$A$37:$G$89,4,0)*VLOOKUP(VLOOKUP($A19,'IP1'!$A$37:$G$89,7,0),Patterns!$A$2:$N$28,COLUMN(L19)-2,0)/VLOOKUP(VLOOKUP($A19,'IP1'!$A$37:$G$89,7,0),Patterns!$A$2:$N$28,2,0),IF(LEFT($D19,7)="Payroll",SUMPRODUCT(($B19='IP1'!$B$96:$B$114)*('IP1'!$D$96:$D$114))/12,SUMPRODUCT(($B19='IP1'!$B$96:$B$114)*('IP1'!$D$96:$D$114))/12*'IP1'!$F$154))</f>
        <v>325</v>
      </c>
      <c r="M19" s="85">
        <f>IF(LEFT($D19,5)="Other",VLOOKUP($A19,'IP1'!$A$37:$G$89,4,0)*VLOOKUP(VLOOKUP($A19,'IP1'!$A$37:$G$89,7,0),Patterns!$A$2:$N$28,COLUMN(M19)-2,0)/VLOOKUP(VLOOKUP($A19,'IP1'!$A$37:$G$89,7,0),Patterns!$A$2:$N$28,2,0),IF(LEFT($D19,7)="Payroll",SUMPRODUCT(($B19='IP1'!$B$96:$B$114)*('IP1'!$D$96:$D$114))/12,SUMPRODUCT(($B19='IP1'!$B$96:$B$114)*('IP1'!$D$96:$D$114))/12*'IP1'!$F$154))</f>
        <v>250</v>
      </c>
      <c r="N19" s="85">
        <f>IF(LEFT($D19,5)="Other",VLOOKUP($A19,'IP1'!$A$37:$G$89,4,0)*VLOOKUP(VLOOKUP($A19,'IP1'!$A$37:$G$89,7,0),Patterns!$A$2:$N$28,COLUMN(N19)-2,0)/VLOOKUP(VLOOKUP($A19,'IP1'!$A$37:$G$89,7,0),Patterns!$A$2:$N$28,2,0),IF(LEFT($D19,7)="Payroll",SUMPRODUCT(($B19='IP1'!$B$96:$B$114)*('IP1'!$D$96:$D$114))/12,SUMPRODUCT(($B19='IP1'!$B$96:$B$114)*('IP1'!$D$96:$D$114))/12*'IP1'!$F$154))</f>
        <v>225</v>
      </c>
      <c r="O19" s="85">
        <f>IF(LEFT($D19,5)="Other",VLOOKUP($A19,'IP1'!$A$37:$G$89,4,0)*VLOOKUP(VLOOKUP($A19,'IP1'!$A$37:$G$89,7,0),Patterns!$A$2:$N$28,COLUMN(O19)-2,0)/VLOOKUP(VLOOKUP($A19,'IP1'!$A$37:$G$89,7,0),Patterns!$A$2:$N$28,2,0),IF(LEFT($D19,7)="Payroll",SUMPRODUCT(($B19='IP1'!$B$96:$B$114)*('IP1'!$D$96:$D$114))/12,SUMPRODUCT(($B19='IP1'!$B$96:$B$114)*('IP1'!$D$96:$D$114))/12*'IP1'!$F$154))</f>
        <v>75</v>
      </c>
      <c r="P19" s="85">
        <f>IF(LEFT($D19,5)="Other",VLOOKUP($A19,'IP1'!$A$37:$G$89,4,0)*VLOOKUP(VLOOKUP($A19,'IP1'!$A$37:$G$89,7,0),Patterns!$A$2:$N$28,COLUMN(P19)-2,0)/VLOOKUP(VLOOKUP($A19,'IP1'!$A$37:$G$89,7,0),Patterns!$A$2:$N$28,2,0),IF(LEFT($D19,7)="Payroll",SUMPRODUCT(($B19='IP1'!$B$96:$B$114)*('IP1'!$D$96:$D$114))/12,SUMPRODUCT(($B19='IP1'!$B$96:$B$114)*('IP1'!$D$96:$D$114))/12*'IP1'!$F$154))</f>
        <v>300</v>
      </c>
      <c r="Q19" s="85">
        <f>IF(LEFT($D19,5)="Other",VLOOKUP($A19,'IP1'!$A$37:$G$89,5,0)*VLOOKUP(VLOOKUP($A19,'IP1'!$A$37:$G$89,7,0),Patterns!$A$2:$N$28,COLUMN(Q19)-14,0)/VLOOKUP(VLOOKUP($A19,'IP1'!$A$37:$G$89,7,0),Patterns!$A$2:$N$28,2,0),IF(LEFT($D19,7)="Payroll",SUMPRODUCT(($B19='IP1'!$B$96:$B$114)*('IP1'!$E$96:$E$114))/12,SUMPRODUCT(($B19='IP1'!$B$96:$B$114)*('IP1'!$E$96:$E$114))/12*'IP1'!$F$154))</f>
        <v>150</v>
      </c>
      <c r="R19" s="85">
        <f>IF(LEFT($D19,5)="Other",VLOOKUP($A19,'IP1'!$A$37:$G$89,5,0)*VLOOKUP(VLOOKUP($A19,'IP1'!$A$37:$G$89,7,0),Patterns!$A$2:$N$28,COLUMN(R19)-14,0)/VLOOKUP(VLOOKUP($A19,'IP1'!$A$37:$G$89,7,0),Patterns!$A$2:$N$28,2,0),IF(LEFT($D19,7)="Payroll",SUMPRODUCT(($B19='IP1'!$B$96:$B$114)*('IP1'!$E$96:$E$114))/12,SUMPRODUCT(($B19='IP1'!$B$96:$B$114)*('IP1'!$E$96:$E$114))/12*'IP1'!$F$154))</f>
        <v>150</v>
      </c>
      <c r="S19" s="85">
        <f>IF(LEFT($D19,5)="Other",VLOOKUP($A19,'IP1'!$A$37:$G$89,5,0)*VLOOKUP(VLOOKUP($A19,'IP1'!$A$37:$G$89,7,0),Patterns!$A$2:$N$28,COLUMN(S19)-14,0)/VLOOKUP(VLOOKUP($A19,'IP1'!$A$37:$G$89,7,0),Patterns!$A$2:$N$28,2,0),IF(LEFT($D19,7)="Payroll",SUMPRODUCT(($B19='IP1'!$B$96:$B$114)*('IP1'!$E$96:$E$114))/12,SUMPRODUCT(($B19='IP1'!$B$96:$B$114)*('IP1'!$E$96:$E$114))/12*'IP1'!$F$154))</f>
        <v>250</v>
      </c>
      <c r="T19" s="85">
        <f>IF(LEFT($D19,5)="Other",VLOOKUP($A19,'IP1'!$A$37:$G$89,5,0)*VLOOKUP(VLOOKUP($A19,'IP1'!$A$37:$G$89,7,0),Patterns!$A$2:$N$28,COLUMN(T19)-14,0)/VLOOKUP(VLOOKUP($A19,'IP1'!$A$37:$G$89,7,0),Patterns!$A$2:$N$28,2,0),IF(LEFT($D19,7)="Payroll",SUMPRODUCT(($B19='IP1'!$B$96:$B$114)*('IP1'!$E$96:$E$114))/12,SUMPRODUCT(($B19='IP1'!$B$96:$B$114)*('IP1'!$E$96:$E$114))/12*'IP1'!$F$154))</f>
        <v>450</v>
      </c>
      <c r="U19" s="85">
        <f>IF(LEFT($D19,5)="Other",VLOOKUP($A19,'IP1'!$A$37:$G$89,5,0)*VLOOKUP(VLOOKUP($A19,'IP1'!$A$37:$G$89,7,0),Patterns!$A$2:$N$28,COLUMN(U19)-14,0)/VLOOKUP(VLOOKUP($A19,'IP1'!$A$37:$G$89,7,0),Patterns!$A$2:$N$28,2,0),IF(LEFT($D19,7)="Payroll",SUMPRODUCT(($B19='IP1'!$B$96:$B$114)*('IP1'!$E$96:$E$114))/12,SUMPRODUCT(($B19='IP1'!$B$96:$B$114)*('IP1'!$E$96:$E$114))/12*'IP1'!$F$154))</f>
        <v>500</v>
      </c>
      <c r="V19" s="85">
        <f>IF(LEFT($D19,5)="Other",VLOOKUP($A19,'IP1'!$A$37:$G$89,5,0)*VLOOKUP(VLOOKUP($A19,'IP1'!$A$37:$G$89,7,0),Patterns!$A$2:$N$28,COLUMN(V19)-14,0)/VLOOKUP(VLOOKUP($A19,'IP1'!$A$37:$G$89,7,0),Patterns!$A$2:$N$28,2,0),IF(LEFT($D19,7)="Payroll",SUMPRODUCT(($B19='IP1'!$B$96:$B$114)*('IP1'!$E$96:$E$114))/12,SUMPRODUCT(($B19='IP1'!$B$96:$B$114)*('IP1'!$E$96:$E$114))/12*'IP1'!$F$154))</f>
        <v>500</v>
      </c>
      <c r="W19" s="85">
        <f>IF(LEFT($D19,5)="Other",VLOOKUP($A19,'IP1'!$A$37:$G$89,5,0)*VLOOKUP(VLOOKUP($A19,'IP1'!$A$37:$G$89,7,0),Patterns!$A$2:$N$28,COLUMN(W19)-14,0)/VLOOKUP(VLOOKUP($A19,'IP1'!$A$37:$G$89,7,0),Patterns!$A$2:$N$28,2,0),IF(LEFT($D19,7)="Payroll",SUMPRODUCT(($B19='IP1'!$B$96:$B$114)*('IP1'!$E$96:$E$114))/12,SUMPRODUCT(($B19='IP1'!$B$96:$B$114)*('IP1'!$E$96:$E$114))/12*'IP1'!$F$154))</f>
        <v>650</v>
      </c>
      <c r="X19" s="85">
        <f>IF(LEFT($D19,5)="Other",VLOOKUP($A19,'IP1'!$A$37:$G$89,5,0)*VLOOKUP(VLOOKUP($A19,'IP1'!$A$37:$G$89,7,0),Patterns!$A$2:$N$28,COLUMN(X19)-14,0)/VLOOKUP(VLOOKUP($A19,'IP1'!$A$37:$G$89,7,0),Patterns!$A$2:$N$28,2,0),IF(LEFT($D19,7)="Payroll",SUMPRODUCT(($B19='IP1'!$B$96:$B$114)*('IP1'!$E$96:$E$114))/12,SUMPRODUCT(($B19='IP1'!$B$96:$B$114)*('IP1'!$E$96:$E$114))/12*'IP1'!$F$154))</f>
        <v>650</v>
      </c>
      <c r="Y19" s="85">
        <f>IF(LEFT($D19,5)="Other",VLOOKUP($A19,'IP1'!$A$37:$G$89,5,0)*VLOOKUP(VLOOKUP($A19,'IP1'!$A$37:$G$89,7,0),Patterns!$A$2:$N$28,COLUMN(Y19)-14,0)/VLOOKUP(VLOOKUP($A19,'IP1'!$A$37:$G$89,7,0),Patterns!$A$2:$N$28,2,0),IF(LEFT($D19,7)="Payroll",SUMPRODUCT(($B19='IP1'!$B$96:$B$114)*('IP1'!$E$96:$E$114))/12,SUMPRODUCT(($B19='IP1'!$B$96:$B$114)*('IP1'!$E$96:$E$114))/12*'IP1'!$F$154))</f>
        <v>500</v>
      </c>
      <c r="Z19" s="85">
        <f>IF(LEFT($D19,5)="Other",VLOOKUP($A19,'IP1'!$A$37:$G$89,5,0)*VLOOKUP(VLOOKUP($A19,'IP1'!$A$37:$G$89,7,0),Patterns!$A$2:$N$28,COLUMN(Z19)-14,0)/VLOOKUP(VLOOKUP($A19,'IP1'!$A$37:$G$89,7,0),Patterns!$A$2:$N$28,2,0),IF(LEFT($D19,7)="Payroll",SUMPRODUCT(($B19='IP1'!$B$96:$B$114)*('IP1'!$E$96:$E$114))/12,SUMPRODUCT(($B19='IP1'!$B$96:$B$114)*('IP1'!$E$96:$E$114))/12*'IP1'!$F$154))</f>
        <v>450</v>
      </c>
      <c r="AA19" s="85">
        <f>IF(LEFT($D19,5)="Other",VLOOKUP($A19,'IP1'!$A$37:$G$89,5,0)*VLOOKUP(VLOOKUP($A19,'IP1'!$A$37:$G$89,7,0),Patterns!$A$2:$N$28,COLUMN(AA19)-14,0)/VLOOKUP(VLOOKUP($A19,'IP1'!$A$37:$G$89,7,0),Patterns!$A$2:$N$28,2,0),IF(LEFT($D19,7)="Payroll",SUMPRODUCT(($B19='IP1'!$B$96:$B$114)*('IP1'!$E$96:$E$114))/12,SUMPRODUCT(($B19='IP1'!$B$96:$B$114)*('IP1'!$E$96:$E$114))/12*'IP1'!$F$154))</f>
        <v>150</v>
      </c>
      <c r="AB19" s="85">
        <f>IF(LEFT($D19,5)="Other",VLOOKUP($A19,'IP1'!$A$37:$G$89,5,0)*VLOOKUP(VLOOKUP($A19,'IP1'!$A$37:$G$89,7,0),Patterns!$A$2:$N$28,COLUMN(AB19)-14,0)/VLOOKUP(VLOOKUP($A19,'IP1'!$A$37:$G$89,7,0),Patterns!$A$2:$N$28,2,0),IF(LEFT($D19,7)="Payroll",SUMPRODUCT(($B19='IP1'!$B$96:$B$114)*('IP1'!$E$96:$E$114))/12,SUMPRODUCT(($B19='IP1'!$B$96:$B$114)*('IP1'!$E$96:$E$114))/12*'IP1'!$F$154))</f>
        <v>600</v>
      </c>
    </row>
    <row r="20" spans="1:28">
      <c r="A20" s="1" t="str">
        <f t="shared" si="1"/>
        <v>AdministrationOperating supplies &amp; equip.</v>
      </c>
      <c r="B20" s="1" t="s">
        <v>155</v>
      </c>
      <c r="C20" s="1" t="s">
        <v>460</v>
      </c>
      <c r="D20" s="11" t="s">
        <v>100</v>
      </c>
      <c r="E20" s="85">
        <f>IF(LEFT($D20,5)="Other",
VLOOKUP($A20,'IP1'!$A$37:$G$89,4,0)*
VLOOKUP(
VLOOKUP($A20,'IP1'!$A$37:$G$89,7,0),Patterns!$A$2:$N$28,COLUMN(E20)-2,0)/
VLOOKUP(
VLOOKUP($A20,'IP1'!$A$37:$G$89,7,0),Patterns!$A$2:$N$28,2,0),
IF(LEFT($D20,7)="Payroll",
SUMPRODUCT(($B20='IP1'!$B$96:$B$114)*('IP1'!$D$96:$D$114))/12,
SUMPRODUCT(($B20='IP1'!$B$96:$B$114)*('IP1'!$D$96:$D$114))/12*'IP1'!$F$154))</f>
        <v>416.66666666666669</v>
      </c>
      <c r="F20" s="85">
        <f>IF(LEFT($D20,5)="Other",VLOOKUP($A20,'IP1'!$A$37:$G$89,4,0)*VLOOKUP(VLOOKUP($A20,'IP1'!$A$37:$G$89,7,0),Patterns!$A$2:$N$28,COLUMN(F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G20" s="85">
        <f>IF(LEFT($D20,5)="Other",VLOOKUP($A20,'IP1'!$A$37:$G$89,4,0)*VLOOKUP(VLOOKUP($A20,'IP1'!$A$37:$G$89,7,0),Patterns!$A$2:$N$28,COLUMN(G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H20" s="85">
        <f>IF(LEFT($D20,5)="Other",VLOOKUP($A20,'IP1'!$A$37:$G$89,4,0)*VLOOKUP(VLOOKUP($A20,'IP1'!$A$37:$G$89,7,0),Patterns!$A$2:$N$28,COLUMN(H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I20" s="85">
        <f>IF(LEFT($D20,5)="Other",VLOOKUP($A20,'IP1'!$A$37:$G$89,4,0)*VLOOKUP(VLOOKUP($A20,'IP1'!$A$37:$G$89,7,0),Patterns!$A$2:$N$28,COLUMN(I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J20" s="85">
        <f>IF(LEFT($D20,5)="Other",VLOOKUP($A20,'IP1'!$A$37:$G$89,4,0)*VLOOKUP(VLOOKUP($A20,'IP1'!$A$37:$G$89,7,0),Patterns!$A$2:$N$28,COLUMN(J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K20" s="85">
        <f>IF(LEFT($D20,5)="Other",VLOOKUP($A20,'IP1'!$A$37:$G$89,4,0)*VLOOKUP(VLOOKUP($A20,'IP1'!$A$37:$G$89,7,0),Patterns!$A$2:$N$28,COLUMN(K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L20" s="85">
        <f>IF(LEFT($D20,5)="Other",VLOOKUP($A20,'IP1'!$A$37:$G$89,4,0)*VLOOKUP(VLOOKUP($A20,'IP1'!$A$37:$G$89,7,0),Patterns!$A$2:$N$28,COLUMN(L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M20" s="85">
        <f>IF(LEFT($D20,5)="Other",VLOOKUP($A20,'IP1'!$A$37:$G$89,4,0)*VLOOKUP(VLOOKUP($A20,'IP1'!$A$37:$G$89,7,0),Patterns!$A$2:$N$28,COLUMN(M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N20" s="85">
        <f>IF(LEFT($D20,5)="Other",VLOOKUP($A20,'IP1'!$A$37:$G$89,4,0)*VLOOKUP(VLOOKUP($A20,'IP1'!$A$37:$G$89,7,0),Patterns!$A$2:$N$28,COLUMN(N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O20" s="85">
        <f>IF(LEFT($D20,5)="Other",VLOOKUP($A20,'IP1'!$A$37:$G$89,4,0)*VLOOKUP(VLOOKUP($A20,'IP1'!$A$37:$G$89,7,0),Patterns!$A$2:$N$28,COLUMN(O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P20" s="85">
        <f>IF(LEFT($D20,5)="Other",VLOOKUP($A20,'IP1'!$A$37:$G$89,4,0)*VLOOKUP(VLOOKUP($A20,'IP1'!$A$37:$G$89,7,0),Patterns!$A$2:$N$28,COLUMN(P20)-2,0)/VLOOKUP(VLOOKUP($A20,'IP1'!$A$37:$G$89,7,0),Patterns!$A$2:$N$28,2,0),IF(LEFT($D20,7)="Payroll",SUMPRODUCT(($B20='IP1'!$B$96:$B$114)*('IP1'!$D$96:$D$114))/12,SUMPRODUCT(($B20='IP1'!$B$96:$B$114)*('IP1'!$D$96:$D$114))/12*'IP1'!$F$154))</f>
        <v>416.66666666666669</v>
      </c>
      <c r="Q20" s="85">
        <f>IF(LEFT($D20,5)="Other",VLOOKUP($A20,'IP1'!$A$37:$G$89,5,0)*VLOOKUP(VLOOKUP($A20,'IP1'!$A$37:$G$89,7,0),Patterns!$A$2:$N$28,COLUMN(Q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R20" s="85">
        <f>IF(LEFT($D20,5)="Other",VLOOKUP($A20,'IP1'!$A$37:$G$89,5,0)*VLOOKUP(VLOOKUP($A20,'IP1'!$A$37:$G$89,7,0),Patterns!$A$2:$N$28,COLUMN(R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S20" s="85">
        <f>IF(LEFT($D20,5)="Other",VLOOKUP($A20,'IP1'!$A$37:$G$89,5,0)*VLOOKUP(VLOOKUP($A20,'IP1'!$A$37:$G$89,7,0),Patterns!$A$2:$N$28,COLUMN(S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T20" s="85">
        <f>IF(LEFT($D20,5)="Other",VLOOKUP($A20,'IP1'!$A$37:$G$89,5,0)*VLOOKUP(VLOOKUP($A20,'IP1'!$A$37:$G$89,7,0),Patterns!$A$2:$N$28,COLUMN(T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U20" s="85">
        <f>IF(LEFT($D20,5)="Other",VLOOKUP($A20,'IP1'!$A$37:$G$89,5,0)*VLOOKUP(VLOOKUP($A20,'IP1'!$A$37:$G$89,7,0),Patterns!$A$2:$N$28,COLUMN(U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V20" s="85">
        <f>IF(LEFT($D20,5)="Other",VLOOKUP($A20,'IP1'!$A$37:$G$89,5,0)*VLOOKUP(VLOOKUP($A20,'IP1'!$A$37:$G$89,7,0),Patterns!$A$2:$N$28,COLUMN(V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W20" s="85">
        <f>IF(LEFT($D20,5)="Other",VLOOKUP($A20,'IP1'!$A$37:$G$89,5,0)*VLOOKUP(VLOOKUP($A20,'IP1'!$A$37:$G$89,7,0),Patterns!$A$2:$N$28,COLUMN(W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X20" s="85">
        <f>IF(LEFT($D20,5)="Other",VLOOKUP($A20,'IP1'!$A$37:$G$89,5,0)*VLOOKUP(VLOOKUP($A20,'IP1'!$A$37:$G$89,7,0),Patterns!$A$2:$N$28,COLUMN(X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Y20" s="85">
        <f>IF(LEFT($D20,5)="Other",VLOOKUP($A20,'IP1'!$A$37:$G$89,5,0)*VLOOKUP(VLOOKUP($A20,'IP1'!$A$37:$G$89,7,0),Patterns!$A$2:$N$28,COLUMN(Y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Z20" s="85">
        <f>IF(LEFT($D20,5)="Other",VLOOKUP($A20,'IP1'!$A$37:$G$89,5,0)*VLOOKUP(VLOOKUP($A20,'IP1'!$A$37:$G$89,7,0),Patterns!$A$2:$N$28,COLUMN(Z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AA20" s="85">
        <f>IF(LEFT($D20,5)="Other",VLOOKUP($A20,'IP1'!$A$37:$G$89,5,0)*VLOOKUP(VLOOKUP($A20,'IP1'!$A$37:$G$89,7,0),Patterns!$A$2:$N$28,COLUMN(AA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  <c r="AB20" s="85">
        <f>IF(LEFT($D20,5)="Other",VLOOKUP($A20,'IP1'!$A$37:$G$89,5,0)*VLOOKUP(VLOOKUP($A20,'IP1'!$A$37:$G$89,7,0),Patterns!$A$2:$N$28,COLUMN(AB20)-14,0)/VLOOKUP(VLOOKUP($A20,'IP1'!$A$37:$G$89,7,0),Patterns!$A$2:$N$28,2,0),IF(LEFT($D20,7)="Payroll",SUMPRODUCT(($B20='IP1'!$B$96:$B$114)*('IP1'!$E$96:$E$114))/12,SUMPRODUCT(($B20='IP1'!$B$96:$B$114)*('IP1'!$E$96:$E$114))/12*'IP1'!$F$154))</f>
        <v>416.66666666666669</v>
      </c>
    </row>
    <row r="21" spans="1:28">
      <c r="A21" s="1" t="str">
        <f t="shared" si="1"/>
        <v xml:space="preserve">AdministrationPostage </v>
      </c>
      <c r="B21" s="1" t="s">
        <v>155</v>
      </c>
      <c r="C21" s="1" t="s">
        <v>458</v>
      </c>
      <c r="D21" s="11" t="s">
        <v>100</v>
      </c>
      <c r="E21" s="85">
        <f>IF(LEFT($D21,5)="Other",
VLOOKUP($A21,'IP1'!$A$37:$G$89,4,0)*
VLOOKUP(
VLOOKUP($A21,'IP1'!$A$37:$G$89,7,0),Patterns!$A$2:$N$28,COLUMN(E21)-2,0)/
VLOOKUP(
VLOOKUP($A21,'IP1'!$A$37:$G$89,7,0),Patterns!$A$2:$N$28,2,0),
IF(LEFT($D21,7)="Payroll",
SUMPRODUCT(($B21='IP1'!$B$96:$B$114)*('IP1'!$D$96:$D$114))/12,
SUMPRODUCT(($B21='IP1'!$B$96:$B$114)*('IP1'!$D$96:$D$114))/12*'IP1'!$F$154))</f>
        <v>41.666666666666664</v>
      </c>
      <c r="F21" s="85">
        <f>IF(LEFT($D21,5)="Other",VLOOKUP($A21,'IP1'!$A$37:$G$89,4,0)*VLOOKUP(VLOOKUP($A21,'IP1'!$A$37:$G$89,7,0),Patterns!$A$2:$N$28,COLUMN(F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G21" s="85">
        <f>IF(LEFT($D21,5)="Other",VLOOKUP($A21,'IP1'!$A$37:$G$89,4,0)*VLOOKUP(VLOOKUP($A21,'IP1'!$A$37:$G$89,7,0),Patterns!$A$2:$N$28,COLUMN(G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H21" s="85">
        <f>IF(LEFT($D21,5)="Other",VLOOKUP($A21,'IP1'!$A$37:$G$89,4,0)*VLOOKUP(VLOOKUP($A21,'IP1'!$A$37:$G$89,7,0),Patterns!$A$2:$N$28,COLUMN(H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I21" s="85">
        <f>IF(LEFT($D21,5)="Other",VLOOKUP($A21,'IP1'!$A$37:$G$89,4,0)*VLOOKUP(VLOOKUP($A21,'IP1'!$A$37:$G$89,7,0),Patterns!$A$2:$N$28,COLUMN(I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J21" s="85">
        <f>IF(LEFT($D21,5)="Other",VLOOKUP($A21,'IP1'!$A$37:$G$89,4,0)*VLOOKUP(VLOOKUP($A21,'IP1'!$A$37:$G$89,7,0),Patterns!$A$2:$N$28,COLUMN(J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K21" s="85">
        <f>IF(LEFT($D21,5)="Other",VLOOKUP($A21,'IP1'!$A$37:$G$89,4,0)*VLOOKUP(VLOOKUP($A21,'IP1'!$A$37:$G$89,7,0),Patterns!$A$2:$N$28,COLUMN(K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L21" s="85">
        <f>IF(LEFT($D21,5)="Other",VLOOKUP($A21,'IP1'!$A$37:$G$89,4,0)*VLOOKUP(VLOOKUP($A21,'IP1'!$A$37:$G$89,7,0),Patterns!$A$2:$N$28,COLUMN(L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M21" s="85">
        <f>IF(LEFT($D21,5)="Other",VLOOKUP($A21,'IP1'!$A$37:$G$89,4,0)*VLOOKUP(VLOOKUP($A21,'IP1'!$A$37:$G$89,7,0),Patterns!$A$2:$N$28,COLUMN(M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N21" s="85">
        <f>IF(LEFT($D21,5)="Other",VLOOKUP($A21,'IP1'!$A$37:$G$89,4,0)*VLOOKUP(VLOOKUP($A21,'IP1'!$A$37:$G$89,7,0),Patterns!$A$2:$N$28,COLUMN(N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O21" s="85">
        <f>IF(LEFT($D21,5)="Other",VLOOKUP($A21,'IP1'!$A$37:$G$89,4,0)*VLOOKUP(VLOOKUP($A21,'IP1'!$A$37:$G$89,7,0),Patterns!$A$2:$N$28,COLUMN(O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P21" s="85">
        <f>IF(LEFT($D21,5)="Other",VLOOKUP($A21,'IP1'!$A$37:$G$89,4,0)*VLOOKUP(VLOOKUP($A21,'IP1'!$A$37:$G$89,7,0),Patterns!$A$2:$N$28,COLUMN(P21)-2,0)/VLOOKUP(VLOOKUP($A21,'IP1'!$A$37:$G$89,7,0),Patterns!$A$2:$N$28,2,0),IF(LEFT($D21,7)="Payroll",SUMPRODUCT(($B21='IP1'!$B$96:$B$114)*('IP1'!$D$96:$D$114))/12,SUMPRODUCT(($B21='IP1'!$B$96:$B$114)*('IP1'!$D$96:$D$114))/12*'IP1'!$F$154))</f>
        <v>41.666666666666664</v>
      </c>
      <c r="Q21" s="85">
        <f>IF(LEFT($D21,5)="Other",VLOOKUP($A21,'IP1'!$A$37:$G$89,5,0)*VLOOKUP(VLOOKUP($A21,'IP1'!$A$37:$G$89,7,0),Patterns!$A$2:$N$28,COLUMN(Q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R21" s="85">
        <f>IF(LEFT($D21,5)="Other",VLOOKUP($A21,'IP1'!$A$37:$G$89,5,0)*VLOOKUP(VLOOKUP($A21,'IP1'!$A$37:$G$89,7,0),Patterns!$A$2:$N$28,COLUMN(R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S21" s="85">
        <f>IF(LEFT($D21,5)="Other",VLOOKUP($A21,'IP1'!$A$37:$G$89,5,0)*VLOOKUP(VLOOKUP($A21,'IP1'!$A$37:$G$89,7,0),Patterns!$A$2:$N$28,COLUMN(S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T21" s="85">
        <f>IF(LEFT($D21,5)="Other",VLOOKUP($A21,'IP1'!$A$37:$G$89,5,0)*VLOOKUP(VLOOKUP($A21,'IP1'!$A$37:$G$89,7,0),Patterns!$A$2:$N$28,COLUMN(T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U21" s="85">
        <f>IF(LEFT($D21,5)="Other",VLOOKUP($A21,'IP1'!$A$37:$G$89,5,0)*VLOOKUP(VLOOKUP($A21,'IP1'!$A$37:$G$89,7,0),Patterns!$A$2:$N$28,COLUMN(U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V21" s="85">
        <f>IF(LEFT($D21,5)="Other",VLOOKUP($A21,'IP1'!$A$37:$G$89,5,0)*VLOOKUP(VLOOKUP($A21,'IP1'!$A$37:$G$89,7,0),Patterns!$A$2:$N$28,COLUMN(V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W21" s="85">
        <f>IF(LEFT($D21,5)="Other",VLOOKUP($A21,'IP1'!$A$37:$G$89,5,0)*VLOOKUP(VLOOKUP($A21,'IP1'!$A$37:$G$89,7,0),Patterns!$A$2:$N$28,COLUMN(W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X21" s="85">
        <f>IF(LEFT($D21,5)="Other",VLOOKUP($A21,'IP1'!$A$37:$G$89,5,0)*VLOOKUP(VLOOKUP($A21,'IP1'!$A$37:$G$89,7,0),Patterns!$A$2:$N$28,COLUMN(X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Y21" s="85">
        <f>IF(LEFT($D21,5)="Other",VLOOKUP($A21,'IP1'!$A$37:$G$89,5,0)*VLOOKUP(VLOOKUP($A21,'IP1'!$A$37:$G$89,7,0),Patterns!$A$2:$N$28,COLUMN(Y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Z21" s="85">
        <f>IF(LEFT($D21,5)="Other",VLOOKUP($A21,'IP1'!$A$37:$G$89,5,0)*VLOOKUP(VLOOKUP($A21,'IP1'!$A$37:$G$89,7,0),Patterns!$A$2:$N$28,COLUMN(Z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AA21" s="85">
        <f>IF(LEFT($D21,5)="Other",VLOOKUP($A21,'IP1'!$A$37:$G$89,5,0)*VLOOKUP(VLOOKUP($A21,'IP1'!$A$37:$G$89,7,0),Patterns!$A$2:$N$28,COLUMN(AA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  <c r="AB21" s="85">
        <f>IF(LEFT($D21,5)="Other",VLOOKUP($A21,'IP1'!$A$37:$G$89,5,0)*VLOOKUP(VLOOKUP($A21,'IP1'!$A$37:$G$89,7,0),Patterns!$A$2:$N$28,COLUMN(AB21)-14,0)/VLOOKUP(VLOOKUP($A21,'IP1'!$A$37:$G$89,7,0),Patterns!$A$2:$N$28,2,0),IF(LEFT($D21,7)="Payroll",SUMPRODUCT(($B21='IP1'!$B$96:$B$114)*('IP1'!$E$96:$E$114))/12,SUMPRODUCT(($B21='IP1'!$B$96:$B$114)*('IP1'!$E$96:$E$114))/12*'IP1'!$F$154))</f>
        <v>41.666666666666664</v>
      </c>
    </row>
    <row r="22" spans="1:28">
      <c r="A22" s="1" t="str">
        <f t="shared" si="1"/>
        <v xml:space="preserve">AdministrationPrinting and stationery </v>
      </c>
      <c r="B22" s="1" t="s">
        <v>155</v>
      </c>
      <c r="C22" s="1" t="s">
        <v>459</v>
      </c>
      <c r="D22" s="11" t="s">
        <v>100</v>
      </c>
      <c r="E22" s="85">
        <f>IF(LEFT($D22,5)="Other",
VLOOKUP($A22,'IP1'!$A$37:$G$89,4,0)*
VLOOKUP(
VLOOKUP($A22,'IP1'!$A$37:$G$89,7,0),Patterns!$A$2:$N$28,COLUMN(E22)-2,0)/
VLOOKUP(
VLOOKUP($A22,'IP1'!$A$37:$G$89,7,0),Patterns!$A$2:$N$28,2,0),
IF(LEFT($D22,7)="Payroll",
SUMPRODUCT(($B22='IP1'!$B$96:$B$114)*('IP1'!$D$96:$D$114))/12,
SUMPRODUCT(($B22='IP1'!$B$96:$B$114)*('IP1'!$D$96:$D$114))/12*'IP1'!$F$154))</f>
        <v>208.33333333333334</v>
      </c>
      <c r="F22" s="85">
        <f>IF(LEFT($D22,5)="Other",VLOOKUP($A22,'IP1'!$A$37:$G$89,4,0)*VLOOKUP(VLOOKUP($A22,'IP1'!$A$37:$G$89,7,0),Patterns!$A$2:$N$28,COLUMN(F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G22" s="85">
        <f>IF(LEFT($D22,5)="Other",VLOOKUP($A22,'IP1'!$A$37:$G$89,4,0)*VLOOKUP(VLOOKUP($A22,'IP1'!$A$37:$G$89,7,0),Patterns!$A$2:$N$28,COLUMN(G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H22" s="85">
        <f>IF(LEFT($D22,5)="Other",VLOOKUP($A22,'IP1'!$A$37:$G$89,4,0)*VLOOKUP(VLOOKUP($A22,'IP1'!$A$37:$G$89,7,0),Patterns!$A$2:$N$28,COLUMN(H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I22" s="85">
        <f>IF(LEFT($D22,5)="Other",VLOOKUP($A22,'IP1'!$A$37:$G$89,4,0)*VLOOKUP(VLOOKUP($A22,'IP1'!$A$37:$G$89,7,0),Patterns!$A$2:$N$28,COLUMN(I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J22" s="85">
        <f>IF(LEFT($D22,5)="Other",VLOOKUP($A22,'IP1'!$A$37:$G$89,4,0)*VLOOKUP(VLOOKUP($A22,'IP1'!$A$37:$G$89,7,0),Patterns!$A$2:$N$28,COLUMN(J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K22" s="85">
        <f>IF(LEFT($D22,5)="Other",VLOOKUP($A22,'IP1'!$A$37:$G$89,4,0)*VLOOKUP(VLOOKUP($A22,'IP1'!$A$37:$G$89,7,0),Patterns!$A$2:$N$28,COLUMN(K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L22" s="85">
        <f>IF(LEFT($D22,5)="Other",VLOOKUP($A22,'IP1'!$A$37:$G$89,4,0)*VLOOKUP(VLOOKUP($A22,'IP1'!$A$37:$G$89,7,0),Patterns!$A$2:$N$28,COLUMN(L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M22" s="85">
        <f>IF(LEFT($D22,5)="Other",VLOOKUP($A22,'IP1'!$A$37:$G$89,4,0)*VLOOKUP(VLOOKUP($A22,'IP1'!$A$37:$G$89,7,0),Patterns!$A$2:$N$28,COLUMN(M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N22" s="85">
        <f>IF(LEFT($D22,5)="Other",VLOOKUP($A22,'IP1'!$A$37:$G$89,4,0)*VLOOKUP(VLOOKUP($A22,'IP1'!$A$37:$G$89,7,0),Patterns!$A$2:$N$28,COLUMN(N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O22" s="85">
        <f>IF(LEFT($D22,5)="Other",VLOOKUP($A22,'IP1'!$A$37:$G$89,4,0)*VLOOKUP(VLOOKUP($A22,'IP1'!$A$37:$G$89,7,0),Patterns!$A$2:$N$28,COLUMN(O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P22" s="85">
        <f>IF(LEFT($D22,5)="Other",VLOOKUP($A22,'IP1'!$A$37:$G$89,4,0)*VLOOKUP(VLOOKUP($A22,'IP1'!$A$37:$G$89,7,0),Patterns!$A$2:$N$28,COLUMN(P22)-2,0)/VLOOKUP(VLOOKUP($A22,'IP1'!$A$37:$G$89,7,0),Patterns!$A$2:$N$28,2,0),IF(LEFT($D22,7)="Payroll",SUMPRODUCT(($B22='IP1'!$B$96:$B$114)*('IP1'!$D$96:$D$114))/12,SUMPRODUCT(($B22='IP1'!$B$96:$B$114)*('IP1'!$D$96:$D$114))/12*'IP1'!$F$154))</f>
        <v>208.33333333333334</v>
      </c>
      <c r="Q22" s="85">
        <f>IF(LEFT($D22,5)="Other",VLOOKUP($A22,'IP1'!$A$37:$G$89,5,0)*VLOOKUP(VLOOKUP($A22,'IP1'!$A$37:$G$89,7,0),Patterns!$A$2:$N$28,COLUMN(Q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R22" s="85">
        <f>IF(LEFT($D22,5)="Other",VLOOKUP($A22,'IP1'!$A$37:$G$89,5,0)*VLOOKUP(VLOOKUP($A22,'IP1'!$A$37:$G$89,7,0),Patterns!$A$2:$N$28,COLUMN(R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S22" s="85">
        <f>IF(LEFT($D22,5)="Other",VLOOKUP($A22,'IP1'!$A$37:$G$89,5,0)*VLOOKUP(VLOOKUP($A22,'IP1'!$A$37:$G$89,7,0),Patterns!$A$2:$N$28,COLUMN(S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T22" s="85">
        <f>IF(LEFT($D22,5)="Other",VLOOKUP($A22,'IP1'!$A$37:$G$89,5,0)*VLOOKUP(VLOOKUP($A22,'IP1'!$A$37:$G$89,7,0),Patterns!$A$2:$N$28,COLUMN(T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U22" s="85">
        <f>IF(LEFT($D22,5)="Other",VLOOKUP($A22,'IP1'!$A$37:$G$89,5,0)*VLOOKUP(VLOOKUP($A22,'IP1'!$A$37:$G$89,7,0),Patterns!$A$2:$N$28,COLUMN(U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V22" s="85">
        <f>IF(LEFT($D22,5)="Other",VLOOKUP($A22,'IP1'!$A$37:$G$89,5,0)*VLOOKUP(VLOOKUP($A22,'IP1'!$A$37:$G$89,7,0),Patterns!$A$2:$N$28,COLUMN(V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W22" s="85">
        <f>IF(LEFT($D22,5)="Other",VLOOKUP($A22,'IP1'!$A$37:$G$89,5,0)*VLOOKUP(VLOOKUP($A22,'IP1'!$A$37:$G$89,7,0),Patterns!$A$2:$N$28,COLUMN(W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X22" s="85">
        <f>IF(LEFT($D22,5)="Other",VLOOKUP($A22,'IP1'!$A$37:$G$89,5,0)*VLOOKUP(VLOOKUP($A22,'IP1'!$A$37:$G$89,7,0),Patterns!$A$2:$N$28,COLUMN(X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Y22" s="85">
        <f>IF(LEFT($D22,5)="Other",VLOOKUP($A22,'IP1'!$A$37:$G$89,5,0)*VLOOKUP(VLOOKUP($A22,'IP1'!$A$37:$G$89,7,0),Patterns!$A$2:$N$28,COLUMN(Y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Z22" s="85">
        <f>IF(LEFT($D22,5)="Other",VLOOKUP($A22,'IP1'!$A$37:$G$89,5,0)*VLOOKUP(VLOOKUP($A22,'IP1'!$A$37:$G$89,7,0),Patterns!$A$2:$N$28,COLUMN(Z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AA22" s="85">
        <f>IF(LEFT($D22,5)="Other",VLOOKUP($A22,'IP1'!$A$37:$G$89,5,0)*VLOOKUP(VLOOKUP($A22,'IP1'!$A$37:$G$89,7,0),Patterns!$A$2:$N$28,COLUMN(AA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  <c r="AB22" s="85">
        <f>IF(LEFT($D22,5)="Other",VLOOKUP($A22,'IP1'!$A$37:$G$89,5,0)*VLOOKUP(VLOOKUP($A22,'IP1'!$A$37:$G$89,7,0),Patterns!$A$2:$N$28,COLUMN(AB22)-14,0)/VLOOKUP(VLOOKUP($A22,'IP1'!$A$37:$G$89,7,0),Patterns!$A$2:$N$28,2,0),IF(LEFT($D22,7)="Payroll",SUMPRODUCT(($B22='IP1'!$B$96:$B$114)*('IP1'!$E$96:$E$114))/12,SUMPRODUCT(($B22='IP1'!$B$96:$B$114)*('IP1'!$E$96:$E$114))/12*'IP1'!$F$154))</f>
        <v>208.33333333333334</v>
      </c>
    </row>
    <row r="23" spans="1:28">
      <c r="A23" s="1" t="str">
        <f t="shared" si="1"/>
        <v>AdministrationProfessional fees</v>
      </c>
      <c r="B23" s="1" t="s">
        <v>155</v>
      </c>
      <c r="C23" s="1" t="s">
        <v>488</v>
      </c>
      <c r="D23" s="11" t="s">
        <v>100</v>
      </c>
      <c r="E23" s="85">
        <f>IF(LEFT($D23,5)="Other",
VLOOKUP($A23,'IP1'!$A$37:$G$89,4,0)*
VLOOKUP(
VLOOKUP($A23,'IP1'!$A$37:$G$89,7,0),Patterns!$A$2:$N$28,COLUMN(E23)-2,0)/
VLOOKUP(
VLOOKUP($A23,'IP1'!$A$37:$G$89,7,0),Patterns!$A$2:$N$28,2,0),
IF(LEFT($D23,7)="Payroll",
SUMPRODUCT(($B23='IP1'!$B$96:$B$114)*('IP1'!$D$96:$D$114))/12,
SUMPRODUCT(($B23='IP1'!$B$96:$B$114)*('IP1'!$D$96:$D$114))/12*'IP1'!$F$154))</f>
        <v>625</v>
      </c>
      <c r="F23" s="85">
        <f>IF(LEFT($D23,5)="Other",VLOOKUP($A23,'IP1'!$A$37:$G$89,4,0)*VLOOKUP(VLOOKUP($A23,'IP1'!$A$37:$G$89,7,0),Patterns!$A$2:$N$28,COLUMN(F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G23" s="85">
        <f>IF(LEFT($D23,5)="Other",VLOOKUP($A23,'IP1'!$A$37:$G$89,4,0)*VLOOKUP(VLOOKUP($A23,'IP1'!$A$37:$G$89,7,0),Patterns!$A$2:$N$28,COLUMN(G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H23" s="85">
        <f>IF(LEFT($D23,5)="Other",VLOOKUP($A23,'IP1'!$A$37:$G$89,4,0)*VLOOKUP(VLOOKUP($A23,'IP1'!$A$37:$G$89,7,0),Patterns!$A$2:$N$28,COLUMN(H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I23" s="85">
        <f>IF(LEFT($D23,5)="Other",VLOOKUP($A23,'IP1'!$A$37:$G$89,4,0)*VLOOKUP(VLOOKUP($A23,'IP1'!$A$37:$G$89,7,0),Patterns!$A$2:$N$28,COLUMN(I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J23" s="85">
        <f>IF(LEFT($D23,5)="Other",VLOOKUP($A23,'IP1'!$A$37:$G$89,4,0)*VLOOKUP(VLOOKUP($A23,'IP1'!$A$37:$G$89,7,0),Patterns!$A$2:$N$28,COLUMN(J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K23" s="85">
        <f>IF(LEFT($D23,5)="Other",VLOOKUP($A23,'IP1'!$A$37:$G$89,4,0)*VLOOKUP(VLOOKUP($A23,'IP1'!$A$37:$G$89,7,0),Patterns!$A$2:$N$28,COLUMN(K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L23" s="85">
        <f>IF(LEFT($D23,5)="Other",VLOOKUP($A23,'IP1'!$A$37:$G$89,4,0)*VLOOKUP(VLOOKUP($A23,'IP1'!$A$37:$G$89,7,0),Patterns!$A$2:$N$28,COLUMN(L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M23" s="85">
        <f>IF(LEFT($D23,5)="Other",VLOOKUP($A23,'IP1'!$A$37:$G$89,4,0)*VLOOKUP(VLOOKUP($A23,'IP1'!$A$37:$G$89,7,0),Patterns!$A$2:$N$28,COLUMN(M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N23" s="85">
        <f>IF(LEFT($D23,5)="Other",VLOOKUP($A23,'IP1'!$A$37:$G$89,4,0)*VLOOKUP(VLOOKUP($A23,'IP1'!$A$37:$G$89,7,0),Patterns!$A$2:$N$28,COLUMN(N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O23" s="85">
        <f>IF(LEFT($D23,5)="Other",VLOOKUP($A23,'IP1'!$A$37:$G$89,4,0)*VLOOKUP(VLOOKUP($A23,'IP1'!$A$37:$G$89,7,0),Patterns!$A$2:$N$28,COLUMN(O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P23" s="85">
        <f>IF(LEFT($D23,5)="Other",VLOOKUP($A23,'IP1'!$A$37:$G$89,4,0)*VLOOKUP(VLOOKUP($A23,'IP1'!$A$37:$G$89,7,0),Patterns!$A$2:$N$28,COLUMN(P23)-2,0)/VLOOKUP(VLOOKUP($A23,'IP1'!$A$37:$G$89,7,0),Patterns!$A$2:$N$28,2,0),IF(LEFT($D23,7)="Payroll",SUMPRODUCT(($B23='IP1'!$B$96:$B$114)*('IP1'!$D$96:$D$114))/12,SUMPRODUCT(($B23='IP1'!$B$96:$B$114)*('IP1'!$D$96:$D$114))/12*'IP1'!$F$154))</f>
        <v>625</v>
      </c>
      <c r="Q23" s="85">
        <f>IF(LEFT($D23,5)="Other",VLOOKUP($A23,'IP1'!$A$37:$G$89,5,0)*VLOOKUP(VLOOKUP($A23,'IP1'!$A$37:$G$89,7,0),Patterns!$A$2:$N$28,COLUMN(Q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R23" s="85">
        <f>IF(LEFT($D23,5)="Other",VLOOKUP($A23,'IP1'!$A$37:$G$89,5,0)*VLOOKUP(VLOOKUP($A23,'IP1'!$A$37:$G$89,7,0),Patterns!$A$2:$N$28,COLUMN(R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S23" s="85">
        <f>IF(LEFT($D23,5)="Other",VLOOKUP($A23,'IP1'!$A$37:$G$89,5,0)*VLOOKUP(VLOOKUP($A23,'IP1'!$A$37:$G$89,7,0),Patterns!$A$2:$N$28,COLUMN(S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T23" s="85">
        <f>IF(LEFT($D23,5)="Other",VLOOKUP($A23,'IP1'!$A$37:$G$89,5,0)*VLOOKUP(VLOOKUP($A23,'IP1'!$A$37:$G$89,7,0),Patterns!$A$2:$N$28,COLUMN(T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U23" s="85">
        <f>IF(LEFT($D23,5)="Other",VLOOKUP($A23,'IP1'!$A$37:$G$89,5,0)*VLOOKUP(VLOOKUP($A23,'IP1'!$A$37:$G$89,7,0),Patterns!$A$2:$N$28,COLUMN(U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V23" s="85">
        <f>IF(LEFT($D23,5)="Other",VLOOKUP($A23,'IP1'!$A$37:$G$89,5,0)*VLOOKUP(VLOOKUP($A23,'IP1'!$A$37:$G$89,7,0),Patterns!$A$2:$N$28,COLUMN(V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W23" s="85">
        <f>IF(LEFT($D23,5)="Other",VLOOKUP($A23,'IP1'!$A$37:$G$89,5,0)*VLOOKUP(VLOOKUP($A23,'IP1'!$A$37:$G$89,7,0),Patterns!$A$2:$N$28,COLUMN(W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X23" s="85">
        <f>IF(LEFT($D23,5)="Other",VLOOKUP($A23,'IP1'!$A$37:$G$89,5,0)*VLOOKUP(VLOOKUP($A23,'IP1'!$A$37:$G$89,7,0),Patterns!$A$2:$N$28,COLUMN(X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Y23" s="85">
        <f>IF(LEFT($D23,5)="Other",VLOOKUP($A23,'IP1'!$A$37:$G$89,5,0)*VLOOKUP(VLOOKUP($A23,'IP1'!$A$37:$G$89,7,0),Patterns!$A$2:$N$28,COLUMN(Y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Z23" s="85">
        <f>IF(LEFT($D23,5)="Other",VLOOKUP($A23,'IP1'!$A$37:$G$89,5,0)*VLOOKUP(VLOOKUP($A23,'IP1'!$A$37:$G$89,7,0),Patterns!$A$2:$N$28,COLUMN(Z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AA23" s="85">
        <f>IF(LEFT($D23,5)="Other",VLOOKUP($A23,'IP1'!$A$37:$G$89,5,0)*VLOOKUP(VLOOKUP($A23,'IP1'!$A$37:$G$89,7,0),Patterns!$A$2:$N$28,COLUMN(AA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  <c r="AB23" s="85">
        <f>IF(LEFT($D23,5)="Other",VLOOKUP($A23,'IP1'!$A$37:$G$89,5,0)*VLOOKUP(VLOOKUP($A23,'IP1'!$A$37:$G$89,7,0),Patterns!$A$2:$N$28,COLUMN(AB23)-14,0)/VLOOKUP(VLOOKUP($A23,'IP1'!$A$37:$G$89,7,0),Patterns!$A$2:$N$28,2,0),IF(LEFT($D23,7)="Payroll",SUMPRODUCT(($B23='IP1'!$B$96:$B$114)*('IP1'!$E$96:$E$114))/12,SUMPRODUCT(($B23='IP1'!$B$96:$B$114)*('IP1'!$E$96:$E$114))/12*'IP1'!$F$154))</f>
        <v>625</v>
      </c>
    </row>
    <row r="24" spans="1:28">
      <c r="A24" s="1" t="str">
        <f t="shared" si="1"/>
        <v>AdministrationSecurity</v>
      </c>
      <c r="B24" s="1" t="s">
        <v>155</v>
      </c>
      <c r="C24" s="1" t="s">
        <v>489</v>
      </c>
      <c r="D24" s="11" t="s">
        <v>100</v>
      </c>
      <c r="E24" s="85">
        <f>IF(LEFT($D24,5)="Other",
VLOOKUP($A24,'IP1'!$A$37:$G$89,4,0)*
VLOOKUP(
VLOOKUP($A24,'IP1'!$A$37:$G$89,7,0),Patterns!$A$2:$N$28,COLUMN(E24)-2,0)/
VLOOKUP(
VLOOKUP($A24,'IP1'!$A$37:$G$89,7,0),Patterns!$A$2:$N$28,2,0),
IF(LEFT($D24,7)="Payroll",
SUMPRODUCT(($B24='IP1'!$B$96:$B$114)*('IP1'!$D$96:$D$114))/12,
SUMPRODUCT(($B24='IP1'!$B$96:$B$114)*('IP1'!$D$96:$D$114))/12*'IP1'!$F$154))</f>
        <v>833.33333333333337</v>
      </c>
      <c r="F24" s="85">
        <f>IF(LEFT($D24,5)="Other",VLOOKUP($A24,'IP1'!$A$37:$G$89,4,0)*VLOOKUP(VLOOKUP($A24,'IP1'!$A$37:$G$89,7,0),Patterns!$A$2:$N$28,COLUMN(F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G24" s="85">
        <f>IF(LEFT($D24,5)="Other",VLOOKUP($A24,'IP1'!$A$37:$G$89,4,0)*VLOOKUP(VLOOKUP($A24,'IP1'!$A$37:$G$89,7,0),Patterns!$A$2:$N$28,COLUMN(G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H24" s="85">
        <f>IF(LEFT($D24,5)="Other",VLOOKUP($A24,'IP1'!$A$37:$G$89,4,0)*VLOOKUP(VLOOKUP($A24,'IP1'!$A$37:$G$89,7,0),Patterns!$A$2:$N$28,COLUMN(H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I24" s="85">
        <f>IF(LEFT($D24,5)="Other",VLOOKUP($A24,'IP1'!$A$37:$G$89,4,0)*VLOOKUP(VLOOKUP($A24,'IP1'!$A$37:$G$89,7,0),Patterns!$A$2:$N$28,COLUMN(I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J24" s="85">
        <f>IF(LEFT($D24,5)="Other",VLOOKUP($A24,'IP1'!$A$37:$G$89,4,0)*VLOOKUP(VLOOKUP($A24,'IP1'!$A$37:$G$89,7,0),Patterns!$A$2:$N$28,COLUMN(J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K24" s="85">
        <f>IF(LEFT($D24,5)="Other",VLOOKUP($A24,'IP1'!$A$37:$G$89,4,0)*VLOOKUP(VLOOKUP($A24,'IP1'!$A$37:$G$89,7,0),Patterns!$A$2:$N$28,COLUMN(K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L24" s="85">
        <f>IF(LEFT($D24,5)="Other",VLOOKUP($A24,'IP1'!$A$37:$G$89,4,0)*VLOOKUP(VLOOKUP($A24,'IP1'!$A$37:$G$89,7,0),Patterns!$A$2:$N$28,COLUMN(L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M24" s="85">
        <f>IF(LEFT($D24,5)="Other",VLOOKUP($A24,'IP1'!$A$37:$G$89,4,0)*VLOOKUP(VLOOKUP($A24,'IP1'!$A$37:$G$89,7,0),Patterns!$A$2:$N$28,COLUMN(M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N24" s="85">
        <f>IF(LEFT($D24,5)="Other",VLOOKUP($A24,'IP1'!$A$37:$G$89,4,0)*VLOOKUP(VLOOKUP($A24,'IP1'!$A$37:$G$89,7,0),Patterns!$A$2:$N$28,COLUMN(N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O24" s="85">
        <f>IF(LEFT($D24,5)="Other",VLOOKUP($A24,'IP1'!$A$37:$G$89,4,0)*VLOOKUP(VLOOKUP($A24,'IP1'!$A$37:$G$89,7,0),Patterns!$A$2:$N$28,COLUMN(O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P24" s="85">
        <f>IF(LEFT($D24,5)="Other",VLOOKUP($A24,'IP1'!$A$37:$G$89,4,0)*VLOOKUP(VLOOKUP($A24,'IP1'!$A$37:$G$89,7,0),Patterns!$A$2:$N$28,COLUMN(P24)-2,0)/VLOOKUP(VLOOKUP($A24,'IP1'!$A$37:$G$89,7,0),Patterns!$A$2:$N$28,2,0),IF(LEFT($D24,7)="Payroll",SUMPRODUCT(($B24='IP1'!$B$96:$B$114)*('IP1'!$D$96:$D$114))/12,SUMPRODUCT(($B24='IP1'!$B$96:$B$114)*('IP1'!$D$96:$D$114))/12*'IP1'!$F$154))</f>
        <v>833.33333333333337</v>
      </c>
      <c r="Q24" s="85">
        <f>IF(LEFT($D24,5)="Other",VLOOKUP($A24,'IP1'!$A$37:$G$89,5,0)*VLOOKUP(VLOOKUP($A24,'IP1'!$A$37:$G$89,7,0),Patterns!$A$2:$N$28,COLUMN(Q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R24" s="85">
        <f>IF(LEFT($D24,5)="Other",VLOOKUP($A24,'IP1'!$A$37:$G$89,5,0)*VLOOKUP(VLOOKUP($A24,'IP1'!$A$37:$G$89,7,0),Patterns!$A$2:$N$28,COLUMN(R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S24" s="85">
        <f>IF(LEFT($D24,5)="Other",VLOOKUP($A24,'IP1'!$A$37:$G$89,5,0)*VLOOKUP(VLOOKUP($A24,'IP1'!$A$37:$G$89,7,0),Patterns!$A$2:$N$28,COLUMN(S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T24" s="85">
        <f>IF(LEFT($D24,5)="Other",VLOOKUP($A24,'IP1'!$A$37:$G$89,5,0)*VLOOKUP(VLOOKUP($A24,'IP1'!$A$37:$G$89,7,0),Patterns!$A$2:$N$28,COLUMN(T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U24" s="85">
        <f>IF(LEFT($D24,5)="Other",VLOOKUP($A24,'IP1'!$A$37:$G$89,5,0)*VLOOKUP(VLOOKUP($A24,'IP1'!$A$37:$G$89,7,0),Patterns!$A$2:$N$28,COLUMN(U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V24" s="85">
        <f>IF(LEFT($D24,5)="Other",VLOOKUP($A24,'IP1'!$A$37:$G$89,5,0)*VLOOKUP(VLOOKUP($A24,'IP1'!$A$37:$G$89,7,0),Patterns!$A$2:$N$28,COLUMN(V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W24" s="85">
        <f>IF(LEFT($D24,5)="Other",VLOOKUP($A24,'IP1'!$A$37:$G$89,5,0)*VLOOKUP(VLOOKUP($A24,'IP1'!$A$37:$G$89,7,0),Patterns!$A$2:$N$28,COLUMN(W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X24" s="85">
        <f>IF(LEFT($D24,5)="Other",VLOOKUP($A24,'IP1'!$A$37:$G$89,5,0)*VLOOKUP(VLOOKUP($A24,'IP1'!$A$37:$G$89,7,0),Patterns!$A$2:$N$28,COLUMN(X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Y24" s="85">
        <f>IF(LEFT($D24,5)="Other",VLOOKUP($A24,'IP1'!$A$37:$G$89,5,0)*VLOOKUP(VLOOKUP($A24,'IP1'!$A$37:$G$89,7,0),Patterns!$A$2:$N$28,COLUMN(Y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Z24" s="85">
        <f>IF(LEFT($D24,5)="Other",VLOOKUP($A24,'IP1'!$A$37:$G$89,5,0)*VLOOKUP(VLOOKUP($A24,'IP1'!$A$37:$G$89,7,0),Patterns!$A$2:$N$28,COLUMN(Z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AA24" s="85">
        <f>IF(LEFT($D24,5)="Other",VLOOKUP($A24,'IP1'!$A$37:$G$89,5,0)*VLOOKUP(VLOOKUP($A24,'IP1'!$A$37:$G$89,7,0),Patterns!$A$2:$N$28,COLUMN(AA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  <c r="AB24" s="85">
        <f>IF(LEFT($D24,5)="Other",VLOOKUP($A24,'IP1'!$A$37:$G$89,5,0)*VLOOKUP(VLOOKUP($A24,'IP1'!$A$37:$G$89,7,0),Patterns!$A$2:$N$28,COLUMN(AB24)-14,0)/VLOOKUP(VLOOKUP($A24,'IP1'!$A$37:$G$89,7,0),Patterns!$A$2:$N$28,2,0),IF(LEFT($D24,7)="Payroll",SUMPRODUCT(($B24='IP1'!$B$96:$B$114)*('IP1'!$E$96:$E$114))/12,SUMPRODUCT(($B24='IP1'!$B$96:$B$114)*('IP1'!$E$96:$E$114))/12*'IP1'!$F$154))</f>
        <v>833.33333333333337</v>
      </c>
    </row>
    <row r="25" spans="1:28">
      <c r="A25" s="1" t="str">
        <f t="shared" si="1"/>
        <v>AdministrationTelecommunications</v>
      </c>
      <c r="B25" s="1" t="s">
        <v>155</v>
      </c>
      <c r="C25" s="1" t="s">
        <v>490</v>
      </c>
      <c r="D25" s="11" t="s">
        <v>100</v>
      </c>
      <c r="E25" s="85">
        <f>IF(LEFT($D25,5)="Other",
VLOOKUP($A25,'IP1'!$A$37:$G$89,4,0)*
VLOOKUP(
VLOOKUP($A25,'IP1'!$A$37:$G$89,7,0),Patterns!$A$2:$N$28,COLUMN(E25)-2,0)/
VLOOKUP(
VLOOKUP($A25,'IP1'!$A$37:$G$89,7,0),Patterns!$A$2:$N$28,2,0),
IF(LEFT($D25,7)="Payroll",
SUMPRODUCT(($B25='IP1'!$B$96:$B$114)*('IP1'!$D$96:$D$114))/12,
SUMPRODUCT(($B25='IP1'!$B$96:$B$114)*('IP1'!$D$96:$D$114))/12*'IP1'!$F$154))</f>
        <v>416.66666666666669</v>
      </c>
      <c r="F25" s="85">
        <f>IF(LEFT($D25,5)="Other",VLOOKUP($A25,'IP1'!$A$37:$G$89,4,0)*VLOOKUP(VLOOKUP($A25,'IP1'!$A$37:$G$89,7,0),Patterns!$A$2:$N$28,COLUMN(F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G25" s="85">
        <f>IF(LEFT($D25,5)="Other",VLOOKUP($A25,'IP1'!$A$37:$G$89,4,0)*VLOOKUP(VLOOKUP($A25,'IP1'!$A$37:$G$89,7,0),Patterns!$A$2:$N$28,COLUMN(G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H25" s="85">
        <f>IF(LEFT($D25,5)="Other",VLOOKUP($A25,'IP1'!$A$37:$G$89,4,0)*VLOOKUP(VLOOKUP($A25,'IP1'!$A$37:$G$89,7,0),Patterns!$A$2:$N$28,COLUMN(H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I25" s="85">
        <f>IF(LEFT($D25,5)="Other",VLOOKUP($A25,'IP1'!$A$37:$G$89,4,0)*VLOOKUP(VLOOKUP($A25,'IP1'!$A$37:$G$89,7,0),Patterns!$A$2:$N$28,COLUMN(I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J25" s="85">
        <f>IF(LEFT($D25,5)="Other",VLOOKUP($A25,'IP1'!$A$37:$G$89,4,0)*VLOOKUP(VLOOKUP($A25,'IP1'!$A$37:$G$89,7,0),Patterns!$A$2:$N$28,COLUMN(J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K25" s="85">
        <f>IF(LEFT($D25,5)="Other",VLOOKUP($A25,'IP1'!$A$37:$G$89,4,0)*VLOOKUP(VLOOKUP($A25,'IP1'!$A$37:$G$89,7,0),Patterns!$A$2:$N$28,COLUMN(K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L25" s="85">
        <f>IF(LEFT($D25,5)="Other",VLOOKUP($A25,'IP1'!$A$37:$G$89,4,0)*VLOOKUP(VLOOKUP($A25,'IP1'!$A$37:$G$89,7,0),Patterns!$A$2:$N$28,COLUMN(L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M25" s="85">
        <f>IF(LEFT($D25,5)="Other",VLOOKUP($A25,'IP1'!$A$37:$G$89,4,0)*VLOOKUP(VLOOKUP($A25,'IP1'!$A$37:$G$89,7,0),Patterns!$A$2:$N$28,COLUMN(M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N25" s="85">
        <f>IF(LEFT($D25,5)="Other",VLOOKUP($A25,'IP1'!$A$37:$G$89,4,0)*VLOOKUP(VLOOKUP($A25,'IP1'!$A$37:$G$89,7,0),Patterns!$A$2:$N$28,COLUMN(N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O25" s="85">
        <f>IF(LEFT($D25,5)="Other",VLOOKUP($A25,'IP1'!$A$37:$G$89,4,0)*VLOOKUP(VLOOKUP($A25,'IP1'!$A$37:$G$89,7,0),Patterns!$A$2:$N$28,COLUMN(O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P25" s="85">
        <f>IF(LEFT($D25,5)="Other",VLOOKUP($A25,'IP1'!$A$37:$G$89,4,0)*VLOOKUP(VLOOKUP($A25,'IP1'!$A$37:$G$89,7,0),Patterns!$A$2:$N$28,COLUMN(P25)-2,0)/VLOOKUP(VLOOKUP($A25,'IP1'!$A$37:$G$89,7,0),Patterns!$A$2:$N$28,2,0),IF(LEFT($D25,7)="Payroll",SUMPRODUCT(($B25='IP1'!$B$96:$B$114)*('IP1'!$D$96:$D$114))/12,SUMPRODUCT(($B25='IP1'!$B$96:$B$114)*('IP1'!$D$96:$D$114))/12*'IP1'!$F$154))</f>
        <v>416.66666666666669</v>
      </c>
      <c r="Q25" s="85">
        <f>IF(LEFT($D25,5)="Other",VLOOKUP($A25,'IP1'!$A$37:$G$89,5,0)*VLOOKUP(VLOOKUP($A25,'IP1'!$A$37:$G$89,7,0),Patterns!$A$2:$N$28,COLUMN(Q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R25" s="85">
        <f>IF(LEFT($D25,5)="Other",VLOOKUP($A25,'IP1'!$A$37:$G$89,5,0)*VLOOKUP(VLOOKUP($A25,'IP1'!$A$37:$G$89,7,0),Patterns!$A$2:$N$28,COLUMN(R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S25" s="85">
        <f>IF(LEFT($D25,5)="Other",VLOOKUP($A25,'IP1'!$A$37:$G$89,5,0)*VLOOKUP(VLOOKUP($A25,'IP1'!$A$37:$G$89,7,0),Patterns!$A$2:$N$28,COLUMN(S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T25" s="85">
        <f>IF(LEFT($D25,5)="Other",VLOOKUP($A25,'IP1'!$A$37:$G$89,5,0)*VLOOKUP(VLOOKUP($A25,'IP1'!$A$37:$G$89,7,0),Patterns!$A$2:$N$28,COLUMN(T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U25" s="85">
        <f>IF(LEFT($D25,5)="Other",VLOOKUP($A25,'IP1'!$A$37:$G$89,5,0)*VLOOKUP(VLOOKUP($A25,'IP1'!$A$37:$G$89,7,0),Patterns!$A$2:$N$28,COLUMN(U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V25" s="85">
        <f>IF(LEFT($D25,5)="Other",VLOOKUP($A25,'IP1'!$A$37:$G$89,5,0)*VLOOKUP(VLOOKUP($A25,'IP1'!$A$37:$G$89,7,0),Patterns!$A$2:$N$28,COLUMN(V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W25" s="85">
        <f>IF(LEFT($D25,5)="Other",VLOOKUP($A25,'IP1'!$A$37:$G$89,5,0)*VLOOKUP(VLOOKUP($A25,'IP1'!$A$37:$G$89,7,0),Patterns!$A$2:$N$28,COLUMN(W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X25" s="85">
        <f>IF(LEFT($D25,5)="Other",VLOOKUP($A25,'IP1'!$A$37:$G$89,5,0)*VLOOKUP(VLOOKUP($A25,'IP1'!$A$37:$G$89,7,0),Patterns!$A$2:$N$28,COLUMN(X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Y25" s="85">
        <f>IF(LEFT($D25,5)="Other",VLOOKUP($A25,'IP1'!$A$37:$G$89,5,0)*VLOOKUP(VLOOKUP($A25,'IP1'!$A$37:$G$89,7,0),Patterns!$A$2:$N$28,COLUMN(Y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Z25" s="85">
        <f>IF(LEFT($D25,5)="Other",VLOOKUP($A25,'IP1'!$A$37:$G$89,5,0)*VLOOKUP(VLOOKUP($A25,'IP1'!$A$37:$G$89,7,0),Patterns!$A$2:$N$28,COLUMN(Z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AA25" s="85">
        <f>IF(LEFT($D25,5)="Other",VLOOKUP($A25,'IP1'!$A$37:$G$89,5,0)*VLOOKUP(VLOOKUP($A25,'IP1'!$A$37:$G$89,7,0),Patterns!$A$2:$N$28,COLUMN(AA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  <c r="AB25" s="85">
        <f>IF(LEFT($D25,5)="Other",VLOOKUP($A25,'IP1'!$A$37:$G$89,5,0)*VLOOKUP(VLOOKUP($A25,'IP1'!$A$37:$G$89,7,0),Patterns!$A$2:$N$28,COLUMN(AB25)-14,0)/VLOOKUP(VLOOKUP($A25,'IP1'!$A$37:$G$89,7,0),Patterns!$A$2:$N$28,2,0),IF(LEFT($D25,7)="Payroll",SUMPRODUCT(($B25='IP1'!$B$96:$B$114)*('IP1'!$E$96:$E$114))/12,SUMPRODUCT(($B25='IP1'!$B$96:$B$114)*('IP1'!$E$96:$E$114))/12*'IP1'!$F$154))</f>
        <v>416.66666666666669</v>
      </c>
    </row>
    <row r="26" spans="1:28">
      <c r="A26" s="1" t="str">
        <f t="shared" si="1"/>
        <v>AdministrationTraining and development</v>
      </c>
      <c r="B26" s="1" t="s">
        <v>155</v>
      </c>
      <c r="C26" s="1" t="s">
        <v>461</v>
      </c>
      <c r="D26" s="11" t="s">
        <v>100</v>
      </c>
      <c r="E26" s="85">
        <f>IF(LEFT($D26,5)="Other",
VLOOKUP($A26,'IP1'!$A$37:$G$89,4,0)*
VLOOKUP(
VLOOKUP($A26,'IP1'!$A$37:$G$89,7,0),Patterns!$A$2:$N$28,COLUMN(E26)-2,0)/
VLOOKUP(
VLOOKUP($A26,'IP1'!$A$37:$G$89,7,0),Patterns!$A$2:$N$28,2,0),
IF(LEFT($D26,7)="Payroll",
SUMPRODUCT(($B26='IP1'!$B$96:$B$114)*('IP1'!$D$96:$D$114))/12,
SUMPRODUCT(($B26='IP1'!$B$96:$B$114)*('IP1'!$D$96:$D$114))/12*'IP1'!$F$154))</f>
        <v>833.33333333333337</v>
      </c>
      <c r="F26" s="85">
        <f>IF(LEFT($D26,5)="Other",VLOOKUP($A26,'IP1'!$A$37:$G$89,4,0)*VLOOKUP(VLOOKUP($A26,'IP1'!$A$37:$G$89,7,0),Patterns!$A$2:$N$28,COLUMN(F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G26" s="85">
        <f>IF(LEFT($D26,5)="Other",VLOOKUP($A26,'IP1'!$A$37:$G$89,4,0)*VLOOKUP(VLOOKUP($A26,'IP1'!$A$37:$G$89,7,0),Patterns!$A$2:$N$28,COLUMN(G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H26" s="85">
        <f>IF(LEFT($D26,5)="Other",VLOOKUP($A26,'IP1'!$A$37:$G$89,4,0)*VLOOKUP(VLOOKUP($A26,'IP1'!$A$37:$G$89,7,0),Patterns!$A$2:$N$28,COLUMN(H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I26" s="85">
        <f>IF(LEFT($D26,5)="Other",VLOOKUP($A26,'IP1'!$A$37:$G$89,4,0)*VLOOKUP(VLOOKUP($A26,'IP1'!$A$37:$G$89,7,0),Patterns!$A$2:$N$28,COLUMN(I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J26" s="85">
        <f>IF(LEFT($D26,5)="Other",VLOOKUP($A26,'IP1'!$A$37:$G$89,4,0)*VLOOKUP(VLOOKUP($A26,'IP1'!$A$37:$G$89,7,0),Patterns!$A$2:$N$28,COLUMN(J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K26" s="85">
        <f>IF(LEFT($D26,5)="Other",VLOOKUP($A26,'IP1'!$A$37:$G$89,4,0)*VLOOKUP(VLOOKUP($A26,'IP1'!$A$37:$G$89,7,0),Patterns!$A$2:$N$28,COLUMN(K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L26" s="85">
        <f>IF(LEFT($D26,5)="Other",VLOOKUP($A26,'IP1'!$A$37:$G$89,4,0)*VLOOKUP(VLOOKUP($A26,'IP1'!$A$37:$G$89,7,0),Patterns!$A$2:$N$28,COLUMN(L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M26" s="85">
        <f>IF(LEFT($D26,5)="Other",VLOOKUP($A26,'IP1'!$A$37:$G$89,4,0)*VLOOKUP(VLOOKUP($A26,'IP1'!$A$37:$G$89,7,0),Patterns!$A$2:$N$28,COLUMN(M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N26" s="85">
        <f>IF(LEFT($D26,5)="Other",VLOOKUP($A26,'IP1'!$A$37:$G$89,4,0)*VLOOKUP(VLOOKUP($A26,'IP1'!$A$37:$G$89,7,0),Patterns!$A$2:$N$28,COLUMN(N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O26" s="85">
        <f>IF(LEFT($D26,5)="Other",VLOOKUP($A26,'IP1'!$A$37:$G$89,4,0)*VLOOKUP(VLOOKUP($A26,'IP1'!$A$37:$G$89,7,0),Patterns!$A$2:$N$28,COLUMN(O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P26" s="85">
        <f>IF(LEFT($D26,5)="Other",VLOOKUP($A26,'IP1'!$A$37:$G$89,4,0)*VLOOKUP(VLOOKUP($A26,'IP1'!$A$37:$G$89,7,0),Patterns!$A$2:$N$28,COLUMN(P26)-2,0)/VLOOKUP(VLOOKUP($A26,'IP1'!$A$37:$G$89,7,0),Patterns!$A$2:$N$28,2,0),IF(LEFT($D26,7)="Payroll",SUMPRODUCT(($B26='IP1'!$B$96:$B$114)*('IP1'!$D$96:$D$114))/12,SUMPRODUCT(($B26='IP1'!$B$96:$B$114)*('IP1'!$D$96:$D$114))/12*'IP1'!$F$154))</f>
        <v>833.33333333333337</v>
      </c>
      <c r="Q26" s="85">
        <f>IF(LEFT($D26,5)="Other",VLOOKUP($A26,'IP1'!$A$37:$G$89,5,0)*VLOOKUP(VLOOKUP($A26,'IP1'!$A$37:$G$89,7,0),Patterns!$A$2:$N$28,COLUMN(Q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R26" s="85">
        <f>IF(LEFT($D26,5)="Other",VLOOKUP($A26,'IP1'!$A$37:$G$89,5,0)*VLOOKUP(VLOOKUP($A26,'IP1'!$A$37:$G$89,7,0),Patterns!$A$2:$N$28,COLUMN(R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S26" s="85">
        <f>IF(LEFT($D26,5)="Other",VLOOKUP($A26,'IP1'!$A$37:$G$89,5,0)*VLOOKUP(VLOOKUP($A26,'IP1'!$A$37:$G$89,7,0),Patterns!$A$2:$N$28,COLUMN(S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T26" s="85">
        <f>IF(LEFT($D26,5)="Other",VLOOKUP($A26,'IP1'!$A$37:$G$89,5,0)*VLOOKUP(VLOOKUP($A26,'IP1'!$A$37:$G$89,7,0),Patterns!$A$2:$N$28,COLUMN(T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U26" s="85">
        <f>IF(LEFT($D26,5)="Other",VLOOKUP($A26,'IP1'!$A$37:$G$89,5,0)*VLOOKUP(VLOOKUP($A26,'IP1'!$A$37:$G$89,7,0),Patterns!$A$2:$N$28,COLUMN(U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V26" s="85">
        <f>IF(LEFT($D26,5)="Other",VLOOKUP($A26,'IP1'!$A$37:$G$89,5,0)*VLOOKUP(VLOOKUP($A26,'IP1'!$A$37:$G$89,7,0),Patterns!$A$2:$N$28,COLUMN(V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W26" s="85">
        <f>IF(LEFT($D26,5)="Other",VLOOKUP($A26,'IP1'!$A$37:$G$89,5,0)*VLOOKUP(VLOOKUP($A26,'IP1'!$A$37:$G$89,7,0),Patterns!$A$2:$N$28,COLUMN(W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X26" s="85">
        <f>IF(LEFT($D26,5)="Other",VLOOKUP($A26,'IP1'!$A$37:$G$89,5,0)*VLOOKUP(VLOOKUP($A26,'IP1'!$A$37:$G$89,7,0),Patterns!$A$2:$N$28,COLUMN(X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Y26" s="85">
        <f>IF(LEFT($D26,5)="Other",VLOOKUP($A26,'IP1'!$A$37:$G$89,5,0)*VLOOKUP(VLOOKUP($A26,'IP1'!$A$37:$G$89,7,0),Patterns!$A$2:$N$28,COLUMN(Y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Z26" s="85">
        <f>IF(LEFT($D26,5)="Other",VLOOKUP($A26,'IP1'!$A$37:$G$89,5,0)*VLOOKUP(VLOOKUP($A26,'IP1'!$A$37:$G$89,7,0),Patterns!$A$2:$N$28,COLUMN(Z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AA26" s="85">
        <f>IF(LEFT($D26,5)="Other",VLOOKUP($A26,'IP1'!$A$37:$G$89,5,0)*VLOOKUP(VLOOKUP($A26,'IP1'!$A$37:$G$89,7,0),Patterns!$A$2:$N$28,COLUMN(AA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  <c r="AB26" s="85">
        <f>IF(LEFT($D26,5)="Other",VLOOKUP($A26,'IP1'!$A$37:$G$89,5,0)*VLOOKUP(VLOOKUP($A26,'IP1'!$A$37:$G$89,7,0),Patterns!$A$2:$N$28,COLUMN(AB26)-14,0)/VLOOKUP(VLOOKUP($A26,'IP1'!$A$37:$G$89,7,0),Patterns!$A$2:$N$28,2,0),IF(LEFT($D26,7)="Payroll",SUMPRODUCT(($B26='IP1'!$B$96:$B$114)*('IP1'!$E$96:$E$114))/12,SUMPRODUCT(($B26='IP1'!$B$96:$B$114)*('IP1'!$E$96:$E$114))/12*'IP1'!$F$154))</f>
        <v>833.33333333333337</v>
      </c>
    </row>
    <row r="27" spans="1:28">
      <c r="A27" s="1" t="str">
        <f t="shared" si="1"/>
        <v>AdministrationTravel</v>
      </c>
      <c r="B27" s="1" t="s">
        <v>155</v>
      </c>
      <c r="C27" s="1" t="s">
        <v>462</v>
      </c>
      <c r="D27" s="11" t="s">
        <v>100</v>
      </c>
      <c r="E27" s="85">
        <f>IF(LEFT($D27,5)="Other",
VLOOKUP($A27,'IP1'!$A$37:$G$89,4,0)*
VLOOKUP(
VLOOKUP($A27,'IP1'!$A$37:$G$89,7,0),Patterns!$A$2:$N$28,COLUMN(E27)-2,0)/
VLOOKUP(
VLOOKUP($A27,'IP1'!$A$37:$G$89,7,0),Patterns!$A$2:$N$28,2,0),
IF(LEFT($D27,7)="Payroll",
SUMPRODUCT(($B27='IP1'!$B$96:$B$114)*('IP1'!$D$96:$D$114))/12,
SUMPRODUCT(($B27='IP1'!$B$96:$B$114)*('IP1'!$D$96:$D$114))/12*'IP1'!$F$154))</f>
        <v>416.66666666666669</v>
      </c>
      <c r="F27" s="85">
        <f>IF(LEFT($D27,5)="Other",VLOOKUP($A27,'IP1'!$A$37:$G$89,4,0)*VLOOKUP(VLOOKUP($A27,'IP1'!$A$37:$G$89,7,0),Patterns!$A$2:$N$28,COLUMN(F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G27" s="85">
        <f>IF(LEFT($D27,5)="Other",VLOOKUP($A27,'IP1'!$A$37:$G$89,4,0)*VLOOKUP(VLOOKUP($A27,'IP1'!$A$37:$G$89,7,0),Patterns!$A$2:$N$28,COLUMN(G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H27" s="85">
        <f>IF(LEFT($D27,5)="Other",VLOOKUP($A27,'IP1'!$A$37:$G$89,4,0)*VLOOKUP(VLOOKUP($A27,'IP1'!$A$37:$G$89,7,0),Patterns!$A$2:$N$28,COLUMN(H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I27" s="85">
        <f>IF(LEFT($D27,5)="Other",VLOOKUP($A27,'IP1'!$A$37:$G$89,4,0)*VLOOKUP(VLOOKUP($A27,'IP1'!$A$37:$G$89,7,0),Patterns!$A$2:$N$28,COLUMN(I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J27" s="85">
        <f>IF(LEFT($D27,5)="Other",VLOOKUP($A27,'IP1'!$A$37:$G$89,4,0)*VLOOKUP(VLOOKUP($A27,'IP1'!$A$37:$G$89,7,0),Patterns!$A$2:$N$28,COLUMN(J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K27" s="85">
        <f>IF(LEFT($D27,5)="Other",VLOOKUP($A27,'IP1'!$A$37:$G$89,4,0)*VLOOKUP(VLOOKUP($A27,'IP1'!$A$37:$G$89,7,0),Patterns!$A$2:$N$28,COLUMN(K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L27" s="85">
        <f>IF(LEFT($D27,5)="Other",VLOOKUP($A27,'IP1'!$A$37:$G$89,4,0)*VLOOKUP(VLOOKUP($A27,'IP1'!$A$37:$G$89,7,0),Patterns!$A$2:$N$28,COLUMN(L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M27" s="85">
        <f>IF(LEFT($D27,5)="Other",VLOOKUP($A27,'IP1'!$A$37:$G$89,4,0)*VLOOKUP(VLOOKUP($A27,'IP1'!$A$37:$G$89,7,0),Patterns!$A$2:$N$28,COLUMN(M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N27" s="85">
        <f>IF(LEFT($D27,5)="Other",VLOOKUP($A27,'IP1'!$A$37:$G$89,4,0)*VLOOKUP(VLOOKUP($A27,'IP1'!$A$37:$G$89,7,0),Patterns!$A$2:$N$28,COLUMN(N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O27" s="85">
        <f>IF(LEFT($D27,5)="Other",VLOOKUP($A27,'IP1'!$A$37:$G$89,4,0)*VLOOKUP(VLOOKUP($A27,'IP1'!$A$37:$G$89,7,0),Patterns!$A$2:$N$28,COLUMN(O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P27" s="85">
        <f>IF(LEFT($D27,5)="Other",VLOOKUP($A27,'IP1'!$A$37:$G$89,4,0)*VLOOKUP(VLOOKUP($A27,'IP1'!$A$37:$G$89,7,0),Patterns!$A$2:$N$28,COLUMN(P27)-2,0)/VLOOKUP(VLOOKUP($A27,'IP1'!$A$37:$G$89,7,0),Patterns!$A$2:$N$28,2,0),IF(LEFT($D27,7)="Payroll",SUMPRODUCT(($B27='IP1'!$B$96:$B$114)*('IP1'!$D$96:$D$114))/12,SUMPRODUCT(($B27='IP1'!$B$96:$B$114)*('IP1'!$D$96:$D$114))/12*'IP1'!$F$154))</f>
        <v>416.66666666666669</v>
      </c>
      <c r="Q27" s="85">
        <f>IF(LEFT($D27,5)="Other",VLOOKUP($A27,'IP1'!$A$37:$G$89,5,0)*VLOOKUP(VLOOKUP($A27,'IP1'!$A$37:$G$89,7,0),Patterns!$A$2:$N$28,COLUMN(Q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R27" s="85">
        <f>IF(LEFT($D27,5)="Other",VLOOKUP($A27,'IP1'!$A$37:$G$89,5,0)*VLOOKUP(VLOOKUP($A27,'IP1'!$A$37:$G$89,7,0),Patterns!$A$2:$N$28,COLUMN(R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S27" s="85">
        <f>IF(LEFT($D27,5)="Other",VLOOKUP($A27,'IP1'!$A$37:$G$89,5,0)*VLOOKUP(VLOOKUP($A27,'IP1'!$A$37:$G$89,7,0),Patterns!$A$2:$N$28,COLUMN(S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T27" s="85">
        <f>IF(LEFT($D27,5)="Other",VLOOKUP($A27,'IP1'!$A$37:$G$89,5,0)*VLOOKUP(VLOOKUP($A27,'IP1'!$A$37:$G$89,7,0),Patterns!$A$2:$N$28,COLUMN(T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U27" s="85">
        <f>IF(LEFT($D27,5)="Other",VLOOKUP($A27,'IP1'!$A$37:$G$89,5,0)*VLOOKUP(VLOOKUP($A27,'IP1'!$A$37:$G$89,7,0),Patterns!$A$2:$N$28,COLUMN(U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V27" s="85">
        <f>IF(LEFT($D27,5)="Other",VLOOKUP($A27,'IP1'!$A$37:$G$89,5,0)*VLOOKUP(VLOOKUP($A27,'IP1'!$A$37:$G$89,7,0),Patterns!$A$2:$N$28,COLUMN(V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W27" s="85">
        <f>IF(LEFT($D27,5)="Other",VLOOKUP($A27,'IP1'!$A$37:$G$89,5,0)*VLOOKUP(VLOOKUP($A27,'IP1'!$A$37:$G$89,7,0),Patterns!$A$2:$N$28,COLUMN(W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X27" s="85">
        <f>IF(LEFT($D27,5)="Other",VLOOKUP($A27,'IP1'!$A$37:$G$89,5,0)*VLOOKUP(VLOOKUP($A27,'IP1'!$A$37:$G$89,7,0),Patterns!$A$2:$N$28,COLUMN(X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Y27" s="85">
        <f>IF(LEFT($D27,5)="Other",VLOOKUP($A27,'IP1'!$A$37:$G$89,5,0)*VLOOKUP(VLOOKUP($A27,'IP1'!$A$37:$G$89,7,0),Patterns!$A$2:$N$28,COLUMN(Y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Z27" s="85">
        <f>IF(LEFT($D27,5)="Other",VLOOKUP($A27,'IP1'!$A$37:$G$89,5,0)*VLOOKUP(VLOOKUP($A27,'IP1'!$A$37:$G$89,7,0),Patterns!$A$2:$N$28,COLUMN(Z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AA27" s="85">
        <f>IF(LEFT($D27,5)="Other",VLOOKUP($A27,'IP1'!$A$37:$G$89,5,0)*VLOOKUP(VLOOKUP($A27,'IP1'!$A$37:$G$89,7,0),Patterns!$A$2:$N$28,COLUMN(AA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  <c r="AB27" s="85">
        <f>IF(LEFT($D27,5)="Other",VLOOKUP($A27,'IP1'!$A$37:$G$89,5,0)*VLOOKUP(VLOOKUP($A27,'IP1'!$A$37:$G$89,7,0),Patterns!$A$2:$N$28,COLUMN(AB27)-14,0)/VLOOKUP(VLOOKUP($A27,'IP1'!$A$37:$G$89,7,0),Patterns!$A$2:$N$28,2,0),IF(LEFT($D27,7)="Payroll",SUMPRODUCT(($B27='IP1'!$B$96:$B$114)*('IP1'!$E$96:$E$114))/12,SUMPRODUCT(($B27='IP1'!$B$96:$B$114)*('IP1'!$E$96:$E$114))/12*'IP1'!$F$154))</f>
        <v>416.66666666666669</v>
      </c>
    </row>
    <row r="28" spans="1:28">
      <c r="A28" s="1" t="str">
        <f t="shared" si="1"/>
        <v>AdministrationUniforms</v>
      </c>
      <c r="B28" s="1" t="s">
        <v>155</v>
      </c>
      <c r="C28" s="1" t="s">
        <v>3</v>
      </c>
      <c r="D28" s="11" t="s">
        <v>100</v>
      </c>
      <c r="E28" s="85">
        <f>IF(LEFT($D28,5)="Other",
VLOOKUP($A28,'IP1'!$A$37:$G$89,4,0)*
VLOOKUP(
VLOOKUP($A28,'IP1'!$A$37:$G$89,7,0),Patterns!$A$2:$N$28,COLUMN(E28)-2,0)/
VLOOKUP(
VLOOKUP($A28,'IP1'!$A$37:$G$89,7,0),Patterns!$A$2:$N$28,2,0),
IF(LEFT($D28,7)="Payroll",
SUMPRODUCT(($B28='IP1'!$B$96:$B$114)*('IP1'!$D$96:$D$114))/12,
SUMPRODUCT(($B28='IP1'!$B$96:$B$114)*('IP1'!$D$96:$D$114))/12*'IP1'!$F$154))</f>
        <v>5000</v>
      </c>
      <c r="F28" s="85">
        <f>IF(LEFT($D28,5)="Other",VLOOKUP($A28,'IP1'!$A$37:$G$89,4,0)*VLOOKUP(VLOOKUP($A28,'IP1'!$A$37:$G$89,7,0),Patterns!$A$2:$N$28,COLUMN(F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G28" s="85">
        <f>IF(LEFT($D28,5)="Other",VLOOKUP($A28,'IP1'!$A$37:$G$89,4,0)*VLOOKUP(VLOOKUP($A28,'IP1'!$A$37:$G$89,7,0),Patterns!$A$2:$N$28,COLUMN(G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H28" s="85">
        <f>IF(LEFT($D28,5)="Other",VLOOKUP($A28,'IP1'!$A$37:$G$89,4,0)*VLOOKUP(VLOOKUP($A28,'IP1'!$A$37:$G$89,7,0),Patterns!$A$2:$N$28,COLUMN(H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I28" s="85">
        <f>IF(LEFT($D28,5)="Other",VLOOKUP($A28,'IP1'!$A$37:$G$89,4,0)*VLOOKUP(VLOOKUP($A28,'IP1'!$A$37:$G$89,7,0),Patterns!$A$2:$N$28,COLUMN(I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J28" s="85">
        <f>IF(LEFT($D28,5)="Other",VLOOKUP($A28,'IP1'!$A$37:$G$89,4,0)*VLOOKUP(VLOOKUP($A28,'IP1'!$A$37:$G$89,7,0),Patterns!$A$2:$N$28,COLUMN(J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K28" s="85">
        <f>IF(LEFT($D28,5)="Other",VLOOKUP($A28,'IP1'!$A$37:$G$89,4,0)*VLOOKUP(VLOOKUP($A28,'IP1'!$A$37:$G$89,7,0),Patterns!$A$2:$N$28,COLUMN(K28)-2,0)/VLOOKUP(VLOOKUP($A28,'IP1'!$A$37:$G$89,7,0),Patterns!$A$2:$N$28,2,0),IF(LEFT($D28,7)="Payroll",SUMPRODUCT(($B28='IP1'!$B$96:$B$114)*('IP1'!$D$96:$D$114))/12,SUMPRODUCT(($B28='IP1'!$B$96:$B$114)*('IP1'!$D$96:$D$114))/12*'IP1'!$F$154))</f>
        <v>5000</v>
      </c>
      <c r="L28" s="85">
        <f>IF(LEFT($D28,5)="Other",VLOOKUP($A28,'IP1'!$A$37:$G$89,4,0)*VLOOKUP(VLOOKUP($A28,'IP1'!$A$37:$G$89,7,0),Patterns!$A$2:$N$28,COLUMN(L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M28" s="85">
        <f>IF(LEFT($D28,5)="Other",VLOOKUP($A28,'IP1'!$A$37:$G$89,4,0)*VLOOKUP(VLOOKUP($A28,'IP1'!$A$37:$G$89,7,0),Patterns!$A$2:$N$28,COLUMN(M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N28" s="85">
        <f>IF(LEFT($D28,5)="Other",VLOOKUP($A28,'IP1'!$A$37:$G$89,4,0)*VLOOKUP(VLOOKUP($A28,'IP1'!$A$37:$G$89,7,0),Patterns!$A$2:$N$28,COLUMN(N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O28" s="85">
        <f>IF(LEFT($D28,5)="Other",VLOOKUP($A28,'IP1'!$A$37:$G$89,4,0)*VLOOKUP(VLOOKUP($A28,'IP1'!$A$37:$G$89,7,0),Patterns!$A$2:$N$28,COLUMN(O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P28" s="85">
        <f>IF(LEFT($D28,5)="Other",VLOOKUP($A28,'IP1'!$A$37:$G$89,4,0)*VLOOKUP(VLOOKUP($A28,'IP1'!$A$37:$G$89,7,0),Patterns!$A$2:$N$28,COLUMN(P28)-2,0)/VLOOKUP(VLOOKUP($A28,'IP1'!$A$37:$G$89,7,0),Patterns!$A$2:$N$28,2,0),IF(LEFT($D28,7)="Payroll",SUMPRODUCT(($B28='IP1'!$B$96:$B$114)*('IP1'!$D$96:$D$114))/12,SUMPRODUCT(($B28='IP1'!$B$96:$B$114)*('IP1'!$D$96:$D$114))/12*'IP1'!$F$154))</f>
        <v>0</v>
      </c>
      <c r="Q28" s="85">
        <f>IF(LEFT($D28,5)="Other",VLOOKUP($A28,'IP1'!$A$37:$G$89,5,0)*VLOOKUP(VLOOKUP($A28,'IP1'!$A$37:$G$89,7,0),Patterns!$A$2:$N$28,COLUMN(Q28)-14,0)/VLOOKUP(VLOOKUP($A28,'IP1'!$A$37:$G$89,7,0),Patterns!$A$2:$N$28,2,0),IF(LEFT($D28,7)="Payroll",SUMPRODUCT(($B28='IP1'!$B$96:$B$114)*('IP1'!$E$96:$E$114))/12,SUMPRODUCT(($B28='IP1'!$B$96:$B$114)*('IP1'!$E$96:$E$114))/12*'IP1'!$F$154))</f>
        <v>5000</v>
      </c>
      <c r="R28" s="85">
        <f>IF(LEFT($D28,5)="Other",VLOOKUP($A28,'IP1'!$A$37:$G$89,5,0)*VLOOKUP(VLOOKUP($A28,'IP1'!$A$37:$G$89,7,0),Patterns!$A$2:$N$28,COLUMN(R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  <c r="S28" s="85">
        <f>IF(LEFT($D28,5)="Other",VLOOKUP($A28,'IP1'!$A$37:$G$89,5,0)*VLOOKUP(VLOOKUP($A28,'IP1'!$A$37:$G$89,7,0),Patterns!$A$2:$N$28,COLUMN(S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  <c r="T28" s="85">
        <f>IF(LEFT($D28,5)="Other",VLOOKUP($A28,'IP1'!$A$37:$G$89,5,0)*VLOOKUP(VLOOKUP($A28,'IP1'!$A$37:$G$89,7,0),Patterns!$A$2:$N$28,COLUMN(T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  <c r="U28" s="85">
        <f>IF(LEFT($D28,5)="Other",VLOOKUP($A28,'IP1'!$A$37:$G$89,5,0)*VLOOKUP(VLOOKUP($A28,'IP1'!$A$37:$G$89,7,0),Patterns!$A$2:$N$28,COLUMN(U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  <c r="V28" s="85">
        <f>IF(LEFT($D28,5)="Other",VLOOKUP($A28,'IP1'!$A$37:$G$89,5,0)*VLOOKUP(VLOOKUP($A28,'IP1'!$A$37:$G$89,7,0),Patterns!$A$2:$N$28,COLUMN(V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  <c r="W28" s="85">
        <f>IF(LEFT($D28,5)="Other",VLOOKUP($A28,'IP1'!$A$37:$G$89,5,0)*VLOOKUP(VLOOKUP($A28,'IP1'!$A$37:$G$89,7,0),Patterns!$A$2:$N$28,COLUMN(W28)-14,0)/VLOOKUP(VLOOKUP($A28,'IP1'!$A$37:$G$89,7,0),Patterns!$A$2:$N$28,2,0),IF(LEFT($D28,7)="Payroll",SUMPRODUCT(($B28='IP1'!$B$96:$B$114)*('IP1'!$E$96:$E$114))/12,SUMPRODUCT(($B28='IP1'!$B$96:$B$114)*('IP1'!$E$96:$E$114))/12*'IP1'!$F$154))</f>
        <v>5000</v>
      </c>
      <c r="X28" s="85">
        <f>IF(LEFT($D28,5)="Other",VLOOKUP($A28,'IP1'!$A$37:$G$89,5,0)*VLOOKUP(VLOOKUP($A28,'IP1'!$A$37:$G$89,7,0),Patterns!$A$2:$N$28,COLUMN(X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  <c r="Y28" s="85">
        <f>IF(LEFT($D28,5)="Other",VLOOKUP($A28,'IP1'!$A$37:$G$89,5,0)*VLOOKUP(VLOOKUP($A28,'IP1'!$A$37:$G$89,7,0),Patterns!$A$2:$N$28,COLUMN(Y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  <c r="Z28" s="85">
        <f>IF(LEFT($D28,5)="Other",VLOOKUP($A28,'IP1'!$A$37:$G$89,5,0)*VLOOKUP(VLOOKUP($A28,'IP1'!$A$37:$G$89,7,0),Patterns!$A$2:$N$28,COLUMN(Z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  <c r="AA28" s="85">
        <f>IF(LEFT($D28,5)="Other",VLOOKUP($A28,'IP1'!$A$37:$G$89,5,0)*VLOOKUP(VLOOKUP($A28,'IP1'!$A$37:$G$89,7,0),Patterns!$A$2:$N$28,COLUMN(AA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  <c r="AB28" s="85">
        <f>IF(LEFT($D28,5)="Other",VLOOKUP($A28,'IP1'!$A$37:$G$89,5,0)*VLOOKUP(VLOOKUP($A28,'IP1'!$A$37:$G$89,7,0),Patterns!$A$2:$N$28,COLUMN(AB28)-14,0)/VLOOKUP(VLOOKUP($A28,'IP1'!$A$37:$G$89,7,0),Patterns!$A$2:$N$28,2,0),IF(LEFT($D28,7)="Payroll",SUMPRODUCT(($B28='IP1'!$B$96:$B$114)*('IP1'!$E$96:$E$114))/12,SUMPRODUCT(($B28='IP1'!$B$96:$B$114)*('IP1'!$E$96:$E$114))/12*'IP1'!$F$154))</f>
        <v>0</v>
      </c>
    </row>
    <row r="29" spans="1:28">
      <c r="A29" s="1" t="str">
        <f t="shared" si="1"/>
        <v>AdministrationOther</v>
      </c>
      <c r="B29" s="1" t="s">
        <v>155</v>
      </c>
      <c r="C29" s="1" t="s">
        <v>2</v>
      </c>
      <c r="D29" s="11" t="s">
        <v>100</v>
      </c>
      <c r="E29" s="85">
        <f>IF(LEFT($D29,5)="Other",
VLOOKUP($A29,'IP1'!$A$37:$G$89,4,0)*
VLOOKUP(
VLOOKUP($A29,'IP1'!$A$37:$G$89,7,0),Patterns!$A$2:$N$28,COLUMN(E29)-2,0)/
VLOOKUP(
VLOOKUP($A29,'IP1'!$A$37:$G$89,7,0),Patterns!$A$2:$N$28,2,0),
IF(LEFT($D29,7)="Payroll",
SUMPRODUCT(($B29='IP1'!$B$96:$B$114)*('IP1'!$D$96:$D$114))/12,
SUMPRODUCT(($B29='IP1'!$B$96:$B$114)*('IP1'!$D$96:$D$114))/12*'IP1'!$F$154))</f>
        <v>83.333333333333329</v>
      </c>
      <c r="F29" s="85">
        <f>IF(LEFT($D29,5)="Other",VLOOKUP($A29,'IP1'!$A$37:$G$89,4,0)*VLOOKUP(VLOOKUP($A29,'IP1'!$A$37:$G$89,7,0),Patterns!$A$2:$N$28,COLUMN(F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G29" s="85">
        <f>IF(LEFT($D29,5)="Other",VLOOKUP($A29,'IP1'!$A$37:$G$89,4,0)*VLOOKUP(VLOOKUP($A29,'IP1'!$A$37:$G$89,7,0),Patterns!$A$2:$N$28,COLUMN(G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H29" s="85">
        <f>IF(LEFT($D29,5)="Other",VLOOKUP($A29,'IP1'!$A$37:$G$89,4,0)*VLOOKUP(VLOOKUP($A29,'IP1'!$A$37:$G$89,7,0),Patterns!$A$2:$N$28,COLUMN(H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I29" s="85">
        <f>IF(LEFT($D29,5)="Other",VLOOKUP($A29,'IP1'!$A$37:$G$89,4,0)*VLOOKUP(VLOOKUP($A29,'IP1'!$A$37:$G$89,7,0),Patterns!$A$2:$N$28,COLUMN(I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J29" s="85">
        <f>IF(LEFT($D29,5)="Other",VLOOKUP($A29,'IP1'!$A$37:$G$89,4,0)*VLOOKUP(VLOOKUP($A29,'IP1'!$A$37:$G$89,7,0),Patterns!$A$2:$N$28,COLUMN(J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K29" s="85">
        <f>IF(LEFT($D29,5)="Other",VLOOKUP($A29,'IP1'!$A$37:$G$89,4,0)*VLOOKUP(VLOOKUP($A29,'IP1'!$A$37:$G$89,7,0),Patterns!$A$2:$N$28,COLUMN(K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L29" s="85">
        <f>IF(LEFT($D29,5)="Other",VLOOKUP($A29,'IP1'!$A$37:$G$89,4,0)*VLOOKUP(VLOOKUP($A29,'IP1'!$A$37:$G$89,7,0),Patterns!$A$2:$N$28,COLUMN(L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M29" s="85">
        <f>IF(LEFT($D29,5)="Other",VLOOKUP($A29,'IP1'!$A$37:$G$89,4,0)*VLOOKUP(VLOOKUP($A29,'IP1'!$A$37:$G$89,7,0),Patterns!$A$2:$N$28,COLUMN(M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N29" s="85">
        <f>IF(LEFT($D29,5)="Other",VLOOKUP($A29,'IP1'!$A$37:$G$89,4,0)*VLOOKUP(VLOOKUP($A29,'IP1'!$A$37:$G$89,7,0),Patterns!$A$2:$N$28,COLUMN(N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O29" s="85">
        <f>IF(LEFT($D29,5)="Other",VLOOKUP($A29,'IP1'!$A$37:$G$89,4,0)*VLOOKUP(VLOOKUP($A29,'IP1'!$A$37:$G$89,7,0),Patterns!$A$2:$N$28,COLUMN(O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P29" s="85">
        <f>IF(LEFT($D29,5)="Other",VLOOKUP($A29,'IP1'!$A$37:$G$89,4,0)*VLOOKUP(VLOOKUP($A29,'IP1'!$A$37:$G$89,7,0),Patterns!$A$2:$N$28,COLUMN(P29)-2,0)/VLOOKUP(VLOOKUP($A29,'IP1'!$A$37:$G$89,7,0),Patterns!$A$2:$N$28,2,0),IF(LEFT($D29,7)="Payroll",SUMPRODUCT(($B29='IP1'!$B$96:$B$114)*('IP1'!$D$96:$D$114))/12,SUMPRODUCT(($B29='IP1'!$B$96:$B$114)*('IP1'!$D$96:$D$114))/12*'IP1'!$F$154))</f>
        <v>83.333333333333329</v>
      </c>
      <c r="Q29" s="85">
        <f>IF(LEFT($D29,5)="Other",VLOOKUP($A29,'IP1'!$A$37:$G$89,5,0)*VLOOKUP(VLOOKUP($A29,'IP1'!$A$37:$G$89,7,0),Patterns!$A$2:$N$28,COLUMN(Q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R29" s="85">
        <f>IF(LEFT($D29,5)="Other",VLOOKUP($A29,'IP1'!$A$37:$G$89,5,0)*VLOOKUP(VLOOKUP($A29,'IP1'!$A$37:$G$89,7,0),Patterns!$A$2:$N$28,COLUMN(R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S29" s="85">
        <f>IF(LEFT($D29,5)="Other",VLOOKUP($A29,'IP1'!$A$37:$G$89,5,0)*VLOOKUP(VLOOKUP($A29,'IP1'!$A$37:$G$89,7,0),Patterns!$A$2:$N$28,COLUMN(S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T29" s="85">
        <f>IF(LEFT($D29,5)="Other",VLOOKUP($A29,'IP1'!$A$37:$G$89,5,0)*VLOOKUP(VLOOKUP($A29,'IP1'!$A$37:$G$89,7,0),Patterns!$A$2:$N$28,COLUMN(T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U29" s="85">
        <f>IF(LEFT($D29,5)="Other",VLOOKUP($A29,'IP1'!$A$37:$G$89,5,0)*VLOOKUP(VLOOKUP($A29,'IP1'!$A$37:$G$89,7,0),Patterns!$A$2:$N$28,COLUMN(U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V29" s="85">
        <f>IF(LEFT($D29,5)="Other",VLOOKUP($A29,'IP1'!$A$37:$G$89,5,0)*VLOOKUP(VLOOKUP($A29,'IP1'!$A$37:$G$89,7,0),Patterns!$A$2:$N$28,COLUMN(V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W29" s="85">
        <f>IF(LEFT($D29,5)="Other",VLOOKUP($A29,'IP1'!$A$37:$G$89,5,0)*VLOOKUP(VLOOKUP($A29,'IP1'!$A$37:$G$89,7,0),Patterns!$A$2:$N$28,COLUMN(W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X29" s="85">
        <f>IF(LEFT($D29,5)="Other",VLOOKUP($A29,'IP1'!$A$37:$G$89,5,0)*VLOOKUP(VLOOKUP($A29,'IP1'!$A$37:$G$89,7,0),Patterns!$A$2:$N$28,COLUMN(X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Y29" s="85">
        <f>IF(LEFT($D29,5)="Other",VLOOKUP($A29,'IP1'!$A$37:$G$89,5,0)*VLOOKUP(VLOOKUP($A29,'IP1'!$A$37:$G$89,7,0),Patterns!$A$2:$N$28,COLUMN(Y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Z29" s="85">
        <f>IF(LEFT($D29,5)="Other",VLOOKUP($A29,'IP1'!$A$37:$G$89,5,0)*VLOOKUP(VLOOKUP($A29,'IP1'!$A$37:$G$89,7,0),Patterns!$A$2:$N$28,COLUMN(Z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AA29" s="85">
        <f>IF(LEFT($D29,5)="Other",VLOOKUP($A29,'IP1'!$A$37:$G$89,5,0)*VLOOKUP(VLOOKUP($A29,'IP1'!$A$37:$G$89,7,0),Patterns!$A$2:$N$28,COLUMN(AA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  <c r="AB29" s="85">
        <f>IF(LEFT($D29,5)="Other",VLOOKUP($A29,'IP1'!$A$37:$G$89,5,0)*VLOOKUP(VLOOKUP($A29,'IP1'!$A$37:$G$89,7,0),Patterns!$A$2:$N$28,COLUMN(AB29)-14,0)/VLOOKUP(VLOOKUP($A29,'IP1'!$A$37:$G$89,7,0),Patterns!$A$2:$N$28,2,0),IF(LEFT($D29,7)="Payroll",SUMPRODUCT(($B29='IP1'!$B$96:$B$114)*('IP1'!$E$96:$E$114))/12,SUMPRODUCT(($B29='IP1'!$B$96:$B$114)*('IP1'!$E$96:$E$114))/12*'IP1'!$F$154))</f>
        <v>83.333333333333329</v>
      </c>
    </row>
    <row r="30" spans="1:28">
      <c r="A30" s="1" t="str">
        <f t="shared" si="1"/>
        <v xml:space="preserve">UtilitiesElectricity </v>
      </c>
      <c r="B30" s="1" t="s">
        <v>443</v>
      </c>
      <c r="C30" s="1" t="s">
        <v>444</v>
      </c>
      <c r="D30" s="11" t="s">
        <v>100</v>
      </c>
      <c r="E30" s="85">
        <f>IF(LEFT($D30,5)="Other",
VLOOKUP($A30,'IP1'!$A$37:$G$89,4,0)*
VLOOKUP(
VLOOKUP($A30,'IP1'!$A$37:$G$89,7,0),Patterns!$A$2:$N$28,COLUMN(E30)-2,0)/
VLOOKUP(
VLOOKUP($A30,'IP1'!$A$37:$G$89,7,0),Patterns!$A$2:$N$28,2,0),
IF(LEFT($D30,7)="Payroll",
SUMPRODUCT(($B30='IP1'!$B$96:$B$114)*('IP1'!$D$96:$D$114))/12,
SUMPRODUCT(($B30='IP1'!$B$96:$B$114)*('IP1'!$D$96:$D$114))/12*'IP1'!$F$154))</f>
        <v>12500</v>
      </c>
      <c r="F30" s="85">
        <f>IF(LEFT($D30,5)="Other",VLOOKUP($A30,'IP1'!$A$37:$G$89,4,0)*VLOOKUP(VLOOKUP($A30,'IP1'!$A$37:$G$89,7,0),Patterns!$A$2:$N$28,COLUMN(F30)-2,0)/VLOOKUP(VLOOKUP($A30,'IP1'!$A$37:$G$89,7,0),Patterns!$A$2:$N$28,2,0),IF(LEFT($D30,7)="Payroll",SUMPRODUCT(($B30='IP1'!$B$96:$B$114)*('IP1'!$D$96:$D$114))/12,SUMPRODUCT(($B30='IP1'!$B$96:$B$114)*('IP1'!$D$96:$D$114))/12*'IP1'!$F$154))</f>
        <v>0</v>
      </c>
      <c r="G30" s="85">
        <f>IF(LEFT($D30,5)="Other",VLOOKUP($A30,'IP1'!$A$37:$G$89,4,0)*VLOOKUP(VLOOKUP($A30,'IP1'!$A$37:$G$89,7,0),Patterns!$A$2:$N$28,COLUMN(G30)-2,0)/VLOOKUP(VLOOKUP($A30,'IP1'!$A$37:$G$89,7,0),Patterns!$A$2:$N$28,2,0),IF(LEFT($D30,7)="Payroll",SUMPRODUCT(($B30='IP1'!$B$96:$B$114)*('IP1'!$D$96:$D$114))/12,SUMPRODUCT(($B30='IP1'!$B$96:$B$114)*('IP1'!$D$96:$D$114))/12*'IP1'!$F$154))</f>
        <v>0</v>
      </c>
      <c r="H30" s="85">
        <f>IF(LEFT($D30,5)="Other",VLOOKUP($A30,'IP1'!$A$37:$G$89,4,0)*VLOOKUP(VLOOKUP($A30,'IP1'!$A$37:$G$89,7,0),Patterns!$A$2:$N$28,COLUMN(H30)-2,0)/VLOOKUP(VLOOKUP($A30,'IP1'!$A$37:$G$89,7,0),Patterns!$A$2:$N$28,2,0),IF(LEFT($D30,7)="Payroll",SUMPRODUCT(($B30='IP1'!$B$96:$B$114)*('IP1'!$D$96:$D$114))/12,SUMPRODUCT(($B30='IP1'!$B$96:$B$114)*('IP1'!$D$96:$D$114))/12*'IP1'!$F$154))</f>
        <v>12500</v>
      </c>
      <c r="I30" s="85">
        <f>IF(LEFT($D30,5)="Other",VLOOKUP($A30,'IP1'!$A$37:$G$89,4,0)*VLOOKUP(VLOOKUP($A30,'IP1'!$A$37:$G$89,7,0),Patterns!$A$2:$N$28,COLUMN(I30)-2,0)/VLOOKUP(VLOOKUP($A30,'IP1'!$A$37:$G$89,7,0),Patterns!$A$2:$N$28,2,0),IF(LEFT($D30,7)="Payroll",SUMPRODUCT(($B30='IP1'!$B$96:$B$114)*('IP1'!$D$96:$D$114))/12,SUMPRODUCT(($B30='IP1'!$B$96:$B$114)*('IP1'!$D$96:$D$114))/12*'IP1'!$F$154))</f>
        <v>0</v>
      </c>
      <c r="J30" s="85">
        <f>IF(LEFT($D30,5)="Other",VLOOKUP($A30,'IP1'!$A$37:$G$89,4,0)*VLOOKUP(VLOOKUP($A30,'IP1'!$A$37:$G$89,7,0),Patterns!$A$2:$N$28,COLUMN(J30)-2,0)/VLOOKUP(VLOOKUP($A30,'IP1'!$A$37:$G$89,7,0),Patterns!$A$2:$N$28,2,0),IF(LEFT($D30,7)="Payroll",SUMPRODUCT(($B30='IP1'!$B$96:$B$114)*('IP1'!$D$96:$D$114))/12,SUMPRODUCT(($B30='IP1'!$B$96:$B$114)*('IP1'!$D$96:$D$114))/12*'IP1'!$F$154))</f>
        <v>0</v>
      </c>
      <c r="K30" s="85">
        <f>IF(LEFT($D30,5)="Other",VLOOKUP($A30,'IP1'!$A$37:$G$89,4,0)*VLOOKUP(VLOOKUP($A30,'IP1'!$A$37:$G$89,7,0),Patterns!$A$2:$N$28,COLUMN(K30)-2,0)/VLOOKUP(VLOOKUP($A30,'IP1'!$A$37:$G$89,7,0),Patterns!$A$2:$N$28,2,0),IF(LEFT($D30,7)="Payroll",SUMPRODUCT(($B30='IP1'!$B$96:$B$114)*('IP1'!$D$96:$D$114))/12,SUMPRODUCT(($B30='IP1'!$B$96:$B$114)*('IP1'!$D$96:$D$114))/12*'IP1'!$F$154))</f>
        <v>12500</v>
      </c>
      <c r="L30" s="85">
        <f>IF(LEFT($D30,5)="Other",VLOOKUP($A30,'IP1'!$A$37:$G$89,4,0)*VLOOKUP(VLOOKUP($A30,'IP1'!$A$37:$G$89,7,0),Patterns!$A$2:$N$28,COLUMN(L30)-2,0)/VLOOKUP(VLOOKUP($A30,'IP1'!$A$37:$G$89,7,0),Patterns!$A$2:$N$28,2,0),IF(LEFT($D30,7)="Payroll",SUMPRODUCT(($B30='IP1'!$B$96:$B$114)*('IP1'!$D$96:$D$114))/12,SUMPRODUCT(($B30='IP1'!$B$96:$B$114)*('IP1'!$D$96:$D$114))/12*'IP1'!$F$154))</f>
        <v>0</v>
      </c>
      <c r="M30" s="85">
        <f>IF(LEFT($D30,5)="Other",VLOOKUP($A30,'IP1'!$A$37:$G$89,4,0)*VLOOKUP(VLOOKUP($A30,'IP1'!$A$37:$G$89,7,0),Patterns!$A$2:$N$28,COLUMN(M30)-2,0)/VLOOKUP(VLOOKUP($A30,'IP1'!$A$37:$G$89,7,0),Patterns!$A$2:$N$28,2,0),IF(LEFT($D30,7)="Payroll",SUMPRODUCT(($B30='IP1'!$B$96:$B$114)*('IP1'!$D$96:$D$114))/12,SUMPRODUCT(($B30='IP1'!$B$96:$B$114)*('IP1'!$D$96:$D$114))/12*'IP1'!$F$154))</f>
        <v>0</v>
      </c>
      <c r="N30" s="85">
        <f>IF(LEFT($D30,5)="Other",VLOOKUP($A30,'IP1'!$A$37:$G$89,4,0)*VLOOKUP(VLOOKUP($A30,'IP1'!$A$37:$G$89,7,0),Patterns!$A$2:$N$28,COLUMN(N30)-2,0)/VLOOKUP(VLOOKUP($A30,'IP1'!$A$37:$G$89,7,0),Patterns!$A$2:$N$28,2,0),IF(LEFT($D30,7)="Payroll",SUMPRODUCT(($B30='IP1'!$B$96:$B$114)*('IP1'!$D$96:$D$114))/12,SUMPRODUCT(($B30='IP1'!$B$96:$B$114)*('IP1'!$D$96:$D$114))/12*'IP1'!$F$154))</f>
        <v>12500</v>
      </c>
      <c r="O30" s="85">
        <f>IF(LEFT($D30,5)="Other",VLOOKUP($A30,'IP1'!$A$37:$G$89,4,0)*VLOOKUP(VLOOKUP($A30,'IP1'!$A$37:$G$89,7,0),Patterns!$A$2:$N$28,COLUMN(O30)-2,0)/VLOOKUP(VLOOKUP($A30,'IP1'!$A$37:$G$89,7,0),Patterns!$A$2:$N$28,2,0),IF(LEFT($D30,7)="Payroll",SUMPRODUCT(($B30='IP1'!$B$96:$B$114)*('IP1'!$D$96:$D$114))/12,SUMPRODUCT(($B30='IP1'!$B$96:$B$114)*('IP1'!$D$96:$D$114))/12*'IP1'!$F$154))</f>
        <v>0</v>
      </c>
      <c r="P30" s="85">
        <f>IF(LEFT($D30,5)="Other",VLOOKUP($A30,'IP1'!$A$37:$G$89,4,0)*VLOOKUP(VLOOKUP($A30,'IP1'!$A$37:$G$89,7,0),Patterns!$A$2:$N$28,COLUMN(P30)-2,0)/VLOOKUP(VLOOKUP($A30,'IP1'!$A$37:$G$89,7,0),Patterns!$A$2:$N$28,2,0),IF(LEFT($D30,7)="Payroll",SUMPRODUCT(($B30='IP1'!$B$96:$B$114)*('IP1'!$D$96:$D$114))/12,SUMPRODUCT(($B30='IP1'!$B$96:$B$114)*('IP1'!$D$96:$D$114))/12*'IP1'!$F$154))</f>
        <v>0</v>
      </c>
      <c r="Q30" s="85">
        <f>IF(LEFT($D30,5)="Other",VLOOKUP($A30,'IP1'!$A$37:$G$89,5,0)*VLOOKUP(VLOOKUP($A30,'IP1'!$A$37:$G$89,7,0),Patterns!$A$2:$N$28,COLUMN(Q30)-14,0)/VLOOKUP(VLOOKUP($A30,'IP1'!$A$37:$G$89,7,0),Patterns!$A$2:$N$28,2,0),IF(LEFT($D30,7)="Payroll",SUMPRODUCT(($B30='IP1'!$B$96:$B$114)*('IP1'!$E$96:$E$114))/12,SUMPRODUCT(($B30='IP1'!$B$96:$B$114)*('IP1'!$E$96:$E$114))/12*'IP1'!$F$154))</f>
        <v>15000</v>
      </c>
      <c r="R30" s="85">
        <f>IF(LEFT($D30,5)="Other",VLOOKUP($A30,'IP1'!$A$37:$G$89,5,0)*VLOOKUP(VLOOKUP($A30,'IP1'!$A$37:$G$89,7,0),Patterns!$A$2:$N$28,COLUMN(R30)-14,0)/VLOOKUP(VLOOKUP($A30,'IP1'!$A$37:$G$89,7,0),Patterns!$A$2:$N$28,2,0),IF(LEFT($D30,7)="Payroll",SUMPRODUCT(($B30='IP1'!$B$96:$B$114)*('IP1'!$E$96:$E$114))/12,SUMPRODUCT(($B30='IP1'!$B$96:$B$114)*('IP1'!$E$96:$E$114))/12*'IP1'!$F$154))</f>
        <v>0</v>
      </c>
      <c r="S30" s="85">
        <f>IF(LEFT($D30,5)="Other",VLOOKUP($A30,'IP1'!$A$37:$G$89,5,0)*VLOOKUP(VLOOKUP($A30,'IP1'!$A$37:$G$89,7,0),Patterns!$A$2:$N$28,COLUMN(S30)-14,0)/VLOOKUP(VLOOKUP($A30,'IP1'!$A$37:$G$89,7,0),Patterns!$A$2:$N$28,2,0),IF(LEFT($D30,7)="Payroll",SUMPRODUCT(($B30='IP1'!$B$96:$B$114)*('IP1'!$E$96:$E$114))/12,SUMPRODUCT(($B30='IP1'!$B$96:$B$114)*('IP1'!$E$96:$E$114))/12*'IP1'!$F$154))</f>
        <v>0</v>
      </c>
      <c r="T30" s="85">
        <f>IF(LEFT($D30,5)="Other",VLOOKUP($A30,'IP1'!$A$37:$G$89,5,0)*VLOOKUP(VLOOKUP($A30,'IP1'!$A$37:$G$89,7,0),Patterns!$A$2:$N$28,COLUMN(T30)-14,0)/VLOOKUP(VLOOKUP($A30,'IP1'!$A$37:$G$89,7,0),Patterns!$A$2:$N$28,2,0),IF(LEFT($D30,7)="Payroll",SUMPRODUCT(($B30='IP1'!$B$96:$B$114)*('IP1'!$E$96:$E$114))/12,SUMPRODUCT(($B30='IP1'!$B$96:$B$114)*('IP1'!$E$96:$E$114))/12*'IP1'!$F$154))</f>
        <v>15000</v>
      </c>
      <c r="U30" s="85">
        <f>IF(LEFT($D30,5)="Other",VLOOKUP($A30,'IP1'!$A$37:$G$89,5,0)*VLOOKUP(VLOOKUP($A30,'IP1'!$A$37:$G$89,7,0),Patterns!$A$2:$N$28,COLUMN(U30)-14,0)/VLOOKUP(VLOOKUP($A30,'IP1'!$A$37:$G$89,7,0),Patterns!$A$2:$N$28,2,0),IF(LEFT($D30,7)="Payroll",SUMPRODUCT(($B30='IP1'!$B$96:$B$114)*('IP1'!$E$96:$E$114))/12,SUMPRODUCT(($B30='IP1'!$B$96:$B$114)*('IP1'!$E$96:$E$114))/12*'IP1'!$F$154))</f>
        <v>0</v>
      </c>
      <c r="V30" s="85">
        <f>IF(LEFT($D30,5)="Other",VLOOKUP($A30,'IP1'!$A$37:$G$89,5,0)*VLOOKUP(VLOOKUP($A30,'IP1'!$A$37:$G$89,7,0),Patterns!$A$2:$N$28,COLUMN(V30)-14,0)/VLOOKUP(VLOOKUP($A30,'IP1'!$A$37:$G$89,7,0),Patterns!$A$2:$N$28,2,0),IF(LEFT($D30,7)="Payroll",SUMPRODUCT(($B30='IP1'!$B$96:$B$114)*('IP1'!$E$96:$E$114))/12,SUMPRODUCT(($B30='IP1'!$B$96:$B$114)*('IP1'!$E$96:$E$114))/12*'IP1'!$F$154))</f>
        <v>0</v>
      </c>
      <c r="W30" s="85">
        <f>IF(LEFT($D30,5)="Other",VLOOKUP($A30,'IP1'!$A$37:$G$89,5,0)*VLOOKUP(VLOOKUP($A30,'IP1'!$A$37:$G$89,7,0),Patterns!$A$2:$N$28,COLUMN(W30)-14,0)/VLOOKUP(VLOOKUP($A30,'IP1'!$A$37:$G$89,7,0),Patterns!$A$2:$N$28,2,0),IF(LEFT($D30,7)="Payroll",SUMPRODUCT(($B30='IP1'!$B$96:$B$114)*('IP1'!$E$96:$E$114))/12,SUMPRODUCT(($B30='IP1'!$B$96:$B$114)*('IP1'!$E$96:$E$114))/12*'IP1'!$F$154))</f>
        <v>15000</v>
      </c>
      <c r="X30" s="85">
        <f>IF(LEFT($D30,5)="Other",VLOOKUP($A30,'IP1'!$A$37:$G$89,5,0)*VLOOKUP(VLOOKUP($A30,'IP1'!$A$37:$G$89,7,0),Patterns!$A$2:$N$28,COLUMN(X30)-14,0)/VLOOKUP(VLOOKUP($A30,'IP1'!$A$37:$G$89,7,0),Patterns!$A$2:$N$28,2,0),IF(LEFT($D30,7)="Payroll",SUMPRODUCT(($B30='IP1'!$B$96:$B$114)*('IP1'!$E$96:$E$114))/12,SUMPRODUCT(($B30='IP1'!$B$96:$B$114)*('IP1'!$E$96:$E$114))/12*'IP1'!$F$154))</f>
        <v>0</v>
      </c>
      <c r="Y30" s="85">
        <f>IF(LEFT($D30,5)="Other",VLOOKUP($A30,'IP1'!$A$37:$G$89,5,0)*VLOOKUP(VLOOKUP($A30,'IP1'!$A$37:$G$89,7,0),Patterns!$A$2:$N$28,COLUMN(Y30)-14,0)/VLOOKUP(VLOOKUP($A30,'IP1'!$A$37:$G$89,7,0),Patterns!$A$2:$N$28,2,0),IF(LEFT($D30,7)="Payroll",SUMPRODUCT(($B30='IP1'!$B$96:$B$114)*('IP1'!$E$96:$E$114))/12,SUMPRODUCT(($B30='IP1'!$B$96:$B$114)*('IP1'!$E$96:$E$114))/12*'IP1'!$F$154))</f>
        <v>0</v>
      </c>
      <c r="Z30" s="85">
        <f>IF(LEFT($D30,5)="Other",VLOOKUP($A30,'IP1'!$A$37:$G$89,5,0)*VLOOKUP(VLOOKUP($A30,'IP1'!$A$37:$G$89,7,0),Patterns!$A$2:$N$28,COLUMN(Z30)-14,0)/VLOOKUP(VLOOKUP($A30,'IP1'!$A$37:$G$89,7,0),Patterns!$A$2:$N$28,2,0),IF(LEFT($D30,7)="Payroll",SUMPRODUCT(($B30='IP1'!$B$96:$B$114)*('IP1'!$E$96:$E$114))/12,SUMPRODUCT(($B30='IP1'!$B$96:$B$114)*('IP1'!$E$96:$E$114))/12*'IP1'!$F$154))</f>
        <v>15000</v>
      </c>
      <c r="AA30" s="85">
        <f>IF(LEFT($D30,5)="Other",VLOOKUP($A30,'IP1'!$A$37:$G$89,5,0)*VLOOKUP(VLOOKUP($A30,'IP1'!$A$37:$G$89,7,0),Patterns!$A$2:$N$28,COLUMN(AA30)-14,0)/VLOOKUP(VLOOKUP($A30,'IP1'!$A$37:$G$89,7,0),Patterns!$A$2:$N$28,2,0),IF(LEFT($D30,7)="Payroll",SUMPRODUCT(($B30='IP1'!$B$96:$B$114)*('IP1'!$E$96:$E$114))/12,SUMPRODUCT(($B30='IP1'!$B$96:$B$114)*('IP1'!$E$96:$E$114))/12*'IP1'!$F$154))</f>
        <v>0</v>
      </c>
      <c r="AB30" s="85">
        <f>IF(LEFT($D30,5)="Other",VLOOKUP($A30,'IP1'!$A$37:$G$89,5,0)*VLOOKUP(VLOOKUP($A30,'IP1'!$A$37:$G$89,7,0),Patterns!$A$2:$N$28,COLUMN(AB30)-14,0)/VLOOKUP(VLOOKUP($A30,'IP1'!$A$37:$G$89,7,0),Patterns!$A$2:$N$28,2,0),IF(LEFT($D30,7)="Payroll",SUMPRODUCT(($B30='IP1'!$B$96:$B$114)*('IP1'!$E$96:$E$114))/12,SUMPRODUCT(($B30='IP1'!$B$96:$B$114)*('IP1'!$E$96:$E$114))/12*'IP1'!$F$154))</f>
        <v>0</v>
      </c>
    </row>
    <row r="31" spans="1:28">
      <c r="A31" s="1" t="str">
        <f t="shared" si="1"/>
        <v xml:space="preserve">UtilitiesGas </v>
      </c>
      <c r="B31" s="1" t="s">
        <v>443</v>
      </c>
      <c r="C31" s="1" t="s">
        <v>445</v>
      </c>
      <c r="D31" s="11" t="s">
        <v>100</v>
      </c>
      <c r="E31" s="85">
        <f>IF(LEFT($D31,5)="Other",
VLOOKUP($A31,'IP1'!$A$37:$G$89,4,0)*
VLOOKUP(
VLOOKUP($A31,'IP1'!$A$37:$G$89,7,0),Patterns!$A$2:$N$28,COLUMN(E31)-2,0)/
VLOOKUP(
VLOOKUP($A31,'IP1'!$A$37:$G$89,7,0),Patterns!$A$2:$N$28,2,0),
IF(LEFT($D31,7)="Payroll",
SUMPRODUCT(($B31='IP1'!$B$96:$B$114)*('IP1'!$D$96:$D$114))/12,
SUMPRODUCT(($B31='IP1'!$B$96:$B$114)*('IP1'!$D$96:$D$114))/12*'IP1'!$F$154))</f>
        <v>12500</v>
      </c>
      <c r="F31" s="85">
        <f>IF(LEFT($D31,5)="Other",VLOOKUP($A31,'IP1'!$A$37:$G$89,4,0)*VLOOKUP(VLOOKUP($A31,'IP1'!$A$37:$G$89,7,0),Patterns!$A$2:$N$28,COLUMN(F31)-2,0)/VLOOKUP(VLOOKUP($A31,'IP1'!$A$37:$G$89,7,0),Patterns!$A$2:$N$28,2,0),IF(LEFT($D31,7)="Payroll",SUMPRODUCT(($B31='IP1'!$B$96:$B$114)*('IP1'!$D$96:$D$114))/12,SUMPRODUCT(($B31='IP1'!$B$96:$B$114)*('IP1'!$D$96:$D$114))/12*'IP1'!$F$154))</f>
        <v>0</v>
      </c>
      <c r="G31" s="85">
        <f>IF(LEFT($D31,5)="Other",VLOOKUP($A31,'IP1'!$A$37:$G$89,4,0)*VLOOKUP(VLOOKUP($A31,'IP1'!$A$37:$G$89,7,0),Patterns!$A$2:$N$28,COLUMN(G31)-2,0)/VLOOKUP(VLOOKUP($A31,'IP1'!$A$37:$G$89,7,0),Patterns!$A$2:$N$28,2,0),IF(LEFT($D31,7)="Payroll",SUMPRODUCT(($B31='IP1'!$B$96:$B$114)*('IP1'!$D$96:$D$114))/12,SUMPRODUCT(($B31='IP1'!$B$96:$B$114)*('IP1'!$D$96:$D$114))/12*'IP1'!$F$154))</f>
        <v>0</v>
      </c>
      <c r="H31" s="85">
        <f>IF(LEFT($D31,5)="Other",VLOOKUP($A31,'IP1'!$A$37:$G$89,4,0)*VLOOKUP(VLOOKUP($A31,'IP1'!$A$37:$G$89,7,0),Patterns!$A$2:$N$28,COLUMN(H31)-2,0)/VLOOKUP(VLOOKUP($A31,'IP1'!$A$37:$G$89,7,0),Patterns!$A$2:$N$28,2,0),IF(LEFT($D31,7)="Payroll",SUMPRODUCT(($B31='IP1'!$B$96:$B$114)*('IP1'!$D$96:$D$114))/12,SUMPRODUCT(($B31='IP1'!$B$96:$B$114)*('IP1'!$D$96:$D$114))/12*'IP1'!$F$154))</f>
        <v>12500</v>
      </c>
      <c r="I31" s="85">
        <f>IF(LEFT($D31,5)="Other",VLOOKUP($A31,'IP1'!$A$37:$G$89,4,0)*VLOOKUP(VLOOKUP($A31,'IP1'!$A$37:$G$89,7,0),Patterns!$A$2:$N$28,COLUMN(I31)-2,0)/VLOOKUP(VLOOKUP($A31,'IP1'!$A$37:$G$89,7,0),Patterns!$A$2:$N$28,2,0),IF(LEFT($D31,7)="Payroll",SUMPRODUCT(($B31='IP1'!$B$96:$B$114)*('IP1'!$D$96:$D$114))/12,SUMPRODUCT(($B31='IP1'!$B$96:$B$114)*('IP1'!$D$96:$D$114))/12*'IP1'!$F$154))</f>
        <v>0</v>
      </c>
      <c r="J31" s="85">
        <f>IF(LEFT($D31,5)="Other",VLOOKUP($A31,'IP1'!$A$37:$G$89,4,0)*VLOOKUP(VLOOKUP($A31,'IP1'!$A$37:$G$89,7,0),Patterns!$A$2:$N$28,COLUMN(J31)-2,0)/VLOOKUP(VLOOKUP($A31,'IP1'!$A$37:$G$89,7,0),Patterns!$A$2:$N$28,2,0),IF(LEFT($D31,7)="Payroll",SUMPRODUCT(($B31='IP1'!$B$96:$B$114)*('IP1'!$D$96:$D$114))/12,SUMPRODUCT(($B31='IP1'!$B$96:$B$114)*('IP1'!$D$96:$D$114))/12*'IP1'!$F$154))</f>
        <v>0</v>
      </c>
      <c r="K31" s="85">
        <f>IF(LEFT($D31,5)="Other",VLOOKUP($A31,'IP1'!$A$37:$G$89,4,0)*VLOOKUP(VLOOKUP($A31,'IP1'!$A$37:$G$89,7,0),Patterns!$A$2:$N$28,COLUMN(K31)-2,0)/VLOOKUP(VLOOKUP($A31,'IP1'!$A$37:$G$89,7,0),Patterns!$A$2:$N$28,2,0),IF(LEFT($D31,7)="Payroll",SUMPRODUCT(($B31='IP1'!$B$96:$B$114)*('IP1'!$D$96:$D$114))/12,SUMPRODUCT(($B31='IP1'!$B$96:$B$114)*('IP1'!$D$96:$D$114))/12*'IP1'!$F$154))</f>
        <v>12500</v>
      </c>
      <c r="L31" s="85">
        <f>IF(LEFT($D31,5)="Other",VLOOKUP($A31,'IP1'!$A$37:$G$89,4,0)*VLOOKUP(VLOOKUP($A31,'IP1'!$A$37:$G$89,7,0),Patterns!$A$2:$N$28,COLUMN(L31)-2,0)/VLOOKUP(VLOOKUP($A31,'IP1'!$A$37:$G$89,7,0),Patterns!$A$2:$N$28,2,0),IF(LEFT($D31,7)="Payroll",SUMPRODUCT(($B31='IP1'!$B$96:$B$114)*('IP1'!$D$96:$D$114))/12,SUMPRODUCT(($B31='IP1'!$B$96:$B$114)*('IP1'!$D$96:$D$114))/12*'IP1'!$F$154))</f>
        <v>0</v>
      </c>
      <c r="M31" s="85">
        <f>IF(LEFT($D31,5)="Other",VLOOKUP($A31,'IP1'!$A$37:$G$89,4,0)*VLOOKUP(VLOOKUP($A31,'IP1'!$A$37:$G$89,7,0),Patterns!$A$2:$N$28,COLUMN(M31)-2,0)/VLOOKUP(VLOOKUP($A31,'IP1'!$A$37:$G$89,7,0),Patterns!$A$2:$N$28,2,0),IF(LEFT($D31,7)="Payroll",SUMPRODUCT(($B31='IP1'!$B$96:$B$114)*('IP1'!$D$96:$D$114))/12,SUMPRODUCT(($B31='IP1'!$B$96:$B$114)*('IP1'!$D$96:$D$114))/12*'IP1'!$F$154))</f>
        <v>0</v>
      </c>
      <c r="N31" s="85">
        <f>IF(LEFT($D31,5)="Other",VLOOKUP($A31,'IP1'!$A$37:$G$89,4,0)*VLOOKUP(VLOOKUP($A31,'IP1'!$A$37:$G$89,7,0),Patterns!$A$2:$N$28,COLUMN(N31)-2,0)/VLOOKUP(VLOOKUP($A31,'IP1'!$A$37:$G$89,7,0),Patterns!$A$2:$N$28,2,0),IF(LEFT($D31,7)="Payroll",SUMPRODUCT(($B31='IP1'!$B$96:$B$114)*('IP1'!$D$96:$D$114))/12,SUMPRODUCT(($B31='IP1'!$B$96:$B$114)*('IP1'!$D$96:$D$114))/12*'IP1'!$F$154))</f>
        <v>12500</v>
      </c>
      <c r="O31" s="85">
        <f>IF(LEFT($D31,5)="Other",VLOOKUP($A31,'IP1'!$A$37:$G$89,4,0)*VLOOKUP(VLOOKUP($A31,'IP1'!$A$37:$G$89,7,0),Patterns!$A$2:$N$28,COLUMN(O31)-2,0)/VLOOKUP(VLOOKUP($A31,'IP1'!$A$37:$G$89,7,0),Patterns!$A$2:$N$28,2,0),IF(LEFT($D31,7)="Payroll",SUMPRODUCT(($B31='IP1'!$B$96:$B$114)*('IP1'!$D$96:$D$114))/12,SUMPRODUCT(($B31='IP1'!$B$96:$B$114)*('IP1'!$D$96:$D$114))/12*'IP1'!$F$154))</f>
        <v>0</v>
      </c>
      <c r="P31" s="85">
        <f>IF(LEFT($D31,5)="Other",VLOOKUP($A31,'IP1'!$A$37:$G$89,4,0)*VLOOKUP(VLOOKUP($A31,'IP1'!$A$37:$G$89,7,0),Patterns!$A$2:$N$28,COLUMN(P31)-2,0)/VLOOKUP(VLOOKUP($A31,'IP1'!$A$37:$G$89,7,0),Patterns!$A$2:$N$28,2,0),IF(LEFT($D31,7)="Payroll",SUMPRODUCT(($B31='IP1'!$B$96:$B$114)*('IP1'!$D$96:$D$114))/12,SUMPRODUCT(($B31='IP1'!$B$96:$B$114)*('IP1'!$D$96:$D$114))/12*'IP1'!$F$154))</f>
        <v>0</v>
      </c>
      <c r="Q31" s="85">
        <f>IF(LEFT($D31,5)="Other",VLOOKUP($A31,'IP1'!$A$37:$G$89,5,0)*VLOOKUP(VLOOKUP($A31,'IP1'!$A$37:$G$89,7,0),Patterns!$A$2:$N$28,COLUMN(Q31)-14,0)/VLOOKUP(VLOOKUP($A31,'IP1'!$A$37:$G$89,7,0),Patterns!$A$2:$N$28,2,0),IF(LEFT($D31,7)="Payroll",SUMPRODUCT(($B31='IP1'!$B$96:$B$114)*('IP1'!$E$96:$E$114))/12,SUMPRODUCT(($B31='IP1'!$B$96:$B$114)*('IP1'!$E$96:$E$114))/12*'IP1'!$F$154))</f>
        <v>18750</v>
      </c>
      <c r="R31" s="85">
        <f>IF(LEFT($D31,5)="Other",VLOOKUP($A31,'IP1'!$A$37:$G$89,5,0)*VLOOKUP(VLOOKUP($A31,'IP1'!$A$37:$G$89,7,0),Patterns!$A$2:$N$28,COLUMN(R31)-14,0)/VLOOKUP(VLOOKUP($A31,'IP1'!$A$37:$G$89,7,0),Patterns!$A$2:$N$28,2,0),IF(LEFT($D31,7)="Payroll",SUMPRODUCT(($B31='IP1'!$B$96:$B$114)*('IP1'!$E$96:$E$114))/12,SUMPRODUCT(($B31='IP1'!$B$96:$B$114)*('IP1'!$E$96:$E$114))/12*'IP1'!$F$154))</f>
        <v>0</v>
      </c>
      <c r="S31" s="85">
        <f>IF(LEFT($D31,5)="Other",VLOOKUP($A31,'IP1'!$A$37:$G$89,5,0)*VLOOKUP(VLOOKUP($A31,'IP1'!$A$37:$G$89,7,0),Patterns!$A$2:$N$28,COLUMN(S31)-14,0)/VLOOKUP(VLOOKUP($A31,'IP1'!$A$37:$G$89,7,0),Patterns!$A$2:$N$28,2,0),IF(LEFT($D31,7)="Payroll",SUMPRODUCT(($B31='IP1'!$B$96:$B$114)*('IP1'!$E$96:$E$114))/12,SUMPRODUCT(($B31='IP1'!$B$96:$B$114)*('IP1'!$E$96:$E$114))/12*'IP1'!$F$154))</f>
        <v>0</v>
      </c>
      <c r="T31" s="85">
        <f>IF(LEFT($D31,5)="Other",VLOOKUP($A31,'IP1'!$A$37:$G$89,5,0)*VLOOKUP(VLOOKUP($A31,'IP1'!$A$37:$G$89,7,0),Patterns!$A$2:$N$28,COLUMN(T31)-14,0)/VLOOKUP(VLOOKUP($A31,'IP1'!$A$37:$G$89,7,0),Patterns!$A$2:$N$28,2,0),IF(LEFT($D31,7)="Payroll",SUMPRODUCT(($B31='IP1'!$B$96:$B$114)*('IP1'!$E$96:$E$114))/12,SUMPRODUCT(($B31='IP1'!$B$96:$B$114)*('IP1'!$E$96:$E$114))/12*'IP1'!$F$154))</f>
        <v>18750</v>
      </c>
      <c r="U31" s="85">
        <f>IF(LEFT($D31,5)="Other",VLOOKUP($A31,'IP1'!$A$37:$G$89,5,0)*VLOOKUP(VLOOKUP($A31,'IP1'!$A$37:$G$89,7,0),Patterns!$A$2:$N$28,COLUMN(U31)-14,0)/VLOOKUP(VLOOKUP($A31,'IP1'!$A$37:$G$89,7,0),Patterns!$A$2:$N$28,2,0),IF(LEFT($D31,7)="Payroll",SUMPRODUCT(($B31='IP1'!$B$96:$B$114)*('IP1'!$E$96:$E$114))/12,SUMPRODUCT(($B31='IP1'!$B$96:$B$114)*('IP1'!$E$96:$E$114))/12*'IP1'!$F$154))</f>
        <v>0</v>
      </c>
      <c r="V31" s="85">
        <f>IF(LEFT($D31,5)="Other",VLOOKUP($A31,'IP1'!$A$37:$G$89,5,0)*VLOOKUP(VLOOKUP($A31,'IP1'!$A$37:$G$89,7,0),Patterns!$A$2:$N$28,COLUMN(V31)-14,0)/VLOOKUP(VLOOKUP($A31,'IP1'!$A$37:$G$89,7,0),Patterns!$A$2:$N$28,2,0),IF(LEFT($D31,7)="Payroll",SUMPRODUCT(($B31='IP1'!$B$96:$B$114)*('IP1'!$E$96:$E$114))/12,SUMPRODUCT(($B31='IP1'!$B$96:$B$114)*('IP1'!$E$96:$E$114))/12*'IP1'!$F$154))</f>
        <v>0</v>
      </c>
      <c r="W31" s="85">
        <f>IF(LEFT($D31,5)="Other",VLOOKUP($A31,'IP1'!$A$37:$G$89,5,0)*VLOOKUP(VLOOKUP($A31,'IP1'!$A$37:$G$89,7,0),Patterns!$A$2:$N$28,COLUMN(W31)-14,0)/VLOOKUP(VLOOKUP($A31,'IP1'!$A$37:$G$89,7,0),Patterns!$A$2:$N$28,2,0),IF(LEFT($D31,7)="Payroll",SUMPRODUCT(($B31='IP1'!$B$96:$B$114)*('IP1'!$E$96:$E$114))/12,SUMPRODUCT(($B31='IP1'!$B$96:$B$114)*('IP1'!$E$96:$E$114))/12*'IP1'!$F$154))</f>
        <v>18750</v>
      </c>
      <c r="X31" s="85">
        <f>IF(LEFT($D31,5)="Other",VLOOKUP($A31,'IP1'!$A$37:$G$89,5,0)*VLOOKUP(VLOOKUP($A31,'IP1'!$A$37:$G$89,7,0),Patterns!$A$2:$N$28,COLUMN(X31)-14,0)/VLOOKUP(VLOOKUP($A31,'IP1'!$A$37:$G$89,7,0),Patterns!$A$2:$N$28,2,0),IF(LEFT($D31,7)="Payroll",SUMPRODUCT(($B31='IP1'!$B$96:$B$114)*('IP1'!$E$96:$E$114))/12,SUMPRODUCT(($B31='IP1'!$B$96:$B$114)*('IP1'!$E$96:$E$114))/12*'IP1'!$F$154))</f>
        <v>0</v>
      </c>
      <c r="Y31" s="85">
        <f>IF(LEFT($D31,5)="Other",VLOOKUP($A31,'IP1'!$A$37:$G$89,5,0)*VLOOKUP(VLOOKUP($A31,'IP1'!$A$37:$G$89,7,0),Patterns!$A$2:$N$28,COLUMN(Y31)-14,0)/VLOOKUP(VLOOKUP($A31,'IP1'!$A$37:$G$89,7,0),Patterns!$A$2:$N$28,2,0),IF(LEFT($D31,7)="Payroll",SUMPRODUCT(($B31='IP1'!$B$96:$B$114)*('IP1'!$E$96:$E$114))/12,SUMPRODUCT(($B31='IP1'!$B$96:$B$114)*('IP1'!$E$96:$E$114))/12*'IP1'!$F$154))</f>
        <v>0</v>
      </c>
      <c r="Z31" s="85">
        <f>IF(LEFT($D31,5)="Other",VLOOKUP($A31,'IP1'!$A$37:$G$89,5,0)*VLOOKUP(VLOOKUP($A31,'IP1'!$A$37:$G$89,7,0),Patterns!$A$2:$N$28,COLUMN(Z31)-14,0)/VLOOKUP(VLOOKUP($A31,'IP1'!$A$37:$G$89,7,0),Patterns!$A$2:$N$28,2,0),IF(LEFT($D31,7)="Payroll",SUMPRODUCT(($B31='IP1'!$B$96:$B$114)*('IP1'!$E$96:$E$114))/12,SUMPRODUCT(($B31='IP1'!$B$96:$B$114)*('IP1'!$E$96:$E$114))/12*'IP1'!$F$154))</f>
        <v>18750</v>
      </c>
      <c r="AA31" s="85">
        <f>IF(LEFT($D31,5)="Other",VLOOKUP($A31,'IP1'!$A$37:$G$89,5,0)*VLOOKUP(VLOOKUP($A31,'IP1'!$A$37:$G$89,7,0),Patterns!$A$2:$N$28,COLUMN(AA31)-14,0)/VLOOKUP(VLOOKUP($A31,'IP1'!$A$37:$G$89,7,0),Patterns!$A$2:$N$28,2,0),IF(LEFT($D31,7)="Payroll",SUMPRODUCT(($B31='IP1'!$B$96:$B$114)*('IP1'!$E$96:$E$114))/12,SUMPRODUCT(($B31='IP1'!$B$96:$B$114)*('IP1'!$E$96:$E$114))/12*'IP1'!$F$154))</f>
        <v>0</v>
      </c>
      <c r="AB31" s="85">
        <f>IF(LEFT($D31,5)="Other",VLOOKUP($A31,'IP1'!$A$37:$G$89,5,0)*VLOOKUP(VLOOKUP($A31,'IP1'!$A$37:$G$89,7,0),Patterns!$A$2:$N$28,COLUMN(AB31)-14,0)/VLOOKUP(VLOOKUP($A31,'IP1'!$A$37:$G$89,7,0),Patterns!$A$2:$N$28,2,0),IF(LEFT($D31,7)="Payroll",SUMPRODUCT(($B31='IP1'!$B$96:$B$114)*('IP1'!$E$96:$E$114))/12,SUMPRODUCT(($B31='IP1'!$B$96:$B$114)*('IP1'!$E$96:$E$114))/12*'IP1'!$F$154))</f>
        <v>0</v>
      </c>
    </row>
    <row r="32" spans="1:28">
      <c r="A32" s="1" t="str">
        <f t="shared" si="1"/>
        <v xml:space="preserve">UtilitiesOil </v>
      </c>
      <c r="B32" s="1" t="s">
        <v>443</v>
      </c>
      <c r="C32" s="1" t="s">
        <v>446</v>
      </c>
      <c r="D32" s="11" t="s">
        <v>100</v>
      </c>
      <c r="E32" s="85">
        <f>IF(LEFT($D32,5)="Other",
VLOOKUP($A32,'IP1'!$A$37:$G$89,4,0)*
VLOOKUP(
VLOOKUP($A32,'IP1'!$A$37:$G$89,7,0),Patterns!$A$2:$N$28,COLUMN(E32)-2,0)/
VLOOKUP(
VLOOKUP($A32,'IP1'!$A$37:$G$89,7,0),Patterns!$A$2:$N$28,2,0),
IF(LEFT($D32,7)="Payroll",
SUMPRODUCT(($B32='IP1'!$B$96:$B$114)*('IP1'!$D$96:$D$114))/12,
SUMPRODUCT(($B32='IP1'!$B$96:$B$114)*('IP1'!$D$96:$D$114))/12*'IP1'!$F$154))</f>
        <v>0</v>
      </c>
      <c r="F32" s="85">
        <f>IF(LEFT($D32,5)="Other",VLOOKUP($A32,'IP1'!$A$37:$G$89,4,0)*VLOOKUP(VLOOKUP($A32,'IP1'!$A$37:$G$89,7,0),Patterns!$A$2:$N$28,COLUMN(F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G32" s="85">
        <f>IF(LEFT($D32,5)="Other",VLOOKUP($A32,'IP1'!$A$37:$G$89,4,0)*VLOOKUP(VLOOKUP($A32,'IP1'!$A$37:$G$89,7,0),Patterns!$A$2:$N$28,COLUMN(G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H32" s="85">
        <f>IF(LEFT($D32,5)="Other",VLOOKUP($A32,'IP1'!$A$37:$G$89,4,0)*VLOOKUP(VLOOKUP($A32,'IP1'!$A$37:$G$89,7,0),Patterns!$A$2:$N$28,COLUMN(H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I32" s="85">
        <f>IF(LEFT($D32,5)="Other",VLOOKUP($A32,'IP1'!$A$37:$G$89,4,0)*VLOOKUP(VLOOKUP($A32,'IP1'!$A$37:$G$89,7,0),Patterns!$A$2:$N$28,COLUMN(I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J32" s="85">
        <f>IF(LEFT($D32,5)="Other",VLOOKUP($A32,'IP1'!$A$37:$G$89,4,0)*VLOOKUP(VLOOKUP($A32,'IP1'!$A$37:$G$89,7,0),Patterns!$A$2:$N$28,COLUMN(J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K32" s="85">
        <f>IF(LEFT($D32,5)="Other",VLOOKUP($A32,'IP1'!$A$37:$G$89,4,0)*VLOOKUP(VLOOKUP($A32,'IP1'!$A$37:$G$89,7,0),Patterns!$A$2:$N$28,COLUMN(K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L32" s="85">
        <f>IF(LEFT($D32,5)="Other",VLOOKUP($A32,'IP1'!$A$37:$G$89,4,0)*VLOOKUP(VLOOKUP($A32,'IP1'!$A$37:$G$89,7,0),Patterns!$A$2:$N$28,COLUMN(L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M32" s="85">
        <f>IF(LEFT($D32,5)="Other",VLOOKUP($A32,'IP1'!$A$37:$G$89,4,0)*VLOOKUP(VLOOKUP($A32,'IP1'!$A$37:$G$89,7,0),Patterns!$A$2:$N$28,COLUMN(M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N32" s="85">
        <f>IF(LEFT($D32,5)="Other",VLOOKUP($A32,'IP1'!$A$37:$G$89,4,0)*VLOOKUP(VLOOKUP($A32,'IP1'!$A$37:$G$89,7,0),Patterns!$A$2:$N$28,COLUMN(N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O32" s="85">
        <f>IF(LEFT($D32,5)="Other",VLOOKUP($A32,'IP1'!$A$37:$G$89,4,0)*VLOOKUP(VLOOKUP($A32,'IP1'!$A$37:$G$89,7,0),Patterns!$A$2:$N$28,COLUMN(O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P32" s="85">
        <f>IF(LEFT($D32,5)="Other",VLOOKUP($A32,'IP1'!$A$37:$G$89,4,0)*VLOOKUP(VLOOKUP($A32,'IP1'!$A$37:$G$89,7,0),Patterns!$A$2:$N$28,COLUMN(P32)-2,0)/VLOOKUP(VLOOKUP($A32,'IP1'!$A$37:$G$89,7,0),Patterns!$A$2:$N$28,2,0),IF(LEFT($D32,7)="Payroll",SUMPRODUCT(($B32='IP1'!$B$96:$B$114)*('IP1'!$D$96:$D$114))/12,SUMPRODUCT(($B32='IP1'!$B$96:$B$114)*('IP1'!$D$96:$D$114))/12*'IP1'!$F$154))</f>
        <v>0</v>
      </c>
      <c r="Q32" s="85">
        <f>IF(LEFT($D32,5)="Other",VLOOKUP($A32,'IP1'!$A$37:$G$89,5,0)*VLOOKUP(VLOOKUP($A32,'IP1'!$A$37:$G$89,7,0),Patterns!$A$2:$N$28,COLUMN(Q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R32" s="85">
        <f>IF(LEFT($D32,5)="Other",VLOOKUP($A32,'IP1'!$A$37:$G$89,5,0)*VLOOKUP(VLOOKUP($A32,'IP1'!$A$37:$G$89,7,0),Patterns!$A$2:$N$28,COLUMN(R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S32" s="85">
        <f>IF(LEFT($D32,5)="Other",VLOOKUP($A32,'IP1'!$A$37:$G$89,5,0)*VLOOKUP(VLOOKUP($A32,'IP1'!$A$37:$G$89,7,0),Patterns!$A$2:$N$28,COLUMN(S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T32" s="85">
        <f>IF(LEFT($D32,5)="Other",VLOOKUP($A32,'IP1'!$A$37:$G$89,5,0)*VLOOKUP(VLOOKUP($A32,'IP1'!$A$37:$G$89,7,0),Patterns!$A$2:$N$28,COLUMN(T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U32" s="85">
        <f>IF(LEFT($D32,5)="Other",VLOOKUP($A32,'IP1'!$A$37:$G$89,5,0)*VLOOKUP(VLOOKUP($A32,'IP1'!$A$37:$G$89,7,0),Patterns!$A$2:$N$28,COLUMN(U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V32" s="85">
        <f>IF(LEFT($D32,5)="Other",VLOOKUP($A32,'IP1'!$A$37:$G$89,5,0)*VLOOKUP(VLOOKUP($A32,'IP1'!$A$37:$G$89,7,0),Patterns!$A$2:$N$28,COLUMN(V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W32" s="85">
        <f>IF(LEFT($D32,5)="Other",VLOOKUP($A32,'IP1'!$A$37:$G$89,5,0)*VLOOKUP(VLOOKUP($A32,'IP1'!$A$37:$G$89,7,0),Patterns!$A$2:$N$28,COLUMN(W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X32" s="85">
        <f>IF(LEFT($D32,5)="Other",VLOOKUP($A32,'IP1'!$A$37:$G$89,5,0)*VLOOKUP(VLOOKUP($A32,'IP1'!$A$37:$G$89,7,0),Patterns!$A$2:$N$28,COLUMN(X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Y32" s="85">
        <f>IF(LEFT($D32,5)="Other",VLOOKUP($A32,'IP1'!$A$37:$G$89,5,0)*VLOOKUP(VLOOKUP($A32,'IP1'!$A$37:$G$89,7,0),Patterns!$A$2:$N$28,COLUMN(Y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Z32" s="85">
        <f>IF(LEFT($D32,5)="Other",VLOOKUP($A32,'IP1'!$A$37:$G$89,5,0)*VLOOKUP(VLOOKUP($A32,'IP1'!$A$37:$G$89,7,0),Patterns!$A$2:$N$28,COLUMN(Z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AA32" s="85">
        <f>IF(LEFT($D32,5)="Other",VLOOKUP($A32,'IP1'!$A$37:$G$89,5,0)*VLOOKUP(VLOOKUP($A32,'IP1'!$A$37:$G$89,7,0),Patterns!$A$2:$N$28,COLUMN(AA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  <c r="AB32" s="85">
        <f>IF(LEFT($D32,5)="Other",VLOOKUP($A32,'IP1'!$A$37:$G$89,5,0)*VLOOKUP(VLOOKUP($A32,'IP1'!$A$37:$G$89,7,0),Patterns!$A$2:$N$28,COLUMN(AB32)-14,0)/VLOOKUP(VLOOKUP($A32,'IP1'!$A$37:$G$89,7,0),Patterns!$A$2:$N$28,2,0),IF(LEFT($D32,7)="Payroll",SUMPRODUCT(($B32='IP1'!$B$96:$B$114)*('IP1'!$E$96:$E$114))/12,SUMPRODUCT(($B32='IP1'!$B$96:$B$114)*('IP1'!$E$96:$E$114))/12*'IP1'!$F$154))</f>
        <v>0</v>
      </c>
    </row>
    <row r="33" spans="1:28">
      <c r="A33" s="1" t="str">
        <f t="shared" si="1"/>
        <v xml:space="preserve">UtilitiesWater </v>
      </c>
      <c r="B33" s="1" t="s">
        <v>443</v>
      </c>
      <c r="C33" s="1" t="s">
        <v>447</v>
      </c>
      <c r="D33" s="11" t="s">
        <v>100</v>
      </c>
      <c r="E33" s="85">
        <f>IF(LEFT($D33,5)="Other",
VLOOKUP($A33,'IP1'!$A$37:$G$89,4,0)*
VLOOKUP(
VLOOKUP($A33,'IP1'!$A$37:$G$89,7,0),Patterns!$A$2:$N$28,COLUMN(E33)-2,0)/
VLOOKUP(
VLOOKUP($A33,'IP1'!$A$37:$G$89,7,0),Patterns!$A$2:$N$28,2,0),
IF(LEFT($D33,7)="Payroll",
SUMPRODUCT(($B33='IP1'!$B$96:$B$114)*('IP1'!$D$96:$D$114))/12,
SUMPRODUCT(($B33='IP1'!$B$96:$B$114)*('IP1'!$D$96:$D$114))/12*'IP1'!$F$154))</f>
        <v>416.66666666666669</v>
      </c>
      <c r="F33" s="85">
        <f>IF(LEFT($D33,5)="Other",VLOOKUP($A33,'IP1'!$A$37:$G$89,4,0)*VLOOKUP(VLOOKUP($A33,'IP1'!$A$37:$G$89,7,0),Patterns!$A$2:$N$28,COLUMN(F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G33" s="85">
        <f>IF(LEFT($D33,5)="Other",VLOOKUP($A33,'IP1'!$A$37:$G$89,4,0)*VLOOKUP(VLOOKUP($A33,'IP1'!$A$37:$G$89,7,0),Patterns!$A$2:$N$28,COLUMN(G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H33" s="85">
        <f>IF(LEFT($D33,5)="Other",VLOOKUP($A33,'IP1'!$A$37:$G$89,4,0)*VLOOKUP(VLOOKUP($A33,'IP1'!$A$37:$G$89,7,0),Patterns!$A$2:$N$28,COLUMN(H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I33" s="85">
        <f>IF(LEFT($D33,5)="Other",VLOOKUP($A33,'IP1'!$A$37:$G$89,4,0)*VLOOKUP(VLOOKUP($A33,'IP1'!$A$37:$G$89,7,0),Patterns!$A$2:$N$28,COLUMN(I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J33" s="85">
        <f>IF(LEFT($D33,5)="Other",VLOOKUP($A33,'IP1'!$A$37:$G$89,4,0)*VLOOKUP(VLOOKUP($A33,'IP1'!$A$37:$G$89,7,0),Patterns!$A$2:$N$28,COLUMN(J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K33" s="85">
        <f>IF(LEFT($D33,5)="Other",VLOOKUP($A33,'IP1'!$A$37:$G$89,4,0)*VLOOKUP(VLOOKUP($A33,'IP1'!$A$37:$G$89,7,0),Patterns!$A$2:$N$28,COLUMN(K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L33" s="85">
        <f>IF(LEFT($D33,5)="Other",VLOOKUP($A33,'IP1'!$A$37:$G$89,4,0)*VLOOKUP(VLOOKUP($A33,'IP1'!$A$37:$G$89,7,0),Patterns!$A$2:$N$28,COLUMN(L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M33" s="85">
        <f>IF(LEFT($D33,5)="Other",VLOOKUP($A33,'IP1'!$A$37:$G$89,4,0)*VLOOKUP(VLOOKUP($A33,'IP1'!$A$37:$G$89,7,0),Patterns!$A$2:$N$28,COLUMN(M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N33" s="85">
        <f>IF(LEFT($D33,5)="Other",VLOOKUP($A33,'IP1'!$A$37:$G$89,4,0)*VLOOKUP(VLOOKUP($A33,'IP1'!$A$37:$G$89,7,0),Patterns!$A$2:$N$28,COLUMN(N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O33" s="85">
        <f>IF(LEFT($D33,5)="Other",VLOOKUP($A33,'IP1'!$A$37:$G$89,4,0)*VLOOKUP(VLOOKUP($A33,'IP1'!$A$37:$G$89,7,0),Patterns!$A$2:$N$28,COLUMN(O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P33" s="85">
        <f>IF(LEFT($D33,5)="Other",VLOOKUP($A33,'IP1'!$A$37:$G$89,4,0)*VLOOKUP(VLOOKUP($A33,'IP1'!$A$37:$G$89,7,0),Patterns!$A$2:$N$28,COLUMN(P33)-2,0)/VLOOKUP(VLOOKUP($A33,'IP1'!$A$37:$G$89,7,0),Patterns!$A$2:$N$28,2,0),IF(LEFT($D33,7)="Payroll",SUMPRODUCT(($B33='IP1'!$B$96:$B$114)*('IP1'!$D$96:$D$114))/12,SUMPRODUCT(($B33='IP1'!$B$96:$B$114)*('IP1'!$D$96:$D$114))/12*'IP1'!$F$154))</f>
        <v>416.66666666666669</v>
      </c>
      <c r="Q33" s="85">
        <f>IF(LEFT($D33,5)="Other",VLOOKUP($A33,'IP1'!$A$37:$G$89,5,0)*VLOOKUP(VLOOKUP($A33,'IP1'!$A$37:$G$89,7,0),Patterns!$A$2:$N$28,COLUMN(Q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R33" s="85">
        <f>IF(LEFT($D33,5)="Other",VLOOKUP($A33,'IP1'!$A$37:$G$89,5,0)*VLOOKUP(VLOOKUP($A33,'IP1'!$A$37:$G$89,7,0),Patterns!$A$2:$N$28,COLUMN(R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S33" s="85">
        <f>IF(LEFT($D33,5)="Other",VLOOKUP($A33,'IP1'!$A$37:$G$89,5,0)*VLOOKUP(VLOOKUP($A33,'IP1'!$A$37:$G$89,7,0),Patterns!$A$2:$N$28,COLUMN(S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T33" s="85">
        <f>IF(LEFT($D33,5)="Other",VLOOKUP($A33,'IP1'!$A$37:$G$89,5,0)*VLOOKUP(VLOOKUP($A33,'IP1'!$A$37:$G$89,7,0),Patterns!$A$2:$N$28,COLUMN(T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U33" s="85">
        <f>IF(LEFT($D33,5)="Other",VLOOKUP($A33,'IP1'!$A$37:$G$89,5,0)*VLOOKUP(VLOOKUP($A33,'IP1'!$A$37:$G$89,7,0),Patterns!$A$2:$N$28,COLUMN(U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V33" s="85">
        <f>IF(LEFT($D33,5)="Other",VLOOKUP($A33,'IP1'!$A$37:$G$89,5,0)*VLOOKUP(VLOOKUP($A33,'IP1'!$A$37:$G$89,7,0),Patterns!$A$2:$N$28,COLUMN(V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W33" s="85">
        <f>IF(LEFT($D33,5)="Other",VLOOKUP($A33,'IP1'!$A$37:$G$89,5,0)*VLOOKUP(VLOOKUP($A33,'IP1'!$A$37:$G$89,7,0),Patterns!$A$2:$N$28,COLUMN(W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X33" s="85">
        <f>IF(LEFT($D33,5)="Other",VLOOKUP($A33,'IP1'!$A$37:$G$89,5,0)*VLOOKUP(VLOOKUP($A33,'IP1'!$A$37:$G$89,7,0),Patterns!$A$2:$N$28,COLUMN(X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Y33" s="85">
        <f>IF(LEFT($D33,5)="Other",VLOOKUP($A33,'IP1'!$A$37:$G$89,5,0)*VLOOKUP(VLOOKUP($A33,'IP1'!$A$37:$G$89,7,0),Patterns!$A$2:$N$28,COLUMN(Y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Z33" s="85">
        <f>IF(LEFT($D33,5)="Other",VLOOKUP($A33,'IP1'!$A$37:$G$89,5,0)*VLOOKUP(VLOOKUP($A33,'IP1'!$A$37:$G$89,7,0),Patterns!$A$2:$N$28,COLUMN(Z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AA33" s="85">
        <f>IF(LEFT($D33,5)="Other",VLOOKUP($A33,'IP1'!$A$37:$G$89,5,0)*VLOOKUP(VLOOKUP($A33,'IP1'!$A$37:$G$89,7,0),Patterns!$A$2:$N$28,COLUMN(AA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  <c r="AB33" s="85">
        <f>IF(LEFT($D33,5)="Other",VLOOKUP($A33,'IP1'!$A$37:$G$89,5,0)*VLOOKUP(VLOOKUP($A33,'IP1'!$A$37:$G$89,7,0),Patterns!$A$2:$N$28,COLUMN(AB33)-14,0)/VLOOKUP(VLOOKUP($A33,'IP1'!$A$37:$G$89,7,0),Patterns!$A$2:$N$28,2,0),IF(LEFT($D33,7)="Payroll",SUMPRODUCT(($B33='IP1'!$B$96:$B$114)*('IP1'!$E$96:$E$114))/12,SUMPRODUCT(($B33='IP1'!$B$96:$B$114)*('IP1'!$E$96:$E$114))/12*'IP1'!$F$154))</f>
        <v>416.66666666666669</v>
      </c>
    </row>
    <row r="34" spans="1:28">
      <c r="A34" s="1" t="str">
        <f t="shared" si="1"/>
        <v>Property-relatedRents</v>
      </c>
      <c r="B34" s="1" t="s">
        <v>448</v>
      </c>
      <c r="C34" s="1" t="s">
        <v>449</v>
      </c>
      <c r="D34" s="11" t="s">
        <v>100</v>
      </c>
      <c r="E34" s="85">
        <f>IF(LEFT($D34,5)="Other",
VLOOKUP($A34,'IP1'!$A$37:$G$89,4,0)*
VLOOKUP(
VLOOKUP($A34,'IP1'!$A$37:$G$89,7,0),Patterns!$A$2:$N$28,COLUMN(E34)-2,0)/
VLOOKUP(
VLOOKUP($A34,'IP1'!$A$37:$G$89,7,0),Patterns!$A$2:$N$28,2,0),
IF(LEFT($D34,7)="Payroll",
SUMPRODUCT(($B34='IP1'!$B$96:$B$114)*('IP1'!$D$96:$D$114))/12,
SUMPRODUCT(($B34='IP1'!$B$96:$B$114)*('IP1'!$D$96:$D$114))/12*'IP1'!$F$154))</f>
        <v>0</v>
      </c>
      <c r="F34" s="85">
        <f>IF(LEFT($D34,5)="Other",VLOOKUP($A34,'IP1'!$A$37:$G$89,4,0)*VLOOKUP(VLOOKUP($A34,'IP1'!$A$37:$G$89,7,0),Patterns!$A$2:$N$28,COLUMN(F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G34" s="85">
        <f>IF(LEFT($D34,5)="Other",VLOOKUP($A34,'IP1'!$A$37:$G$89,4,0)*VLOOKUP(VLOOKUP($A34,'IP1'!$A$37:$G$89,7,0),Patterns!$A$2:$N$28,COLUMN(G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H34" s="85">
        <f>IF(LEFT($D34,5)="Other",VLOOKUP($A34,'IP1'!$A$37:$G$89,4,0)*VLOOKUP(VLOOKUP($A34,'IP1'!$A$37:$G$89,7,0),Patterns!$A$2:$N$28,COLUMN(H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I34" s="85">
        <f>IF(LEFT($D34,5)="Other",VLOOKUP($A34,'IP1'!$A$37:$G$89,4,0)*VLOOKUP(VLOOKUP($A34,'IP1'!$A$37:$G$89,7,0),Patterns!$A$2:$N$28,COLUMN(I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J34" s="85">
        <f>IF(LEFT($D34,5)="Other",VLOOKUP($A34,'IP1'!$A$37:$G$89,4,0)*VLOOKUP(VLOOKUP($A34,'IP1'!$A$37:$G$89,7,0),Patterns!$A$2:$N$28,COLUMN(J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K34" s="85">
        <f>IF(LEFT($D34,5)="Other",VLOOKUP($A34,'IP1'!$A$37:$G$89,4,0)*VLOOKUP(VLOOKUP($A34,'IP1'!$A$37:$G$89,7,0),Patterns!$A$2:$N$28,COLUMN(K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L34" s="85">
        <f>IF(LEFT($D34,5)="Other",VLOOKUP($A34,'IP1'!$A$37:$G$89,4,0)*VLOOKUP(VLOOKUP($A34,'IP1'!$A$37:$G$89,7,0),Patterns!$A$2:$N$28,COLUMN(L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M34" s="85">
        <f>IF(LEFT($D34,5)="Other",VLOOKUP($A34,'IP1'!$A$37:$G$89,4,0)*VLOOKUP(VLOOKUP($A34,'IP1'!$A$37:$G$89,7,0),Patterns!$A$2:$N$28,COLUMN(M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N34" s="85">
        <f>IF(LEFT($D34,5)="Other",VLOOKUP($A34,'IP1'!$A$37:$G$89,4,0)*VLOOKUP(VLOOKUP($A34,'IP1'!$A$37:$G$89,7,0),Patterns!$A$2:$N$28,COLUMN(N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O34" s="85">
        <f>IF(LEFT($D34,5)="Other",VLOOKUP($A34,'IP1'!$A$37:$G$89,4,0)*VLOOKUP(VLOOKUP($A34,'IP1'!$A$37:$G$89,7,0),Patterns!$A$2:$N$28,COLUMN(O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P34" s="85">
        <f>IF(LEFT($D34,5)="Other",VLOOKUP($A34,'IP1'!$A$37:$G$89,4,0)*VLOOKUP(VLOOKUP($A34,'IP1'!$A$37:$G$89,7,0),Patterns!$A$2:$N$28,COLUMN(P34)-2,0)/VLOOKUP(VLOOKUP($A34,'IP1'!$A$37:$G$89,7,0),Patterns!$A$2:$N$28,2,0),IF(LEFT($D34,7)="Payroll",SUMPRODUCT(($B34='IP1'!$B$96:$B$114)*('IP1'!$D$96:$D$114))/12,SUMPRODUCT(($B34='IP1'!$B$96:$B$114)*('IP1'!$D$96:$D$114))/12*'IP1'!$F$154))</f>
        <v>0</v>
      </c>
      <c r="Q34" s="85">
        <f>IF(LEFT($D34,5)="Other",VLOOKUP($A34,'IP1'!$A$37:$G$89,5,0)*VLOOKUP(VLOOKUP($A34,'IP1'!$A$37:$G$89,7,0),Patterns!$A$2:$N$28,COLUMN(Q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R34" s="85">
        <f>IF(LEFT($D34,5)="Other",VLOOKUP($A34,'IP1'!$A$37:$G$89,5,0)*VLOOKUP(VLOOKUP($A34,'IP1'!$A$37:$G$89,7,0),Patterns!$A$2:$N$28,COLUMN(R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S34" s="85">
        <f>IF(LEFT($D34,5)="Other",VLOOKUP($A34,'IP1'!$A$37:$G$89,5,0)*VLOOKUP(VLOOKUP($A34,'IP1'!$A$37:$G$89,7,0),Patterns!$A$2:$N$28,COLUMN(S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T34" s="85">
        <f>IF(LEFT($D34,5)="Other",VLOOKUP($A34,'IP1'!$A$37:$G$89,5,0)*VLOOKUP(VLOOKUP($A34,'IP1'!$A$37:$G$89,7,0),Patterns!$A$2:$N$28,COLUMN(T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U34" s="85">
        <f>IF(LEFT($D34,5)="Other",VLOOKUP($A34,'IP1'!$A$37:$G$89,5,0)*VLOOKUP(VLOOKUP($A34,'IP1'!$A$37:$G$89,7,0),Patterns!$A$2:$N$28,COLUMN(U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V34" s="85">
        <f>IF(LEFT($D34,5)="Other",VLOOKUP($A34,'IP1'!$A$37:$G$89,5,0)*VLOOKUP(VLOOKUP($A34,'IP1'!$A$37:$G$89,7,0),Patterns!$A$2:$N$28,COLUMN(V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W34" s="85">
        <f>IF(LEFT($D34,5)="Other",VLOOKUP($A34,'IP1'!$A$37:$G$89,5,0)*VLOOKUP(VLOOKUP($A34,'IP1'!$A$37:$G$89,7,0),Patterns!$A$2:$N$28,COLUMN(W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X34" s="85">
        <f>IF(LEFT($D34,5)="Other",VLOOKUP($A34,'IP1'!$A$37:$G$89,5,0)*VLOOKUP(VLOOKUP($A34,'IP1'!$A$37:$G$89,7,0),Patterns!$A$2:$N$28,COLUMN(X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Y34" s="85">
        <f>IF(LEFT($D34,5)="Other",VLOOKUP($A34,'IP1'!$A$37:$G$89,5,0)*VLOOKUP(VLOOKUP($A34,'IP1'!$A$37:$G$89,7,0),Patterns!$A$2:$N$28,COLUMN(Y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Z34" s="85">
        <f>IF(LEFT($D34,5)="Other",VLOOKUP($A34,'IP1'!$A$37:$G$89,5,0)*VLOOKUP(VLOOKUP($A34,'IP1'!$A$37:$G$89,7,0),Patterns!$A$2:$N$28,COLUMN(Z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AA34" s="85">
        <f>IF(LEFT($D34,5)="Other",VLOOKUP($A34,'IP1'!$A$37:$G$89,5,0)*VLOOKUP(VLOOKUP($A34,'IP1'!$A$37:$G$89,7,0),Patterns!$A$2:$N$28,COLUMN(AA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  <c r="AB34" s="85">
        <f>IF(LEFT($D34,5)="Other",VLOOKUP($A34,'IP1'!$A$37:$G$89,5,0)*VLOOKUP(VLOOKUP($A34,'IP1'!$A$37:$G$89,7,0),Patterns!$A$2:$N$28,COLUMN(AB34)-14,0)/VLOOKUP(VLOOKUP($A34,'IP1'!$A$37:$G$89,7,0),Patterns!$A$2:$N$28,2,0),IF(LEFT($D34,7)="Payroll",SUMPRODUCT(($B34='IP1'!$B$96:$B$114)*('IP1'!$E$96:$E$114))/12,SUMPRODUCT(($B34='IP1'!$B$96:$B$114)*('IP1'!$E$96:$E$114))/12*'IP1'!$F$154))</f>
        <v>0</v>
      </c>
    </row>
    <row r="35" spans="1:28">
      <c r="A35" s="1" t="str">
        <f t="shared" si="1"/>
        <v>Property-relatedRates</v>
      </c>
      <c r="B35" s="1" t="s">
        <v>448</v>
      </c>
      <c r="C35" s="1" t="s">
        <v>450</v>
      </c>
      <c r="D35" s="11" t="s">
        <v>100</v>
      </c>
      <c r="E35" s="85">
        <f>IF(LEFT($D35,5)="Other",
VLOOKUP($A35,'IP1'!$A$37:$G$89,4,0)*
VLOOKUP(
VLOOKUP($A35,'IP1'!$A$37:$G$89,7,0),Patterns!$A$2:$N$28,COLUMN(E35)-2,0)/
VLOOKUP(
VLOOKUP($A35,'IP1'!$A$37:$G$89,7,0),Patterns!$A$2:$N$28,2,0),
IF(LEFT($D35,7)="Payroll",
SUMPRODUCT(($B35='IP1'!$B$96:$B$114)*('IP1'!$D$96:$D$114))/12,
SUMPRODUCT(($B35='IP1'!$B$96:$B$114)*('IP1'!$D$96:$D$114))/12*'IP1'!$F$154))</f>
        <v>7500</v>
      </c>
      <c r="F35" s="85">
        <f>IF(LEFT($D35,5)="Other",VLOOKUP($A35,'IP1'!$A$37:$G$89,4,0)*VLOOKUP(VLOOKUP($A35,'IP1'!$A$37:$G$89,7,0),Patterns!$A$2:$N$28,COLUMN(F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G35" s="85">
        <f>IF(LEFT($D35,5)="Other",VLOOKUP($A35,'IP1'!$A$37:$G$89,4,0)*VLOOKUP(VLOOKUP($A35,'IP1'!$A$37:$G$89,7,0),Patterns!$A$2:$N$28,COLUMN(G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H35" s="85">
        <f>IF(LEFT($D35,5)="Other",VLOOKUP($A35,'IP1'!$A$37:$G$89,4,0)*VLOOKUP(VLOOKUP($A35,'IP1'!$A$37:$G$89,7,0),Patterns!$A$2:$N$28,COLUMN(H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I35" s="85">
        <f>IF(LEFT($D35,5)="Other",VLOOKUP($A35,'IP1'!$A$37:$G$89,4,0)*VLOOKUP(VLOOKUP($A35,'IP1'!$A$37:$G$89,7,0),Patterns!$A$2:$N$28,COLUMN(I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J35" s="85">
        <f>IF(LEFT($D35,5)="Other",VLOOKUP($A35,'IP1'!$A$37:$G$89,4,0)*VLOOKUP(VLOOKUP($A35,'IP1'!$A$37:$G$89,7,0),Patterns!$A$2:$N$28,COLUMN(J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K35" s="85">
        <f>IF(LEFT($D35,5)="Other",VLOOKUP($A35,'IP1'!$A$37:$G$89,4,0)*VLOOKUP(VLOOKUP($A35,'IP1'!$A$37:$G$89,7,0),Patterns!$A$2:$N$28,COLUMN(K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L35" s="85">
        <f>IF(LEFT($D35,5)="Other",VLOOKUP($A35,'IP1'!$A$37:$G$89,4,0)*VLOOKUP(VLOOKUP($A35,'IP1'!$A$37:$G$89,7,0),Patterns!$A$2:$N$28,COLUMN(L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M35" s="85">
        <f>IF(LEFT($D35,5)="Other",VLOOKUP($A35,'IP1'!$A$37:$G$89,4,0)*VLOOKUP(VLOOKUP($A35,'IP1'!$A$37:$G$89,7,0),Patterns!$A$2:$N$28,COLUMN(M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N35" s="85">
        <f>IF(LEFT($D35,5)="Other",VLOOKUP($A35,'IP1'!$A$37:$G$89,4,0)*VLOOKUP(VLOOKUP($A35,'IP1'!$A$37:$G$89,7,0),Patterns!$A$2:$N$28,COLUMN(N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O35" s="85">
        <f>IF(LEFT($D35,5)="Other",VLOOKUP($A35,'IP1'!$A$37:$G$89,4,0)*VLOOKUP(VLOOKUP($A35,'IP1'!$A$37:$G$89,7,0),Patterns!$A$2:$N$28,COLUMN(O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P35" s="85">
        <f>IF(LEFT($D35,5)="Other",VLOOKUP($A35,'IP1'!$A$37:$G$89,4,0)*VLOOKUP(VLOOKUP($A35,'IP1'!$A$37:$G$89,7,0),Patterns!$A$2:$N$28,COLUMN(P35)-2,0)/VLOOKUP(VLOOKUP($A35,'IP1'!$A$37:$G$89,7,0),Patterns!$A$2:$N$28,2,0),IF(LEFT($D35,7)="Payroll",SUMPRODUCT(($B35='IP1'!$B$96:$B$114)*('IP1'!$D$96:$D$114))/12,SUMPRODUCT(($B35='IP1'!$B$96:$B$114)*('IP1'!$D$96:$D$114))/12*'IP1'!$F$154))</f>
        <v>0</v>
      </c>
      <c r="Q35" s="85">
        <f>IF(LEFT($D35,5)="Other",VLOOKUP($A35,'IP1'!$A$37:$G$89,5,0)*VLOOKUP(VLOOKUP($A35,'IP1'!$A$37:$G$89,7,0),Patterns!$A$2:$N$28,COLUMN(Q35)-14,0)/VLOOKUP(VLOOKUP($A35,'IP1'!$A$37:$G$89,7,0),Patterns!$A$2:$N$28,2,0),IF(LEFT($D35,7)="Payroll",SUMPRODUCT(($B35='IP1'!$B$96:$B$114)*('IP1'!$E$96:$E$114))/12,SUMPRODUCT(($B35='IP1'!$B$96:$B$114)*('IP1'!$E$96:$E$114))/12*'IP1'!$F$154))</f>
        <v>7500</v>
      </c>
      <c r="R35" s="85">
        <f>IF(LEFT($D35,5)="Other",VLOOKUP($A35,'IP1'!$A$37:$G$89,5,0)*VLOOKUP(VLOOKUP($A35,'IP1'!$A$37:$G$89,7,0),Patterns!$A$2:$N$28,COLUMN(R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S35" s="85">
        <f>IF(LEFT($D35,5)="Other",VLOOKUP($A35,'IP1'!$A$37:$G$89,5,0)*VLOOKUP(VLOOKUP($A35,'IP1'!$A$37:$G$89,7,0),Patterns!$A$2:$N$28,COLUMN(S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T35" s="85">
        <f>IF(LEFT($D35,5)="Other",VLOOKUP($A35,'IP1'!$A$37:$G$89,5,0)*VLOOKUP(VLOOKUP($A35,'IP1'!$A$37:$G$89,7,0),Patterns!$A$2:$N$28,COLUMN(T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U35" s="85">
        <f>IF(LEFT($D35,5)="Other",VLOOKUP($A35,'IP1'!$A$37:$G$89,5,0)*VLOOKUP(VLOOKUP($A35,'IP1'!$A$37:$G$89,7,0),Patterns!$A$2:$N$28,COLUMN(U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V35" s="85">
        <f>IF(LEFT($D35,5)="Other",VLOOKUP($A35,'IP1'!$A$37:$G$89,5,0)*VLOOKUP(VLOOKUP($A35,'IP1'!$A$37:$G$89,7,0),Patterns!$A$2:$N$28,COLUMN(V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W35" s="85">
        <f>IF(LEFT($D35,5)="Other",VLOOKUP($A35,'IP1'!$A$37:$G$89,5,0)*VLOOKUP(VLOOKUP($A35,'IP1'!$A$37:$G$89,7,0),Patterns!$A$2:$N$28,COLUMN(W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X35" s="85">
        <f>IF(LEFT($D35,5)="Other",VLOOKUP($A35,'IP1'!$A$37:$G$89,5,0)*VLOOKUP(VLOOKUP($A35,'IP1'!$A$37:$G$89,7,0),Patterns!$A$2:$N$28,COLUMN(X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Y35" s="85">
        <f>IF(LEFT($D35,5)="Other",VLOOKUP($A35,'IP1'!$A$37:$G$89,5,0)*VLOOKUP(VLOOKUP($A35,'IP1'!$A$37:$G$89,7,0),Patterns!$A$2:$N$28,COLUMN(Y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Z35" s="85">
        <f>IF(LEFT($D35,5)="Other",VLOOKUP($A35,'IP1'!$A$37:$G$89,5,0)*VLOOKUP(VLOOKUP($A35,'IP1'!$A$37:$G$89,7,0),Patterns!$A$2:$N$28,COLUMN(Z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AA35" s="85">
        <f>IF(LEFT($D35,5)="Other",VLOOKUP($A35,'IP1'!$A$37:$G$89,5,0)*VLOOKUP(VLOOKUP($A35,'IP1'!$A$37:$G$89,7,0),Patterns!$A$2:$N$28,COLUMN(AA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  <c r="AB35" s="85">
        <f>IF(LEFT($D35,5)="Other",VLOOKUP($A35,'IP1'!$A$37:$G$89,5,0)*VLOOKUP(VLOOKUP($A35,'IP1'!$A$37:$G$89,7,0),Patterns!$A$2:$N$28,COLUMN(AB35)-14,0)/VLOOKUP(VLOOKUP($A35,'IP1'!$A$37:$G$89,7,0),Patterns!$A$2:$N$28,2,0),IF(LEFT($D35,7)="Payroll",SUMPRODUCT(($B35='IP1'!$B$96:$B$114)*('IP1'!$E$96:$E$114))/12,SUMPRODUCT(($B35='IP1'!$B$96:$B$114)*('IP1'!$E$96:$E$114))/12*'IP1'!$F$154))</f>
        <v>0</v>
      </c>
    </row>
    <row r="36" spans="1:28">
      <c r="A36" s="1" t="str">
        <f t="shared" si="1"/>
        <v>Property-relatedBuilding Insurance</v>
      </c>
      <c r="B36" s="1" t="s">
        <v>448</v>
      </c>
      <c r="C36" s="1" t="s">
        <v>451</v>
      </c>
      <c r="D36" s="11" t="s">
        <v>100</v>
      </c>
      <c r="E36" s="85">
        <f>IF(LEFT($D36,5)="Other",
VLOOKUP($A36,'IP1'!$A$37:$G$89,4,0)*
VLOOKUP(
VLOOKUP($A36,'IP1'!$A$37:$G$89,7,0),Patterns!$A$2:$N$28,COLUMN(E36)-2,0)/
VLOOKUP(
VLOOKUP($A36,'IP1'!$A$37:$G$89,7,0),Patterns!$A$2:$N$28,2,0),
IF(LEFT($D36,7)="Payroll",
SUMPRODUCT(($B36='IP1'!$B$96:$B$114)*('IP1'!$D$96:$D$114))/12,
SUMPRODUCT(($B36='IP1'!$B$96:$B$114)*('IP1'!$D$96:$D$114))/12*'IP1'!$F$154))</f>
        <v>11500</v>
      </c>
      <c r="F36" s="85">
        <f>IF(LEFT($D36,5)="Other",VLOOKUP($A36,'IP1'!$A$37:$G$89,4,0)*VLOOKUP(VLOOKUP($A36,'IP1'!$A$37:$G$89,7,0),Patterns!$A$2:$N$28,COLUMN(F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G36" s="85">
        <f>IF(LEFT($D36,5)="Other",VLOOKUP($A36,'IP1'!$A$37:$G$89,4,0)*VLOOKUP(VLOOKUP($A36,'IP1'!$A$37:$G$89,7,0),Patterns!$A$2:$N$28,COLUMN(G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H36" s="85">
        <f>IF(LEFT($D36,5)="Other",VLOOKUP($A36,'IP1'!$A$37:$G$89,4,0)*VLOOKUP(VLOOKUP($A36,'IP1'!$A$37:$G$89,7,0),Patterns!$A$2:$N$28,COLUMN(H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I36" s="85">
        <f>IF(LEFT($D36,5)="Other",VLOOKUP($A36,'IP1'!$A$37:$G$89,4,0)*VLOOKUP(VLOOKUP($A36,'IP1'!$A$37:$G$89,7,0),Patterns!$A$2:$N$28,COLUMN(I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J36" s="85">
        <f>IF(LEFT($D36,5)="Other",VLOOKUP($A36,'IP1'!$A$37:$G$89,4,0)*VLOOKUP(VLOOKUP($A36,'IP1'!$A$37:$G$89,7,0),Patterns!$A$2:$N$28,COLUMN(J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K36" s="85">
        <f>IF(LEFT($D36,5)="Other",VLOOKUP($A36,'IP1'!$A$37:$G$89,4,0)*VLOOKUP(VLOOKUP($A36,'IP1'!$A$37:$G$89,7,0),Patterns!$A$2:$N$28,COLUMN(K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L36" s="85">
        <f>IF(LEFT($D36,5)="Other",VLOOKUP($A36,'IP1'!$A$37:$G$89,4,0)*VLOOKUP(VLOOKUP($A36,'IP1'!$A$37:$G$89,7,0),Patterns!$A$2:$N$28,COLUMN(L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M36" s="85">
        <f>IF(LEFT($D36,5)="Other",VLOOKUP($A36,'IP1'!$A$37:$G$89,4,0)*VLOOKUP(VLOOKUP($A36,'IP1'!$A$37:$G$89,7,0),Patterns!$A$2:$N$28,COLUMN(M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N36" s="85">
        <f>IF(LEFT($D36,5)="Other",VLOOKUP($A36,'IP1'!$A$37:$G$89,4,0)*VLOOKUP(VLOOKUP($A36,'IP1'!$A$37:$G$89,7,0),Patterns!$A$2:$N$28,COLUMN(N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O36" s="85">
        <f>IF(LEFT($D36,5)="Other",VLOOKUP($A36,'IP1'!$A$37:$G$89,4,0)*VLOOKUP(VLOOKUP($A36,'IP1'!$A$37:$G$89,7,0),Patterns!$A$2:$N$28,COLUMN(O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P36" s="85">
        <f>IF(LEFT($D36,5)="Other",VLOOKUP($A36,'IP1'!$A$37:$G$89,4,0)*VLOOKUP(VLOOKUP($A36,'IP1'!$A$37:$G$89,7,0),Patterns!$A$2:$N$28,COLUMN(P36)-2,0)/VLOOKUP(VLOOKUP($A36,'IP1'!$A$37:$G$89,7,0),Patterns!$A$2:$N$28,2,0),IF(LEFT($D36,7)="Payroll",SUMPRODUCT(($B36='IP1'!$B$96:$B$114)*('IP1'!$D$96:$D$114))/12,SUMPRODUCT(($B36='IP1'!$B$96:$B$114)*('IP1'!$D$96:$D$114))/12*'IP1'!$F$154))</f>
        <v>0</v>
      </c>
      <c r="Q36" s="85">
        <f>IF(LEFT($D36,5)="Other",VLOOKUP($A36,'IP1'!$A$37:$G$89,5,0)*VLOOKUP(VLOOKUP($A36,'IP1'!$A$37:$G$89,7,0),Patterns!$A$2:$N$28,COLUMN(Q36)-14,0)/VLOOKUP(VLOOKUP($A36,'IP1'!$A$37:$G$89,7,0),Patterns!$A$2:$N$28,2,0),IF(LEFT($D36,7)="Payroll",SUMPRODUCT(($B36='IP1'!$B$96:$B$114)*('IP1'!$E$96:$E$114))/12,SUMPRODUCT(($B36='IP1'!$B$96:$B$114)*('IP1'!$E$96:$E$114))/12*'IP1'!$F$154))</f>
        <v>25000</v>
      </c>
      <c r="R36" s="85">
        <f>IF(LEFT($D36,5)="Other",VLOOKUP($A36,'IP1'!$A$37:$G$89,5,0)*VLOOKUP(VLOOKUP($A36,'IP1'!$A$37:$G$89,7,0),Patterns!$A$2:$N$28,COLUMN(R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S36" s="85">
        <f>IF(LEFT($D36,5)="Other",VLOOKUP($A36,'IP1'!$A$37:$G$89,5,0)*VLOOKUP(VLOOKUP($A36,'IP1'!$A$37:$G$89,7,0),Patterns!$A$2:$N$28,COLUMN(S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T36" s="85">
        <f>IF(LEFT($D36,5)="Other",VLOOKUP($A36,'IP1'!$A$37:$G$89,5,0)*VLOOKUP(VLOOKUP($A36,'IP1'!$A$37:$G$89,7,0),Patterns!$A$2:$N$28,COLUMN(T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U36" s="85">
        <f>IF(LEFT($D36,5)="Other",VLOOKUP($A36,'IP1'!$A$37:$G$89,5,0)*VLOOKUP(VLOOKUP($A36,'IP1'!$A$37:$G$89,7,0),Patterns!$A$2:$N$28,COLUMN(U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V36" s="85">
        <f>IF(LEFT($D36,5)="Other",VLOOKUP($A36,'IP1'!$A$37:$G$89,5,0)*VLOOKUP(VLOOKUP($A36,'IP1'!$A$37:$G$89,7,0),Patterns!$A$2:$N$28,COLUMN(V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W36" s="85">
        <f>IF(LEFT($D36,5)="Other",VLOOKUP($A36,'IP1'!$A$37:$G$89,5,0)*VLOOKUP(VLOOKUP($A36,'IP1'!$A$37:$G$89,7,0),Patterns!$A$2:$N$28,COLUMN(W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X36" s="85">
        <f>IF(LEFT($D36,5)="Other",VLOOKUP($A36,'IP1'!$A$37:$G$89,5,0)*VLOOKUP(VLOOKUP($A36,'IP1'!$A$37:$G$89,7,0),Patterns!$A$2:$N$28,COLUMN(X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Y36" s="85">
        <f>IF(LEFT($D36,5)="Other",VLOOKUP($A36,'IP1'!$A$37:$G$89,5,0)*VLOOKUP(VLOOKUP($A36,'IP1'!$A$37:$G$89,7,0),Patterns!$A$2:$N$28,COLUMN(Y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Z36" s="85">
        <f>IF(LEFT($D36,5)="Other",VLOOKUP($A36,'IP1'!$A$37:$G$89,5,0)*VLOOKUP(VLOOKUP($A36,'IP1'!$A$37:$G$89,7,0),Patterns!$A$2:$N$28,COLUMN(Z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AA36" s="85">
        <f>IF(LEFT($D36,5)="Other",VLOOKUP($A36,'IP1'!$A$37:$G$89,5,0)*VLOOKUP(VLOOKUP($A36,'IP1'!$A$37:$G$89,7,0),Patterns!$A$2:$N$28,COLUMN(AA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  <c r="AB36" s="85">
        <f>IF(LEFT($D36,5)="Other",VLOOKUP($A36,'IP1'!$A$37:$G$89,5,0)*VLOOKUP(VLOOKUP($A36,'IP1'!$A$37:$G$89,7,0),Patterns!$A$2:$N$28,COLUMN(AB36)-14,0)/VLOOKUP(VLOOKUP($A36,'IP1'!$A$37:$G$89,7,0),Patterns!$A$2:$N$28,2,0),IF(LEFT($D36,7)="Payroll",SUMPRODUCT(($B36='IP1'!$B$96:$B$114)*('IP1'!$E$96:$E$114))/12,SUMPRODUCT(($B36='IP1'!$B$96:$B$114)*('IP1'!$E$96:$E$114))/12*'IP1'!$F$154))</f>
        <v>0</v>
      </c>
    </row>
    <row r="37" spans="1:28">
      <c r="A37" s="1" t="str">
        <f t="shared" si="1"/>
        <v>OperationsWages &amp; Salaries</v>
      </c>
      <c r="B37" s="1" t="s">
        <v>463</v>
      </c>
      <c r="C37" s="11" t="s">
        <v>66</v>
      </c>
      <c r="D37" s="11" t="s">
        <v>62</v>
      </c>
      <c r="E37" s="85">
        <f>IF(LEFT($D37,5)="Other",
VLOOKUP($A37,'IP1'!$A$37:$G$89,4,0)*
VLOOKUP(
VLOOKUP($A37,'IP1'!$A$37:$G$89,7,0),Patterns!$A$2:$N$28,COLUMN(E37)-2,0)/
VLOOKUP(
VLOOKUP($A37,'IP1'!$A$37:$G$89,7,0),Patterns!$A$2:$N$28,2,0),
IF(LEFT($D37,7)="Payroll",
SUMPRODUCT(($B37='IP1'!$B$96:$B$114)*('IP1'!$D$96:$D$114))/12,
SUMPRODUCT(($B37='IP1'!$B$96:$B$114)*('IP1'!$D$96:$D$114))/12*'IP1'!$F$154))</f>
        <v>10416.666666666666</v>
      </c>
      <c r="F37" s="85">
        <f>IF(LEFT($D37,5)="Other",VLOOKUP($A37,'IP1'!$A$37:$G$89,4,0)*VLOOKUP(VLOOKUP($A37,'IP1'!$A$37:$G$89,7,0),Patterns!$A$2:$N$28,COLUMN(F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G37" s="85">
        <f>IF(LEFT($D37,5)="Other",VLOOKUP($A37,'IP1'!$A$37:$G$89,4,0)*VLOOKUP(VLOOKUP($A37,'IP1'!$A$37:$G$89,7,0),Patterns!$A$2:$N$28,COLUMN(G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H37" s="85">
        <f>IF(LEFT($D37,5)="Other",VLOOKUP($A37,'IP1'!$A$37:$G$89,4,0)*VLOOKUP(VLOOKUP($A37,'IP1'!$A$37:$G$89,7,0),Patterns!$A$2:$N$28,COLUMN(H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I37" s="85">
        <f>IF(LEFT($D37,5)="Other",VLOOKUP($A37,'IP1'!$A$37:$G$89,4,0)*VLOOKUP(VLOOKUP($A37,'IP1'!$A$37:$G$89,7,0),Patterns!$A$2:$N$28,COLUMN(I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J37" s="85">
        <f>IF(LEFT($D37,5)="Other",VLOOKUP($A37,'IP1'!$A$37:$G$89,4,0)*VLOOKUP(VLOOKUP($A37,'IP1'!$A$37:$G$89,7,0),Patterns!$A$2:$N$28,COLUMN(J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K37" s="85">
        <f>IF(LEFT($D37,5)="Other",VLOOKUP($A37,'IP1'!$A$37:$G$89,4,0)*VLOOKUP(VLOOKUP($A37,'IP1'!$A$37:$G$89,7,0),Patterns!$A$2:$N$28,COLUMN(K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L37" s="85">
        <f>IF(LEFT($D37,5)="Other",VLOOKUP($A37,'IP1'!$A$37:$G$89,4,0)*VLOOKUP(VLOOKUP($A37,'IP1'!$A$37:$G$89,7,0),Patterns!$A$2:$N$28,COLUMN(L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M37" s="85">
        <f>IF(LEFT($D37,5)="Other",VLOOKUP($A37,'IP1'!$A$37:$G$89,4,0)*VLOOKUP(VLOOKUP($A37,'IP1'!$A$37:$G$89,7,0),Patterns!$A$2:$N$28,COLUMN(M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N37" s="85">
        <f>IF(LEFT($D37,5)="Other",VLOOKUP($A37,'IP1'!$A$37:$G$89,4,0)*VLOOKUP(VLOOKUP($A37,'IP1'!$A$37:$G$89,7,0),Patterns!$A$2:$N$28,COLUMN(N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O37" s="85">
        <f>IF(LEFT($D37,5)="Other",VLOOKUP($A37,'IP1'!$A$37:$G$89,4,0)*VLOOKUP(VLOOKUP($A37,'IP1'!$A$37:$G$89,7,0),Patterns!$A$2:$N$28,COLUMN(O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P37" s="85">
        <f>IF(LEFT($D37,5)="Other",VLOOKUP($A37,'IP1'!$A$37:$G$89,4,0)*VLOOKUP(VLOOKUP($A37,'IP1'!$A$37:$G$89,7,0),Patterns!$A$2:$N$28,COLUMN(P37)-2,0)/VLOOKUP(VLOOKUP($A37,'IP1'!$A$37:$G$89,7,0),Patterns!$A$2:$N$28,2,0),IF(LEFT($D37,7)="Payroll",SUMPRODUCT(($B37='IP1'!$B$96:$B$114)*('IP1'!$D$96:$D$114))/12,SUMPRODUCT(($B37='IP1'!$B$96:$B$114)*('IP1'!$D$96:$D$114))/12*'IP1'!$F$154))</f>
        <v>10416.666666666666</v>
      </c>
      <c r="Q37" s="85">
        <f>IF(LEFT($D37,5)="Other",VLOOKUP($A37,'IP1'!$A$37:$G$89,5,0)*VLOOKUP(VLOOKUP($A37,'IP1'!$A$37:$G$89,7,0),Patterns!$A$2:$N$28,COLUMN(Q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R37" s="85">
        <f>IF(LEFT($D37,5)="Other",VLOOKUP($A37,'IP1'!$A$37:$G$89,5,0)*VLOOKUP(VLOOKUP($A37,'IP1'!$A$37:$G$89,7,0),Patterns!$A$2:$N$28,COLUMN(R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S37" s="85">
        <f>IF(LEFT($D37,5)="Other",VLOOKUP($A37,'IP1'!$A$37:$G$89,5,0)*VLOOKUP(VLOOKUP($A37,'IP1'!$A$37:$G$89,7,0),Patterns!$A$2:$N$28,COLUMN(S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T37" s="85">
        <f>IF(LEFT($D37,5)="Other",VLOOKUP($A37,'IP1'!$A$37:$G$89,5,0)*VLOOKUP(VLOOKUP($A37,'IP1'!$A$37:$G$89,7,0),Patterns!$A$2:$N$28,COLUMN(T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U37" s="85">
        <f>IF(LEFT($D37,5)="Other",VLOOKUP($A37,'IP1'!$A$37:$G$89,5,0)*VLOOKUP(VLOOKUP($A37,'IP1'!$A$37:$G$89,7,0),Patterns!$A$2:$N$28,COLUMN(U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V37" s="85">
        <f>IF(LEFT($D37,5)="Other",VLOOKUP($A37,'IP1'!$A$37:$G$89,5,0)*VLOOKUP(VLOOKUP($A37,'IP1'!$A$37:$G$89,7,0),Patterns!$A$2:$N$28,COLUMN(V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W37" s="85">
        <f>IF(LEFT($D37,5)="Other",VLOOKUP($A37,'IP1'!$A$37:$G$89,5,0)*VLOOKUP(VLOOKUP($A37,'IP1'!$A$37:$G$89,7,0),Patterns!$A$2:$N$28,COLUMN(W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X37" s="85">
        <f>IF(LEFT($D37,5)="Other",VLOOKUP($A37,'IP1'!$A$37:$G$89,5,0)*VLOOKUP(VLOOKUP($A37,'IP1'!$A$37:$G$89,7,0),Patterns!$A$2:$N$28,COLUMN(X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Y37" s="85">
        <f>IF(LEFT($D37,5)="Other",VLOOKUP($A37,'IP1'!$A$37:$G$89,5,0)*VLOOKUP(VLOOKUP($A37,'IP1'!$A$37:$G$89,7,0),Patterns!$A$2:$N$28,COLUMN(Y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Z37" s="85">
        <f>IF(LEFT($D37,5)="Other",VLOOKUP($A37,'IP1'!$A$37:$G$89,5,0)*VLOOKUP(VLOOKUP($A37,'IP1'!$A$37:$G$89,7,0),Patterns!$A$2:$N$28,COLUMN(Z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AA37" s="85">
        <f>IF(LEFT($D37,5)="Other",VLOOKUP($A37,'IP1'!$A$37:$G$89,5,0)*VLOOKUP(VLOOKUP($A37,'IP1'!$A$37:$G$89,7,0),Patterns!$A$2:$N$28,COLUMN(AA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  <c r="AB37" s="85">
        <f>IF(LEFT($D37,5)="Other",VLOOKUP($A37,'IP1'!$A$37:$G$89,5,0)*VLOOKUP(VLOOKUP($A37,'IP1'!$A$37:$G$89,7,0),Patterns!$A$2:$N$28,COLUMN(AB37)-14,0)/VLOOKUP(VLOOKUP($A37,'IP1'!$A$37:$G$89,7,0),Patterns!$A$2:$N$28,2,0),IF(LEFT($D37,7)="Payroll",SUMPRODUCT(($B37='IP1'!$B$96:$B$114)*('IP1'!$E$96:$E$114))/12,SUMPRODUCT(($B37='IP1'!$B$96:$B$114)*('IP1'!$E$96:$E$114))/12*'IP1'!$F$154))</f>
        <v>10833.333333333334</v>
      </c>
    </row>
    <row r="38" spans="1:28">
      <c r="A38" s="1" t="str">
        <f>B38&amp;C38</f>
        <v>OperationsPAYE / PRSI</v>
      </c>
      <c r="B38" s="1" t="s">
        <v>463</v>
      </c>
      <c r="C38" s="1" t="s">
        <v>25</v>
      </c>
      <c r="D38" s="11" t="s">
        <v>65</v>
      </c>
      <c r="E38" s="85">
        <f>IF(LEFT($D38,5)="Other",
VLOOKUP($A38,'IP1'!$A$37:$G$89,4,0)*
VLOOKUP(
VLOOKUP($A38,'IP1'!$A$37:$G$89,7,0),Patterns!$A$2:$N$28,COLUMN(E38)-2,0)/
VLOOKUP(
VLOOKUP($A38,'IP1'!$A$37:$G$89,7,0),Patterns!$A$2:$N$28,2,0),
IF(LEFT($D38,7)="Payroll",
SUMPRODUCT(($B38='IP1'!$B$96:$B$114)*('IP1'!$D$96:$D$114))/12,
SUMPRODUCT(($B38='IP1'!$B$96:$B$114)*('IP1'!$D$96:$D$114))/12*'IP1'!$F$154))</f>
        <v>1562.4999999999998</v>
      </c>
      <c r="F38" s="85">
        <f>IF(LEFT($D38,5)="Other",VLOOKUP($A38,'IP1'!$A$37:$G$89,4,0)*VLOOKUP(VLOOKUP($A38,'IP1'!$A$37:$G$89,7,0),Patterns!$A$2:$N$28,COLUMN(F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G38" s="85">
        <f>IF(LEFT($D38,5)="Other",VLOOKUP($A38,'IP1'!$A$37:$G$89,4,0)*VLOOKUP(VLOOKUP($A38,'IP1'!$A$37:$G$89,7,0),Patterns!$A$2:$N$28,COLUMN(G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H38" s="85">
        <f>IF(LEFT($D38,5)="Other",VLOOKUP($A38,'IP1'!$A$37:$G$89,4,0)*VLOOKUP(VLOOKUP($A38,'IP1'!$A$37:$G$89,7,0),Patterns!$A$2:$N$28,COLUMN(H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I38" s="85">
        <f>IF(LEFT($D38,5)="Other",VLOOKUP($A38,'IP1'!$A$37:$G$89,4,0)*VLOOKUP(VLOOKUP($A38,'IP1'!$A$37:$G$89,7,0),Patterns!$A$2:$N$28,COLUMN(I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J38" s="85">
        <f>IF(LEFT($D38,5)="Other",VLOOKUP($A38,'IP1'!$A$37:$G$89,4,0)*VLOOKUP(VLOOKUP($A38,'IP1'!$A$37:$G$89,7,0),Patterns!$A$2:$N$28,COLUMN(J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K38" s="85">
        <f>IF(LEFT($D38,5)="Other",VLOOKUP($A38,'IP1'!$A$37:$G$89,4,0)*VLOOKUP(VLOOKUP($A38,'IP1'!$A$37:$G$89,7,0),Patterns!$A$2:$N$28,COLUMN(K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L38" s="85">
        <f>IF(LEFT($D38,5)="Other",VLOOKUP($A38,'IP1'!$A$37:$G$89,4,0)*VLOOKUP(VLOOKUP($A38,'IP1'!$A$37:$G$89,7,0),Patterns!$A$2:$N$28,COLUMN(L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M38" s="85">
        <f>IF(LEFT($D38,5)="Other",VLOOKUP($A38,'IP1'!$A$37:$G$89,4,0)*VLOOKUP(VLOOKUP($A38,'IP1'!$A$37:$G$89,7,0),Patterns!$A$2:$N$28,COLUMN(M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N38" s="85">
        <f>IF(LEFT($D38,5)="Other",VLOOKUP($A38,'IP1'!$A$37:$G$89,4,0)*VLOOKUP(VLOOKUP($A38,'IP1'!$A$37:$G$89,7,0),Patterns!$A$2:$N$28,COLUMN(N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O38" s="85">
        <f>IF(LEFT($D38,5)="Other",VLOOKUP($A38,'IP1'!$A$37:$G$89,4,0)*VLOOKUP(VLOOKUP($A38,'IP1'!$A$37:$G$89,7,0),Patterns!$A$2:$N$28,COLUMN(O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P38" s="85">
        <f>IF(LEFT($D38,5)="Other",VLOOKUP($A38,'IP1'!$A$37:$G$89,4,0)*VLOOKUP(VLOOKUP($A38,'IP1'!$A$37:$G$89,7,0),Patterns!$A$2:$N$28,COLUMN(P38)-2,0)/VLOOKUP(VLOOKUP($A38,'IP1'!$A$37:$G$89,7,0),Patterns!$A$2:$N$28,2,0),IF(LEFT($D38,7)="Payroll",SUMPRODUCT(($B38='IP1'!$B$96:$B$114)*('IP1'!$D$96:$D$114))/12,SUMPRODUCT(($B38='IP1'!$B$96:$B$114)*('IP1'!$D$96:$D$114))/12*'IP1'!$F$154))</f>
        <v>1562.4999999999998</v>
      </c>
      <c r="Q38" s="85">
        <f>IF(LEFT($D38,5)="Other",VLOOKUP($A38,'IP1'!$A$37:$G$89,5,0)*VLOOKUP(VLOOKUP($A38,'IP1'!$A$37:$G$89,7,0),Patterns!$A$2:$N$28,COLUMN(Q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R38" s="85">
        <f>IF(LEFT($D38,5)="Other",VLOOKUP($A38,'IP1'!$A$37:$G$89,5,0)*VLOOKUP(VLOOKUP($A38,'IP1'!$A$37:$G$89,7,0),Patterns!$A$2:$N$28,COLUMN(R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S38" s="85">
        <f>IF(LEFT($D38,5)="Other",VLOOKUP($A38,'IP1'!$A$37:$G$89,5,0)*VLOOKUP(VLOOKUP($A38,'IP1'!$A$37:$G$89,7,0),Patterns!$A$2:$N$28,COLUMN(S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T38" s="85">
        <f>IF(LEFT($D38,5)="Other",VLOOKUP($A38,'IP1'!$A$37:$G$89,5,0)*VLOOKUP(VLOOKUP($A38,'IP1'!$A$37:$G$89,7,0),Patterns!$A$2:$N$28,COLUMN(T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U38" s="85">
        <f>IF(LEFT($D38,5)="Other",VLOOKUP($A38,'IP1'!$A$37:$G$89,5,0)*VLOOKUP(VLOOKUP($A38,'IP1'!$A$37:$G$89,7,0),Patterns!$A$2:$N$28,COLUMN(U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V38" s="85">
        <f>IF(LEFT($D38,5)="Other",VLOOKUP($A38,'IP1'!$A$37:$G$89,5,0)*VLOOKUP(VLOOKUP($A38,'IP1'!$A$37:$G$89,7,0),Patterns!$A$2:$N$28,COLUMN(V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W38" s="85">
        <f>IF(LEFT($D38,5)="Other",VLOOKUP($A38,'IP1'!$A$37:$G$89,5,0)*VLOOKUP(VLOOKUP($A38,'IP1'!$A$37:$G$89,7,0),Patterns!$A$2:$N$28,COLUMN(W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X38" s="85">
        <f>IF(LEFT($D38,5)="Other",VLOOKUP($A38,'IP1'!$A$37:$G$89,5,0)*VLOOKUP(VLOOKUP($A38,'IP1'!$A$37:$G$89,7,0),Patterns!$A$2:$N$28,COLUMN(X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Y38" s="85">
        <f>IF(LEFT($D38,5)="Other",VLOOKUP($A38,'IP1'!$A$37:$G$89,5,0)*VLOOKUP(VLOOKUP($A38,'IP1'!$A$37:$G$89,7,0),Patterns!$A$2:$N$28,COLUMN(Y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Z38" s="85">
        <f>IF(LEFT($D38,5)="Other",VLOOKUP($A38,'IP1'!$A$37:$G$89,5,0)*VLOOKUP(VLOOKUP($A38,'IP1'!$A$37:$G$89,7,0),Patterns!$A$2:$N$28,COLUMN(Z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AA38" s="85">
        <f>IF(LEFT($D38,5)="Other",VLOOKUP($A38,'IP1'!$A$37:$G$89,5,0)*VLOOKUP(VLOOKUP($A38,'IP1'!$A$37:$G$89,7,0),Patterns!$A$2:$N$28,COLUMN(AA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  <c r="AB38" s="85">
        <f>IF(LEFT($D38,5)="Other",VLOOKUP($A38,'IP1'!$A$37:$G$89,5,0)*VLOOKUP(VLOOKUP($A38,'IP1'!$A$37:$G$89,7,0),Patterns!$A$2:$N$28,COLUMN(AB38)-14,0)/VLOOKUP(VLOOKUP($A38,'IP1'!$A$37:$G$89,7,0),Patterns!$A$2:$N$28,2,0),IF(LEFT($D38,7)="Payroll",SUMPRODUCT(($B38='IP1'!$B$96:$B$114)*('IP1'!$E$96:$E$114))/12,SUMPRODUCT(($B38='IP1'!$B$96:$B$114)*('IP1'!$E$96:$E$114))/12*'IP1'!$F$154))</f>
        <v>1625</v>
      </c>
    </row>
    <row r="39" spans="1:28">
      <c r="A39" s="1" t="str">
        <f t="shared" ref="A39:A61" si="2">B39&amp;C39</f>
        <v xml:space="preserve">OperationsBuilding supplies </v>
      </c>
      <c r="B39" s="1" t="s">
        <v>463</v>
      </c>
      <c r="C39" s="1" t="s">
        <v>464</v>
      </c>
      <c r="D39" s="11" t="s">
        <v>100</v>
      </c>
      <c r="E39" s="85">
        <f>IF(LEFT($D39,5)="Other",
VLOOKUP($A39,'IP1'!$A$37:$G$89,4,0)*
VLOOKUP(
VLOOKUP($A39,'IP1'!$A$37:$G$89,7,0),Patterns!$A$2:$N$28,COLUMN(E39)-2,0)/
VLOOKUP(
VLOOKUP($A39,'IP1'!$A$37:$G$89,7,0),Patterns!$A$2:$N$28,2,0),
IF(LEFT($D39,7)="Payroll",
SUMPRODUCT(($B39='IP1'!$B$96:$B$114)*('IP1'!$D$96:$D$114))/12,
SUMPRODUCT(($B39='IP1'!$B$96:$B$114)*('IP1'!$D$96:$D$114))/12*'IP1'!$F$154))</f>
        <v>200</v>
      </c>
      <c r="F39" s="85">
        <f>IF(LEFT($D39,5)="Other",VLOOKUP($A39,'IP1'!$A$37:$G$89,4,0)*VLOOKUP(VLOOKUP($A39,'IP1'!$A$37:$G$89,7,0),Patterns!$A$2:$N$28,COLUMN(F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G39" s="85">
        <f>IF(LEFT($D39,5)="Other",VLOOKUP($A39,'IP1'!$A$37:$G$89,4,0)*VLOOKUP(VLOOKUP($A39,'IP1'!$A$37:$G$89,7,0),Patterns!$A$2:$N$28,COLUMN(G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H39" s="85">
        <f>IF(LEFT($D39,5)="Other",VLOOKUP($A39,'IP1'!$A$37:$G$89,4,0)*VLOOKUP(VLOOKUP($A39,'IP1'!$A$37:$G$89,7,0),Patterns!$A$2:$N$28,COLUMN(H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I39" s="85">
        <f>IF(LEFT($D39,5)="Other",VLOOKUP($A39,'IP1'!$A$37:$G$89,4,0)*VLOOKUP(VLOOKUP($A39,'IP1'!$A$37:$G$89,7,0),Patterns!$A$2:$N$28,COLUMN(I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J39" s="85">
        <f>IF(LEFT($D39,5)="Other",VLOOKUP($A39,'IP1'!$A$37:$G$89,4,0)*VLOOKUP(VLOOKUP($A39,'IP1'!$A$37:$G$89,7,0),Patterns!$A$2:$N$28,COLUMN(J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K39" s="85">
        <f>IF(LEFT($D39,5)="Other",VLOOKUP($A39,'IP1'!$A$37:$G$89,4,0)*VLOOKUP(VLOOKUP($A39,'IP1'!$A$37:$G$89,7,0),Patterns!$A$2:$N$28,COLUMN(K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L39" s="85">
        <f>IF(LEFT($D39,5)="Other",VLOOKUP($A39,'IP1'!$A$37:$G$89,4,0)*VLOOKUP(VLOOKUP($A39,'IP1'!$A$37:$G$89,7,0),Patterns!$A$2:$N$28,COLUMN(L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M39" s="85">
        <f>IF(LEFT($D39,5)="Other",VLOOKUP($A39,'IP1'!$A$37:$G$89,4,0)*VLOOKUP(VLOOKUP($A39,'IP1'!$A$37:$G$89,7,0),Patterns!$A$2:$N$28,COLUMN(M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N39" s="85">
        <f>IF(LEFT($D39,5)="Other",VLOOKUP($A39,'IP1'!$A$37:$G$89,4,0)*VLOOKUP(VLOOKUP($A39,'IP1'!$A$37:$G$89,7,0),Patterns!$A$2:$N$28,COLUMN(N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O39" s="85">
        <f>IF(LEFT($D39,5)="Other",VLOOKUP($A39,'IP1'!$A$37:$G$89,4,0)*VLOOKUP(VLOOKUP($A39,'IP1'!$A$37:$G$89,7,0),Patterns!$A$2:$N$28,COLUMN(O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P39" s="85">
        <f>IF(LEFT($D39,5)="Other",VLOOKUP($A39,'IP1'!$A$37:$G$89,4,0)*VLOOKUP(VLOOKUP($A39,'IP1'!$A$37:$G$89,7,0),Patterns!$A$2:$N$28,COLUMN(P39)-2,0)/VLOOKUP(VLOOKUP($A39,'IP1'!$A$37:$G$89,7,0),Patterns!$A$2:$N$28,2,0),IF(LEFT($D39,7)="Payroll",SUMPRODUCT(($B39='IP1'!$B$96:$B$114)*('IP1'!$D$96:$D$114))/12,SUMPRODUCT(($B39='IP1'!$B$96:$B$114)*('IP1'!$D$96:$D$114))/12*'IP1'!$F$154))</f>
        <v>200</v>
      </c>
      <c r="Q39" s="85">
        <f>IF(LEFT($D39,5)="Other",VLOOKUP($A39,'IP1'!$A$37:$G$89,5,0)*VLOOKUP(VLOOKUP($A39,'IP1'!$A$37:$G$89,7,0),Patterns!$A$2:$N$28,COLUMN(Q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R39" s="85">
        <f>IF(LEFT($D39,5)="Other",VLOOKUP($A39,'IP1'!$A$37:$G$89,5,0)*VLOOKUP(VLOOKUP($A39,'IP1'!$A$37:$G$89,7,0),Patterns!$A$2:$N$28,COLUMN(R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S39" s="85">
        <f>IF(LEFT($D39,5)="Other",VLOOKUP($A39,'IP1'!$A$37:$G$89,5,0)*VLOOKUP(VLOOKUP($A39,'IP1'!$A$37:$G$89,7,0),Patterns!$A$2:$N$28,COLUMN(S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T39" s="85">
        <f>IF(LEFT($D39,5)="Other",VLOOKUP($A39,'IP1'!$A$37:$G$89,5,0)*VLOOKUP(VLOOKUP($A39,'IP1'!$A$37:$G$89,7,0),Patterns!$A$2:$N$28,COLUMN(T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U39" s="85">
        <f>IF(LEFT($D39,5)="Other",VLOOKUP($A39,'IP1'!$A$37:$G$89,5,0)*VLOOKUP(VLOOKUP($A39,'IP1'!$A$37:$G$89,7,0),Patterns!$A$2:$N$28,COLUMN(U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V39" s="85">
        <f>IF(LEFT($D39,5)="Other",VLOOKUP($A39,'IP1'!$A$37:$G$89,5,0)*VLOOKUP(VLOOKUP($A39,'IP1'!$A$37:$G$89,7,0),Patterns!$A$2:$N$28,COLUMN(V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W39" s="85">
        <f>IF(LEFT($D39,5)="Other",VLOOKUP($A39,'IP1'!$A$37:$G$89,5,0)*VLOOKUP(VLOOKUP($A39,'IP1'!$A$37:$G$89,7,0),Patterns!$A$2:$N$28,COLUMN(W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X39" s="85">
        <f>IF(LEFT($D39,5)="Other",VLOOKUP($A39,'IP1'!$A$37:$G$89,5,0)*VLOOKUP(VLOOKUP($A39,'IP1'!$A$37:$G$89,7,0),Patterns!$A$2:$N$28,COLUMN(X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Y39" s="85">
        <f>IF(LEFT($D39,5)="Other",VLOOKUP($A39,'IP1'!$A$37:$G$89,5,0)*VLOOKUP(VLOOKUP($A39,'IP1'!$A$37:$G$89,7,0),Patterns!$A$2:$N$28,COLUMN(Y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Z39" s="85">
        <f>IF(LEFT($D39,5)="Other",VLOOKUP($A39,'IP1'!$A$37:$G$89,5,0)*VLOOKUP(VLOOKUP($A39,'IP1'!$A$37:$G$89,7,0),Patterns!$A$2:$N$28,COLUMN(Z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AA39" s="85">
        <f>IF(LEFT($D39,5)="Other",VLOOKUP($A39,'IP1'!$A$37:$G$89,5,0)*VLOOKUP(VLOOKUP($A39,'IP1'!$A$37:$G$89,7,0),Patterns!$A$2:$N$28,COLUMN(AA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  <c r="AB39" s="85">
        <f>IF(LEFT($D39,5)="Other",VLOOKUP($A39,'IP1'!$A$37:$G$89,5,0)*VLOOKUP(VLOOKUP($A39,'IP1'!$A$37:$G$89,7,0),Patterns!$A$2:$N$28,COLUMN(AB39)-14,0)/VLOOKUP(VLOOKUP($A39,'IP1'!$A$37:$G$89,7,0),Patterns!$A$2:$N$28,2,0),IF(LEFT($D39,7)="Payroll",SUMPRODUCT(($B39='IP1'!$B$96:$B$114)*('IP1'!$E$96:$E$114))/12,SUMPRODUCT(($B39='IP1'!$B$96:$B$114)*('IP1'!$E$96:$E$114))/12*'IP1'!$F$154))</f>
        <v>200</v>
      </c>
    </row>
    <row r="40" spans="1:28">
      <c r="A40" s="1" t="str">
        <f t="shared" si="2"/>
        <v>OperationsElectrical &amp; mech. equip.</v>
      </c>
      <c r="B40" s="1" t="s">
        <v>463</v>
      </c>
      <c r="C40" s="1" t="s">
        <v>477</v>
      </c>
      <c r="D40" s="11" t="s">
        <v>100</v>
      </c>
      <c r="E40" s="85">
        <f>IF(LEFT($D40,5)="Other",
VLOOKUP($A40,'IP1'!$A$37:$G$89,4,0)*
VLOOKUP(
VLOOKUP($A40,'IP1'!$A$37:$G$89,7,0),Patterns!$A$2:$N$28,COLUMN(E40)-2,0)/
VLOOKUP(
VLOOKUP($A40,'IP1'!$A$37:$G$89,7,0),Patterns!$A$2:$N$28,2,0),
IF(LEFT($D40,7)="Payroll",
SUMPRODUCT(($B40='IP1'!$B$96:$B$114)*('IP1'!$D$96:$D$114))/12,
SUMPRODUCT(($B40='IP1'!$B$96:$B$114)*('IP1'!$D$96:$D$114))/12*'IP1'!$F$154))</f>
        <v>625</v>
      </c>
      <c r="F40" s="85">
        <f>IF(LEFT($D40,5)="Other",VLOOKUP($A40,'IP1'!$A$37:$G$89,4,0)*VLOOKUP(VLOOKUP($A40,'IP1'!$A$37:$G$89,7,0),Patterns!$A$2:$N$28,COLUMN(F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G40" s="85">
        <f>IF(LEFT($D40,5)="Other",VLOOKUP($A40,'IP1'!$A$37:$G$89,4,0)*VLOOKUP(VLOOKUP($A40,'IP1'!$A$37:$G$89,7,0),Patterns!$A$2:$N$28,COLUMN(G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H40" s="85">
        <f>IF(LEFT($D40,5)="Other",VLOOKUP($A40,'IP1'!$A$37:$G$89,4,0)*VLOOKUP(VLOOKUP($A40,'IP1'!$A$37:$G$89,7,0),Patterns!$A$2:$N$28,COLUMN(H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I40" s="85">
        <f>IF(LEFT($D40,5)="Other",VLOOKUP($A40,'IP1'!$A$37:$G$89,4,0)*VLOOKUP(VLOOKUP($A40,'IP1'!$A$37:$G$89,7,0),Patterns!$A$2:$N$28,COLUMN(I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J40" s="85">
        <f>IF(LEFT($D40,5)="Other",VLOOKUP($A40,'IP1'!$A$37:$G$89,4,0)*VLOOKUP(VLOOKUP($A40,'IP1'!$A$37:$G$89,7,0),Patterns!$A$2:$N$28,COLUMN(J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K40" s="85">
        <f>IF(LEFT($D40,5)="Other",VLOOKUP($A40,'IP1'!$A$37:$G$89,4,0)*VLOOKUP(VLOOKUP($A40,'IP1'!$A$37:$G$89,7,0),Patterns!$A$2:$N$28,COLUMN(K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L40" s="85">
        <f>IF(LEFT($D40,5)="Other",VLOOKUP($A40,'IP1'!$A$37:$G$89,4,0)*VLOOKUP(VLOOKUP($A40,'IP1'!$A$37:$G$89,7,0),Patterns!$A$2:$N$28,COLUMN(L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M40" s="85">
        <f>IF(LEFT($D40,5)="Other",VLOOKUP($A40,'IP1'!$A$37:$G$89,4,0)*VLOOKUP(VLOOKUP($A40,'IP1'!$A$37:$G$89,7,0),Patterns!$A$2:$N$28,COLUMN(M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N40" s="85">
        <f>IF(LEFT($D40,5)="Other",VLOOKUP($A40,'IP1'!$A$37:$G$89,4,0)*VLOOKUP(VLOOKUP($A40,'IP1'!$A$37:$G$89,7,0),Patterns!$A$2:$N$28,COLUMN(N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O40" s="85">
        <f>IF(LEFT($D40,5)="Other",VLOOKUP($A40,'IP1'!$A$37:$G$89,4,0)*VLOOKUP(VLOOKUP($A40,'IP1'!$A$37:$G$89,7,0),Patterns!$A$2:$N$28,COLUMN(O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P40" s="85">
        <f>IF(LEFT($D40,5)="Other",VLOOKUP($A40,'IP1'!$A$37:$G$89,4,0)*VLOOKUP(VLOOKUP($A40,'IP1'!$A$37:$G$89,7,0),Patterns!$A$2:$N$28,COLUMN(P40)-2,0)/VLOOKUP(VLOOKUP($A40,'IP1'!$A$37:$G$89,7,0),Patterns!$A$2:$N$28,2,0),IF(LEFT($D40,7)="Payroll",SUMPRODUCT(($B40='IP1'!$B$96:$B$114)*('IP1'!$D$96:$D$114))/12,SUMPRODUCT(($B40='IP1'!$B$96:$B$114)*('IP1'!$D$96:$D$114))/12*'IP1'!$F$154))</f>
        <v>625</v>
      </c>
      <c r="Q40" s="85">
        <f>IF(LEFT($D40,5)="Other",VLOOKUP($A40,'IP1'!$A$37:$G$89,5,0)*VLOOKUP(VLOOKUP($A40,'IP1'!$A$37:$G$89,7,0),Patterns!$A$2:$N$28,COLUMN(Q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R40" s="85">
        <f>IF(LEFT($D40,5)="Other",VLOOKUP($A40,'IP1'!$A$37:$G$89,5,0)*VLOOKUP(VLOOKUP($A40,'IP1'!$A$37:$G$89,7,0),Patterns!$A$2:$N$28,COLUMN(R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S40" s="85">
        <f>IF(LEFT($D40,5)="Other",VLOOKUP($A40,'IP1'!$A$37:$G$89,5,0)*VLOOKUP(VLOOKUP($A40,'IP1'!$A$37:$G$89,7,0),Patterns!$A$2:$N$28,COLUMN(S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T40" s="85">
        <f>IF(LEFT($D40,5)="Other",VLOOKUP($A40,'IP1'!$A$37:$G$89,5,0)*VLOOKUP(VLOOKUP($A40,'IP1'!$A$37:$G$89,7,0),Patterns!$A$2:$N$28,COLUMN(T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U40" s="85">
        <f>IF(LEFT($D40,5)="Other",VLOOKUP($A40,'IP1'!$A$37:$G$89,5,0)*VLOOKUP(VLOOKUP($A40,'IP1'!$A$37:$G$89,7,0),Patterns!$A$2:$N$28,COLUMN(U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V40" s="85">
        <f>IF(LEFT($D40,5)="Other",VLOOKUP($A40,'IP1'!$A$37:$G$89,5,0)*VLOOKUP(VLOOKUP($A40,'IP1'!$A$37:$G$89,7,0),Patterns!$A$2:$N$28,COLUMN(V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W40" s="85">
        <f>IF(LEFT($D40,5)="Other",VLOOKUP($A40,'IP1'!$A$37:$G$89,5,0)*VLOOKUP(VLOOKUP($A40,'IP1'!$A$37:$G$89,7,0),Patterns!$A$2:$N$28,COLUMN(W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X40" s="85">
        <f>IF(LEFT($D40,5)="Other",VLOOKUP($A40,'IP1'!$A$37:$G$89,5,0)*VLOOKUP(VLOOKUP($A40,'IP1'!$A$37:$G$89,7,0),Patterns!$A$2:$N$28,COLUMN(X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Y40" s="85">
        <f>IF(LEFT($D40,5)="Other",VLOOKUP($A40,'IP1'!$A$37:$G$89,5,0)*VLOOKUP(VLOOKUP($A40,'IP1'!$A$37:$G$89,7,0),Patterns!$A$2:$N$28,COLUMN(Y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Z40" s="85">
        <f>IF(LEFT($D40,5)="Other",VLOOKUP($A40,'IP1'!$A$37:$G$89,5,0)*VLOOKUP(VLOOKUP($A40,'IP1'!$A$37:$G$89,7,0),Patterns!$A$2:$N$28,COLUMN(Z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AA40" s="85">
        <f>IF(LEFT($D40,5)="Other",VLOOKUP($A40,'IP1'!$A$37:$G$89,5,0)*VLOOKUP(VLOOKUP($A40,'IP1'!$A$37:$G$89,7,0),Patterns!$A$2:$N$28,COLUMN(AA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  <c r="AB40" s="85">
        <f>IF(LEFT($D40,5)="Other",VLOOKUP($A40,'IP1'!$A$37:$G$89,5,0)*VLOOKUP(VLOOKUP($A40,'IP1'!$A$37:$G$89,7,0),Patterns!$A$2:$N$28,COLUMN(AB40)-14,0)/VLOOKUP(VLOOKUP($A40,'IP1'!$A$37:$G$89,7,0),Patterns!$A$2:$N$28,2,0),IF(LEFT($D40,7)="Payroll",SUMPRODUCT(($B40='IP1'!$B$96:$B$114)*('IP1'!$E$96:$E$114))/12,SUMPRODUCT(($B40='IP1'!$B$96:$B$114)*('IP1'!$E$96:$E$114))/12*'IP1'!$F$154))</f>
        <v>625</v>
      </c>
    </row>
    <row r="41" spans="1:28">
      <c r="A41" s="1" t="str">
        <f t="shared" si="2"/>
        <v xml:space="preserve">OperationsEngineering supplies </v>
      </c>
      <c r="B41" s="1" t="s">
        <v>463</v>
      </c>
      <c r="C41" s="1" t="s">
        <v>465</v>
      </c>
      <c r="D41" s="11" t="s">
        <v>100</v>
      </c>
      <c r="E41" s="85">
        <f>IF(LEFT($D41,5)="Other",
VLOOKUP($A41,'IP1'!$A$37:$G$89,4,0)*
VLOOKUP(
VLOOKUP($A41,'IP1'!$A$37:$G$89,7,0),Patterns!$A$2:$N$28,COLUMN(E41)-2,0)/
VLOOKUP(
VLOOKUP($A41,'IP1'!$A$37:$G$89,7,0),Patterns!$A$2:$N$28,2,0),
IF(LEFT($D41,7)="Payroll",
SUMPRODUCT(($B41='IP1'!$B$96:$B$114)*('IP1'!$D$96:$D$114))/12,
SUMPRODUCT(($B41='IP1'!$B$96:$B$114)*('IP1'!$D$96:$D$114))/12*'IP1'!$F$154))</f>
        <v>541.66666666666663</v>
      </c>
      <c r="F41" s="85">
        <f>IF(LEFT($D41,5)="Other",VLOOKUP($A41,'IP1'!$A$37:$G$89,4,0)*VLOOKUP(VLOOKUP($A41,'IP1'!$A$37:$G$89,7,0),Patterns!$A$2:$N$28,COLUMN(F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G41" s="85">
        <f>IF(LEFT($D41,5)="Other",VLOOKUP($A41,'IP1'!$A$37:$G$89,4,0)*VLOOKUP(VLOOKUP($A41,'IP1'!$A$37:$G$89,7,0),Patterns!$A$2:$N$28,COLUMN(G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H41" s="85">
        <f>IF(LEFT($D41,5)="Other",VLOOKUP($A41,'IP1'!$A$37:$G$89,4,0)*VLOOKUP(VLOOKUP($A41,'IP1'!$A$37:$G$89,7,0),Patterns!$A$2:$N$28,COLUMN(H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I41" s="85">
        <f>IF(LEFT($D41,5)="Other",VLOOKUP($A41,'IP1'!$A$37:$G$89,4,0)*VLOOKUP(VLOOKUP($A41,'IP1'!$A$37:$G$89,7,0),Patterns!$A$2:$N$28,COLUMN(I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J41" s="85">
        <f>IF(LEFT($D41,5)="Other",VLOOKUP($A41,'IP1'!$A$37:$G$89,4,0)*VLOOKUP(VLOOKUP($A41,'IP1'!$A$37:$G$89,7,0),Patterns!$A$2:$N$28,COLUMN(J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K41" s="85">
        <f>IF(LEFT($D41,5)="Other",VLOOKUP($A41,'IP1'!$A$37:$G$89,4,0)*VLOOKUP(VLOOKUP($A41,'IP1'!$A$37:$G$89,7,0),Patterns!$A$2:$N$28,COLUMN(K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L41" s="85">
        <f>IF(LEFT($D41,5)="Other",VLOOKUP($A41,'IP1'!$A$37:$G$89,4,0)*VLOOKUP(VLOOKUP($A41,'IP1'!$A$37:$G$89,7,0),Patterns!$A$2:$N$28,COLUMN(L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M41" s="85">
        <f>IF(LEFT($D41,5)="Other",VLOOKUP($A41,'IP1'!$A$37:$G$89,4,0)*VLOOKUP(VLOOKUP($A41,'IP1'!$A$37:$G$89,7,0),Patterns!$A$2:$N$28,COLUMN(M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N41" s="85">
        <f>IF(LEFT($D41,5)="Other",VLOOKUP($A41,'IP1'!$A$37:$G$89,4,0)*VLOOKUP(VLOOKUP($A41,'IP1'!$A$37:$G$89,7,0),Patterns!$A$2:$N$28,COLUMN(N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O41" s="85">
        <f>IF(LEFT($D41,5)="Other",VLOOKUP($A41,'IP1'!$A$37:$G$89,4,0)*VLOOKUP(VLOOKUP($A41,'IP1'!$A$37:$G$89,7,0),Patterns!$A$2:$N$28,COLUMN(O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P41" s="85">
        <f>IF(LEFT($D41,5)="Other",VLOOKUP($A41,'IP1'!$A$37:$G$89,4,0)*VLOOKUP(VLOOKUP($A41,'IP1'!$A$37:$G$89,7,0),Patterns!$A$2:$N$28,COLUMN(P41)-2,0)/VLOOKUP(VLOOKUP($A41,'IP1'!$A$37:$G$89,7,0),Patterns!$A$2:$N$28,2,0),IF(LEFT($D41,7)="Payroll",SUMPRODUCT(($B41='IP1'!$B$96:$B$114)*('IP1'!$D$96:$D$114))/12,SUMPRODUCT(($B41='IP1'!$B$96:$B$114)*('IP1'!$D$96:$D$114))/12*'IP1'!$F$154))</f>
        <v>541.66666666666663</v>
      </c>
      <c r="Q41" s="85">
        <f>IF(LEFT($D41,5)="Other",VLOOKUP($A41,'IP1'!$A$37:$G$89,5,0)*VLOOKUP(VLOOKUP($A41,'IP1'!$A$37:$G$89,7,0),Patterns!$A$2:$N$28,COLUMN(Q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R41" s="85">
        <f>IF(LEFT($D41,5)="Other",VLOOKUP($A41,'IP1'!$A$37:$G$89,5,0)*VLOOKUP(VLOOKUP($A41,'IP1'!$A$37:$G$89,7,0),Patterns!$A$2:$N$28,COLUMN(R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S41" s="85">
        <f>IF(LEFT($D41,5)="Other",VLOOKUP($A41,'IP1'!$A$37:$G$89,5,0)*VLOOKUP(VLOOKUP($A41,'IP1'!$A$37:$G$89,7,0),Patterns!$A$2:$N$28,COLUMN(S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T41" s="85">
        <f>IF(LEFT($D41,5)="Other",VLOOKUP($A41,'IP1'!$A$37:$G$89,5,0)*VLOOKUP(VLOOKUP($A41,'IP1'!$A$37:$G$89,7,0),Patterns!$A$2:$N$28,COLUMN(T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U41" s="85">
        <f>IF(LEFT($D41,5)="Other",VLOOKUP($A41,'IP1'!$A$37:$G$89,5,0)*VLOOKUP(VLOOKUP($A41,'IP1'!$A$37:$G$89,7,0),Patterns!$A$2:$N$28,COLUMN(U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V41" s="85">
        <f>IF(LEFT($D41,5)="Other",VLOOKUP($A41,'IP1'!$A$37:$G$89,5,0)*VLOOKUP(VLOOKUP($A41,'IP1'!$A$37:$G$89,7,0),Patterns!$A$2:$N$28,COLUMN(V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W41" s="85">
        <f>IF(LEFT($D41,5)="Other",VLOOKUP($A41,'IP1'!$A$37:$G$89,5,0)*VLOOKUP(VLOOKUP($A41,'IP1'!$A$37:$G$89,7,0),Patterns!$A$2:$N$28,COLUMN(W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X41" s="85">
        <f>IF(LEFT($D41,5)="Other",VLOOKUP($A41,'IP1'!$A$37:$G$89,5,0)*VLOOKUP(VLOOKUP($A41,'IP1'!$A$37:$G$89,7,0),Patterns!$A$2:$N$28,COLUMN(X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Y41" s="85">
        <f>IF(LEFT($D41,5)="Other",VLOOKUP($A41,'IP1'!$A$37:$G$89,5,0)*VLOOKUP(VLOOKUP($A41,'IP1'!$A$37:$G$89,7,0),Patterns!$A$2:$N$28,COLUMN(Y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Z41" s="85">
        <f>IF(LEFT($D41,5)="Other",VLOOKUP($A41,'IP1'!$A$37:$G$89,5,0)*VLOOKUP(VLOOKUP($A41,'IP1'!$A$37:$G$89,7,0),Patterns!$A$2:$N$28,COLUMN(Z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AA41" s="85">
        <f>IF(LEFT($D41,5)="Other",VLOOKUP($A41,'IP1'!$A$37:$G$89,5,0)*VLOOKUP(VLOOKUP($A41,'IP1'!$A$37:$G$89,7,0),Patterns!$A$2:$N$28,COLUMN(AA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  <c r="AB41" s="85">
        <f>IF(LEFT($D41,5)="Other",VLOOKUP($A41,'IP1'!$A$37:$G$89,5,0)*VLOOKUP(VLOOKUP($A41,'IP1'!$A$37:$G$89,7,0),Patterns!$A$2:$N$28,COLUMN(AB41)-14,0)/VLOOKUP(VLOOKUP($A41,'IP1'!$A$37:$G$89,7,0),Patterns!$A$2:$N$28,2,0),IF(LEFT($D41,7)="Payroll",SUMPRODUCT(($B41='IP1'!$B$96:$B$114)*('IP1'!$E$96:$E$114))/12,SUMPRODUCT(($B41='IP1'!$B$96:$B$114)*('IP1'!$E$96:$E$114))/12*'IP1'!$F$154))</f>
        <v>541.66666666666663</v>
      </c>
    </row>
    <row r="42" spans="1:28">
      <c r="A42" s="1" t="str">
        <f t="shared" si="2"/>
        <v xml:space="preserve">OperationsFurniture </v>
      </c>
      <c r="B42" s="1" t="s">
        <v>463</v>
      </c>
      <c r="C42" s="1" t="s">
        <v>466</v>
      </c>
      <c r="D42" s="11" t="s">
        <v>100</v>
      </c>
      <c r="E42" s="85">
        <f>IF(LEFT($D42,5)="Other",
VLOOKUP($A42,'IP1'!$A$37:$G$89,4,0)*
VLOOKUP(
VLOOKUP($A42,'IP1'!$A$37:$G$89,7,0),Patterns!$A$2:$N$28,COLUMN(E42)-2,0)/
VLOOKUP(
VLOOKUP($A42,'IP1'!$A$37:$G$89,7,0),Patterns!$A$2:$N$28,2,0),
IF(LEFT($D42,7)="Payroll",
SUMPRODUCT(($B42='IP1'!$B$96:$B$114)*('IP1'!$D$96:$D$114))/12,
SUMPRODUCT(($B42='IP1'!$B$96:$B$114)*('IP1'!$D$96:$D$114))/12*'IP1'!$F$154))</f>
        <v>0</v>
      </c>
      <c r="F42" s="85">
        <f>IF(LEFT($D42,5)="Other",VLOOKUP($A42,'IP1'!$A$37:$G$89,4,0)*VLOOKUP(VLOOKUP($A42,'IP1'!$A$37:$G$89,7,0),Patterns!$A$2:$N$28,COLUMN(F42)-2,0)/VLOOKUP(VLOOKUP($A42,'IP1'!$A$37:$G$89,7,0),Patterns!$A$2:$N$28,2,0),IF(LEFT($D42,7)="Payroll",SUMPRODUCT(($B42='IP1'!$B$96:$B$114)*('IP1'!$D$96:$D$114))/12,SUMPRODUCT(($B42='IP1'!$B$96:$B$114)*('IP1'!$D$96:$D$114))/12*'IP1'!$F$154))</f>
        <v>2500</v>
      </c>
      <c r="G42" s="85">
        <f>IF(LEFT($D42,5)="Other",VLOOKUP($A42,'IP1'!$A$37:$G$89,4,0)*VLOOKUP(VLOOKUP($A42,'IP1'!$A$37:$G$89,7,0),Patterns!$A$2:$N$28,COLUMN(G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H42" s="85">
        <f>IF(LEFT($D42,5)="Other",VLOOKUP($A42,'IP1'!$A$37:$G$89,4,0)*VLOOKUP(VLOOKUP($A42,'IP1'!$A$37:$G$89,7,0),Patterns!$A$2:$N$28,COLUMN(H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I42" s="85">
        <f>IF(LEFT($D42,5)="Other",VLOOKUP($A42,'IP1'!$A$37:$G$89,4,0)*VLOOKUP(VLOOKUP($A42,'IP1'!$A$37:$G$89,7,0),Patterns!$A$2:$N$28,COLUMN(I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J42" s="85">
        <f>IF(LEFT($D42,5)="Other",VLOOKUP($A42,'IP1'!$A$37:$G$89,4,0)*VLOOKUP(VLOOKUP($A42,'IP1'!$A$37:$G$89,7,0),Patterns!$A$2:$N$28,COLUMN(J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K42" s="85">
        <f>IF(LEFT($D42,5)="Other",VLOOKUP($A42,'IP1'!$A$37:$G$89,4,0)*VLOOKUP(VLOOKUP($A42,'IP1'!$A$37:$G$89,7,0),Patterns!$A$2:$N$28,COLUMN(K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L42" s="85">
        <f>IF(LEFT($D42,5)="Other",VLOOKUP($A42,'IP1'!$A$37:$G$89,4,0)*VLOOKUP(VLOOKUP($A42,'IP1'!$A$37:$G$89,7,0),Patterns!$A$2:$N$28,COLUMN(L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M42" s="85">
        <f>IF(LEFT($D42,5)="Other",VLOOKUP($A42,'IP1'!$A$37:$G$89,4,0)*VLOOKUP(VLOOKUP($A42,'IP1'!$A$37:$G$89,7,0),Patterns!$A$2:$N$28,COLUMN(M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N42" s="85">
        <f>IF(LEFT($D42,5)="Other",VLOOKUP($A42,'IP1'!$A$37:$G$89,4,0)*VLOOKUP(VLOOKUP($A42,'IP1'!$A$37:$G$89,7,0),Patterns!$A$2:$N$28,COLUMN(N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O42" s="85">
        <f>IF(LEFT($D42,5)="Other",VLOOKUP($A42,'IP1'!$A$37:$G$89,4,0)*VLOOKUP(VLOOKUP($A42,'IP1'!$A$37:$G$89,7,0),Patterns!$A$2:$N$28,COLUMN(O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P42" s="85">
        <f>IF(LEFT($D42,5)="Other",VLOOKUP($A42,'IP1'!$A$37:$G$89,4,0)*VLOOKUP(VLOOKUP($A42,'IP1'!$A$37:$G$89,7,0),Patterns!$A$2:$N$28,COLUMN(P42)-2,0)/VLOOKUP(VLOOKUP($A42,'IP1'!$A$37:$G$89,7,0),Patterns!$A$2:$N$28,2,0),IF(LEFT($D42,7)="Payroll",SUMPRODUCT(($B42='IP1'!$B$96:$B$114)*('IP1'!$D$96:$D$114))/12,SUMPRODUCT(($B42='IP1'!$B$96:$B$114)*('IP1'!$D$96:$D$114))/12*'IP1'!$F$154))</f>
        <v>0</v>
      </c>
      <c r="Q42" s="85">
        <f>IF(LEFT($D42,5)="Other",VLOOKUP($A42,'IP1'!$A$37:$G$89,5,0)*VLOOKUP(VLOOKUP($A42,'IP1'!$A$37:$G$89,7,0),Patterns!$A$2:$N$28,COLUMN(Q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R42" s="85">
        <f>IF(LEFT($D42,5)="Other",VLOOKUP($A42,'IP1'!$A$37:$G$89,5,0)*VLOOKUP(VLOOKUP($A42,'IP1'!$A$37:$G$89,7,0),Patterns!$A$2:$N$28,COLUMN(R42)-14,0)/VLOOKUP(VLOOKUP($A42,'IP1'!$A$37:$G$89,7,0),Patterns!$A$2:$N$28,2,0),IF(LEFT($D42,7)="Payroll",SUMPRODUCT(($B42='IP1'!$B$96:$B$114)*('IP1'!$E$96:$E$114))/12,SUMPRODUCT(($B42='IP1'!$B$96:$B$114)*('IP1'!$E$96:$E$114))/12*'IP1'!$F$154))</f>
        <v>2500</v>
      </c>
      <c r="S42" s="85">
        <f>IF(LEFT($D42,5)="Other",VLOOKUP($A42,'IP1'!$A$37:$G$89,5,0)*VLOOKUP(VLOOKUP($A42,'IP1'!$A$37:$G$89,7,0),Patterns!$A$2:$N$28,COLUMN(S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T42" s="85">
        <f>IF(LEFT($D42,5)="Other",VLOOKUP($A42,'IP1'!$A$37:$G$89,5,0)*VLOOKUP(VLOOKUP($A42,'IP1'!$A$37:$G$89,7,0),Patterns!$A$2:$N$28,COLUMN(T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U42" s="85">
        <f>IF(LEFT($D42,5)="Other",VLOOKUP($A42,'IP1'!$A$37:$G$89,5,0)*VLOOKUP(VLOOKUP($A42,'IP1'!$A$37:$G$89,7,0),Patterns!$A$2:$N$28,COLUMN(U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V42" s="85">
        <f>IF(LEFT($D42,5)="Other",VLOOKUP($A42,'IP1'!$A$37:$G$89,5,0)*VLOOKUP(VLOOKUP($A42,'IP1'!$A$37:$G$89,7,0),Patterns!$A$2:$N$28,COLUMN(V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W42" s="85">
        <f>IF(LEFT($D42,5)="Other",VLOOKUP($A42,'IP1'!$A$37:$G$89,5,0)*VLOOKUP(VLOOKUP($A42,'IP1'!$A$37:$G$89,7,0),Patterns!$A$2:$N$28,COLUMN(W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X42" s="85">
        <f>IF(LEFT($D42,5)="Other",VLOOKUP($A42,'IP1'!$A$37:$G$89,5,0)*VLOOKUP(VLOOKUP($A42,'IP1'!$A$37:$G$89,7,0),Patterns!$A$2:$N$28,COLUMN(X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Y42" s="85">
        <f>IF(LEFT($D42,5)="Other",VLOOKUP($A42,'IP1'!$A$37:$G$89,5,0)*VLOOKUP(VLOOKUP($A42,'IP1'!$A$37:$G$89,7,0),Patterns!$A$2:$N$28,COLUMN(Y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Z42" s="85">
        <f>IF(LEFT($D42,5)="Other",VLOOKUP($A42,'IP1'!$A$37:$G$89,5,0)*VLOOKUP(VLOOKUP($A42,'IP1'!$A$37:$G$89,7,0),Patterns!$A$2:$N$28,COLUMN(Z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AA42" s="85">
        <f>IF(LEFT($D42,5)="Other",VLOOKUP($A42,'IP1'!$A$37:$G$89,5,0)*VLOOKUP(VLOOKUP($A42,'IP1'!$A$37:$G$89,7,0),Patterns!$A$2:$N$28,COLUMN(AA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  <c r="AB42" s="85">
        <f>IF(LEFT($D42,5)="Other",VLOOKUP($A42,'IP1'!$A$37:$G$89,5,0)*VLOOKUP(VLOOKUP($A42,'IP1'!$A$37:$G$89,7,0),Patterns!$A$2:$N$28,COLUMN(AB42)-14,0)/VLOOKUP(VLOOKUP($A42,'IP1'!$A$37:$G$89,7,0),Patterns!$A$2:$N$28,2,0),IF(LEFT($D42,7)="Payroll",SUMPRODUCT(($B42='IP1'!$B$96:$B$114)*('IP1'!$E$96:$E$114))/12,SUMPRODUCT(($B42='IP1'!$B$96:$B$114)*('IP1'!$E$96:$E$114))/12*'IP1'!$F$154))</f>
        <v>0</v>
      </c>
    </row>
    <row r="43" spans="1:28">
      <c r="A43" s="1" t="str">
        <f t="shared" si="2"/>
        <v xml:space="preserve">OperationsGrounds and landscaping </v>
      </c>
      <c r="B43" s="1" t="s">
        <v>463</v>
      </c>
      <c r="C43" s="1" t="s">
        <v>467</v>
      </c>
      <c r="D43" s="11" t="s">
        <v>100</v>
      </c>
      <c r="E43" s="85">
        <f>IF(LEFT($D43,5)="Other",
VLOOKUP($A43,'IP1'!$A$37:$G$89,4,0)*
VLOOKUP(
VLOOKUP($A43,'IP1'!$A$37:$G$89,7,0),Patterns!$A$2:$N$28,COLUMN(E43)-2,0)/
VLOOKUP(
VLOOKUP($A43,'IP1'!$A$37:$G$89,7,0),Patterns!$A$2:$N$28,2,0),
IF(LEFT($D43,7)="Payroll",
SUMPRODUCT(($B43='IP1'!$B$96:$B$114)*('IP1'!$D$96:$D$114))/12,
SUMPRODUCT(($B43='IP1'!$B$96:$B$114)*('IP1'!$D$96:$D$114))/12*'IP1'!$F$154))</f>
        <v>1458.3333333333333</v>
      </c>
      <c r="F43" s="85">
        <f>IF(LEFT($D43,5)="Other",VLOOKUP($A43,'IP1'!$A$37:$G$89,4,0)*VLOOKUP(VLOOKUP($A43,'IP1'!$A$37:$G$89,7,0),Patterns!$A$2:$N$28,COLUMN(F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G43" s="85">
        <f>IF(LEFT($D43,5)="Other",VLOOKUP($A43,'IP1'!$A$37:$G$89,4,0)*VLOOKUP(VLOOKUP($A43,'IP1'!$A$37:$G$89,7,0),Patterns!$A$2:$N$28,COLUMN(G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H43" s="85">
        <f>IF(LEFT($D43,5)="Other",VLOOKUP($A43,'IP1'!$A$37:$G$89,4,0)*VLOOKUP(VLOOKUP($A43,'IP1'!$A$37:$G$89,7,0),Patterns!$A$2:$N$28,COLUMN(H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I43" s="85">
        <f>IF(LEFT($D43,5)="Other",VLOOKUP($A43,'IP1'!$A$37:$G$89,4,0)*VLOOKUP(VLOOKUP($A43,'IP1'!$A$37:$G$89,7,0),Patterns!$A$2:$N$28,COLUMN(I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J43" s="85">
        <f>IF(LEFT($D43,5)="Other",VLOOKUP($A43,'IP1'!$A$37:$G$89,4,0)*VLOOKUP(VLOOKUP($A43,'IP1'!$A$37:$G$89,7,0),Patterns!$A$2:$N$28,COLUMN(J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K43" s="85">
        <f>IF(LEFT($D43,5)="Other",VLOOKUP($A43,'IP1'!$A$37:$G$89,4,0)*VLOOKUP(VLOOKUP($A43,'IP1'!$A$37:$G$89,7,0),Patterns!$A$2:$N$28,COLUMN(K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L43" s="85">
        <f>IF(LEFT($D43,5)="Other",VLOOKUP($A43,'IP1'!$A$37:$G$89,4,0)*VLOOKUP(VLOOKUP($A43,'IP1'!$A$37:$G$89,7,0),Patterns!$A$2:$N$28,COLUMN(L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M43" s="85">
        <f>IF(LEFT($D43,5)="Other",VLOOKUP($A43,'IP1'!$A$37:$G$89,4,0)*VLOOKUP(VLOOKUP($A43,'IP1'!$A$37:$G$89,7,0),Patterns!$A$2:$N$28,COLUMN(M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N43" s="85">
        <f>IF(LEFT($D43,5)="Other",VLOOKUP($A43,'IP1'!$A$37:$G$89,4,0)*VLOOKUP(VLOOKUP($A43,'IP1'!$A$37:$G$89,7,0),Patterns!$A$2:$N$28,COLUMN(N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O43" s="85">
        <f>IF(LEFT($D43,5)="Other",VLOOKUP($A43,'IP1'!$A$37:$G$89,4,0)*VLOOKUP(VLOOKUP($A43,'IP1'!$A$37:$G$89,7,0),Patterns!$A$2:$N$28,COLUMN(O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P43" s="85">
        <f>IF(LEFT($D43,5)="Other",VLOOKUP($A43,'IP1'!$A$37:$G$89,4,0)*VLOOKUP(VLOOKUP($A43,'IP1'!$A$37:$G$89,7,0),Patterns!$A$2:$N$28,COLUMN(P43)-2,0)/VLOOKUP(VLOOKUP($A43,'IP1'!$A$37:$G$89,7,0),Patterns!$A$2:$N$28,2,0),IF(LEFT($D43,7)="Payroll",SUMPRODUCT(($B43='IP1'!$B$96:$B$114)*('IP1'!$D$96:$D$114))/12,SUMPRODUCT(($B43='IP1'!$B$96:$B$114)*('IP1'!$D$96:$D$114))/12*'IP1'!$F$154))</f>
        <v>1458.3333333333333</v>
      </c>
      <c r="Q43" s="85">
        <f>IF(LEFT($D43,5)="Other",VLOOKUP($A43,'IP1'!$A$37:$G$89,5,0)*VLOOKUP(VLOOKUP($A43,'IP1'!$A$37:$G$89,7,0),Patterns!$A$2:$N$28,COLUMN(Q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R43" s="85">
        <f>IF(LEFT($D43,5)="Other",VLOOKUP($A43,'IP1'!$A$37:$G$89,5,0)*VLOOKUP(VLOOKUP($A43,'IP1'!$A$37:$G$89,7,0),Patterns!$A$2:$N$28,COLUMN(R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S43" s="85">
        <f>IF(LEFT($D43,5)="Other",VLOOKUP($A43,'IP1'!$A$37:$G$89,5,0)*VLOOKUP(VLOOKUP($A43,'IP1'!$A$37:$G$89,7,0),Patterns!$A$2:$N$28,COLUMN(S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T43" s="85">
        <f>IF(LEFT($D43,5)="Other",VLOOKUP($A43,'IP1'!$A$37:$G$89,5,0)*VLOOKUP(VLOOKUP($A43,'IP1'!$A$37:$G$89,7,0),Patterns!$A$2:$N$28,COLUMN(T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U43" s="85">
        <f>IF(LEFT($D43,5)="Other",VLOOKUP($A43,'IP1'!$A$37:$G$89,5,0)*VLOOKUP(VLOOKUP($A43,'IP1'!$A$37:$G$89,7,0),Patterns!$A$2:$N$28,COLUMN(U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V43" s="85">
        <f>IF(LEFT($D43,5)="Other",VLOOKUP($A43,'IP1'!$A$37:$G$89,5,0)*VLOOKUP(VLOOKUP($A43,'IP1'!$A$37:$G$89,7,0),Patterns!$A$2:$N$28,COLUMN(V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W43" s="85">
        <f>IF(LEFT($D43,5)="Other",VLOOKUP($A43,'IP1'!$A$37:$G$89,5,0)*VLOOKUP(VLOOKUP($A43,'IP1'!$A$37:$G$89,7,0),Patterns!$A$2:$N$28,COLUMN(W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X43" s="85">
        <f>IF(LEFT($D43,5)="Other",VLOOKUP($A43,'IP1'!$A$37:$G$89,5,0)*VLOOKUP(VLOOKUP($A43,'IP1'!$A$37:$G$89,7,0),Patterns!$A$2:$N$28,COLUMN(X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Y43" s="85">
        <f>IF(LEFT($D43,5)="Other",VLOOKUP($A43,'IP1'!$A$37:$G$89,5,0)*VLOOKUP(VLOOKUP($A43,'IP1'!$A$37:$G$89,7,0),Patterns!$A$2:$N$28,COLUMN(Y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Z43" s="85">
        <f>IF(LEFT($D43,5)="Other",VLOOKUP($A43,'IP1'!$A$37:$G$89,5,0)*VLOOKUP(VLOOKUP($A43,'IP1'!$A$37:$G$89,7,0),Patterns!$A$2:$N$28,COLUMN(Z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AA43" s="85">
        <f>IF(LEFT($D43,5)="Other",VLOOKUP($A43,'IP1'!$A$37:$G$89,5,0)*VLOOKUP(VLOOKUP($A43,'IP1'!$A$37:$G$89,7,0),Patterns!$A$2:$N$28,COLUMN(AA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  <c r="AB43" s="85">
        <f>IF(LEFT($D43,5)="Other",VLOOKUP($A43,'IP1'!$A$37:$G$89,5,0)*VLOOKUP(VLOOKUP($A43,'IP1'!$A$37:$G$89,7,0),Patterns!$A$2:$N$28,COLUMN(AB43)-14,0)/VLOOKUP(VLOOKUP($A43,'IP1'!$A$37:$G$89,7,0),Patterns!$A$2:$N$28,2,0),IF(LEFT($D43,7)="Payroll",SUMPRODUCT(($B43='IP1'!$B$96:$B$114)*('IP1'!$E$96:$E$114))/12,SUMPRODUCT(($B43='IP1'!$B$96:$B$114)*('IP1'!$E$96:$E$114))/12*'IP1'!$F$154))</f>
        <v>4166.666666666667</v>
      </c>
    </row>
    <row r="44" spans="1:28">
      <c r="A44" s="1" t="str">
        <f t="shared" si="2"/>
        <v xml:space="preserve">OperationsHeating, vent &amp; a/c equip </v>
      </c>
      <c r="B44" s="1" t="s">
        <v>463</v>
      </c>
      <c r="C44" s="1" t="s">
        <v>478</v>
      </c>
      <c r="D44" s="11" t="s">
        <v>100</v>
      </c>
      <c r="E44" s="85">
        <f>IF(LEFT($D44,5)="Other",
VLOOKUP($A44,'IP1'!$A$37:$G$89,4,0)*
VLOOKUP(
VLOOKUP($A44,'IP1'!$A$37:$G$89,7,0),Patterns!$A$2:$N$28,COLUMN(E44)-2,0)/
VLOOKUP(
VLOOKUP($A44,'IP1'!$A$37:$G$89,7,0),Patterns!$A$2:$N$28,2,0),
IF(LEFT($D44,7)="Payroll",
SUMPRODUCT(($B44='IP1'!$B$96:$B$114)*('IP1'!$D$96:$D$114))/12,
SUMPRODUCT(($B44='IP1'!$B$96:$B$114)*('IP1'!$D$96:$D$114))/12*'IP1'!$F$154))</f>
        <v>2083.3333333333335</v>
      </c>
      <c r="F44" s="85">
        <f>IF(LEFT($D44,5)="Other",VLOOKUP($A44,'IP1'!$A$37:$G$89,4,0)*VLOOKUP(VLOOKUP($A44,'IP1'!$A$37:$G$89,7,0),Patterns!$A$2:$N$28,COLUMN(F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G44" s="85">
        <f>IF(LEFT($D44,5)="Other",VLOOKUP($A44,'IP1'!$A$37:$G$89,4,0)*VLOOKUP(VLOOKUP($A44,'IP1'!$A$37:$G$89,7,0),Patterns!$A$2:$N$28,COLUMN(G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H44" s="85">
        <f>IF(LEFT($D44,5)="Other",VLOOKUP($A44,'IP1'!$A$37:$G$89,4,0)*VLOOKUP(VLOOKUP($A44,'IP1'!$A$37:$G$89,7,0),Patterns!$A$2:$N$28,COLUMN(H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I44" s="85">
        <f>IF(LEFT($D44,5)="Other",VLOOKUP($A44,'IP1'!$A$37:$G$89,4,0)*VLOOKUP(VLOOKUP($A44,'IP1'!$A$37:$G$89,7,0),Patterns!$A$2:$N$28,COLUMN(I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J44" s="85">
        <f>IF(LEFT($D44,5)="Other",VLOOKUP($A44,'IP1'!$A$37:$G$89,4,0)*VLOOKUP(VLOOKUP($A44,'IP1'!$A$37:$G$89,7,0),Patterns!$A$2:$N$28,COLUMN(J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K44" s="85">
        <f>IF(LEFT($D44,5)="Other",VLOOKUP($A44,'IP1'!$A$37:$G$89,4,0)*VLOOKUP(VLOOKUP($A44,'IP1'!$A$37:$G$89,7,0),Patterns!$A$2:$N$28,COLUMN(K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L44" s="85">
        <f>IF(LEFT($D44,5)="Other",VLOOKUP($A44,'IP1'!$A$37:$G$89,4,0)*VLOOKUP(VLOOKUP($A44,'IP1'!$A$37:$G$89,7,0),Patterns!$A$2:$N$28,COLUMN(L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M44" s="85">
        <f>IF(LEFT($D44,5)="Other",VLOOKUP($A44,'IP1'!$A$37:$G$89,4,0)*VLOOKUP(VLOOKUP($A44,'IP1'!$A$37:$G$89,7,0),Patterns!$A$2:$N$28,COLUMN(M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N44" s="85">
        <f>IF(LEFT($D44,5)="Other",VLOOKUP($A44,'IP1'!$A$37:$G$89,4,0)*VLOOKUP(VLOOKUP($A44,'IP1'!$A$37:$G$89,7,0),Patterns!$A$2:$N$28,COLUMN(N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O44" s="85">
        <f>IF(LEFT($D44,5)="Other",VLOOKUP($A44,'IP1'!$A$37:$G$89,4,0)*VLOOKUP(VLOOKUP($A44,'IP1'!$A$37:$G$89,7,0),Patterns!$A$2:$N$28,COLUMN(O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P44" s="85">
        <f>IF(LEFT($D44,5)="Other",VLOOKUP($A44,'IP1'!$A$37:$G$89,4,0)*VLOOKUP(VLOOKUP($A44,'IP1'!$A$37:$G$89,7,0),Patterns!$A$2:$N$28,COLUMN(P44)-2,0)/VLOOKUP(VLOOKUP($A44,'IP1'!$A$37:$G$89,7,0),Patterns!$A$2:$N$28,2,0),IF(LEFT($D44,7)="Payroll",SUMPRODUCT(($B44='IP1'!$B$96:$B$114)*('IP1'!$D$96:$D$114))/12,SUMPRODUCT(($B44='IP1'!$B$96:$B$114)*('IP1'!$D$96:$D$114))/12*'IP1'!$F$154))</f>
        <v>2083.3333333333335</v>
      </c>
      <c r="Q44" s="85">
        <f>IF(LEFT($D44,5)="Other",VLOOKUP($A44,'IP1'!$A$37:$G$89,5,0)*VLOOKUP(VLOOKUP($A44,'IP1'!$A$37:$G$89,7,0),Patterns!$A$2:$N$28,COLUMN(Q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R44" s="85">
        <f>IF(LEFT($D44,5)="Other",VLOOKUP($A44,'IP1'!$A$37:$G$89,5,0)*VLOOKUP(VLOOKUP($A44,'IP1'!$A$37:$G$89,7,0),Patterns!$A$2:$N$28,COLUMN(R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S44" s="85">
        <f>IF(LEFT($D44,5)="Other",VLOOKUP($A44,'IP1'!$A$37:$G$89,5,0)*VLOOKUP(VLOOKUP($A44,'IP1'!$A$37:$G$89,7,0),Patterns!$A$2:$N$28,COLUMN(S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T44" s="85">
        <f>IF(LEFT($D44,5)="Other",VLOOKUP($A44,'IP1'!$A$37:$G$89,5,0)*VLOOKUP(VLOOKUP($A44,'IP1'!$A$37:$G$89,7,0),Patterns!$A$2:$N$28,COLUMN(T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U44" s="85">
        <f>IF(LEFT($D44,5)="Other",VLOOKUP($A44,'IP1'!$A$37:$G$89,5,0)*VLOOKUP(VLOOKUP($A44,'IP1'!$A$37:$G$89,7,0),Patterns!$A$2:$N$28,COLUMN(U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V44" s="85">
        <f>IF(LEFT($D44,5)="Other",VLOOKUP($A44,'IP1'!$A$37:$G$89,5,0)*VLOOKUP(VLOOKUP($A44,'IP1'!$A$37:$G$89,7,0),Patterns!$A$2:$N$28,COLUMN(V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W44" s="85">
        <f>IF(LEFT($D44,5)="Other",VLOOKUP($A44,'IP1'!$A$37:$G$89,5,0)*VLOOKUP(VLOOKUP($A44,'IP1'!$A$37:$G$89,7,0),Patterns!$A$2:$N$28,COLUMN(W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X44" s="85">
        <f>IF(LEFT($D44,5)="Other",VLOOKUP($A44,'IP1'!$A$37:$G$89,5,0)*VLOOKUP(VLOOKUP($A44,'IP1'!$A$37:$G$89,7,0),Patterns!$A$2:$N$28,COLUMN(X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Y44" s="85">
        <f>IF(LEFT($D44,5)="Other",VLOOKUP($A44,'IP1'!$A$37:$G$89,5,0)*VLOOKUP(VLOOKUP($A44,'IP1'!$A$37:$G$89,7,0),Patterns!$A$2:$N$28,COLUMN(Y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Z44" s="85">
        <f>IF(LEFT($D44,5)="Other",VLOOKUP($A44,'IP1'!$A$37:$G$89,5,0)*VLOOKUP(VLOOKUP($A44,'IP1'!$A$37:$G$89,7,0),Patterns!$A$2:$N$28,COLUMN(Z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AA44" s="85">
        <f>IF(LEFT($D44,5)="Other",VLOOKUP($A44,'IP1'!$A$37:$G$89,5,0)*VLOOKUP(VLOOKUP($A44,'IP1'!$A$37:$G$89,7,0),Patterns!$A$2:$N$28,COLUMN(AA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  <c r="AB44" s="85">
        <f>IF(LEFT($D44,5)="Other",VLOOKUP($A44,'IP1'!$A$37:$G$89,5,0)*VLOOKUP(VLOOKUP($A44,'IP1'!$A$37:$G$89,7,0),Patterns!$A$2:$N$28,COLUMN(AB44)-14,0)/VLOOKUP(VLOOKUP($A44,'IP1'!$A$37:$G$89,7,0),Patterns!$A$2:$N$28,2,0),IF(LEFT($D44,7)="Payroll",SUMPRODUCT(($B44='IP1'!$B$96:$B$114)*('IP1'!$E$96:$E$114))/12,SUMPRODUCT(($B44='IP1'!$B$96:$B$114)*('IP1'!$E$96:$E$114))/12*'IP1'!$F$154))</f>
        <v>4166.666666666667</v>
      </c>
    </row>
    <row r="45" spans="1:28">
      <c r="A45" s="1" t="str">
        <f t="shared" si="2"/>
        <v xml:space="preserve">OperationsKitchen equipment </v>
      </c>
      <c r="B45" s="1" t="s">
        <v>463</v>
      </c>
      <c r="C45" s="1" t="s">
        <v>468</v>
      </c>
      <c r="D45" s="11" t="s">
        <v>100</v>
      </c>
      <c r="E45" s="85">
        <f>IF(LEFT($D45,5)="Other",
VLOOKUP($A45,'IP1'!$A$37:$G$89,4,0)*
VLOOKUP(
VLOOKUP($A45,'IP1'!$A$37:$G$89,7,0),Patterns!$A$2:$N$28,COLUMN(E45)-2,0)/
VLOOKUP(
VLOOKUP($A45,'IP1'!$A$37:$G$89,7,0),Patterns!$A$2:$N$28,2,0),
IF(LEFT($D45,7)="Payroll",
SUMPRODUCT(($B45='IP1'!$B$96:$B$114)*('IP1'!$D$96:$D$114))/12,
SUMPRODUCT(($B45='IP1'!$B$96:$B$114)*('IP1'!$D$96:$D$114))/12*'IP1'!$F$154))</f>
        <v>416.66666666666669</v>
      </c>
      <c r="F45" s="85">
        <f>IF(LEFT($D45,5)="Other",VLOOKUP($A45,'IP1'!$A$37:$G$89,4,0)*VLOOKUP(VLOOKUP($A45,'IP1'!$A$37:$G$89,7,0),Patterns!$A$2:$N$28,COLUMN(F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G45" s="85">
        <f>IF(LEFT($D45,5)="Other",VLOOKUP($A45,'IP1'!$A$37:$G$89,4,0)*VLOOKUP(VLOOKUP($A45,'IP1'!$A$37:$G$89,7,0),Patterns!$A$2:$N$28,COLUMN(G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H45" s="85">
        <f>IF(LEFT($D45,5)="Other",VLOOKUP($A45,'IP1'!$A$37:$G$89,4,0)*VLOOKUP(VLOOKUP($A45,'IP1'!$A$37:$G$89,7,0),Patterns!$A$2:$N$28,COLUMN(H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I45" s="85">
        <f>IF(LEFT($D45,5)="Other",VLOOKUP($A45,'IP1'!$A$37:$G$89,4,0)*VLOOKUP(VLOOKUP($A45,'IP1'!$A$37:$G$89,7,0),Patterns!$A$2:$N$28,COLUMN(I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J45" s="85">
        <f>IF(LEFT($D45,5)="Other",VLOOKUP($A45,'IP1'!$A$37:$G$89,4,0)*VLOOKUP(VLOOKUP($A45,'IP1'!$A$37:$G$89,7,0),Patterns!$A$2:$N$28,COLUMN(J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K45" s="85">
        <f>IF(LEFT($D45,5)="Other",VLOOKUP($A45,'IP1'!$A$37:$G$89,4,0)*VLOOKUP(VLOOKUP($A45,'IP1'!$A$37:$G$89,7,0),Patterns!$A$2:$N$28,COLUMN(K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L45" s="85">
        <f>IF(LEFT($D45,5)="Other",VLOOKUP($A45,'IP1'!$A$37:$G$89,4,0)*VLOOKUP(VLOOKUP($A45,'IP1'!$A$37:$G$89,7,0),Patterns!$A$2:$N$28,COLUMN(L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M45" s="85">
        <f>IF(LEFT($D45,5)="Other",VLOOKUP($A45,'IP1'!$A$37:$G$89,4,0)*VLOOKUP(VLOOKUP($A45,'IP1'!$A$37:$G$89,7,0),Patterns!$A$2:$N$28,COLUMN(M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N45" s="85">
        <f>IF(LEFT($D45,5)="Other",VLOOKUP($A45,'IP1'!$A$37:$G$89,4,0)*VLOOKUP(VLOOKUP($A45,'IP1'!$A$37:$G$89,7,0),Patterns!$A$2:$N$28,COLUMN(N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O45" s="85">
        <f>IF(LEFT($D45,5)="Other",VLOOKUP($A45,'IP1'!$A$37:$G$89,4,0)*VLOOKUP(VLOOKUP($A45,'IP1'!$A$37:$G$89,7,0),Patterns!$A$2:$N$28,COLUMN(O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P45" s="85">
        <f>IF(LEFT($D45,5)="Other",VLOOKUP($A45,'IP1'!$A$37:$G$89,4,0)*VLOOKUP(VLOOKUP($A45,'IP1'!$A$37:$G$89,7,0),Patterns!$A$2:$N$28,COLUMN(P45)-2,0)/VLOOKUP(VLOOKUP($A45,'IP1'!$A$37:$G$89,7,0),Patterns!$A$2:$N$28,2,0),IF(LEFT($D45,7)="Payroll",SUMPRODUCT(($B45='IP1'!$B$96:$B$114)*('IP1'!$D$96:$D$114))/12,SUMPRODUCT(($B45='IP1'!$B$96:$B$114)*('IP1'!$D$96:$D$114))/12*'IP1'!$F$154))</f>
        <v>416.66666666666669</v>
      </c>
      <c r="Q45" s="85">
        <f>IF(LEFT($D45,5)="Other",VLOOKUP($A45,'IP1'!$A$37:$G$89,5,0)*VLOOKUP(VLOOKUP($A45,'IP1'!$A$37:$G$89,7,0),Patterns!$A$2:$N$28,COLUMN(Q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R45" s="85">
        <f>IF(LEFT($D45,5)="Other",VLOOKUP($A45,'IP1'!$A$37:$G$89,5,0)*VLOOKUP(VLOOKUP($A45,'IP1'!$A$37:$G$89,7,0),Patterns!$A$2:$N$28,COLUMN(R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S45" s="85">
        <f>IF(LEFT($D45,5)="Other",VLOOKUP($A45,'IP1'!$A$37:$G$89,5,0)*VLOOKUP(VLOOKUP($A45,'IP1'!$A$37:$G$89,7,0),Patterns!$A$2:$N$28,COLUMN(S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T45" s="85">
        <f>IF(LEFT($D45,5)="Other",VLOOKUP($A45,'IP1'!$A$37:$G$89,5,0)*VLOOKUP(VLOOKUP($A45,'IP1'!$A$37:$G$89,7,0),Patterns!$A$2:$N$28,COLUMN(T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U45" s="85">
        <f>IF(LEFT($D45,5)="Other",VLOOKUP($A45,'IP1'!$A$37:$G$89,5,0)*VLOOKUP(VLOOKUP($A45,'IP1'!$A$37:$G$89,7,0),Patterns!$A$2:$N$28,COLUMN(U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V45" s="85">
        <f>IF(LEFT($D45,5)="Other",VLOOKUP($A45,'IP1'!$A$37:$G$89,5,0)*VLOOKUP(VLOOKUP($A45,'IP1'!$A$37:$G$89,7,0),Patterns!$A$2:$N$28,COLUMN(V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W45" s="85">
        <f>IF(LEFT($D45,5)="Other",VLOOKUP($A45,'IP1'!$A$37:$G$89,5,0)*VLOOKUP(VLOOKUP($A45,'IP1'!$A$37:$G$89,7,0),Patterns!$A$2:$N$28,COLUMN(W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X45" s="85">
        <f>IF(LEFT($D45,5)="Other",VLOOKUP($A45,'IP1'!$A$37:$G$89,5,0)*VLOOKUP(VLOOKUP($A45,'IP1'!$A$37:$G$89,7,0),Patterns!$A$2:$N$28,COLUMN(X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Y45" s="85">
        <f>IF(LEFT($D45,5)="Other",VLOOKUP($A45,'IP1'!$A$37:$G$89,5,0)*VLOOKUP(VLOOKUP($A45,'IP1'!$A$37:$G$89,7,0),Patterns!$A$2:$N$28,COLUMN(Y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Z45" s="85">
        <f>IF(LEFT($D45,5)="Other",VLOOKUP($A45,'IP1'!$A$37:$G$89,5,0)*VLOOKUP(VLOOKUP($A45,'IP1'!$A$37:$G$89,7,0),Patterns!$A$2:$N$28,COLUMN(Z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AA45" s="85">
        <f>IF(LEFT($D45,5)="Other",VLOOKUP($A45,'IP1'!$A$37:$G$89,5,0)*VLOOKUP(VLOOKUP($A45,'IP1'!$A$37:$G$89,7,0),Patterns!$A$2:$N$28,COLUMN(AA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  <c r="AB45" s="85">
        <f>IF(LEFT($D45,5)="Other",VLOOKUP($A45,'IP1'!$A$37:$G$89,5,0)*VLOOKUP(VLOOKUP($A45,'IP1'!$A$37:$G$89,7,0),Patterns!$A$2:$N$28,COLUMN(AB45)-14,0)/VLOOKUP(VLOOKUP($A45,'IP1'!$A$37:$G$89,7,0),Patterns!$A$2:$N$28,2,0),IF(LEFT($D45,7)="Payroll",SUMPRODUCT(($B45='IP1'!$B$96:$B$114)*('IP1'!$E$96:$E$114))/12,SUMPRODUCT(($B45='IP1'!$B$96:$B$114)*('IP1'!$E$96:$E$114))/12*'IP1'!$F$154))</f>
        <v>416.66666666666669</v>
      </c>
    </row>
    <row r="46" spans="1:28">
      <c r="A46" s="1" t="str">
        <f t="shared" si="2"/>
        <v xml:space="preserve">OperationsLaundry equipment </v>
      </c>
      <c r="B46" s="1" t="s">
        <v>463</v>
      </c>
      <c r="C46" s="11" t="s">
        <v>469</v>
      </c>
      <c r="D46" s="11" t="s">
        <v>100</v>
      </c>
      <c r="E46" s="85">
        <f>IF(LEFT($D46,5)="Other",
VLOOKUP($A46,'IP1'!$A$37:$G$89,4,0)*
VLOOKUP(
VLOOKUP($A46,'IP1'!$A$37:$G$89,7,0),Patterns!$A$2:$N$28,COLUMN(E46)-2,0)/
VLOOKUP(
VLOOKUP($A46,'IP1'!$A$37:$G$89,7,0),Patterns!$A$2:$N$28,2,0),
IF(LEFT($D46,7)="Payroll",
SUMPRODUCT(($B46='IP1'!$B$96:$B$114)*('IP1'!$D$96:$D$114))/12,
SUMPRODUCT(($B46='IP1'!$B$96:$B$114)*('IP1'!$D$96:$D$114))/12*'IP1'!$F$154))</f>
        <v>416.66666666666669</v>
      </c>
      <c r="F46" s="85">
        <f>IF(LEFT($D46,5)="Other",VLOOKUP($A46,'IP1'!$A$37:$G$89,4,0)*VLOOKUP(VLOOKUP($A46,'IP1'!$A$37:$G$89,7,0),Patterns!$A$2:$N$28,COLUMN(F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G46" s="85">
        <f>IF(LEFT($D46,5)="Other",VLOOKUP($A46,'IP1'!$A$37:$G$89,4,0)*VLOOKUP(VLOOKUP($A46,'IP1'!$A$37:$G$89,7,0),Patterns!$A$2:$N$28,COLUMN(G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H46" s="85">
        <f>IF(LEFT($D46,5)="Other",VLOOKUP($A46,'IP1'!$A$37:$G$89,4,0)*VLOOKUP(VLOOKUP($A46,'IP1'!$A$37:$G$89,7,0),Patterns!$A$2:$N$28,COLUMN(H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I46" s="85">
        <f>IF(LEFT($D46,5)="Other",VLOOKUP($A46,'IP1'!$A$37:$G$89,4,0)*VLOOKUP(VLOOKUP($A46,'IP1'!$A$37:$G$89,7,0),Patterns!$A$2:$N$28,COLUMN(I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J46" s="85">
        <f>IF(LEFT($D46,5)="Other",VLOOKUP($A46,'IP1'!$A$37:$G$89,4,0)*VLOOKUP(VLOOKUP($A46,'IP1'!$A$37:$G$89,7,0),Patterns!$A$2:$N$28,COLUMN(J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K46" s="85">
        <f>IF(LEFT($D46,5)="Other",VLOOKUP($A46,'IP1'!$A$37:$G$89,4,0)*VLOOKUP(VLOOKUP($A46,'IP1'!$A$37:$G$89,7,0),Patterns!$A$2:$N$28,COLUMN(K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L46" s="85">
        <f>IF(LEFT($D46,5)="Other",VLOOKUP($A46,'IP1'!$A$37:$G$89,4,0)*VLOOKUP(VLOOKUP($A46,'IP1'!$A$37:$G$89,7,0),Patterns!$A$2:$N$28,COLUMN(L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M46" s="85">
        <f>IF(LEFT($D46,5)="Other",VLOOKUP($A46,'IP1'!$A$37:$G$89,4,0)*VLOOKUP(VLOOKUP($A46,'IP1'!$A$37:$G$89,7,0),Patterns!$A$2:$N$28,COLUMN(M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N46" s="85">
        <f>IF(LEFT($D46,5)="Other",VLOOKUP($A46,'IP1'!$A$37:$G$89,4,0)*VLOOKUP(VLOOKUP($A46,'IP1'!$A$37:$G$89,7,0),Patterns!$A$2:$N$28,COLUMN(N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O46" s="85">
        <f>IF(LEFT($D46,5)="Other",VLOOKUP($A46,'IP1'!$A$37:$G$89,4,0)*VLOOKUP(VLOOKUP($A46,'IP1'!$A$37:$G$89,7,0),Patterns!$A$2:$N$28,COLUMN(O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P46" s="85">
        <f>IF(LEFT($D46,5)="Other",VLOOKUP($A46,'IP1'!$A$37:$G$89,4,0)*VLOOKUP(VLOOKUP($A46,'IP1'!$A$37:$G$89,7,0),Patterns!$A$2:$N$28,COLUMN(P46)-2,0)/VLOOKUP(VLOOKUP($A46,'IP1'!$A$37:$G$89,7,0),Patterns!$A$2:$N$28,2,0),IF(LEFT($D46,7)="Payroll",SUMPRODUCT(($B46='IP1'!$B$96:$B$114)*('IP1'!$D$96:$D$114))/12,SUMPRODUCT(($B46='IP1'!$B$96:$B$114)*('IP1'!$D$96:$D$114))/12*'IP1'!$F$154))</f>
        <v>416.66666666666669</v>
      </c>
      <c r="Q46" s="85">
        <f>IF(LEFT($D46,5)="Other",VLOOKUP($A46,'IP1'!$A$37:$G$89,5,0)*VLOOKUP(VLOOKUP($A46,'IP1'!$A$37:$G$89,7,0),Patterns!$A$2:$N$28,COLUMN(Q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R46" s="85">
        <f>IF(LEFT($D46,5)="Other",VLOOKUP($A46,'IP1'!$A$37:$G$89,5,0)*VLOOKUP(VLOOKUP($A46,'IP1'!$A$37:$G$89,7,0),Patterns!$A$2:$N$28,COLUMN(R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S46" s="85">
        <f>IF(LEFT($D46,5)="Other",VLOOKUP($A46,'IP1'!$A$37:$G$89,5,0)*VLOOKUP(VLOOKUP($A46,'IP1'!$A$37:$G$89,7,0),Patterns!$A$2:$N$28,COLUMN(S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T46" s="85">
        <f>IF(LEFT($D46,5)="Other",VLOOKUP($A46,'IP1'!$A$37:$G$89,5,0)*VLOOKUP(VLOOKUP($A46,'IP1'!$A$37:$G$89,7,0),Patterns!$A$2:$N$28,COLUMN(T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U46" s="85">
        <f>IF(LEFT($D46,5)="Other",VLOOKUP($A46,'IP1'!$A$37:$G$89,5,0)*VLOOKUP(VLOOKUP($A46,'IP1'!$A$37:$G$89,7,0),Patterns!$A$2:$N$28,COLUMN(U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V46" s="85">
        <f>IF(LEFT($D46,5)="Other",VLOOKUP($A46,'IP1'!$A$37:$G$89,5,0)*VLOOKUP(VLOOKUP($A46,'IP1'!$A$37:$G$89,7,0),Patterns!$A$2:$N$28,COLUMN(V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W46" s="85">
        <f>IF(LEFT($D46,5)="Other",VLOOKUP($A46,'IP1'!$A$37:$G$89,5,0)*VLOOKUP(VLOOKUP($A46,'IP1'!$A$37:$G$89,7,0),Patterns!$A$2:$N$28,COLUMN(W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X46" s="85">
        <f>IF(LEFT($D46,5)="Other",VLOOKUP($A46,'IP1'!$A$37:$G$89,5,0)*VLOOKUP(VLOOKUP($A46,'IP1'!$A$37:$G$89,7,0),Patterns!$A$2:$N$28,COLUMN(X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Y46" s="85">
        <f>IF(LEFT($D46,5)="Other",VLOOKUP($A46,'IP1'!$A$37:$G$89,5,0)*VLOOKUP(VLOOKUP($A46,'IP1'!$A$37:$G$89,7,0),Patterns!$A$2:$N$28,COLUMN(Y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Z46" s="85">
        <f>IF(LEFT($D46,5)="Other",VLOOKUP($A46,'IP1'!$A$37:$G$89,5,0)*VLOOKUP(VLOOKUP($A46,'IP1'!$A$37:$G$89,7,0),Patterns!$A$2:$N$28,COLUMN(Z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AA46" s="85">
        <f>IF(LEFT($D46,5)="Other",VLOOKUP($A46,'IP1'!$A$37:$G$89,5,0)*VLOOKUP(VLOOKUP($A46,'IP1'!$A$37:$G$89,7,0),Patterns!$A$2:$N$28,COLUMN(AA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  <c r="AB46" s="85">
        <f>IF(LEFT($D46,5)="Other",VLOOKUP($A46,'IP1'!$A$37:$G$89,5,0)*VLOOKUP(VLOOKUP($A46,'IP1'!$A$37:$G$89,7,0),Patterns!$A$2:$N$28,COLUMN(AB46)-14,0)/VLOOKUP(VLOOKUP($A46,'IP1'!$A$37:$G$89,7,0),Patterns!$A$2:$N$28,2,0),IF(LEFT($D46,7)="Payroll",SUMPRODUCT(($B46='IP1'!$B$96:$B$114)*('IP1'!$E$96:$E$114))/12,SUMPRODUCT(($B46='IP1'!$B$96:$B$114)*('IP1'!$E$96:$E$114))/12*'IP1'!$F$154))</f>
        <v>416.66666666666669</v>
      </c>
    </row>
    <row r="47" spans="1:28">
      <c r="A47" s="1" t="str">
        <f t="shared" si="2"/>
        <v xml:space="preserve">OperationsLife/safety </v>
      </c>
      <c r="B47" s="1" t="s">
        <v>463</v>
      </c>
      <c r="C47" s="1" t="s">
        <v>470</v>
      </c>
      <c r="D47" s="11" t="s">
        <v>100</v>
      </c>
      <c r="E47" s="85">
        <f>IF(LEFT($D47,5)="Other",
VLOOKUP($A47,'IP1'!$A$37:$G$89,4,0)*
VLOOKUP(
VLOOKUP($A47,'IP1'!$A$37:$G$89,7,0),Patterns!$A$2:$N$28,COLUMN(E47)-2,0)/
VLOOKUP(
VLOOKUP($A47,'IP1'!$A$37:$G$89,7,0),Patterns!$A$2:$N$28,2,0),
IF(LEFT($D47,7)="Payroll",
SUMPRODUCT(($B47='IP1'!$B$96:$B$114)*('IP1'!$D$96:$D$114))/12,
SUMPRODUCT(($B47='IP1'!$B$96:$B$114)*('IP1'!$D$96:$D$114))/12*'IP1'!$F$154))</f>
        <v>625</v>
      </c>
      <c r="F47" s="85">
        <f>IF(LEFT($D47,5)="Other",VLOOKUP($A47,'IP1'!$A$37:$G$89,4,0)*VLOOKUP(VLOOKUP($A47,'IP1'!$A$37:$G$89,7,0),Patterns!$A$2:$N$28,COLUMN(F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G47" s="85">
        <f>IF(LEFT($D47,5)="Other",VLOOKUP($A47,'IP1'!$A$37:$G$89,4,0)*VLOOKUP(VLOOKUP($A47,'IP1'!$A$37:$G$89,7,0),Patterns!$A$2:$N$28,COLUMN(G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H47" s="85">
        <f>IF(LEFT($D47,5)="Other",VLOOKUP($A47,'IP1'!$A$37:$G$89,4,0)*VLOOKUP(VLOOKUP($A47,'IP1'!$A$37:$G$89,7,0),Patterns!$A$2:$N$28,COLUMN(H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I47" s="85">
        <f>IF(LEFT($D47,5)="Other",VLOOKUP($A47,'IP1'!$A$37:$G$89,4,0)*VLOOKUP(VLOOKUP($A47,'IP1'!$A$37:$G$89,7,0),Patterns!$A$2:$N$28,COLUMN(I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J47" s="85">
        <f>IF(LEFT($D47,5)="Other",VLOOKUP($A47,'IP1'!$A$37:$G$89,4,0)*VLOOKUP(VLOOKUP($A47,'IP1'!$A$37:$G$89,7,0),Patterns!$A$2:$N$28,COLUMN(J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K47" s="85">
        <f>IF(LEFT($D47,5)="Other",VLOOKUP($A47,'IP1'!$A$37:$G$89,4,0)*VLOOKUP(VLOOKUP($A47,'IP1'!$A$37:$G$89,7,0),Patterns!$A$2:$N$28,COLUMN(K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L47" s="85">
        <f>IF(LEFT($D47,5)="Other",VLOOKUP($A47,'IP1'!$A$37:$G$89,4,0)*VLOOKUP(VLOOKUP($A47,'IP1'!$A$37:$G$89,7,0),Patterns!$A$2:$N$28,COLUMN(L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M47" s="85">
        <f>IF(LEFT($D47,5)="Other",VLOOKUP($A47,'IP1'!$A$37:$G$89,4,0)*VLOOKUP(VLOOKUP($A47,'IP1'!$A$37:$G$89,7,0),Patterns!$A$2:$N$28,COLUMN(M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N47" s="85">
        <f>IF(LEFT($D47,5)="Other",VLOOKUP($A47,'IP1'!$A$37:$G$89,4,0)*VLOOKUP(VLOOKUP($A47,'IP1'!$A$37:$G$89,7,0),Patterns!$A$2:$N$28,COLUMN(N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O47" s="85">
        <f>IF(LEFT($D47,5)="Other",VLOOKUP($A47,'IP1'!$A$37:$G$89,4,0)*VLOOKUP(VLOOKUP($A47,'IP1'!$A$37:$G$89,7,0),Patterns!$A$2:$N$28,COLUMN(O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P47" s="85">
        <f>IF(LEFT($D47,5)="Other",VLOOKUP($A47,'IP1'!$A$37:$G$89,4,0)*VLOOKUP(VLOOKUP($A47,'IP1'!$A$37:$G$89,7,0),Patterns!$A$2:$N$28,COLUMN(P47)-2,0)/VLOOKUP(VLOOKUP($A47,'IP1'!$A$37:$G$89,7,0),Patterns!$A$2:$N$28,2,0),IF(LEFT($D47,7)="Payroll",SUMPRODUCT(($B47='IP1'!$B$96:$B$114)*('IP1'!$D$96:$D$114))/12,SUMPRODUCT(($B47='IP1'!$B$96:$B$114)*('IP1'!$D$96:$D$114))/12*'IP1'!$F$154))</f>
        <v>625</v>
      </c>
      <c r="Q47" s="85">
        <f>IF(LEFT($D47,5)="Other",VLOOKUP($A47,'IP1'!$A$37:$G$89,5,0)*VLOOKUP(VLOOKUP($A47,'IP1'!$A$37:$G$89,7,0),Patterns!$A$2:$N$28,COLUMN(Q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R47" s="85">
        <f>IF(LEFT($D47,5)="Other",VLOOKUP($A47,'IP1'!$A$37:$G$89,5,0)*VLOOKUP(VLOOKUP($A47,'IP1'!$A$37:$G$89,7,0),Patterns!$A$2:$N$28,COLUMN(R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S47" s="85">
        <f>IF(LEFT($D47,5)="Other",VLOOKUP($A47,'IP1'!$A$37:$G$89,5,0)*VLOOKUP(VLOOKUP($A47,'IP1'!$A$37:$G$89,7,0),Patterns!$A$2:$N$28,COLUMN(S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T47" s="85">
        <f>IF(LEFT($D47,5)="Other",VLOOKUP($A47,'IP1'!$A$37:$G$89,5,0)*VLOOKUP(VLOOKUP($A47,'IP1'!$A$37:$G$89,7,0),Patterns!$A$2:$N$28,COLUMN(T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U47" s="85">
        <f>IF(LEFT($D47,5)="Other",VLOOKUP($A47,'IP1'!$A$37:$G$89,5,0)*VLOOKUP(VLOOKUP($A47,'IP1'!$A$37:$G$89,7,0),Patterns!$A$2:$N$28,COLUMN(U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V47" s="85">
        <f>IF(LEFT($D47,5)="Other",VLOOKUP($A47,'IP1'!$A$37:$G$89,5,0)*VLOOKUP(VLOOKUP($A47,'IP1'!$A$37:$G$89,7,0),Patterns!$A$2:$N$28,COLUMN(V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W47" s="85">
        <f>IF(LEFT($D47,5)="Other",VLOOKUP($A47,'IP1'!$A$37:$G$89,5,0)*VLOOKUP(VLOOKUP($A47,'IP1'!$A$37:$G$89,7,0),Patterns!$A$2:$N$28,COLUMN(W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X47" s="85">
        <f>IF(LEFT($D47,5)="Other",VLOOKUP($A47,'IP1'!$A$37:$G$89,5,0)*VLOOKUP(VLOOKUP($A47,'IP1'!$A$37:$G$89,7,0),Patterns!$A$2:$N$28,COLUMN(X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Y47" s="85">
        <f>IF(LEFT($D47,5)="Other",VLOOKUP($A47,'IP1'!$A$37:$G$89,5,0)*VLOOKUP(VLOOKUP($A47,'IP1'!$A$37:$G$89,7,0),Patterns!$A$2:$N$28,COLUMN(Y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Z47" s="85">
        <f>IF(LEFT($D47,5)="Other",VLOOKUP($A47,'IP1'!$A$37:$G$89,5,0)*VLOOKUP(VLOOKUP($A47,'IP1'!$A$37:$G$89,7,0),Patterns!$A$2:$N$28,COLUMN(Z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AA47" s="85">
        <f>IF(LEFT($D47,5)="Other",VLOOKUP($A47,'IP1'!$A$37:$G$89,5,0)*VLOOKUP(VLOOKUP($A47,'IP1'!$A$37:$G$89,7,0),Patterns!$A$2:$N$28,COLUMN(AA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  <c r="AB47" s="85">
        <f>IF(LEFT($D47,5)="Other",VLOOKUP($A47,'IP1'!$A$37:$G$89,5,0)*VLOOKUP(VLOOKUP($A47,'IP1'!$A$37:$G$89,7,0),Patterns!$A$2:$N$28,COLUMN(AB47)-14,0)/VLOOKUP(VLOOKUP($A47,'IP1'!$A$37:$G$89,7,0),Patterns!$A$2:$N$28,2,0),IF(LEFT($D47,7)="Payroll",SUMPRODUCT(($B47='IP1'!$B$96:$B$114)*('IP1'!$E$96:$E$114))/12,SUMPRODUCT(($B47='IP1'!$B$96:$B$114)*('IP1'!$E$96:$E$114))/12*'IP1'!$F$154))</f>
        <v>625</v>
      </c>
    </row>
    <row r="48" spans="1:28">
      <c r="A48" s="1" t="str">
        <f t="shared" si="2"/>
        <v xml:space="preserve">OperationsOperating supplies </v>
      </c>
      <c r="B48" s="1" t="s">
        <v>463</v>
      </c>
      <c r="C48" s="1" t="s">
        <v>471</v>
      </c>
      <c r="D48" s="11" t="s">
        <v>100</v>
      </c>
      <c r="E48" s="85">
        <f>IF(LEFT($D48,5)="Other",
VLOOKUP($A48,'IP1'!$A$37:$G$89,4,0)*
VLOOKUP(
VLOOKUP($A48,'IP1'!$A$37:$G$89,7,0),Patterns!$A$2:$N$28,COLUMN(E48)-2,0)/
VLOOKUP(
VLOOKUP($A48,'IP1'!$A$37:$G$89,7,0),Patterns!$A$2:$N$28,2,0),
IF(LEFT($D48,7)="Payroll",
SUMPRODUCT(($B48='IP1'!$B$96:$B$114)*('IP1'!$D$96:$D$114))/12,
SUMPRODUCT(($B48='IP1'!$B$96:$B$114)*('IP1'!$D$96:$D$114))/12*'IP1'!$F$154))</f>
        <v>833.33333333333337</v>
      </c>
      <c r="F48" s="85">
        <f>IF(LEFT($D48,5)="Other",VLOOKUP($A48,'IP1'!$A$37:$G$89,4,0)*VLOOKUP(VLOOKUP($A48,'IP1'!$A$37:$G$89,7,0),Patterns!$A$2:$N$28,COLUMN(F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G48" s="85">
        <f>IF(LEFT($D48,5)="Other",VLOOKUP($A48,'IP1'!$A$37:$G$89,4,0)*VLOOKUP(VLOOKUP($A48,'IP1'!$A$37:$G$89,7,0),Patterns!$A$2:$N$28,COLUMN(G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H48" s="85">
        <f>IF(LEFT($D48,5)="Other",VLOOKUP($A48,'IP1'!$A$37:$G$89,4,0)*VLOOKUP(VLOOKUP($A48,'IP1'!$A$37:$G$89,7,0),Patterns!$A$2:$N$28,COLUMN(H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I48" s="85">
        <f>IF(LEFT($D48,5)="Other",VLOOKUP($A48,'IP1'!$A$37:$G$89,4,0)*VLOOKUP(VLOOKUP($A48,'IP1'!$A$37:$G$89,7,0),Patterns!$A$2:$N$28,COLUMN(I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J48" s="85">
        <f>IF(LEFT($D48,5)="Other",VLOOKUP($A48,'IP1'!$A$37:$G$89,4,0)*VLOOKUP(VLOOKUP($A48,'IP1'!$A$37:$G$89,7,0),Patterns!$A$2:$N$28,COLUMN(J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K48" s="85">
        <f>IF(LEFT($D48,5)="Other",VLOOKUP($A48,'IP1'!$A$37:$G$89,4,0)*VLOOKUP(VLOOKUP($A48,'IP1'!$A$37:$G$89,7,0),Patterns!$A$2:$N$28,COLUMN(K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L48" s="85">
        <f>IF(LEFT($D48,5)="Other",VLOOKUP($A48,'IP1'!$A$37:$G$89,4,0)*VLOOKUP(VLOOKUP($A48,'IP1'!$A$37:$G$89,7,0),Patterns!$A$2:$N$28,COLUMN(L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M48" s="85">
        <f>IF(LEFT($D48,5)="Other",VLOOKUP($A48,'IP1'!$A$37:$G$89,4,0)*VLOOKUP(VLOOKUP($A48,'IP1'!$A$37:$G$89,7,0),Patterns!$A$2:$N$28,COLUMN(M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N48" s="85">
        <f>IF(LEFT($D48,5)="Other",VLOOKUP($A48,'IP1'!$A$37:$G$89,4,0)*VLOOKUP(VLOOKUP($A48,'IP1'!$A$37:$G$89,7,0),Patterns!$A$2:$N$28,COLUMN(N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O48" s="85">
        <f>IF(LEFT($D48,5)="Other",VLOOKUP($A48,'IP1'!$A$37:$G$89,4,0)*VLOOKUP(VLOOKUP($A48,'IP1'!$A$37:$G$89,7,0),Patterns!$A$2:$N$28,COLUMN(O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P48" s="85">
        <f>IF(LEFT($D48,5)="Other",VLOOKUP($A48,'IP1'!$A$37:$G$89,4,0)*VLOOKUP(VLOOKUP($A48,'IP1'!$A$37:$G$89,7,0),Patterns!$A$2:$N$28,COLUMN(P48)-2,0)/VLOOKUP(VLOOKUP($A48,'IP1'!$A$37:$G$89,7,0),Patterns!$A$2:$N$28,2,0),IF(LEFT($D48,7)="Payroll",SUMPRODUCT(($B48='IP1'!$B$96:$B$114)*('IP1'!$D$96:$D$114))/12,SUMPRODUCT(($B48='IP1'!$B$96:$B$114)*('IP1'!$D$96:$D$114))/12*'IP1'!$F$154))</f>
        <v>833.33333333333337</v>
      </c>
      <c r="Q48" s="85">
        <f>IF(LEFT($D48,5)="Other",VLOOKUP($A48,'IP1'!$A$37:$G$89,5,0)*VLOOKUP(VLOOKUP($A48,'IP1'!$A$37:$G$89,7,0),Patterns!$A$2:$N$28,COLUMN(Q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R48" s="85">
        <f>IF(LEFT($D48,5)="Other",VLOOKUP($A48,'IP1'!$A$37:$G$89,5,0)*VLOOKUP(VLOOKUP($A48,'IP1'!$A$37:$G$89,7,0),Patterns!$A$2:$N$28,COLUMN(R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S48" s="85">
        <f>IF(LEFT($D48,5)="Other",VLOOKUP($A48,'IP1'!$A$37:$G$89,5,0)*VLOOKUP(VLOOKUP($A48,'IP1'!$A$37:$G$89,7,0),Patterns!$A$2:$N$28,COLUMN(S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T48" s="85">
        <f>IF(LEFT($D48,5)="Other",VLOOKUP($A48,'IP1'!$A$37:$G$89,5,0)*VLOOKUP(VLOOKUP($A48,'IP1'!$A$37:$G$89,7,0),Patterns!$A$2:$N$28,COLUMN(T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U48" s="85">
        <f>IF(LEFT($D48,5)="Other",VLOOKUP($A48,'IP1'!$A$37:$G$89,5,0)*VLOOKUP(VLOOKUP($A48,'IP1'!$A$37:$G$89,7,0),Patterns!$A$2:$N$28,COLUMN(U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V48" s="85">
        <f>IF(LEFT($D48,5)="Other",VLOOKUP($A48,'IP1'!$A$37:$G$89,5,0)*VLOOKUP(VLOOKUP($A48,'IP1'!$A$37:$G$89,7,0),Patterns!$A$2:$N$28,COLUMN(V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W48" s="85">
        <f>IF(LEFT($D48,5)="Other",VLOOKUP($A48,'IP1'!$A$37:$G$89,5,0)*VLOOKUP(VLOOKUP($A48,'IP1'!$A$37:$G$89,7,0),Patterns!$A$2:$N$28,COLUMN(W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X48" s="85">
        <f>IF(LEFT($D48,5)="Other",VLOOKUP($A48,'IP1'!$A$37:$G$89,5,0)*VLOOKUP(VLOOKUP($A48,'IP1'!$A$37:$G$89,7,0),Patterns!$A$2:$N$28,COLUMN(X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Y48" s="85">
        <f>IF(LEFT($D48,5)="Other",VLOOKUP($A48,'IP1'!$A$37:$G$89,5,0)*VLOOKUP(VLOOKUP($A48,'IP1'!$A$37:$G$89,7,0),Patterns!$A$2:$N$28,COLUMN(Y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Z48" s="85">
        <f>IF(LEFT($D48,5)="Other",VLOOKUP($A48,'IP1'!$A$37:$G$89,5,0)*VLOOKUP(VLOOKUP($A48,'IP1'!$A$37:$G$89,7,0),Patterns!$A$2:$N$28,COLUMN(Z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AA48" s="85">
        <f>IF(LEFT($D48,5)="Other",VLOOKUP($A48,'IP1'!$A$37:$G$89,5,0)*VLOOKUP(VLOOKUP($A48,'IP1'!$A$37:$G$89,7,0),Patterns!$A$2:$N$28,COLUMN(AA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  <c r="AB48" s="85">
        <f>IF(LEFT($D48,5)="Other",VLOOKUP($A48,'IP1'!$A$37:$G$89,5,0)*VLOOKUP(VLOOKUP($A48,'IP1'!$A$37:$G$89,7,0),Patterns!$A$2:$N$28,COLUMN(AB48)-14,0)/VLOOKUP(VLOOKUP($A48,'IP1'!$A$37:$G$89,7,0),Patterns!$A$2:$N$28,2,0),IF(LEFT($D48,7)="Payroll",SUMPRODUCT(($B48='IP1'!$B$96:$B$114)*('IP1'!$E$96:$E$114))/12,SUMPRODUCT(($B48='IP1'!$B$96:$B$114)*('IP1'!$E$96:$E$114))/12*'IP1'!$F$154))</f>
        <v>833.33333333333337</v>
      </c>
    </row>
    <row r="49" spans="1:28">
      <c r="A49" s="1" t="str">
        <f t="shared" si="2"/>
        <v xml:space="preserve">OperationsPainting and decorating </v>
      </c>
      <c r="B49" s="1" t="s">
        <v>463</v>
      </c>
      <c r="C49" s="1" t="s">
        <v>472</v>
      </c>
      <c r="D49" s="11" t="s">
        <v>100</v>
      </c>
      <c r="E49" s="85">
        <f>IF(LEFT($D49,5)="Other",
VLOOKUP($A49,'IP1'!$A$37:$G$89,4,0)*
VLOOKUP(
VLOOKUP($A49,'IP1'!$A$37:$G$89,7,0),Patterns!$A$2:$N$28,COLUMN(E49)-2,0)/
VLOOKUP(
VLOOKUP($A49,'IP1'!$A$37:$G$89,7,0),Patterns!$A$2:$N$28,2,0),
IF(LEFT($D49,7)="Payroll",
SUMPRODUCT(($B49='IP1'!$B$96:$B$114)*('IP1'!$D$96:$D$114))/12,
SUMPRODUCT(($B49='IP1'!$B$96:$B$114)*('IP1'!$D$96:$D$114))/12*'IP1'!$F$154))</f>
        <v>208.33333333333334</v>
      </c>
      <c r="F49" s="85">
        <f>IF(LEFT($D49,5)="Other",VLOOKUP($A49,'IP1'!$A$37:$G$89,4,0)*VLOOKUP(VLOOKUP($A49,'IP1'!$A$37:$G$89,7,0),Patterns!$A$2:$N$28,COLUMN(F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G49" s="85">
        <f>IF(LEFT($D49,5)="Other",VLOOKUP($A49,'IP1'!$A$37:$G$89,4,0)*VLOOKUP(VLOOKUP($A49,'IP1'!$A$37:$G$89,7,0),Patterns!$A$2:$N$28,COLUMN(G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H49" s="85">
        <f>IF(LEFT($D49,5)="Other",VLOOKUP($A49,'IP1'!$A$37:$G$89,4,0)*VLOOKUP(VLOOKUP($A49,'IP1'!$A$37:$G$89,7,0),Patterns!$A$2:$N$28,COLUMN(H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I49" s="85">
        <f>IF(LEFT($D49,5)="Other",VLOOKUP($A49,'IP1'!$A$37:$G$89,4,0)*VLOOKUP(VLOOKUP($A49,'IP1'!$A$37:$G$89,7,0),Patterns!$A$2:$N$28,COLUMN(I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J49" s="85">
        <f>IF(LEFT($D49,5)="Other",VLOOKUP($A49,'IP1'!$A$37:$G$89,4,0)*VLOOKUP(VLOOKUP($A49,'IP1'!$A$37:$G$89,7,0),Patterns!$A$2:$N$28,COLUMN(J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K49" s="85">
        <f>IF(LEFT($D49,5)="Other",VLOOKUP($A49,'IP1'!$A$37:$G$89,4,0)*VLOOKUP(VLOOKUP($A49,'IP1'!$A$37:$G$89,7,0),Patterns!$A$2:$N$28,COLUMN(K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L49" s="85">
        <f>IF(LEFT($D49,5)="Other",VLOOKUP($A49,'IP1'!$A$37:$G$89,4,0)*VLOOKUP(VLOOKUP($A49,'IP1'!$A$37:$G$89,7,0),Patterns!$A$2:$N$28,COLUMN(L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M49" s="85">
        <f>IF(LEFT($D49,5)="Other",VLOOKUP($A49,'IP1'!$A$37:$G$89,4,0)*VLOOKUP(VLOOKUP($A49,'IP1'!$A$37:$G$89,7,0),Patterns!$A$2:$N$28,COLUMN(M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N49" s="85">
        <f>IF(LEFT($D49,5)="Other",VLOOKUP($A49,'IP1'!$A$37:$G$89,4,0)*VLOOKUP(VLOOKUP($A49,'IP1'!$A$37:$G$89,7,0),Patterns!$A$2:$N$28,COLUMN(N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O49" s="85">
        <f>IF(LEFT($D49,5)="Other",VLOOKUP($A49,'IP1'!$A$37:$G$89,4,0)*VLOOKUP(VLOOKUP($A49,'IP1'!$A$37:$G$89,7,0),Patterns!$A$2:$N$28,COLUMN(O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P49" s="85">
        <f>IF(LEFT($D49,5)="Other",VLOOKUP($A49,'IP1'!$A$37:$G$89,4,0)*VLOOKUP(VLOOKUP($A49,'IP1'!$A$37:$G$89,7,0),Patterns!$A$2:$N$28,COLUMN(P49)-2,0)/VLOOKUP(VLOOKUP($A49,'IP1'!$A$37:$G$89,7,0),Patterns!$A$2:$N$28,2,0),IF(LEFT($D49,7)="Payroll",SUMPRODUCT(($B49='IP1'!$B$96:$B$114)*('IP1'!$D$96:$D$114))/12,SUMPRODUCT(($B49='IP1'!$B$96:$B$114)*('IP1'!$D$96:$D$114))/12*'IP1'!$F$154))</f>
        <v>208.33333333333334</v>
      </c>
      <c r="Q49" s="85">
        <f>IF(LEFT($D49,5)="Other",VLOOKUP($A49,'IP1'!$A$37:$G$89,5,0)*VLOOKUP(VLOOKUP($A49,'IP1'!$A$37:$G$89,7,0),Patterns!$A$2:$N$28,COLUMN(Q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R49" s="85">
        <f>IF(LEFT($D49,5)="Other",VLOOKUP($A49,'IP1'!$A$37:$G$89,5,0)*VLOOKUP(VLOOKUP($A49,'IP1'!$A$37:$G$89,7,0),Patterns!$A$2:$N$28,COLUMN(R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S49" s="85">
        <f>IF(LEFT($D49,5)="Other",VLOOKUP($A49,'IP1'!$A$37:$G$89,5,0)*VLOOKUP(VLOOKUP($A49,'IP1'!$A$37:$G$89,7,0),Patterns!$A$2:$N$28,COLUMN(S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T49" s="85">
        <f>IF(LEFT($D49,5)="Other",VLOOKUP($A49,'IP1'!$A$37:$G$89,5,0)*VLOOKUP(VLOOKUP($A49,'IP1'!$A$37:$G$89,7,0),Patterns!$A$2:$N$28,COLUMN(T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U49" s="85">
        <f>IF(LEFT($D49,5)="Other",VLOOKUP($A49,'IP1'!$A$37:$G$89,5,0)*VLOOKUP(VLOOKUP($A49,'IP1'!$A$37:$G$89,7,0),Patterns!$A$2:$N$28,COLUMN(U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V49" s="85">
        <f>IF(LEFT($D49,5)="Other",VLOOKUP($A49,'IP1'!$A$37:$G$89,5,0)*VLOOKUP(VLOOKUP($A49,'IP1'!$A$37:$G$89,7,0),Patterns!$A$2:$N$28,COLUMN(V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W49" s="85">
        <f>IF(LEFT($D49,5)="Other",VLOOKUP($A49,'IP1'!$A$37:$G$89,5,0)*VLOOKUP(VLOOKUP($A49,'IP1'!$A$37:$G$89,7,0),Patterns!$A$2:$N$28,COLUMN(W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X49" s="85">
        <f>IF(LEFT($D49,5)="Other",VLOOKUP($A49,'IP1'!$A$37:$G$89,5,0)*VLOOKUP(VLOOKUP($A49,'IP1'!$A$37:$G$89,7,0),Patterns!$A$2:$N$28,COLUMN(X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Y49" s="85">
        <f>IF(LEFT($D49,5)="Other",VLOOKUP($A49,'IP1'!$A$37:$G$89,5,0)*VLOOKUP(VLOOKUP($A49,'IP1'!$A$37:$G$89,7,0),Patterns!$A$2:$N$28,COLUMN(Y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Z49" s="85">
        <f>IF(LEFT($D49,5)="Other",VLOOKUP($A49,'IP1'!$A$37:$G$89,5,0)*VLOOKUP(VLOOKUP($A49,'IP1'!$A$37:$G$89,7,0),Patterns!$A$2:$N$28,COLUMN(Z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AA49" s="85">
        <f>IF(LEFT($D49,5)="Other",VLOOKUP($A49,'IP1'!$A$37:$G$89,5,0)*VLOOKUP(VLOOKUP($A49,'IP1'!$A$37:$G$89,7,0),Patterns!$A$2:$N$28,COLUMN(AA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  <c r="AB49" s="85">
        <f>IF(LEFT($D49,5)="Other",VLOOKUP($A49,'IP1'!$A$37:$G$89,5,0)*VLOOKUP(VLOOKUP($A49,'IP1'!$A$37:$G$89,7,0),Patterns!$A$2:$N$28,COLUMN(AB49)-14,0)/VLOOKUP(VLOOKUP($A49,'IP1'!$A$37:$G$89,7,0),Patterns!$A$2:$N$28,2,0),IF(LEFT($D49,7)="Payroll",SUMPRODUCT(($B49='IP1'!$B$96:$B$114)*('IP1'!$E$96:$E$114))/12,SUMPRODUCT(($B49='IP1'!$B$96:$B$114)*('IP1'!$E$96:$E$114))/12*'IP1'!$F$154))</f>
        <v>208.33333333333334</v>
      </c>
    </row>
    <row r="50" spans="1:28">
      <c r="A50" s="1" t="str">
        <f t="shared" si="2"/>
        <v xml:space="preserve">OperationsRemoval of waste matter </v>
      </c>
      <c r="B50" s="1" t="s">
        <v>463</v>
      </c>
      <c r="C50" s="1" t="s">
        <v>473</v>
      </c>
      <c r="D50" s="11" t="s">
        <v>100</v>
      </c>
      <c r="E50" s="85">
        <f>IF(LEFT($D50,5)="Other",
VLOOKUP($A50,'IP1'!$A$37:$G$89,4,0)*
VLOOKUP(
VLOOKUP($A50,'IP1'!$A$37:$G$89,7,0),Patterns!$A$2:$N$28,COLUMN(E50)-2,0)/
VLOOKUP(
VLOOKUP($A50,'IP1'!$A$37:$G$89,7,0),Patterns!$A$2:$N$28,2,0),
IF(LEFT($D50,7)="Payroll",
SUMPRODUCT(($B50='IP1'!$B$96:$B$114)*('IP1'!$D$96:$D$114))/12,
SUMPRODUCT(($B50='IP1'!$B$96:$B$114)*('IP1'!$D$96:$D$114))/12*'IP1'!$F$154))</f>
        <v>416.66666666666669</v>
      </c>
      <c r="F50" s="85">
        <f>IF(LEFT($D50,5)="Other",VLOOKUP($A50,'IP1'!$A$37:$G$89,4,0)*VLOOKUP(VLOOKUP($A50,'IP1'!$A$37:$G$89,7,0),Patterns!$A$2:$N$28,COLUMN(F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G50" s="85">
        <f>IF(LEFT($D50,5)="Other",VLOOKUP($A50,'IP1'!$A$37:$G$89,4,0)*VLOOKUP(VLOOKUP($A50,'IP1'!$A$37:$G$89,7,0),Patterns!$A$2:$N$28,COLUMN(G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H50" s="85">
        <f>IF(LEFT($D50,5)="Other",VLOOKUP($A50,'IP1'!$A$37:$G$89,4,0)*VLOOKUP(VLOOKUP($A50,'IP1'!$A$37:$G$89,7,0),Patterns!$A$2:$N$28,COLUMN(H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I50" s="85">
        <f>IF(LEFT($D50,5)="Other",VLOOKUP($A50,'IP1'!$A$37:$G$89,4,0)*VLOOKUP(VLOOKUP($A50,'IP1'!$A$37:$G$89,7,0),Patterns!$A$2:$N$28,COLUMN(I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J50" s="85">
        <f>IF(LEFT($D50,5)="Other",VLOOKUP($A50,'IP1'!$A$37:$G$89,4,0)*VLOOKUP(VLOOKUP($A50,'IP1'!$A$37:$G$89,7,0),Patterns!$A$2:$N$28,COLUMN(J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K50" s="85">
        <f>IF(LEFT($D50,5)="Other",VLOOKUP($A50,'IP1'!$A$37:$G$89,4,0)*VLOOKUP(VLOOKUP($A50,'IP1'!$A$37:$G$89,7,0),Patterns!$A$2:$N$28,COLUMN(K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L50" s="85">
        <f>IF(LEFT($D50,5)="Other",VLOOKUP($A50,'IP1'!$A$37:$G$89,4,0)*VLOOKUP(VLOOKUP($A50,'IP1'!$A$37:$G$89,7,0),Patterns!$A$2:$N$28,COLUMN(L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M50" s="85">
        <f>IF(LEFT($D50,5)="Other",VLOOKUP($A50,'IP1'!$A$37:$G$89,4,0)*VLOOKUP(VLOOKUP($A50,'IP1'!$A$37:$G$89,7,0),Patterns!$A$2:$N$28,COLUMN(M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N50" s="85">
        <f>IF(LEFT($D50,5)="Other",VLOOKUP($A50,'IP1'!$A$37:$G$89,4,0)*VLOOKUP(VLOOKUP($A50,'IP1'!$A$37:$G$89,7,0),Patterns!$A$2:$N$28,COLUMN(N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O50" s="85">
        <f>IF(LEFT($D50,5)="Other",VLOOKUP($A50,'IP1'!$A$37:$G$89,4,0)*VLOOKUP(VLOOKUP($A50,'IP1'!$A$37:$G$89,7,0),Patterns!$A$2:$N$28,COLUMN(O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P50" s="85">
        <f>IF(LEFT($D50,5)="Other",VLOOKUP($A50,'IP1'!$A$37:$G$89,4,0)*VLOOKUP(VLOOKUP($A50,'IP1'!$A$37:$G$89,7,0),Patterns!$A$2:$N$28,COLUMN(P50)-2,0)/VLOOKUP(VLOOKUP($A50,'IP1'!$A$37:$G$89,7,0),Patterns!$A$2:$N$28,2,0),IF(LEFT($D50,7)="Payroll",SUMPRODUCT(($B50='IP1'!$B$96:$B$114)*('IP1'!$D$96:$D$114))/12,SUMPRODUCT(($B50='IP1'!$B$96:$B$114)*('IP1'!$D$96:$D$114))/12*'IP1'!$F$154))</f>
        <v>416.66666666666669</v>
      </c>
      <c r="Q50" s="85">
        <f>IF(LEFT($D50,5)="Other",VLOOKUP($A50,'IP1'!$A$37:$G$89,5,0)*VLOOKUP(VLOOKUP($A50,'IP1'!$A$37:$G$89,7,0),Patterns!$A$2:$N$28,COLUMN(Q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R50" s="85">
        <f>IF(LEFT($D50,5)="Other",VLOOKUP($A50,'IP1'!$A$37:$G$89,5,0)*VLOOKUP(VLOOKUP($A50,'IP1'!$A$37:$G$89,7,0),Patterns!$A$2:$N$28,COLUMN(R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S50" s="85">
        <f>IF(LEFT($D50,5)="Other",VLOOKUP($A50,'IP1'!$A$37:$G$89,5,0)*VLOOKUP(VLOOKUP($A50,'IP1'!$A$37:$G$89,7,0),Patterns!$A$2:$N$28,COLUMN(S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T50" s="85">
        <f>IF(LEFT($D50,5)="Other",VLOOKUP($A50,'IP1'!$A$37:$G$89,5,0)*VLOOKUP(VLOOKUP($A50,'IP1'!$A$37:$G$89,7,0),Patterns!$A$2:$N$28,COLUMN(T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U50" s="85">
        <f>IF(LEFT($D50,5)="Other",VLOOKUP($A50,'IP1'!$A$37:$G$89,5,0)*VLOOKUP(VLOOKUP($A50,'IP1'!$A$37:$G$89,7,0),Patterns!$A$2:$N$28,COLUMN(U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V50" s="85">
        <f>IF(LEFT($D50,5)="Other",VLOOKUP($A50,'IP1'!$A$37:$G$89,5,0)*VLOOKUP(VLOOKUP($A50,'IP1'!$A$37:$G$89,7,0),Patterns!$A$2:$N$28,COLUMN(V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W50" s="85">
        <f>IF(LEFT($D50,5)="Other",VLOOKUP($A50,'IP1'!$A$37:$G$89,5,0)*VLOOKUP(VLOOKUP($A50,'IP1'!$A$37:$G$89,7,0),Patterns!$A$2:$N$28,COLUMN(W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X50" s="85">
        <f>IF(LEFT($D50,5)="Other",VLOOKUP($A50,'IP1'!$A$37:$G$89,5,0)*VLOOKUP(VLOOKUP($A50,'IP1'!$A$37:$G$89,7,0),Patterns!$A$2:$N$28,COLUMN(X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Y50" s="85">
        <f>IF(LEFT($D50,5)="Other",VLOOKUP($A50,'IP1'!$A$37:$G$89,5,0)*VLOOKUP(VLOOKUP($A50,'IP1'!$A$37:$G$89,7,0),Patterns!$A$2:$N$28,COLUMN(Y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Z50" s="85">
        <f>IF(LEFT($D50,5)="Other",VLOOKUP($A50,'IP1'!$A$37:$G$89,5,0)*VLOOKUP(VLOOKUP($A50,'IP1'!$A$37:$G$89,7,0),Patterns!$A$2:$N$28,COLUMN(Z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AA50" s="85">
        <f>IF(LEFT($D50,5)="Other",VLOOKUP($A50,'IP1'!$A$37:$G$89,5,0)*VLOOKUP(VLOOKUP($A50,'IP1'!$A$37:$G$89,7,0),Patterns!$A$2:$N$28,COLUMN(AA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  <c r="AB50" s="85">
        <f>IF(LEFT($D50,5)="Other",VLOOKUP($A50,'IP1'!$A$37:$G$89,5,0)*VLOOKUP(VLOOKUP($A50,'IP1'!$A$37:$G$89,7,0),Patterns!$A$2:$N$28,COLUMN(AB50)-14,0)/VLOOKUP(VLOOKUP($A50,'IP1'!$A$37:$G$89,7,0),Patterns!$A$2:$N$28,2,0),IF(LEFT($D50,7)="Payroll",SUMPRODUCT(($B50='IP1'!$B$96:$B$114)*('IP1'!$E$96:$E$114))/12,SUMPRODUCT(($B50='IP1'!$B$96:$B$114)*('IP1'!$E$96:$E$114))/12*'IP1'!$F$154))</f>
        <v>416.66666666666669</v>
      </c>
    </row>
    <row r="51" spans="1:28">
      <c r="A51" s="1" t="str">
        <f t="shared" si="2"/>
        <v>OperationsSpa / Wellness</v>
      </c>
      <c r="B51" s="1" t="s">
        <v>463</v>
      </c>
      <c r="C51" s="1" t="s">
        <v>479</v>
      </c>
      <c r="D51" s="11" t="s">
        <v>100</v>
      </c>
      <c r="E51" s="85">
        <f>IF(LEFT($D51,5)="Other",
VLOOKUP($A51,'IP1'!$A$37:$G$89,4,0)*
VLOOKUP(
VLOOKUP($A51,'IP1'!$A$37:$G$89,7,0),Patterns!$A$2:$N$28,COLUMN(E51)-2,0)/
VLOOKUP(
VLOOKUP($A51,'IP1'!$A$37:$G$89,7,0),Patterns!$A$2:$N$28,2,0),
IF(LEFT($D51,7)="Payroll",
SUMPRODUCT(($B51='IP1'!$B$96:$B$114)*('IP1'!$D$96:$D$114))/12,
SUMPRODUCT(($B51='IP1'!$B$96:$B$114)*('IP1'!$D$96:$D$114))/12*'IP1'!$F$154))</f>
        <v>541.66666666666663</v>
      </c>
      <c r="F51" s="85">
        <f>IF(LEFT($D51,5)="Other",VLOOKUP($A51,'IP1'!$A$37:$G$89,4,0)*VLOOKUP(VLOOKUP($A51,'IP1'!$A$37:$G$89,7,0),Patterns!$A$2:$N$28,COLUMN(F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G51" s="85">
        <f>IF(LEFT($D51,5)="Other",VLOOKUP($A51,'IP1'!$A$37:$G$89,4,0)*VLOOKUP(VLOOKUP($A51,'IP1'!$A$37:$G$89,7,0),Patterns!$A$2:$N$28,COLUMN(G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H51" s="85">
        <f>IF(LEFT($D51,5)="Other",VLOOKUP($A51,'IP1'!$A$37:$G$89,4,0)*VLOOKUP(VLOOKUP($A51,'IP1'!$A$37:$G$89,7,0),Patterns!$A$2:$N$28,COLUMN(H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I51" s="85">
        <f>IF(LEFT($D51,5)="Other",VLOOKUP($A51,'IP1'!$A$37:$G$89,4,0)*VLOOKUP(VLOOKUP($A51,'IP1'!$A$37:$G$89,7,0),Patterns!$A$2:$N$28,COLUMN(I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J51" s="85">
        <f>IF(LEFT($D51,5)="Other",VLOOKUP($A51,'IP1'!$A$37:$G$89,4,0)*VLOOKUP(VLOOKUP($A51,'IP1'!$A$37:$G$89,7,0),Patterns!$A$2:$N$28,COLUMN(J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K51" s="85">
        <f>IF(LEFT($D51,5)="Other",VLOOKUP($A51,'IP1'!$A$37:$G$89,4,0)*VLOOKUP(VLOOKUP($A51,'IP1'!$A$37:$G$89,7,0),Patterns!$A$2:$N$28,COLUMN(K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L51" s="85">
        <f>IF(LEFT($D51,5)="Other",VLOOKUP($A51,'IP1'!$A$37:$G$89,4,0)*VLOOKUP(VLOOKUP($A51,'IP1'!$A$37:$G$89,7,0),Patterns!$A$2:$N$28,COLUMN(L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M51" s="85">
        <f>IF(LEFT($D51,5)="Other",VLOOKUP($A51,'IP1'!$A$37:$G$89,4,0)*VLOOKUP(VLOOKUP($A51,'IP1'!$A$37:$G$89,7,0),Patterns!$A$2:$N$28,COLUMN(M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N51" s="85">
        <f>IF(LEFT($D51,5)="Other",VLOOKUP($A51,'IP1'!$A$37:$G$89,4,0)*VLOOKUP(VLOOKUP($A51,'IP1'!$A$37:$G$89,7,0),Patterns!$A$2:$N$28,COLUMN(N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O51" s="85">
        <f>IF(LEFT($D51,5)="Other",VLOOKUP($A51,'IP1'!$A$37:$G$89,4,0)*VLOOKUP(VLOOKUP($A51,'IP1'!$A$37:$G$89,7,0),Patterns!$A$2:$N$28,COLUMN(O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P51" s="85">
        <f>IF(LEFT($D51,5)="Other",VLOOKUP($A51,'IP1'!$A$37:$G$89,4,0)*VLOOKUP(VLOOKUP($A51,'IP1'!$A$37:$G$89,7,0),Patterns!$A$2:$N$28,COLUMN(P51)-2,0)/VLOOKUP(VLOOKUP($A51,'IP1'!$A$37:$G$89,7,0),Patterns!$A$2:$N$28,2,0),IF(LEFT($D51,7)="Payroll",SUMPRODUCT(($B51='IP1'!$B$96:$B$114)*('IP1'!$D$96:$D$114))/12,SUMPRODUCT(($B51='IP1'!$B$96:$B$114)*('IP1'!$D$96:$D$114))/12*'IP1'!$F$154))</f>
        <v>541.66666666666663</v>
      </c>
      <c r="Q51" s="85">
        <f>IF(LEFT($D51,5)="Other",VLOOKUP($A51,'IP1'!$A$37:$G$89,5,0)*VLOOKUP(VLOOKUP($A51,'IP1'!$A$37:$G$89,7,0),Patterns!$A$2:$N$28,COLUMN(Q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R51" s="85">
        <f>IF(LEFT($D51,5)="Other",VLOOKUP($A51,'IP1'!$A$37:$G$89,5,0)*VLOOKUP(VLOOKUP($A51,'IP1'!$A$37:$G$89,7,0),Patterns!$A$2:$N$28,COLUMN(R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S51" s="85">
        <f>IF(LEFT($D51,5)="Other",VLOOKUP($A51,'IP1'!$A$37:$G$89,5,0)*VLOOKUP(VLOOKUP($A51,'IP1'!$A$37:$G$89,7,0),Patterns!$A$2:$N$28,COLUMN(S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T51" s="85">
        <f>IF(LEFT($D51,5)="Other",VLOOKUP($A51,'IP1'!$A$37:$G$89,5,0)*VLOOKUP(VLOOKUP($A51,'IP1'!$A$37:$G$89,7,0),Patterns!$A$2:$N$28,COLUMN(T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U51" s="85">
        <f>IF(LEFT($D51,5)="Other",VLOOKUP($A51,'IP1'!$A$37:$G$89,5,0)*VLOOKUP(VLOOKUP($A51,'IP1'!$A$37:$G$89,7,0),Patterns!$A$2:$N$28,COLUMN(U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V51" s="85">
        <f>IF(LEFT($D51,5)="Other",VLOOKUP($A51,'IP1'!$A$37:$G$89,5,0)*VLOOKUP(VLOOKUP($A51,'IP1'!$A$37:$G$89,7,0),Patterns!$A$2:$N$28,COLUMN(V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W51" s="85">
        <f>IF(LEFT($D51,5)="Other",VLOOKUP($A51,'IP1'!$A$37:$G$89,5,0)*VLOOKUP(VLOOKUP($A51,'IP1'!$A$37:$G$89,7,0),Patterns!$A$2:$N$28,COLUMN(W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X51" s="85">
        <f>IF(LEFT($D51,5)="Other",VLOOKUP($A51,'IP1'!$A$37:$G$89,5,0)*VLOOKUP(VLOOKUP($A51,'IP1'!$A$37:$G$89,7,0),Patterns!$A$2:$N$28,COLUMN(X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Y51" s="85">
        <f>IF(LEFT($D51,5)="Other",VLOOKUP($A51,'IP1'!$A$37:$G$89,5,0)*VLOOKUP(VLOOKUP($A51,'IP1'!$A$37:$G$89,7,0),Patterns!$A$2:$N$28,COLUMN(Y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Z51" s="85">
        <f>IF(LEFT($D51,5)="Other",VLOOKUP($A51,'IP1'!$A$37:$G$89,5,0)*VLOOKUP(VLOOKUP($A51,'IP1'!$A$37:$G$89,7,0),Patterns!$A$2:$N$28,COLUMN(Z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AA51" s="85">
        <f>IF(LEFT($D51,5)="Other",VLOOKUP($A51,'IP1'!$A$37:$G$89,5,0)*VLOOKUP(VLOOKUP($A51,'IP1'!$A$37:$G$89,7,0),Patterns!$A$2:$N$28,COLUMN(AA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  <c r="AB51" s="85">
        <f>IF(LEFT($D51,5)="Other",VLOOKUP($A51,'IP1'!$A$37:$G$89,5,0)*VLOOKUP(VLOOKUP($A51,'IP1'!$A$37:$G$89,7,0),Patterns!$A$2:$N$28,COLUMN(AB51)-14,0)/VLOOKUP(VLOOKUP($A51,'IP1'!$A$37:$G$89,7,0),Patterns!$A$2:$N$28,2,0),IF(LEFT($D51,7)="Payroll",SUMPRODUCT(($B51='IP1'!$B$96:$B$114)*('IP1'!$E$96:$E$114))/12,SUMPRODUCT(($B51='IP1'!$B$96:$B$114)*('IP1'!$E$96:$E$114))/12*'IP1'!$F$154))</f>
        <v>541.66666666666663</v>
      </c>
    </row>
    <row r="52" spans="1:28">
      <c r="A52" s="1" t="str">
        <f t="shared" si="2"/>
        <v xml:space="preserve">OperationsSwimming pool </v>
      </c>
      <c r="B52" s="1" t="s">
        <v>463</v>
      </c>
      <c r="C52" s="1" t="s">
        <v>474</v>
      </c>
      <c r="D52" s="11" t="s">
        <v>100</v>
      </c>
      <c r="E52" s="85">
        <f>IF(LEFT($D52,5)="Other",
VLOOKUP($A52,'IP1'!$A$37:$G$89,4,0)*
VLOOKUP(
VLOOKUP($A52,'IP1'!$A$37:$G$89,7,0),Patterns!$A$2:$N$28,COLUMN(E52)-2,0)/
VLOOKUP(
VLOOKUP($A52,'IP1'!$A$37:$G$89,7,0),Patterns!$A$2:$N$28,2,0),
IF(LEFT($D52,7)="Payroll",
SUMPRODUCT(($B52='IP1'!$B$96:$B$114)*('IP1'!$D$96:$D$114))/12,
SUMPRODUCT(($B52='IP1'!$B$96:$B$114)*('IP1'!$D$96:$D$114))/12*'IP1'!$F$154))</f>
        <v>4166.666666666667</v>
      </c>
      <c r="F52" s="85">
        <f>IF(LEFT($D52,5)="Other",VLOOKUP($A52,'IP1'!$A$37:$G$89,4,0)*VLOOKUP(VLOOKUP($A52,'IP1'!$A$37:$G$89,7,0),Patterns!$A$2:$N$28,COLUMN(F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G52" s="85">
        <f>IF(LEFT($D52,5)="Other",VLOOKUP($A52,'IP1'!$A$37:$G$89,4,0)*VLOOKUP(VLOOKUP($A52,'IP1'!$A$37:$G$89,7,0),Patterns!$A$2:$N$28,COLUMN(G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H52" s="85">
        <f>IF(LEFT($D52,5)="Other",VLOOKUP($A52,'IP1'!$A$37:$G$89,4,0)*VLOOKUP(VLOOKUP($A52,'IP1'!$A$37:$G$89,7,0),Patterns!$A$2:$N$28,COLUMN(H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I52" s="85">
        <f>IF(LEFT($D52,5)="Other",VLOOKUP($A52,'IP1'!$A$37:$G$89,4,0)*VLOOKUP(VLOOKUP($A52,'IP1'!$A$37:$G$89,7,0),Patterns!$A$2:$N$28,COLUMN(I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J52" s="85">
        <f>IF(LEFT($D52,5)="Other",VLOOKUP($A52,'IP1'!$A$37:$G$89,4,0)*VLOOKUP(VLOOKUP($A52,'IP1'!$A$37:$G$89,7,0),Patterns!$A$2:$N$28,COLUMN(J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K52" s="85">
        <f>IF(LEFT($D52,5)="Other",VLOOKUP($A52,'IP1'!$A$37:$G$89,4,0)*VLOOKUP(VLOOKUP($A52,'IP1'!$A$37:$G$89,7,0),Patterns!$A$2:$N$28,COLUMN(K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L52" s="85">
        <f>IF(LEFT($D52,5)="Other",VLOOKUP($A52,'IP1'!$A$37:$G$89,4,0)*VLOOKUP(VLOOKUP($A52,'IP1'!$A$37:$G$89,7,0),Patterns!$A$2:$N$28,COLUMN(L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M52" s="85">
        <f>IF(LEFT($D52,5)="Other",VLOOKUP($A52,'IP1'!$A$37:$G$89,4,0)*VLOOKUP(VLOOKUP($A52,'IP1'!$A$37:$G$89,7,0),Patterns!$A$2:$N$28,COLUMN(M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N52" s="85">
        <f>IF(LEFT($D52,5)="Other",VLOOKUP($A52,'IP1'!$A$37:$G$89,4,0)*VLOOKUP(VLOOKUP($A52,'IP1'!$A$37:$G$89,7,0),Patterns!$A$2:$N$28,COLUMN(N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O52" s="85">
        <f>IF(LEFT($D52,5)="Other",VLOOKUP($A52,'IP1'!$A$37:$G$89,4,0)*VLOOKUP(VLOOKUP($A52,'IP1'!$A$37:$G$89,7,0),Patterns!$A$2:$N$28,COLUMN(O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P52" s="85">
        <f>IF(LEFT($D52,5)="Other",VLOOKUP($A52,'IP1'!$A$37:$G$89,4,0)*VLOOKUP(VLOOKUP($A52,'IP1'!$A$37:$G$89,7,0),Patterns!$A$2:$N$28,COLUMN(P52)-2,0)/VLOOKUP(VLOOKUP($A52,'IP1'!$A$37:$G$89,7,0),Patterns!$A$2:$N$28,2,0),IF(LEFT($D52,7)="Payroll",SUMPRODUCT(($B52='IP1'!$B$96:$B$114)*('IP1'!$D$96:$D$114))/12,SUMPRODUCT(($B52='IP1'!$B$96:$B$114)*('IP1'!$D$96:$D$114))/12*'IP1'!$F$154))</f>
        <v>4166.666666666667</v>
      </c>
      <c r="Q52" s="85">
        <f>IF(LEFT($D52,5)="Other",VLOOKUP($A52,'IP1'!$A$37:$G$89,5,0)*VLOOKUP(VLOOKUP($A52,'IP1'!$A$37:$G$89,7,0),Patterns!$A$2:$N$28,COLUMN(Q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R52" s="85">
        <f>IF(LEFT($D52,5)="Other",VLOOKUP($A52,'IP1'!$A$37:$G$89,5,0)*VLOOKUP(VLOOKUP($A52,'IP1'!$A$37:$G$89,7,0),Patterns!$A$2:$N$28,COLUMN(R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S52" s="85">
        <f>IF(LEFT($D52,5)="Other",VLOOKUP($A52,'IP1'!$A$37:$G$89,5,0)*VLOOKUP(VLOOKUP($A52,'IP1'!$A$37:$G$89,7,0),Patterns!$A$2:$N$28,COLUMN(S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T52" s="85">
        <f>IF(LEFT($D52,5)="Other",VLOOKUP($A52,'IP1'!$A$37:$G$89,5,0)*VLOOKUP(VLOOKUP($A52,'IP1'!$A$37:$G$89,7,0),Patterns!$A$2:$N$28,COLUMN(T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U52" s="85">
        <f>IF(LEFT($D52,5)="Other",VLOOKUP($A52,'IP1'!$A$37:$G$89,5,0)*VLOOKUP(VLOOKUP($A52,'IP1'!$A$37:$G$89,7,0),Patterns!$A$2:$N$28,COLUMN(U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V52" s="85">
        <f>IF(LEFT($D52,5)="Other",VLOOKUP($A52,'IP1'!$A$37:$G$89,5,0)*VLOOKUP(VLOOKUP($A52,'IP1'!$A$37:$G$89,7,0),Patterns!$A$2:$N$28,COLUMN(V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W52" s="85">
        <f>IF(LEFT($D52,5)="Other",VLOOKUP($A52,'IP1'!$A$37:$G$89,5,0)*VLOOKUP(VLOOKUP($A52,'IP1'!$A$37:$G$89,7,0),Patterns!$A$2:$N$28,COLUMN(W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X52" s="85">
        <f>IF(LEFT($D52,5)="Other",VLOOKUP($A52,'IP1'!$A$37:$G$89,5,0)*VLOOKUP(VLOOKUP($A52,'IP1'!$A$37:$G$89,7,0),Patterns!$A$2:$N$28,COLUMN(X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Y52" s="85">
        <f>IF(LEFT($D52,5)="Other",VLOOKUP($A52,'IP1'!$A$37:$G$89,5,0)*VLOOKUP(VLOOKUP($A52,'IP1'!$A$37:$G$89,7,0),Patterns!$A$2:$N$28,COLUMN(Y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Z52" s="85">
        <f>IF(LEFT($D52,5)="Other",VLOOKUP($A52,'IP1'!$A$37:$G$89,5,0)*VLOOKUP(VLOOKUP($A52,'IP1'!$A$37:$G$89,7,0),Patterns!$A$2:$N$28,COLUMN(Z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AA52" s="85">
        <f>IF(LEFT($D52,5)="Other",VLOOKUP($A52,'IP1'!$A$37:$G$89,5,0)*VLOOKUP(VLOOKUP($A52,'IP1'!$A$37:$G$89,7,0),Patterns!$A$2:$N$28,COLUMN(AA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  <c r="AB52" s="85">
        <f>IF(LEFT($D52,5)="Other",VLOOKUP($A52,'IP1'!$A$37:$G$89,5,0)*VLOOKUP(VLOOKUP($A52,'IP1'!$A$37:$G$89,7,0),Patterns!$A$2:$N$28,COLUMN(AB52)-14,0)/VLOOKUP(VLOOKUP($A52,'IP1'!$A$37:$G$89,7,0),Patterns!$A$2:$N$28,2,0),IF(LEFT($D52,7)="Payroll",SUMPRODUCT(($B52='IP1'!$B$96:$B$114)*('IP1'!$E$96:$E$114))/12,SUMPRODUCT(($B52='IP1'!$B$96:$B$114)*('IP1'!$E$96:$E$114))/12*'IP1'!$F$154))</f>
        <v>4166.666666666667</v>
      </c>
    </row>
    <row r="53" spans="1:28">
      <c r="A53" s="1" t="str">
        <f t="shared" si="2"/>
        <v xml:space="preserve">OperationsTraining </v>
      </c>
      <c r="B53" s="1" t="s">
        <v>463</v>
      </c>
      <c r="C53" s="1" t="s">
        <v>475</v>
      </c>
      <c r="D53" s="11" t="s">
        <v>100</v>
      </c>
      <c r="E53" s="85">
        <f>IF(LEFT($D53,5)="Other",
VLOOKUP($A53,'IP1'!$A$37:$G$89,4,0)*
VLOOKUP(
VLOOKUP($A53,'IP1'!$A$37:$G$89,7,0),Patterns!$A$2:$N$28,COLUMN(E53)-2,0)/
VLOOKUP(
VLOOKUP($A53,'IP1'!$A$37:$G$89,7,0),Patterns!$A$2:$N$28,2,0),
IF(LEFT($D53,7)="Payroll",
SUMPRODUCT(($B53='IP1'!$B$96:$B$114)*('IP1'!$D$96:$D$114))/12,
SUMPRODUCT(($B53='IP1'!$B$96:$B$114)*('IP1'!$D$96:$D$114))/12*'IP1'!$F$154))</f>
        <v>1041.6666666666667</v>
      </c>
      <c r="F53" s="85">
        <f>IF(LEFT($D53,5)="Other",VLOOKUP($A53,'IP1'!$A$37:$G$89,4,0)*VLOOKUP(VLOOKUP($A53,'IP1'!$A$37:$G$89,7,0),Patterns!$A$2:$N$28,COLUMN(F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G53" s="85">
        <f>IF(LEFT($D53,5)="Other",VLOOKUP($A53,'IP1'!$A$37:$G$89,4,0)*VLOOKUP(VLOOKUP($A53,'IP1'!$A$37:$G$89,7,0),Patterns!$A$2:$N$28,COLUMN(G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H53" s="85">
        <f>IF(LEFT($D53,5)="Other",VLOOKUP($A53,'IP1'!$A$37:$G$89,4,0)*VLOOKUP(VLOOKUP($A53,'IP1'!$A$37:$G$89,7,0),Patterns!$A$2:$N$28,COLUMN(H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I53" s="85">
        <f>IF(LEFT($D53,5)="Other",VLOOKUP($A53,'IP1'!$A$37:$G$89,4,0)*VLOOKUP(VLOOKUP($A53,'IP1'!$A$37:$G$89,7,0),Patterns!$A$2:$N$28,COLUMN(I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J53" s="85">
        <f>IF(LEFT($D53,5)="Other",VLOOKUP($A53,'IP1'!$A$37:$G$89,4,0)*VLOOKUP(VLOOKUP($A53,'IP1'!$A$37:$G$89,7,0),Patterns!$A$2:$N$28,COLUMN(J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K53" s="85">
        <f>IF(LEFT($D53,5)="Other",VLOOKUP($A53,'IP1'!$A$37:$G$89,4,0)*VLOOKUP(VLOOKUP($A53,'IP1'!$A$37:$G$89,7,0),Patterns!$A$2:$N$28,COLUMN(K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L53" s="85">
        <f>IF(LEFT($D53,5)="Other",VLOOKUP($A53,'IP1'!$A$37:$G$89,4,0)*VLOOKUP(VLOOKUP($A53,'IP1'!$A$37:$G$89,7,0),Patterns!$A$2:$N$28,COLUMN(L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M53" s="85">
        <f>IF(LEFT($D53,5)="Other",VLOOKUP($A53,'IP1'!$A$37:$G$89,4,0)*VLOOKUP(VLOOKUP($A53,'IP1'!$A$37:$G$89,7,0),Patterns!$A$2:$N$28,COLUMN(M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N53" s="85">
        <f>IF(LEFT($D53,5)="Other",VLOOKUP($A53,'IP1'!$A$37:$G$89,4,0)*VLOOKUP(VLOOKUP($A53,'IP1'!$A$37:$G$89,7,0),Patterns!$A$2:$N$28,COLUMN(N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O53" s="85">
        <f>IF(LEFT($D53,5)="Other",VLOOKUP($A53,'IP1'!$A$37:$G$89,4,0)*VLOOKUP(VLOOKUP($A53,'IP1'!$A$37:$G$89,7,0),Patterns!$A$2:$N$28,COLUMN(O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P53" s="85">
        <f>IF(LEFT($D53,5)="Other",VLOOKUP($A53,'IP1'!$A$37:$G$89,4,0)*VLOOKUP(VLOOKUP($A53,'IP1'!$A$37:$G$89,7,0),Patterns!$A$2:$N$28,COLUMN(P53)-2,0)/VLOOKUP(VLOOKUP($A53,'IP1'!$A$37:$G$89,7,0),Patterns!$A$2:$N$28,2,0),IF(LEFT($D53,7)="Payroll",SUMPRODUCT(($B53='IP1'!$B$96:$B$114)*('IP1'!$D$96:$D$114))/12,SUMPRODUCT(($B53='IP1'!$B$96:$B$114)*('IP1'!$D$96:$D$114))/12*'IP1'!$F$154))</f>
        <v>1041.6666666666667</v>
      </c>
      <c r="Q53" s="85">
        <f>IF(LEFT($D53,5)="Other",VLOOKUP($A53,'IP1'!$A$37:$G$89,5,0)*VLOOKUP(VLOOKUP($A53,'IP1'!$A$37:$G$89,7,0),Patterns!$A$2:$N$28,COLUMN(Q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R53" s="85">
        <f>IF(LEFT($D53,5)="Other",VLOOKUP($A53,'IP1'!$A$37:$G$89,5,0)*VLOOKUP(VLOOKUP($A53,'IP1'!$A$37:$G$89,7,0),Patterns!$A$2:$N$28,COLUMN(R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S53" s="85">
        <f>IF(LEFT($D53,5)="Other",VLOOKUP($A53,'IP1'!$A$37:$G$89,5,0)*VLOOKUP(VLOOKUP($A53,'IP1'!$A$37:$G$89,7,0),Patterns!$A$2:$N$28,COLUMN(S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T53" s="85">
        <f>IF(LEFT($D53,5)="Other",VLOOKUP($A53,'IP1'!$A$37:$G$89,5,0)*VLOOKUP(VLOOKUP($A53,'IP1'!$A$37:$G$89,7,0),Patterns!$A$2:$N$28,COLUMN(T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U53" s="85">
        <f>IF(LEFT($D53,5)="Other",VLOOKUP($A53,'IP1'!$A$37:$G$89,5,0)*VLOOKUP(VLOOKUP($A53,'IP1'!$A$37:$G$89,7,0),Patterns!$A$2:$N$28,COLUMN(U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V53" s="85">
        <f>IF(LEFT($D53,5)="Other",VLOOKUP($A53,'IP1'!$A$37:$G$89,5,0)*VLOOKUP(VLOOKUP($A53,'IP1'!$A$37:$G$89,7,0),Patterns!$A$2:$N$28,COLUMN(V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W53" s="85">
        <f>IF(LEFT($D53,5)="Other",VLOOKUP($A53,'IP1'!$A$37:$G$89,5,0)*VLOOKUP(VLOOKUP($A53,'IP1'!$A$37:$G$89,7,0),Patterns!$A$2:$N$28,COLUMN(W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X53" s="85">
        <f>IF(LEFT($D53,5)="Other",VLOOKUP($A53,'IP1'!$A$37:$G$89,5,0)*VLOOKUP(VLOOKUP($A53,'IP1'!$A$37:$G$89,7,0),Patterns!$A$2:$N$28,COLUMN(X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Y53" s="85">
        <f>IF(LEFT($D53,5)="Other",VLOOKUP($A53,'IP1'!$A$37:$G$89,5,0)*VLOOKUP(VLOOKUP($A53,'IP1'!$A$37:$G$89,7,0),Patterns!$A$2:$N$28,COLUMN(Y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Z53" s="85">
        <f>IF(LEFT($D53,5)="Other",VLOOKUP($A53,'IP1'!$A$37:$G$89,5,0)*VLOOKUP(VLOOKUP($A53,'IP1'!$A$37:$G$89,7,0),Patterns!$A$2:$N$28,COLUMN(Z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AA53" s="85">
        <f>IF(LEFT($D53,5)="Other",VLOOKUP($A53,'IP1'!$A$37:$G$89,5,0)*VLOOKUP(VLOOKUP($A53,'IP1'!$A$37:$G$89,7,0),Patterns!$A$2:$N$28,COLUMN(AA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  <c r="AB53" s="85">
        <f>IF(LEFT($D53,5)="Other",VLOOKUP($A53,'IP1'!$A$37:$G$89,5,0)*VLOOKUP(VLOOKUP($A53,'IP1'!$A$37:$G$89,7,0),Patterns!$A$2:$N$28,COLUMN(AB53)-14,0)/VLOOKUP(VLOOKUP($A53,'IP1'!$A$37:$G$89,7,0),Patterns!$A$2:$N$28,2,0),IF(LEFT($D53,7)="Payroll",SUMPRODUCT(($B53='IP1'!$B$96:$B$114)*('IP1'!$E$96:$E$114))/12,SUMPRODUCT(($B53='IP1'!$B$96:$B$114)*('IP1'!$E$96:$E$114))/12*'IP1'!$F$154))</f>
        <v>1041.6666666666667</v>
      </c>
    </row>
    <row r="54" spans="1:28">
      <c r="A54" s="1" t="str">
        <f t="shared" si="2"/>
        <v xml:space="preserve">OperationsVehicle maintenance </v>
      </c>
      <c r="B54" s="1" t="s">
        <v>463</v>
      </c>
      <c r="C54" s="1" t="s">
        <v>476</v>
      </c>
      <c r="D54" s="11" t="s">
        <v>100</v>
      </c>
      <c r="E54" s="85">
        <f>IF(LEFT($D54,5)="Other",
VLOOKUP($A54,'IP1'!$A$37:$G$89,4,0)*
VLOOKUP(
VLOOKUP($A54,'IP1'!$A$37:$G$89,7,0),Patterns!$A$2:$N$28,COLUMN(E54)-2,0)/
VLOOKUP(
VLOOKUP($A54,'IP1'!$A$37:$G$89,7,0),Patterns!$A$2:$N$28,2,0),
IF(LEFT($D54,7)="Payroll",
SUMPRODUCT(($B54='IP1'!$B$96:$B$114)*('IP1'!$D$96:$D$114))/12,
SUMPRODUCT(($B54='IP1'!$B$96:$B$114)*('IP1'!$D$96:$D$114))/12*'IP1'!$F$154))</f>
        <v>250</v>
      </c>
      <c r="F54" s="85">
        <f>IF(LEFT($D54,5)="Other",VLOOKUP($A54,'IP1'!$A$37:$G$89,4,0)*VLOOKUP(VLOOKUP($A54,'IP1'!$A$37:$G$89,7,0),Patterns!$A$2:$N$28,COLUMN(F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G54" s="85">
        <f>IF(LEFT($D54,5)="Other",VLOOKUP($A54,'IP1'!$A$37:$G$89,4,0)*VLOOKUP(VLOOKUP($A54,'IP1'!$A$37:$G$89,7,0),Patterns!$A$2:$N$28,COLUMN(G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H54" s="85">
        <f>IF(LEFT($D54,5)="Other",VLOOKUP($A54,'IP1'!$A$37:$G$89,4,0)*VLOOKUP(VLOOKUP($A54,'IP1'!$A$37:$G$89,7,0),Patterns!$A$2:$N$28,COLUMN(H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I54" s="85">
        <f>IF(LEFT($D54,5)="Other",VLOOKUP($A54,'IP1'!$A$37:$G$89,4,0)*VLOOKUP(VLOOKUP($A54,'IP1'!$A$37:$G$89,7,0),Patterns!$A$2:$N$28,COLUMN(I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J54" s="85">
        <f>IF(LEFT($D54,5)="Other",VLOOKUP($A54,'IP1'!$A$37:$G$89,4,0)*VLOOKUP(VLOOKUP($A54,'IP1'!$A$37:$G$89,7,0),Patterns!$A$2:$N$28,COLUMN(J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K54" s="85">
        <f>IF(LEFT($D54,5)="Other",VLOOKUP($A54,'IP1'!$A$37:$G$89,4,0)*VLOOKUP(VLOOKUP($A54,'IP1'!$A$37:$G$89,7,0),Patterns!$A$2:$N$28,COLUMN(K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L54" s="85">
        <f>IF(LEFT($D54,5)="Other",VLOOKUP($A54,'IP1'!$A$37:$G$89,4,0)*VLOOKUP(VLOOKUP($A54,'IP1'!$A$37:$G$89,7,0),Patterns!$A$2:$N$28,COLUMN(L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M54" s="85">
        <f>IF(LEFT($D54,5)="Other",VLOOKUP($A54,'IP1'!$A$37:$G$89,4,0)*VLOOKUP(VLOOKUP($A54,'IP1'!$A$37:$G$89,7,0),Patterns!$A$2:$N$28,COLUMN(M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N54" s="85">
        <f>IF(LEFT($D54,5)="Other",VLOOKUP($A54,'IP1'!$A$37:$G$89,4,0)*VLOOKUP(VLOOKUP($A54,'IP1'!$A$37:$G$89,7,0),Patterns!$A$2:$N$28,COLUMN(N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O54" s="85">
        <f>IF(LEFT($D54,5)="Other",VLOOKUP($A54,'IP1'!$A$37:$G$89,4,0)*VLOOKUP(VLOOKUP($A54,'IP1'!$A$37:$G$89,7,0),Patterns!$A$2:$N$28,COLUMN(O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P54" s="85">
        <f>IF(LEFT($D54,5)="Other",VLOOKUP($A54,'IP1'!$A$37:$G$89,4,0)*VLOOKUP(VLOOKUP($A54,'IP1'!$A$37:$G$89,7,0),Patterns!$A$2:$N$28,COLUMN(P54)-2,0)/VLOOKUP(VLOOKUP($A54,'IP1'!$A$37:$G$89,7,0),Patterns!$A$2:$N$28,2,0),IF(LEFT($D54,7)="Payroll",SUMPRODUCT(($B54='IP1'!$B$96:$B$114)*('IP1'!$D$96:$D$114))/12,SUMPRODUCT(($B54='IP1'!$B$96:$B$114)*('IP1'!$D$96:$D$114))/12*'IP1'!$F$154))</f>
        <v>250</v>
      </c>
      <c r="Q54" s="85">
        <f>IF(LEFT($D54,5)="Other",VLOOKUP($A54,'IP1'!$A$37:$G$89,5,0)*VLOOKUP(VLOOKUP($A54,'IP1'!$A$37:$G$89,7,0),Patterns!$A$2:$N$28,COLUMN(Q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R54" s="85">
        <f>IF(LEFT($D54,5)="Other",VLOOKUP($A54,'IP1'!$A$37:$G$89,5,0)*VLOOKUP(VLOOKUP($A54,'IP1'!$A$37:$G$89,7,0),Patterns!$A$2:$N$28,COLUMN(R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S54" s="85">
        <f>IF(LEFT($D54,5)="Other",VLOOKUP($A54,'IP1'!$A$37:$G$89,5,0)*VLOOKUP(VLOOKUP($A54,'IP1'!$A$37:$G$89,7,0),Patterns!$A$2:$N$28,COLUMN(S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T54" s="85">
        <f>IF(LEFT($D54,5)="Other",VLOOKUP($A54,'IP1'!$A$37:$G$89,5,0)*VLOOKUP(VLOOKUP($A54,'IP1'!$A$37:$G$89,7,0),Patterns!$A$2:$N$28,COLUMN(T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U54" s="85">
        <f>IF(LEFT($D54,5)="Other",VLOOKUP($A54,'IP1'!$A$37:$G$89,5,0)*VLOOKUP(VLOOKUP($A54,'IP1'!$A$37:$G$89,7,0),Patterns!$A$2:$N$28,COLUMN(U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V54" s="85">
        <f>IF(LEFT($D54,5)="Other",VLOOKUP($A54,'IP1'!$A$37:$G$89,5,0)*VLOOKUP(VLOOKUP($A54,'IP1'!$A$37:$G$89,7,0),Patterns!$A$2:$N$28,COLUMN(V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W54" s="85">
        <f>IF(LEFT($D54,5)="Other",VLOOKUP($A54,'IP1'!$A$37:$G$89,5,0)*VLOOKUP(VLOOKUP($A54,'IP1'!$A$37:$G$89,7,0),Patterns!$A$2:$N$28,COLUMN(W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X54" s="85">
        <f>IF(LEFT($D54,5)="Other",VLOOKUP($A54,'IP1'!$A$37:$G$89,5,0)*VLOOKUP(VLOOKUP($A54,'IP1'!$A$37:$G$89,7,0),Patterns!$A$2:$N$28,COLUMN(X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Y54" s="85">
        <f>IF(LEFT($D54,5)="Other",VLOOKUP($A54,'IP1'!$A$37:$G$89,5,0)*VLOOKUP(VLOOKUP($A54,'IP1'!$A$37:$G$89,7,0),Patterns!$A$2:$N$28,COLUMN(Y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Z54" s="85">
        <f>IF(LEFT($D54,5)="Other",VLOOKUP($A54,'IP1'!$A$37:$G$89,5,0)*VLOOKUP(VLOOKUP($A54,'IP1'!$A$37:$G$89,7,0),Patterns!$A$2:$N$28,COLUMN(Z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AA54" s="85">
        <f>IF(LEFT($D54,5)="Other",VLOOKUP($A54,'IP1'!$A$37:$G$89,5,0)*VLOOKUP(VLOOKUP($A54,'IP1'!$A$37:$G$89,7,0),Patterns!$A$2:$N$28,COLUMN(AA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  <c r="AB54" s="85">
        <f>IF(LEFT($D54,5)="Other",VLOOKUP($A54,'IP1'!$A$37:$G$89,5,0)*VLOOKUP(VLOOKUP($A54,'IP1'!$A$37:$G$89,7,0),Patterns!$A$2:$N$28,COLUMN(AB54)-14,0)/VLOOKUP(VLOOKUP($A54,'IP1'!$A$37:$G$89,7,0),Patterns!$A$2:$N$28,2,0),IF(LEFT($D54,7)="Payroll",SUMPRODUCT(($B54='IP1'!$B$96:$B$114)*('IP1'!$E$96:$E$114))/12,SUMPRODUCT(($B54='IP1'!$B$96:$B$114)*('IP1'!$E$96:$E$114))/12*'IP1'!$F$154))</f>
        <v>250</v>
      </c>
    </row>
    <row r="55" spans="1:28">
      <c r="A55" s="1" t="str">
        <f t="shared" si="2"/>
        <v>Rooms / Rest. / EventsWages &amp; Salaries</v>
      </c>
      <c r="B55" s="1" t="s">
        <v>480</v>
      </c>
      <c r="C55" s="11" t="s">
        <v>66</v>
      </c>
      <c r="D55" s="11" t="s">
        <v>62</v>
      </c>
      <c r="E55" s="85">
        <f>IF(LEFT($D55,5)="Other",
VLOOKUP($A55,'IP1'!$A$37:$G$89,4,0)*
VLOOKUP(
VLOOKUP($A55,'IP1'!$A$37:$G$89,7,0),Patterns!$A$2:$N$28,COLUMN(E55)-2,0)/
VLOOKUP(
VLOOKUP($A55,'IP1'!$A$37:$G$89,7,0),Patterns!$A$2:$N$28,2,0),
IF(LEFT($D55,7)="Payroll",
SUMPRODUCT(($B55='IP1'!$B$96:$B$114)*('IP1'!$D$96:$D$114))/12,
SUMPRODUCT(($B55='IP1'!$B$96:$B$114)*('IP1'!$D$96:$D$114))/12*'IP1'!$F$154))</f>
        <v>22500</v>
      </c>
      <c r="F55" s="85">
        <f>IF(LEFT($D55,5)="Other",VLOOKUP($A55,'IP1'!$A$37:$G$89,4,0)*VLOOKUP(VLOOKUP($A55,'IP1'!$A$37:$G$89,7,0),Patterns!$A$2:$N$28,COLUMN(F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G55" s="85">
        <f>IF(LEFT($D55,5)="Other",VLOOKUP($A55,'IP1'!$A$37:$G$89,4,0)*VLOOKUP(VLOOKUP($A55,'IP1'!$A$37:$G$89,7,0),Patterns!$A$2:$N$28,COLUMN(G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H55" s="85">
        <f>IF(LEFT($D55,5)="Other",VLOOKUP($A55,'IP1'!$A$37:$G$89,4,0)*VLOOKUP(VLOOKUP($A55,'IP1'!$A$37:$G$89,7,0),Patterns!$A$2:$N$28,COLUMN(H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I55" s="85">
        <f>IF(LEFT($D55,5)="Other",VLOOKUP($A55,'IP1'!$A$37:$G$89,4,0)*VLOOKUP(VLOOKUP($A55,'IP1'!$A$37:$G$89,7,0),Patterns!$A$2:$N$28,COLUMN(I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J55" s="85">
        <f>IF(LEFT($D55,5)="Other",VLOOKUP($A55,'IP1'!$A$37:$G$89,4,0)*VLOOKUP(VLOOKUP($A55,'IP1'!$A$37:$G$89,7,0),Patterns!$A$2:$N$28,COLUMN(J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K55" s="85">
        <f>IF(LEFT($D55,5)="Other",VLOOKUP($A55,'IP1'!$A$37:$G$89,4,0)*VLOOKUP(VLOOKUP($A55,'IP1'!$A$37:$G$89,7,0),Patterns!$A$2:$N$28,COLUMN(K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L55" s="85">
        <f>IF(LEFT($D55,5)="Other",VLOOKUP($A55,'IP1'!$A$37:$G$89,4,0)*VLOOKUP(VLOOKUP($A55,'IP1'!$A$37:$G$89,7,0),Patterns!$A$2:$N$28,COLUMN(L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M55" s="85">
        <f>IF(LEFT($D55,5)="Other",VLOOKUP($A55,'IP1'!$A$37:$G$89,4,0)*VLOOKUP(VLOOKUP($A55,'IP1'!$A$37:$G$89,7,0),Patterns!$A$2:$N$28,COLUMN(M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N55" s="85">
        <f>IF(LEFT($D55,5)="Other",VLOOKUP($A55,'IP1'!$A$37:$G$89,4,0)*VLOOKUP(VLOOKUP($A55,'IP1'!$A$37:$G$89,7,0),Patterns!$A$2:$N$28,COLUMN(N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O55" s="85">
        <f>IF(LEFT($D55,5)="Other",VLOOKUP($A55,'IP1'!$A$37:$G$89,4,0)*VLOOKUP(VLOOKUP($A55,'IP1'!$A$37:$G$89,7,0),Patterns!$A$2:$N$28,COLUMN(O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P55" s="85">
        <f>IF(LEFT($D55,5)="Other",VLOOKUP($A55,'IP1'!$A$37:$G$89,4,0)*VLOOKUP(VLOOKUP($A55,'IP1'!$A$37:$G$89,7,0),Patterns!$A$2:$N$28,COLUMN(P55)-2,0)/VLOOKUP(VLOOKUP($A55,'IP1'!$A$37:$G$89,7,0),Patterns!$A$2:$N$28,2,0),IF(LEFT($D55,7)="Payroll",SUMPRODUCT(($B55='IP1'!$B$96:$B$114)*('IP1'!$D$96:$D$114))/12,SUMPRODUCT(($B55='IP1'!$B$96:$B$114)*('IP1'!$D$96:$D$114))/12*'IP1'!$F$154))</f>
        <v>22500</v>
      </c>
      <c r="Q55" s="85">
        <f>IF(LEFT($D55,5)="Other",VLOOKUP($A55,'IP1'!$A$37:$G$89,5,0)*VLOOKUP(VLOOKUP($A55,'IP1'!$A$37:$G$89,7,0),Patterns!$A$2:$N$28,COLUMN(Q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R55" s="85">
        <f>IF(LEFT($D55,5)="Other",VLOOKUP($A55,'IP1'!$A$37:$G$89,5,0)*VLOOKUP(VLOOKUP($A55,'IP1'!$A$37:$G$89,7,0),Patterns!$A$2:$N$28,COLUMN(R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S55" s="85">
        <f>IF(LEFT($D55,5)="Other",VLOOKUP($A55,'IP1'!$A$37:$G$89,5,0)*VLOOKUP(VLOOKUP($A55,'IP1'!$A$37:$G$89,7,0),Patterns!$A$2:$N$28,COLUMN(S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T55" s="85">
        <f>IF(LEFT($D55,5)="Other",VLOOKUP($A55,'IP1'!$A$37:$G$89,5,0)*VLOOKUP(VLOOKUP($A55,'IP1'!$A$37:$G$89,7,0),Patterns!$A$2:$N$28,COLUMN(T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U55" s="85">
        <f>IF(LEFT($D55,5)="Other",VLOOKUP($A55,'IP1'!$A$37:$G$89,5,0)*VLOOKUP(VLOOKUP($A55,'IP1'!$A$37:$G$89,7,0),Patterns!$A$2:$N$28,COLUMN(U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V55" s="85">
        <f>IF(LEFT($D55,5)="Other",VLOOKUP($A55,'IP1'!$A$37:$G$89,5,0)*VLOOKUP(VLOOKUP($A55,'IP1'!$A$37:$G$89,7,0),Patterns!$A$2:$N$28,COLUMN(V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W55" s="85">
        <f>IF(LEFT($D55,5)="Other",VLOOKUP($A55,'IP1'!$A$37:$G$89,5,0)*VLOOKUP(VLOOKUP($A55,'IP1'!$A$37:$G$89,7,0),Patterns!$A$2:$N$28,COLUMN(W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X55" s="85">
        <f>IF(LEFT($D55,5)="Other",VLOOKUP($A55,'IP1'!$A$37:$G$89,5,0)*VLOOKUP(VLOOKUP($A55,'IP1'!$A$37:$G$89,7,0),Patterns!$A$2:$N$28,COLUMN(X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Y55" s="85">
        <f>IF(LEFT($D55,5)="Other",VLOOKUP($A55,'IP1'!$A$37:$G$89,5,0)*VLOOKUP(VLOOKUP($A55,'IP1'!$A$37:$G$89,7,0),Patterns!$A$2:$N$28,COLUMN(Y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Z55" s="85">
        <f>IF(LEFT($D55,5)="Other",VLOOKUP($A55,'IP1'!$A$37:$G$89,5,0)*VLOOKUP(VLOOKUP($A55,'IP1'!$A$37:$G$89,7,0),Patterns!$A$2:$N$28,COLUMN(Z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AA55" s="85">
        <f>IF(LEFT($D55,5)="Other",VLOOKUP($A55,'IP1'!$A$37:$G$89,5,0)*VLOOKUP(VLOOKUP($A55,'IP1'!$A$37:$G$89,7,0),Patterns!$A$2:$N$28,COLUMN(AA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  <c r="AB55" s="85">
        <f>IF(LEFT($D55,5)="Other",VLOOKUP($A55,'IP1'!$A$37:$G$89,5,0)*VLOOKUP(VLOOKUP($A55,'IP1'!$A$37:$G$89,7,0),Patterns!$A$2:$N$28,COLUMN(AB55)-14,0)/VLOOKUP(VLOOKUP($A55,'IP1'!$A$37:$G$89,7,0),Patterns!$A$2:$N$28,2,0),IF(LEFT($D55,7)="Payroll",SUMPRODUCT(($B55='IP1'!$B$96:$B$114)*('IP1'!$E$96:$E$114))/12,SUMPRODUCT(($B55='IP1'!$B$96:$B$114)*('IP1'!$E$96:$E$114))/12*'IP1'!$F$154))</f>
        <v>22500</v>
      </c>
    </row>
    <row r="56" spans="1:28">
      <c r="A56" s="1" t="str">
        <f t="shared" si="2"/>
        <v>Rooms / Rest. / EventsPAYE / PRSI</v>
      </c>
      <c r="B56" s="1" t="s">
        <v>480</v>
      </c>
      <c r="C56" s="1" t="s">
        <v>25</v>
      </c>
      <c r="D56" s="11" t="s">
        <v>65</v>
      </c>
      <c r="E56" s="85">
        <f>IF(LEFT($D56,5)="Other",
VLOOKUP($A56,'IP1'!$A$37:$G$89,4,0)*
VLOOKUP(
VLOOKUP($A56,'IP1'!$A$37:$G$89,7,0),Patterns!$A$2:$N$28,COLUMN(E56)-2,0)/
VLOOKUP(
VLOOKUP($A56,'IP1'!$A$37:$G$89,7,0),Patterns!$A$2:$N$28,2,0),
IF(LEFT($D56,7)="Payroll",
SUMPRODUCT(($B56='IP1'!$B$96:$B$114)*('IP1'!$D$96:$D$114))/12,
SUMPRODUCT(($B56='IP1'!$B$96:$B$114)*('IP1'!$D$96:$D$114))/12*'IP1'!$F$154))</f>
        <v>3375</v>
      </c>
      <c r="F56" s="85">
        <f>IF(LEFT($D56,5)="Other",VLOOKUP($A56,'IP1'!$A$37:$G$89,4,0)*VLOOKUP(VLOOKUP($A56,'IP1'!$A$37:$G$89,7,0),Patterns!$A$2:$N$28,COLUMN(F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G56" s="85">
        <f>IF(LEFT($D56,5)="Other",VLOOKUP($A56,'IP1'!$A$37:$G$89,4,0)*VLOOKUP(VLOOKUP($A56,'IP1'!$A$37:$G$89,7,0),Patterns!$A$2:$N$28,COLUMN(G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H56" s="85">
        <f>IF(LEFT($D56,5)="Other",VLOOKUP($A56,'IP1'!$A$37:$G$89,4,0)*VLOOKUP(VLOOKUP($A56,'IP1'!$A$37:$G$89,7,0),Patterns!$A$2:$N$28,COLUMN(H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I56" s="85">
        <f>IF(LEFT($D56,5)="Other",VLOOKUP($A56,'IP1'!$A$37:$G$89,4,0)*VLOOKUP(VLOOKUP($A56,'IP1'!$A$37:$G$89,7,0),Patterns!$A$2:$N$28,COLUMN(I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J56" s="85">
        <f>IF(LEFT($D56,5)="Other",VLOOKUP($A56,'IP1'!$A$37:$G$89,4,0)*VLOOKUP(VLOOKUP($A56,'IP1'!$A$37:$G$89,7,0),Patterns!$A$2:$N$28,COLUMN(J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K56" s="85">
        <f>IF(LEFT($D56,5)="Other",VLOOKUP($A56,'IP1'!$A$37:$G$89,4,0)*VLOOKUP(VLOOKUP($A56,'IP1'!$A$37:$G$89,7,0),Patterns!$A$2:$N$28,COLUMN(K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L56" s="85">
        <f>IF(LEFT($D56,5)="Other",VLOOKUP($A56,'IP1'!$A$37:$G$89,4,0)*VLOOKUP(VLOOKUP($A56,'IP1'!$A$37:$G$89,7,0),Patterns!$A$2:$N$28,COLUMN(L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M56" s="85">
        <f>IF(LEFT($D56,5)="Other",VLOOKUP($A56,'IP1'!$A$37:$G$89,4,0)*VLOOKUP(VLOOKUP($A56,'IP1'!$A$37:$G$89,7,0),Patterns!$A$2:$N$28,COLUMN(M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N56" s="85">
        <f>IF(LEFT($D56,5)="Other",VLOOKUP($A56,'IP1'!$A$37:$G$89,4,0)*VLOOKUP(VLOOKUP($A56,'IP1'!$A$37:$G$89,7,0),Patterns!$A$2:$N$28,COLUMN(N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O56" s="85">
        <f>IF(LEFT($D56,5)="Other",VLOOKUP($A56,'IP1'!$A$37:$G$89,4,0)*VLOOKUP(VLOOKUP($A56,'IP1'!$A$37:$G$89,7,0),Patterns!$A$2:$N$28,COLUMN(O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P56" s="85">
        <f>IF(LEFT($D56,5)="Other",VLOOKUP($A56,'IP1'!$A$37:$G$89,4,0)*VLOOKUP(VLOOKUP($A56,'IP1'!$A$37:$G$89,7,0),Patterns!$A$2:$N$28,COLUMN(P56)-2,0)/VLOOKUP(VLOOKUP($A56,'IP1'!$A$37:$G$89,7,0),Patterns!$A$2:$N$28,2,0),IF(LEFT($D56,7)="Payroll",SUMPRODUCT(($B56='IP1'!$B$96:$B$114)*('IP1'!$D$96:$D$114))/12,SUMPRODUCT(($B56='IP1'!$B$96:$B$114)*('IP1'!$D$96:$D$114))/12*'IP1'!$F$154))</f>
        <v>3375</v>
      </c>
      <c r="Q56" s="85">
        <f>IF(LEFT($D56,5)="Other",VLOOKUP($A56,'IP1'!$A$37:$G$89,5,0)*VLOOKUP(VLOOKUP($A56,'IP1'!$A$37:$G$89,7,0),Patterns!$A$2:$N$28,COLUMN(Q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R56" s="85">
        <f>IF(LEFT($D56,5)="Other",VLOOKUP($A56,'IP1'!$A$37:$G$89,5,0)*VLOOKUP(VLOOKUP($A56,'IP1'!$A$37:$G$89,7,0),Patterns!$A$2:$N$28,COLUMN(R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S56" s="85">
        <f>IF(LEFT($D56,5)="Other",VLOOKUP($A56,'IP1'!$A$37:$G$89,5,0)*VLOOKUP(VLOOKUP($A56,'IP1'!$A$37:$G$89,7,0),Patterns!$A$2:$N$28,COLUMN(S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T56" s="85">
        <f>IF(LEFT($D56,5)="Other",VLOOKUP($A56,'IP1'!$A$37:$G$89,5,0)*VLOOKUP(VLOOKUP($A56,'IP1'!$A$37:$G$89,7,0),Patterns!$A$2:$N$28,COLUMN(T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U56" s="85">
        <f>IF(LEFT($D56,5)="Other",VLOOKUP($A56,'IP1'!$A$37:$G$89,5,0)*VLOOKUP(VLOOKUP($A56,'IP1'!$A$37:$G$89,7,0),Patterns!$A$2:$N$28,COLUMN(U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V56" s="85">
        <f>IF(LEFT($D56,5)="Other",VLOOKUP($A56,'IP1'!$A$37:$G$89,5,0)*VLOOKUP(VLOOKUP($A56,'IP1'!$A$37:$G$89,7,0),Patterns!$A$2:$N$28,COLUMN(V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W56" s="85">
        <f>IF(LEFT($D56,5)="Other",VLOOKUP($A56,'IP1'!$A$37:$G$89,5,0)*VLOOKUP(VLOOKUP($A56,'IP1'!$A$37:$G$89,7,0),Patterns!$A$2:$N$28,COLUMN(W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X56" s="85">
        <f>IF(LEFT($D56,5)="Other",VLOOKUP($A56,'IP1'!$A$37:$G$89,5,0)*VLOOKUP(VLOOKUP($A56,'IP1'!$A$37:$G$89,7,0),Patterns!$A$2:$N$28,COLUMN(X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Y56" s="85">
        <f>IF(LEFT($D56,5)="Other",VLOOKUP($A56,'IP1'!$A$37:$G$89,5,0)*VLOOKUP(VLOOKUP($A56,'IP1'!$A$37:$G$89,7,0),Patterns!$A$2:$N$28,COLUMN(Y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Z56" s="85">
        <f>IF(LEFT($D56,5)="Other",VLOOKUP($A56,'IP1'!$A$37:$G$89,5,0)*VLOOKUP(VLOOKUP($A56,'IP1'!$A$37:$G$89,7,0),Patterns!$A$2:$N$28,COLUMN(Z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AA56" s="85">
        <f>IF(LEFT($D56,5)="Other",VLOOKUP($A56,'IP1'!$A$37:$G$89,5,0)*VLOOKUP(VLOOKUP($A56,'IP1'!$A$37:$G$89,7,0),Patterns!$A$2:$N$28,COLUMN(AA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  <c r="AB56" s="85">
        <f>IF(LEFT($D56,5)="Other",VLOOKUP($A56,'IP1'!$A$37:$G$89,5,0)*VLOOKUP(VLOOKUP($A56,'IP1'!$A$37:$G$89,7,0),Patterns!$A$2:$N$28,COLUMN(AB56)-14,0)/VLOOKUP(VLOOKUP($A56,'IP1'!$A$37:$G$89,7,0),Patterns!$A$2:$N$28,2,0),IF(LEFT($D56,7)="Payroll",SUMPRODUCT(($B56='IP1'!$B$96:$B$114)*('IP1'!$E$96:$E$114))/12,SUMPRODUCT(($B56='IP1'!$B$96:$B$114)*('IP1'!$E$96:$E$114))/12*'IP1'!$F$154))</f>
        <v>3375</v>
      </c>
    </row>
    <row r="57" spans="1:28">
      <c r="A57" s="1" t="str">
        <f t="shared" si="2"/>
        <v xml:space="preserve">Rooms / Rest. / EventsCable/satellite television </v>
      </c>
      <c r="B57" s="1" t="s">
        <v>480</v>
      </c>
      <c r="C57" s="1" t="s">
        <v>481</v>
      </c>
      <c r="D57" s="11" t="s">
        <v>100</v>
      </c>
      <c r="E57" s="85">
        <f>IF(LEFT($D57,5)="Other",
VLOOKUP($A57,'IP1'!$A$37:$G$89,4,0)*
VLOOKUP(
VLOOKUP($A57,'IP1'!$A$37:$G$89,7,0),Patterns!$A$2:$N$28,COLUMN(E57)-2,0)/
VLOOKUP(
VLOOKUP($A57,'IP1'!$A$37:$G$89,7,0),Patterns!$A$2:$N$28,2,0),
IF(LEFT($D57,7)="Payroll",
SUMPRODUCT(($B57='IP1'!$B$96:$B$114)*('IP1'!$D$96:$D$114))/12,
SUMPRODUCT(($B57='IP1'!$B$96:$B$114)*('IP1'!$D$96:$D$114))/12*'IP1'!$F$154))</f>
        <v>1666.6666666666667</v>
      </c>
      <c r="F57" s="85">
        <f>IF(LEFT($D57,5)="Other",VLOOKUP($A57,'IP1'!$A$37:$G$89,4,0)*VLOOKUP(VLOOKUP($A57,'IP1'!$A$37:$G$89,7,0),Patterns!$A$2:$N$28,COLUMN(F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G57" s="85">
        <f>IF(LEFT($D57,5)="Other",VLOOKUP($A57,'IP1'!$A$37:$G$89,4,0)*VLOOKUP(VLOOKUP($A57,'IP1'!$A$37:$G$89,7,0),Patterns!$A$2:$N$28,COLUMN(G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H57" s="85">
        <f>IF(LEFT($D57,5)="Other",VLOOKUP($A57,'IP1'!$A$37:$G$89,4,0)*VLOOKUP(VLOOKUP($A57,'IP1'!$A$37:$G$89,7,0),Patterns!$A$2:$N$28,COLUMN(H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I57" s="85">
        <f>IF(LEFT($D57,5)="Other",VLOOKUP($A57,'IP1'!$A$37:$G$89,4,0)*VLOOKUP(VLOOKUP($A57,'IP1'!$A$37:$G$89,7,0),Patterns!$A$2:$N$28,COLUMN(I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J57" s="85">
        <f>IF(LEFT($D57,5)="Other",VLOOKUP($A57,'IP1'!$A$37:$G$89,4,0)*VLOOKUP(VLOOKUP($A57,'IP1'!$A$37:$G$89,7,0),Patterns!$A$2:$N$28,COLUMN(J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K57" s="85">
        <f>IF(LEFT($D57,5)="Other",VLOOKUP($A57,'IP1'!$A$37:$G$89,4,0)*VLOOKUP(VLOOKUP($A57,'IP1'!$A$37:$G$89,7,0),Patterns!$A$2:$N$28,COLUMN(K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L57" s="85">
        <f>IF(LEFT($D57,5)="Other",VLOOKUP($A57,'IP1'!$A$37:$G$89,4,0)*VLOOKUP(VLOOKUP($A57,'IP1'!$A$37:$G$89,7,0),Patterns!$A$2:$N$28,COLUMN(L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M57" s="85">
        <f>IF(LEFT($D57,5)="Other",VLOOKUP($A57,'IP1'!$A$37:$G$89,4,0)*VLOOKUP(VLOOKUP($A57,'IP1'!$A$37:$G$89,7,0),Patterns!$A$2:$N$28,COLUMN(M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N57" s="85">
        <f>IF(LEFT($D57,5)="Other",VLOOKUP($A57,'IP1'!$A$37:$G$89,4,0)*VLOOKUP(VLOOKUP($A57,'IP1'!$A$37:$G$89,7,0),Patterns!$A$2:$N$28,COLUMN(N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O57" s="85">
        <f>IF(LEFT($D57,5)="Other",VLOOKUP($A57,'IP1'!$A$37:$G$89,4,0)*VLOOKUP(VLOOKUP($A57,'IP1'!$A$37:$G$89,7,0),Patterns!$A$2:$N$28,COLUMN(O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P57" s="85">
        <f>IF(LEFT($D57,5)="Other",VLOOKUP($A57,'IP1'!$A$37:$G$89,4,0)*VLOOKUP(VLOOKUP($A57,'IP1'!$A$37:$G$89,7,0),Patterns!$A$2:$N$28,COLUMN(P57)-2,0)/VLOOKUP(VLOOKUP($A57,'IP1'!$A$37:$G$89,7,0),Patterns!$A$2:$N$28,2,0),IF(LEFT($D57,7)="Payroll",SUMPRODUCT(($B57='IP1'!$B$96:$B$114)*('IP1'!$D$96:$D$114))/12,SUMPRODUCT(($B57='IP1'!$B$96:$B$114)*('IP1'!$D$96:$D$114))/12*'IP1'!$F$154))</f>
        <v>1666.6666666666667</v>
      </c>
      <c r="Q57" s="85">
        <f>IF(LEFT($D57,5)="Other",VLOOKUP($A57,'IP1'!$A$37:$G$89,5,0)*VLOOKUP(VLOOKUP($A57,'IP1'!$A$37:$G$89,7,0),Patterns!$A$2:$N$28,COLUMN(Q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R57" s="85">
        <f>IF(LEFT($D57,5)="Other",VLOOKUP($A57,'IP1'!$A$37:$G$89,5,0)*VLOOKUP(VLOOKUP($A57,'IP1'!$A$37:$G$89,7,0),Patterns!$A$2:$N$28,COLUMN(R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S57" s="85">
        <f>IF(LEFT($D57,5)="Other",VLOOKUP($A57,'IP1'!$A$37:$G$89,5,0)*VLOOKUP(VLOOKUP($A57,'IP1'!$A$37:$G$89,7,0),Patterns!$A$2:$N$28,COLUMN(S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T57" s="85">
        <f>IF(LEFT($D57,5)="Other",VLOOKUP($A57,'IP1'!$A$37:$G$89,5,0)*VLOOKUP(VLOOKUP($A57,'IP1'!$A$37:$G$89,7,0),Patterns!$A$2:$N$28,COLUMN(T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U57" s="85">
        <f>IF(LEFT($D57,5)="Other",VLOOKUP($A57,'IP1'!$A$37:$G$89,5,0)*VLOOKUP(VLOOKUP($A57,'IP1'!$A$37:$G$89,7,0),Patterns!$A$2:$N$28,COLUMN(U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V57" s="85">
        <f>IF(LEFT($D57,5)="Other",VLOOKUP($A57,'IP1'!$A$37:$G$89,5,0)*VLOOKUP(VLOOKUP($A57,'IP1'!$A$37:$G$89,7,0),Patterns!$A$2:$N$28,COLUMN(V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W57" s="85">
        <f>IF(LEFT($D57,5)="Other",VLOOKUP($A57,'IP1'!$A$37:$G$89,5,0)*VLOOKUP(VLOOKUP($A57,'IP1'!$A$37:$G$89,7,0),Patterns!$A$2:$N$28,COLUMN(W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X57" s="85">
        <f>IF(LEFT($D57,5)="Other",VLOOKUP($A57,'IP1'!$A$37:$G$89,5,0)*VLOOKUP(VLOOKUP($A57,'IP1'!$A$37:$G$89,7,0),Patterns!$A$2:$N$28,COLUMN(X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Y57" s="85">
        <f>IF(LEFT($D57,5)="Other",VLOOKUP($A57,'IP1'!$A$37:$G$89,5,0)*VLOOKUP(VLOOKUP($A57,'IP1'!$A$37:$G$89,7,0),Patterns!$A$2:$N$28,COLUMN(Y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Z57" s="85">
        <f>IF(LEFT($D57,5)="Other",VLOOKUP($A57,'IP1'!$A$37:$G$89,5,0)*VLOOKUP(VLOOKUP($A57,'IP1'!$A$37:$G$89,7,0),Patterns!$A$2:$N$28,COLUMN(Z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AA57" s="85">
        <f>IF(LEFT($D57,5)="Other",VLOOKUP($A57,'IP1'!$A$37:$G$89,5,0)*VLOOKUP(VLOOKUP($A57,'IP1'!$A$37:$G$89,7,0),Patterns!$A$2:$N$28,COLUMN(AA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  <c r="AB57" s="85">
        <f>IF(LEFT($D57,5)="Other",VLOOKUP($A57,'IP1'!$A$37:$G$89,5,0)*VLOOKUP(VLOOKUP($A57,'IP1'!$A$37:$G$89,7,0),Patterns!$A$2:$N$28,COLUMN(AB57)-14,0)/VLOOKUP(VLOOKUP($A57,'IP1'!$A$37:$G$89,7,0),Patterns!$A$2:$N$28,2,0),IF(LEFT($D57,7)="Payroll",SUMPRODUCT(($B57='IP1'!$B$96:$B$114)*('IP1'!$E$96:$E$114))/12,SUMPRODUCT(($B57='IP1'!$B$96:$B$114)*('IP1'!$E$96:$E$114))/12*'IP1'!$F$154))</f>
        <v>1666.6666666666667</v>
      </c>
    </row>
    <row r="58" spans="1:28">
      <c r="A58" s="1" t="str">
        <f t="shared" si="2"/>
        <v>Rooms / Rest. / EventsChina, Glassware, cutlery</v>
      </c>
      <c r="B58" s="1" t="s">
        <v>480</v>
      </c>
      <c r="C58" s="1" t="s">
        <v>486</v>
      </c>
      <c r="D58" s="11" t="s">
        <v>100</v>
      </c>
      <c r="E58" s="85">
        <f>IF(LEFT($D58,5)="Other",
VLOOKUP($A58,'IP1'!$A$37:$G$89,4,0)*
VLOOKUP(
VLOOKUP($A58,'IP1'!$A$37:$G$89,7,0),Patterns!$A$2:$N$28,COLUMN(E58)-2,0)/
VLOOKUP(
VLOOKUP($A58,'IP1'!$A$37:$G$89,7,0),Patterns!$A$2:$N$28,2,0),
IF(LEFT($D58,7)="Payroll",
SUMPRODUCT(($B58='IP1'!$B$96:$B$114)*('IP1'!$D$96:$D$114))/12,
SUMPRODUCT(($B58='IP1'!$B$96:$B$114)*('IP1'!$D$96:$D$114))/12*'IP1'!$F$154))</f>
        <v>400</v>
      </c>
      <c r="F58" s="85">
        <f>IF(LEFT($D58,5)="Other",VLOOKUP($A58,'IP1'!$A$37:$G$89,4,0)*VLOOKUP(VLOOKUP($A58,'IP1'!$A$37:$G$89,7,0),Patterns!$A$2:$N$28,COLUMN(F58)-2,0)/VLOOKUP(VLOOKUP($A58,'IP1'!$A$37:$G$89,7,0),Patterns!$A$2:$N$28,2,0),IF(LEFT($D58,7)="Payroll",SUMPRODUCT(($B58='IP1'!$B$96:$B$114)*('IP1'!$D$96:$D$114))/12,SUMPRODUCT(($B58='IP1'!$B$96:$B$114)*('IP1'!$D$96:$D$114))/12*'IP1'!$F$154))</f>
        <v>400</v>
      </c>
      <c r="G58" s="85">
        <f>IF(LEFT($D58,5)="Other",VLOOKUP($A58,'IP1'!$A$37:$G$89,4,0)*VLOOKUP(VLOOKUP($A58,'IP1'!$A$37:$G$89,7,0),Patterns!$A$2:$N$28,COLUMN(G58)-2,0)/VLOOKUP(VLOOKUP($A58,'IP1'!$A$37:$G$89,7,0),Patterns!$A$2:$N$28,2,0),IF(LEFT($D58,7)="Payroll",SUMPRODUCT(($B58='IP1'!$B$96:$B$114)*('IP1'!$D$96:$D$114))/12,SUMPRODUCT(($B58='IP1'!$B$96:$B$114)*('IP1'!$D$96:$D$114))/12*'IP1'!$F$154))</f>
        <v>1200</v>
      </c>
      <c r="H58" s="85">
        <f>IF(LEFT($D58,5)="Other",VLOOKUP($A58,'IP1'!$A$37:$G$89,4,0)*VLOOKUP(VLOOKUP($A58,'IP1'!$A$37:$G$89,7,0),Patterns!$A$2:$N$28,COLUMN(H58)-2,0)/VLOOKUP(VLOOKUP($A58,'IP1'!$A$37:$G$89,7,0),Patterns!$A$2:$N$28,2,0),IF(LEFT($D58,7)="Payroll",SUMPRODUCT(($B58='IP1'!$B$96:$B$114)*('IP1'!$D$96:$D$114))/12,SUMPRODUCT(($B58='IP1'!$B$96:$B$114)*('IP1'!$D$96:$D$114))/12*'IP1'!$F$154))</f>
        <v>1200</v>
      </c>
      <c r="I58" s="85">
        <f>IF(LEFT($D58,5)="Other",VLOOKUP($A58,'IP1'!$A$37:$G$89,4,0)*VLOOKUP(VLOOKUP($A58,'IP1'!$A$37:$G$89,7,0),Patterns!$A$2:$N$28,COLUMN(I58)-2,0)/VLOOKUP(VLOOKUP($A58,'IP1'!$A$37:$G$89,7,0),Patterns!$A$2:$N$28,2,0),IF(LEFT($D58,7)="Payroll",SUMPRODUCT(($B58='IP1'!$B$96:$B$114)*('IP1'!$D$96:$D$114))/12,SUMPRODUCT(($B58='IP1'!$B$96:$B$114)*('IP1'!$D$96:$D$114))/12*'IP1'!$F$154))</f>
        <v>2400</v>
      </c>
      <c r="J58" s="85">
        <f>IF(LEFT($D58,5)="Other",VLOOKUP($A58,'IP1'!$A$37:$G$89,4,0)*VLOOKUP(VLOOKUP($A58,'IP1'!$A$37:$G$89,7,0),Patterns!$A$2:$N$28,COLUMN(J58)-2,0)/VLOOKUP(VLOOKUP($A58,'IP1'!$A$37:$G$89,7,0),Patterns!$A$2:$N$28,2,0),IF(LEFT($D58,7)="Payroll",SUMPRODUCT(($B58='IP1'!$B$96:$B$114)*('IP1'!$D$96:$D$114))/12,SUMPRODUCT(($B58='IP1'!$B$96:$B$114)*('IP1'!$D$96:$D$114))/12*'IP1'!$F$154))</f>
        <v>2400</v>
      </c>
      <c r="K58" s="85">
        <f>IF(LEFT($D58,5)="Other",VLOOKUP($A58,'IP1'!$A$37:$G$89,4,0)*VLOOKUP(VLOOKUP($A58,'IP1'!$A$37:$G$89,7,0),Patterns!$A$2:$N$28,COLUMN(K58)-2,0)/VLOOKUP(VLOOKUP($A58,'IP1'!$A$37:$G$89,7,0),Patterns!$A$2:$N$28,2,0),IF(LEFT($D58,7)="Payroll",SUMPRODUCT(($B58='IP1'!$B$96:$B$114)*('IP1'!$D$96:$D$114))/12,SUMPRODUCT(($B58='IP1'!$B$96:$B$114)*('IP1'!$D$96:$D$114))/12*'IP1'!$F$154))</f>
        <v>2400</v>
      </c>
      <c r="L58" s="85">
        <f>IF(LEFT($D58,5)="Other",VLOOKUP($A58,'IP1'!$A$37:$G$89,4,0)*VLOOKUP(VLOOKUP($A58,'IP1'!$A$37:$G$89,7,0),Patterns!$A$2:$N$28,COLUMN(L58)-2,0)/VLOOKUP(VLOOKUP($A58,'IP1'!$A$37:$G$89,7,0),Patterns!$A$2:$N$28,2,0),IF(LEFT($D58,7)="Payroll",SUMPRODUCT(($B58='IP1'!$B$96:$B$114)*('IP1'!$D$96:$D$114))/12,SUMPRODUCT(($B58='IP1'!$B$96:$B$114)*('IP1'!$D$96:$D$114))/12*'IP1'!$F$154))</f>
        <v>2400</v>
      </c>
      <c r="M58" s="85">
        <f>IF(LEFT($D58,5)="Other",VLOOKUP($A58,'IP1'!$A$37:$G$89,4,0)*VLOOKUP(VLOOKUP($A58,'IP1'!$A$37:$G$89,7,0),Patterns!$A$2:$N$28,COLUMN(M58)-2,0)/VLOOKUP(VLOOKUP($A58,'IP1'!$A$37:$G$89,7,0),Patterns!$A$2:$N$28,2,0),IF(LEFT($D58,7)="Payroll",SUMPRODUCT(($B58='IP1'!$B$96:$B$114)*('IP1'!$D$96:$D$114))/12,SUMPRODUCT(($B58='IP1'!$B$96:$B$114)*('IP1'!$D$96:$D$114))/12*'IP1'!$F$154))</f>
        <v>2400</v>
      </c>
      <c r="N58" s="85">
        <f>IF(LEFT($D58,5)="Other",VLOOKUP($A58,'IP1'!$A$37:$G$89,4,0)*VLOOKUP(VLOOKUP($A58,'IP1'!$A$37:$G$89,7,0),Patterns!$A$2:$N$28,COLUMN(N58)-2,0)/VLOOKUP(VLOOKUP($A58,'IP1'!$A$37:$G$89,7,0),Patterns!$A$2:$N$28,2,0),IF(LEFT($D58,7)="Payroll",SUMPRODUCT(($B58='IP1'!$B$96:$B$114)*('IP1'!$D$96:$D$114))/12,SUMPRODUCT(($B58='IP1'!$B$96:$B$114)*('IP1'!$D$96:$D$114))/12*'IP1'!$F$154))</f>
        <v>2400</v>
      </c>
      <c r="O58" s="85">
        <f>IF(LEFT($D58,5)="Other",VLOOKUP($A58,'IP1'!$A$37:$G$89,4,0)*VLOOKUP(VLOOKUP($A58,'IP1'!$A$37:$G$89,7,0),Patterns!$A$2:$N$28,COLUMN(O58)-2,0)/VLOOKUP(VLOOKUP($A58,'IP1'!$A$37:$G$89,7,0),Patterns!$A$2:$N$28,2,0),IF(LEFT($D58,7)="Payroll",SUMPRODUCT(($B58='IP1'!$B$96:$B$114)*('IP1'!$D$96:$D$114))/12,SUMPRODUCT(($B58='IP1'!$B$96:$B$114)*('IP1'!$D$96:$D$114))/12*'IP1'!$F$154))</f>
        <v>400</v>
      </c>
      <c r="P58" s="85">
        <f>IF(LEFT($D58,5)="Other",VLOOKUP($A58,'IP1'!$A$37:$G$89,4,0)*VLOOKUP(VLOOKUP($A58,'IP1'!$A$37:$G$89,7,0),Patterns!$A$2:$N$28,COLUMN(P58)-2,0)/VLOOKUP(VLOOKUP($A58,'IP1'!$A$37:$G$89,7,0),Patterns!$A$2:$N$28,2,0),IF(LEFT($D58,7)="Payroll",SUMPRODUCT(($B58='IP1'!$B$96:$B$114)*('IP1'!$D$96:$D$114))/12,SUMPRODUCT(($B58='IP1'!$B$96:$B$114)*('IP1'!$D$96:$D$114))/12*'IP1'!$F$154))</f>
        <v>2000</v>
      </c>
      <c r="Q58" s="85">
        <f>IF(LEFT($D58,5)="Other",VLOOKUP($A58,'IP1'!$A$37:$G$89,5,0)*VLOOKUP(VLOOKUP($A58,'IP1'!$A$37:$G$89,7,0),Patterns!$A$2:$N$28,COLUMN(Q58)-14,0)/VLOOKUP(VLOOKUP($A58,'IP1'!$A$37:$G$89,7,0),Patterns!$A$2:$N$28,2,0),IF(LEFT($D58,7)="Payroll",SUMPRODUCT(($B58='IP1'!$B$96:$B$114)*('IP1'!$E$96:$E$114))/12,SUMPRODUCT(($B58='IP1'!$B$96:$B$114)*('IP1'!$E$96:$E$114))/12*'IP1'!$F$154))</f>
        <v>400</v>
      </c>
      <c r="R58" s="85">
        <f>IF(LEFT($D58,5)="Other",VLOOKUP($A58,'IP1'!$A$37:$G$89,5,0)*VLOOKUP(VLOOKUP($A58,'IP1'!$A$37:$G$89,7,0),Patterns!$A$2:$N$28,COLUMN(R58)-14,0)/VLOOKUP(VLOOKUP($A58,'IP1'!$A$37:$G$89,7,0),Patterns!$A$2:$N$28,2,0),IF(LEFT($D58,7)="Payroll",SUMPRODUCT(($B58='IP1'!$B$96:$B$114)*('IP1'!$E$96:$E$114))/12,SUMPRODUCT(($B58='IP1'!$B$96:$B$114)*('IP1'!$E$96:$E$114))/12*'IP1'!$F$154))</f>
        <v>400</v>
      </c>
      <c r="S58" s="85">
        <f>IF(LEFT($D58,5)="Other",VLOOKUP($A58,'IP1'!$A$37:$G$89,5,0)*VLOOKUP(VLOOKUP($A58,'IP1'!$A$37:$G$89,7,0),Patterns!$A$2:$N$28,COLUMN(S58)-14,0)/VLOOKUP(VLOOKUP($A58,'IP1'!$A$37:$G$89,7,0),Patterns!$A$2:$N$28,2,0),IF(LEFT($D58,7)="Payroll",SUMPRODUCT(($B58='IP1'!$B$96:$B$114)*('IP1'!$E$96:$E$114))/12,SUMPRODUCT(($B58='IP1'!$B$96:$B$114)*('IP1'!$E$96:$E$114))/12*'IP1'!$F$154))</f>
        <v>1200</v>
      </c>
      <c r="T58" s="85">
        <f>IF(LEFT($D58,5)="Other",VLOOKUP($A58,'IP1'!$A$37:$G$89,5,0)*VLOOKUP(VLOOKUP($A58,'IP1'!$A$37:$G$89,7,0),Patterns!$A$2:$N$28,COLUMN(T58)-14,0)/VLOOKUP(VLOOKUP($A58,'IP1'!$A$37:$G$89,7,0),Patterns!$A$2:$N$28,2,0),IF(LEFT($D58,7)="Payroll",SUMPRODUCT(($B58='IP1'!$B$96:$B$114)*('IP1'!$E$96:$E$114))/12,SUMPRODUCT(($B58='IP1'!$B$96:$B$114)*('IP1'!$E$96:$E$114))/12*'IP1'!$F$154))</f>
        <v>1200</v>
      </c>
      <c r="U58" s="85">
        <f>IF(LEFT($D58,5)="Other",VLOOKUP($A58,'IP1'!$A$37:$G$89,5,0)*VLOOKUP(VLOOKUP($A58,'IP1'!$A$37:$G$89,7,0),Patterns!$A$2:$N$28,COLUMN(U58)-14,0)/VLOOKUP(VLOOKUP($A58,'IP1'!$A$37:$G$89,7,0),Patterns!$A$2:$N$28,2,0),IF(LEFT($D58,7)="Payroll",SUMPRODUCT(($B58='IP1'!$B$96:$B$114)*('IP1'!$E$96:$E$114))/12,SUMPRODUCT(($B58='IP1'!$B$96:$B$114)*('IP1'!$E$96:$E$114))/12*'IP1'!$F$154))</f>
        <v>2400</v>
      </c>
      <c r="V58" s="85">
        <f>IF(LEFT($D58,5)="Other",VLOOKUP($A58,'IP1'!$A$37:$G$89,5,0)*VLOOKUP(VLOOKUP($A58,'IP1'!$A$37:$G$89,7,0),Patterns!$A$2:$N$28,COLUMN(V58)-14,0)/VLOOKUP(VLOOKUP($A58,'IP1'!$A$37:$G$89,7,0),Patterns!$A$2:$N$28,2,0),IF(LEFT($D58,7)="Payroll",SUMPRODUCT(($B58='IP1'!$B$96:$B$114)*('IP1'!$E$96:$E$114))/12,SUMPRODUCT(($B58='IP1'!$B$96:$B$114)*('IP1'!$E$96:$E$114))/12*'IP1'!$F$154))</f>
        <v>2400</v>
      </c>
      <c r="W58" s="85">
        <f>IF(LEFT($D58,5)="Other",VLOOKUP($A58,'IP1'!$A$37:$G$89,5,0)*VLOOKUP(VLOOKUP($A58,'IP1'!$A$37:$G$89,7,0),Patterns!$A$2:$N$28,COLUMN(W58)-14,0)/VLOOKUP(VLOOKUP($A58,'IP1'!$A$37:$G$89,7,0),Patterns!$A$2:$N$28,2,0),IF(LEFT($D58,7)="Payroll",SUMPRODUCT(($B58='IP1'!$B$96:$B$114)*('IP1'!$E$96:$E$114))/12,SUMPRODUCT(($B58='IP1'!$B$96:$B$114)*('IP1'!$E$96:$E$114))/12*'IP1'!$F$154))</f>
        <v>2400</v>
      </c>
      <c r="X58" s="85">
        <f>IF(LEFT($D58,5)="Other",VLOOKUP($A58,'IP1'!$A$37:$G$89,5,0)*VLOOKUP(VLOOKUP($A58,'IP1'!$A$37:$G$89,7,0),Patterns!$A$2:$N$28,COLUMN(X58)-14,0)/VLOOKUP(VLOOKUP($A58,'IP1'!$A$37:$G$89,7,0),Patterns!$A$2:$N$28,2,0),IF(LEFT($D58,7)="Payroll",SUMPRODUCT(($B58='IP1'!$B$96:$B$114)*('IP1'!$E$96:$E$114))/12,SUMPRODUCT(($B58='IP1'!$B$96:$B$114)*('IP1'!$E$96:$E$114))/12*'IP1'!$F$154))</f>
        <v>2400</v>
      </c>
      <c r="Y58" s="85">
        <f>IF(LEFT($D58,5)="Other",VLOOKUP($A58,'IP1'!$A$37:$G$89,5,0)*VLOOKUP(VLOOKUP($A58,'IP1'!$A$37:$G$89,7,0),Patterns!$A$2:$N$28,COLUMN(Y58)-14,0)/VLOOKUP(VLOOKUP($A58,'IP1'!$A$37:$G$89,7,0),Patterns!$A$2:$N$28,2,0),IF(LEFT($D58,7)="Payroll",SUMPRODUCT(($B58='IP1'!$B$96:$B$114)*('IP1'!$E$96:$E$114))/12,SUMPRODUCT(($B58='IP1'!$B$96:$B$114)*('IP1'!$E$96:$E$114))/12*'IP1'!$F$154))</f>
        <v>2400</v>
      </c>
      <c r="Z58" s="85">
        <f>IF(LEFT($D58,5)="Other",VLOOKUP($A58,'IP1'!$A$37:$G$89,5,0)*VLOOKUP(VLOOKUP($A58,'IP1'!$A$37:$G$89,7,0),Patterns!$A$2:$N$28,COLUMN(Z58)-14,0)/VLOOKUP(VLOOKUP($A58,'IP1'!$A$37:$G$89,7,0),Patterns!$A$2:$N$28,2,0),IF(LEFT($D58,7)="Payroll",SUMPRODUCT(($B58='IP1'!$B$96:$B$114)*('IP1'!$E$96:$E$114))/12,SUMPRODUCT(($B58='IP1'!$B$96:$B$114)*('IP1'!$E$96:$E$114))/12*'IP1'!$F$154))</f>
        <v>2400</v>
      </c>
      <c r="AA58" s="85">
        <f>IF(LEFT($D58,5)="Other",VLOOKUP($A58,'IP1'!$A$37:$G$89,5,0)*VLOOKUP(VLOOKUP($A58,'IP1'!$A$37:$G$89,7,0),Patterns!$A$2:$N$28,COLUMN(AA58)-14,0)/VLOOKUP(VLOOKUP($A58,'IP1'!$A$37:$G$89,7,0),Patterns!$A$2:$N$28,2,0),IF(LEFT($D58,7)="Payroll",SUMPRODUCT(($B58='IP1'!$B$96:$B$114)*('IP1'!$E$96:$E$114))/12,SUMPRODUCT(($B58='IP1'!$B$96:$B$114)*('IP1'!$E$96:$E$114))/12*'IP1'!$F$154))</f>
        <v>400</v>
      </c>
      <c r="AB58" s="85">
        <f>IF(LEFT($D58,5)="Other",VLOOKUP($A58,'IP1'!$A$37:$G$89,5,0)*VLOOKUP(VLOOKUP($A58,'IP1'!$A$37:$G$89,7,0),Patterns!$A$2:$N$28,COLUMN(AB58)-14,0)/VLOOKUP(VLOOKUP($A58,'IP1'!$A$37:$G$89,7,0),Patterns!$A$2:$N$28,2,0),IF(LEFT($D58,7)="Payroll",SUMPRODUCT(($B58='IP1'!$B$96:$B$114)*('IP1'!$E$96:$E$114))/12,SUMPRODUCT(($B58='IP1'!$B$96:$B$114)*('IP1'!$E$96:$E$114))/12*'IP1'!$F$154))</f>
        <v>2000</v>
      </c>
    </row>
    <row r="59" spans="1:28">
      <c r="A59" s="1" t="str">
        <f t="shared" si="2"/>
        <v xml:space="preserve">Rooms / Rest. / EventsLaundry and dry cleaning </v>
      </c>
      <c r="B59" s="1" t="s">
        <v>480</v>
      </c>
      <c r="C59" s="1" t="s">
        <v>482</v>
      </c>
      <c r="D59" s="11" t="s">
        <v>100</v>
      </c>
      <c r="E59" s="85">
        <f>IF(LEFT($D59,5)="Other",
VLOOKUP($A59,'IP1'!$A$37:$G$89,4,0)*
VLOOKUP(
VLOOKUP($A59,'IP1'!$A$37:$G$89,7,0),Patterns!$A$2:$N$28,COLUMN(E59)-2,0)/
VLOOKUP(
VLOOKUP($A59,'IP1'!$A$37:$G$89,7,0),Patterns!$A$2:$N$28,2,0),
IF(LEFT($D59,7)="Payroll",
SUMPRODUCT(($B59='IP1'!$B$96:$B$114)*('IP1'!$D$96:$D$114))/12,
SUMPRODUCT(($B59='IP1'!$B$96:$B$114)*('IP1'!$D$96:$D$114))/12*'IP1'!$F$154))</f>
        <v>200</v>
      </c>
      <c r="F59" s="85">
        <f>IF(LEFT($D59,5)="Other",VLOOKUP($A59,'IP1'!$A$37:$G$89,4,0)*VLOOKUP(VLOOKUP($A59,'IP1'!$A$37:$G$89,7,0),Patterns!$A$2:$N$28,COLUMN(F59)-2,0)/VLOOKUP(VLOOKUP($A59,'IP1'!$A$37:$G$89,7,0),Patterns!$A$2:$N$28,2,0),IF(LEFT($D59,7)="Payroll",SUMPRODUCT(($B59='IP1'!$B$96:$B$114)*('IP1'!$D$96:$D$114))/12,SUMPRODUCT(($B59='IP1'!$B$96:$B$114)*('IP1'!$D$96:$D$114))/12*'IP1'!$F$154))</f>
        <v>200</v>
      </c>
      <c r="G59" s="85">
        <f>IF(LEFT($D59,5)="Other",VLOOKUP($A59,'IP1'!$A$37:$G$89,4,0)*VLOOKUP(VLOOKUP($A59,'IP1'!$A$37:$G$89,7,0),Patterns!$A$2:$N$28,COLUMN(G59)-2,0)/VLOOKUP(VLOOKUP($A59,'IP1'!$A$37:$G$89,7,0),Patterns!$A$2:$N$28,2,0),IF(LEFT($D59,7)="Payroll",SUMPRODUCT(($B59='IP1'!$B$96:$B$114)*('IP1'!$D$96:$D$114))/12,SUMPRODUCT(($B59='IP1'!$B$96:$B$114)*('IP1'!$D$96:$D$114))/12*'IP1'!$F$154))</f>
        <v>600</v>
      </c>
      <c r="H59" s="85">
        <f>IF(LEFT($D59,5)="Other",VLOOKUP($A59,'IP1'!$A$37:$G$89,4,0)*VLOOKUP(VLOOKUP($A59,'IP1'!$A$37:$G$89,7,0),Patterns!$A$2:$N$28,COLUMN(H59)-2,0)/VLOOKUP(VLOOKUP($A59,'IP1'!$A$37:$G$89,7,0),Patterns!$A$2:$N$28,2,0),IF(LEFT($D59,7)="Payroll",SUMPRODUCT(($B59='IP1'!$B$96:$B$114)*('IP1'!$D$96:$D$114))/12,SUMPRODUCT(($B59='IP1'!$B$96:$B$114)*('IP1'!$D$96:$D$114))/12*'IP1'!$F$154))</f>
        <v>600</v>
      </c>
      <c r="I59" s="85">
        <f>IF(LEFT($D59,5)="Other",VLOOKUP($A59,'IP1'!$A$37:$G$89,4,0)*VLOOKUP(VLOOKUP($A59,'IP1'!$A$37:$G$89,7,0),Patterns!$A$2:$N$28,COLUMN(I59)-2,0)/VLOOKUP(VLOOKUP($A59,'IP1'!$A$37:$G$89,7,0),Patterns!$A$2:$N$28,2,0),IF(LEFT($D59,7)="Payroll",SUMPRODUCT(($B59='IP1'!$B$96:$B$114)*('IP1'!$D$96:$D$114))/12,SUMPRODUCT(($B59='IP1'!$B$96:$B$114)*('IP1'!$D$96:$D$114))/12*'IP1'!$F$154))</f>
        <v>1200</v>
      </c>
      <c r="J59" s="85">
        <f>IF(LEFT($D59,5)="Other",VLOOKUP($A59,'IP1'!$A$37:$G$89,4,0)*VLOOKUP(VLOOKUP($A59,'IP1'!$A$37:$G$89,7,0),Patterns!$A$2:$N$28,COLUMN(J59)-2,0)/VLOOKUP(VLOOKUP($A59,'IP1'!$A$37:$G$89,7,0),Patterns!$A$2:$N$28,2,0),IF(LEFT($D59,7)="Payroll",SUMPRODUCT(($B59='IP1'!$B$96:$B$114)*('IP1'!$D$96:$D$114))/12,SUMPRODUCT(($B59='IP1'!$B$96:$B$114)*('IP1'!$D$96:$D$114))/12*'IP1'!$F$154))</f>
        <v>1200</v>
      </c>
      <c r="K59" s="85">
        <f>IF(LEFT($D59,5)="Other",VLOOKUP($A59,'IP1'!$A$37:$G$89,4,0)*VLOOKUP(VLOOKUP($A59,'IP1'!$A$37:$G$89,7,0),Patterns!$A$2:$N$28,COLUMN(K59)-2,0)/VLOOKUP(VLOOKUP($A59,'IP1'!$A$37:$G$89,7,0),Patterns!$A$2:$N$28,2,0),IF(LEFT($D59,7)="Payroll",SUMPRODUCT(($B59='IP1'!$B$96:$B$114)*('IP1'!$D$96:$D$114))/12,SUMPRODUCT(($B59='IP1'!$B$96:$B$114)*('IP1'!$D$96:$D$114))/12*'IP1'!$F$154))</f>
        <v>1200</v>
      </c>
      <c r="L59" s="85">
        <f>IF(LEFT($D59,5)="Other",VLOOKUP($A59,'IP1'!$A$37:$G$89,4,0)*VLOOKUP(VLOOKUP($A59,'IP1'!$A$37:$G$89,7,0),Patterns!$A$2:$N$28,COLUMN(L59)-2,0)/VLOOKUP(VLOOKUP($A59,'IP1'!$A$37:$G$89,7,0),Patterns!$A$2:$N$28,2,0),IF(LEFT($D59,7)="Payroll",SUMPRODUCT(($B59='IP1'!$B$96:$B$114)*('IP1'!$D$96:$D$114))/12,SUMPRODUCT(($B59='IP1'!$B$96:$B$114)*('IP1'!$D$96:$D$114))/12*'IP1'!$F$154))</f>
        <v>1200</v>
      </c>
      <c r="M59" s="85">
        <f>IF(LEFT($D59,5)="Other",VLOOKUP($A59,'IP1'!$A$37:$G$89,4,0)*VLOOKUP(VLOOKUP($A59,'IP1'!$A$37:$G$89,7,0),Patterns!$A$2:$N$28,COLUMN(M59)-2,0)/VLOOKUP(VLOOKUP($A59,'IP1'!$A$37:$G$89,7,0),Patterns!$A$2:$N$28,2,0),IF(LEFT($D59,7)="Payroll",SUMPRODUCT(($B59='IP1'!$B$96:$B$114)*('IP1'!$D$96:$D$114))/12,SUMPRODUCT(($B59='IP1'!$B$96:$B$114)*('IP1'!$D$96:$D$114))/12*'IP1'!$F$154))</f>
        <v>1200</v>
      </c>
      <c r="N59" s="85">
        <f>IF(LEFT($D59,5)="Other",VLOOKUP($A59,'IP1'!$A$37:$G$89,4,0)*VLOOKUP(VLOOKUP($A59,'IP1'!$A$37:$G$89,7,0),Patterns!$A$2:$N$28,COLUMN(N59)-2,0)/VLOOKUP(VLOOKUP($A59,'IP1'!$A$37:$G$89,7,0),Patterns!$A$2:$N$28,2,0),IF(LEFT($D59,7)="Payroll",SUMPRODUCT(($B59='IP1'!$B$96:$B$114)*('IP1'!$D$96:$D$114))/12,SUMPRODUCT(($B59='IP1'!$B$96:$B$114)*('IP1'!$D$96:$D$114))/12*'IP1'!$F$154))</f>
        <v>1200</v>
      </c>
      <c r="O59" s="85">
        <f>IF(LEFT($D59,5)="Other",VLOOKUP($A59,'IP1'!$A$37:$G$89,4,0)*VLOOKUP(VLOOKUP($A59,'IP1'!$A$37:$G$89,7,0),Patterns!$A$2:$N$28,COLUMN(O59)-2,0)/VLOOKUP(VLOOKUP($A59,'IP1'!$A$37:$G$89,7,0),Patterns!$A$2:$N$28,2,0),IF(LEFT($D59,7)="Payroll",SUMPRODUCT(($B59='IP1'!$B$96:$B$114)*('IP1'!$D$96:$D$114))/12,SUMPRODUCT(($B59='IP1'!$B$96:$B$114)*('IP1'!$D$96:$D$114))/12*'IP1'!$F$154))</f>
        <v>200</v>
      </c>
      <c r="P59" s="85">
        <f>IF(LEFT($D59,5)="Other",VLOOKUP($A59,'IP1'!$A$37:$G$89,4,0)*VLOOKUP(VLOOKUP($A59,'IP1'!$A$37:$G$89,7,0),Patterns!$A$2:$N$28,COLUMN(P59)-2,0)/VLOOKUP(VLOOKUP($A59,'IP1'!$A$37:$G$89,7,0),Patterns!$A$2:$N$28,2,0),IF(LEFT($D59,7)="Payroll",SUMPRODUCT(($B59='IP1'!$B$96:$B$114)*('IP1'!$D$96:$D$114))/12,SUMPRODUCT(($B59='IP1'!$B$96:$B$114)*('IP1'!$D$96:$D$114))/12*'IP1'!$F$154))</f>
        <v>1000</v>
      </c>
      <c r="Q59" s="85">
        <f>IF(LEFT($D59,5)="Other",VLOOKUP($A59,'IP1'!$A$37:$G$89,5,0)*VLOOKUP(VLOOKUP($A59,'IP1'!$A$37:$G$89,7,0),Patterns!$A$2:$N$28,COLUMN(Q59)-14,0)/VLOOKUP(VLOOKUP($A59,'IP1'!$A$37:$G$89,7,0),Patterns!$A$2:$N$28,2,0),IF(LEFT($D59,7)="Payroll",SUMPRODUCT(($B59='IP1'!$B$96:$B$114)*('IP1'!$E$96:$E$114))/12,SUMPRODUCT(($B59='IP1'!$B$96:$B$114)*('IP1'!$E$96:$E$114))/12*'IP1'!$F$154))</f>
        <v>200</v>
      </c>
      <c r="R59" s="85">
        <f>IF(LEFT($D59,5)="Other",VLOOKUP($A59,'IP1'!$A$37:$G$89,5,0)*VLOOKUP(VLOOKUP($A59,'IP1'!$A$37:$G$89,7,0),Patterns!$A$2:$N$28,COLUMN(R59)-14,0)/VLOOKUP(VLOOKUP($A59,'IP1'!$A$37:$G$89,7,0),Patterns!$A$2:$N$28,2,0),IF(LEFT($D59,7)="Payroll",SUMPRODUCT(($B59='IP1'!$B$96:$B$114)*('IP1'!$E$96:$E$114))/12,SUMPRODUCT(($B59='IP1'!$B$96:$B$114)*('IP1'!$E$96:$E$114))/12*'IP1'!$F$154))</f>
        <v>200</v>
      </c>
      <c r="S59" s="85">
        <f>IF(LEFT($D59,5)="Other",VLOOKUP($A59,'IP1'!$A$37:$G$89,5,0)*VLOOKUP(VLOOKUP($A59,'IP1'!$A$37:$G$89,7,0),Patterns!$A$2:$N$28,COLUMN(S59)-14,0)/VLOOKUP(VLOOKUP($A59,'IP1'!$A$37:$G$89,7,0),Patterns!$A$2:$N$28,2,0),IF(LEFT($D59,7)="Payroll",SUMPRODUCT(($B59='IP1'!$B$96:$B$114)*('IP1'!$E$96:$E$114))/12,SUMPRODUCT(($B59='IP1'!$B$96:$B$114)*('IP1'!$E$96:$E$114))/12*'IP1'!$F$154))</f>
        <v>600</v>
      </c>
      <c r="T59" s="85">
        <f>IF(LEFT($D59,5)="Other",VLOOKUP($A59,'IP1'!$A$37:$G$89,5,0)*VLOOKUP(VLOOKUP($A59,'IP1'!$A$37:$G$89,7,0),Patterns!$A$2:$N$28,COLUMN(T59)-14,0)/VLOOKUP(VLOOKUP($A59,'IP1'!$A$37:$G$89,7,0),Patterns!$A$2:$N$28,2,0),IF(LEFT($D59,7)="Payroll",SUMPRODUCT(($B59='IP1'!$B$96:$B$114)*('IP1'!$E$96:$E$114))/12,SUMPRODUCT(($B59='IP1'!$B$96:$B$114)*('IP1'!$E$96:$E$114))/12*'IP1'!$F$154))</f>
        <v>600</v>
      </c>
      <c r="U59" s="85">
        <f>IF(LEFT($D59,5)="Other",VLOOKUP($A59,'IP1'!$A$37:$G$89,5,0)*VLOOKUP(VLOOKUP($A59,'IP1'!$A$37:$G$89,7,0),Patterns!$A$2:$N$28,COLUMN(U59)-14,0)/VLOOKUP(VLOOKUP($A59,'IP1'!$A$37:$G$89,7,0),Patterns!$A$2:$N$28,2,0),IF(LEFT($D59,7)="Payroll",SUMPRODUCT(($B59='IP1'!$B$96:$B$114)*('IP1'!$E$96:$E$114))/12,SUMPRODUCT(($B59='IP1'!$B$96:$B$114)*('IP1'!$E$96:$E$114))/12*'IP1'!$F$154))</f>
        <v>1200</v>
      </c>
      <c r="V59" s="85">
        <f>IF(LEFT($D59,5)="Other",VLOOKUP($A59,'IP1'!$A$37:$G$89,5,0)*VLOOKUP(VLOOKUP($A59,'IP1'!$A$37:$G$89,7,0),Patterns!$A$2:$N$28,COLUMN(V59)-14,0)/VLOOKUP(VLOOKUP($A59,'IP1'!$A$37:$G$89,7,0),Patterns!$A$2:$N$28,2,0),IF(LEFT($D59,7)="Payroll",SUMPRODUCT(($B59='IP1'!$B$96:$B$114)*('IP1'!$E$96:$E$114))/12,SUMPRODUCT(($B59='IP1'!$B$96:$B$114)*('IP1'!$E$96:$E$114))/12*'IP1'!$F$154))</f>
        <v>1200</v>
      </c>
      <c r="W59" s="85">
        <f>IF(LEFT($D59,5)="Other",VLOOKUP($A59,'IP1'!$A$37:$G$89,5,0)*VLOOKUP(VLOOKUP($A59,'IP1'!$A$37:$G$89,7,0),Patterns!$A$2:$N$28,COLUMN(W59)-14,0)/VLOOKUP(VLOOKUP($A59,'IP1'!$A$37:$G$89,7,0),Patterns!$A$2:$N$28,2,0),IF(LEFT($D59,7)="Payroll",SUMPRODUCT(($B59='IP1'!$B$96:$B$114)*('IP1'!$E$96:$E$114))/12,SUMPRODUCT(($B59='IP1'!$B$96:$B$114)*('IP1'!$E$96:$E$114))/12*'IP1'!$F$154))</f>
        <v>1200</v>
      </c>
      <c r="X59" s="85">
        <f>IF(LEFT($D59,5)="Other",VLOOKUP($A59,'IP1'!$A$37:$G$89,5,0)*VLOOKUP(VLOOKUP($A59,'IP1'!$A$37:$G$89,7,0),Patterns!$A$2:$N$28,COLUMN(X59)-14,0)/VLOOKUP(VLOOKUP($A59,'IP1'!$A$37:$G$89,7,0),Patterns!$A$2:$N$28,2,0),IF(LEFT($D59,7)="Payroll",SUMPRODUCT(($B59='IP1'!$B$96:$B$114)*('IP1'!$E$96:$E$114))/12,SUMPRODUCT(($B59='IP1'!$B$96:$B$114)*('IP1'!$E$96:$E$114))/12*'IP1'!$F$154))</f>
        <v>1200</v>
      </c>
      <c r="Y59" s="85">
        <f>IF(LEFT($D59,5)="Other",VLOOKUP($A59,'IP1'!$A$37:$G$89,5,0)*VLOOKUP(VLOOKUP($A59,'IP1'!$A$37:$G$89,7,0),Patterns!$A$2:$N$28,COLUMN(Y59)-14,0)/VLOOKUP(VLOOKUP($A59,'IP1'!$A$37:$G$89,7,0),Patterns!$A$2:$N$28,2,0),IF(LEFT($D59,7)="Payroll",SUMPRODUCT(($B59='IP1'!$B$96:$B$114)*('IP1'!$E$96:$E$114))/12,SUMPRODUCT(($B59='IP1'!$B$96:$B$114)*('IP1'!$E$96:$E$114))/12*'IP1'!$F$154))</f>
        <v>1200</v>
      </c>
      <c r="Z59" s="85">
        <f>IF(LEFT($D59,5)="Other",VLOOKUP($A59,'IP1'!$A$37:$G$89,5,0)*VLOOKUP(VLOOKUP($A59,'IP1'!$A$37:$G$89,7,0),Patterns!$A$2:$N$28,COLUMN(Z59)-14,0)/VLOOKUP(VLOOKUP($A59,'IP1'!$A$37:$G$89,7,0),Patterns!$A$2:$N$28,2,0),IF(LEFT($D59,7)="Payroll",SUMPRODUCT(($B59='IP1'!$B$96:$B$114)*('IP1'!$E$96:$E$114))/12,SUMPRODUCT(($B59='IP1'!$B$96:$B$114)*('IP1'!$E$96:$E$114))/12*'IP1'!$F$154))</f>
        <v>1200</v>
      </c>
      <c r="AA59" s="85">
        <f>IF(LEFT($D59,5)="Other",VLOOKUP($A59,'IP1'!$A$37:$G$89,5,0)*VLOOKUP(VLOOKUP($A59,'IP1'!$A$37:$G$89,7,0),Patterns!$A$2:$N$28,COLUMN(AA59)-14,0)/VLOOKUP(VLOOKUP($A59,'IP1'!$A$37:$G$89,7,0),Patterns!$A$2:$N$28,2,0),IF(LEFT($D59,7)="Payroll",SUMPRODUCT(($B59='IP1'!$B$96:$B$114)*('IP1'!$E$96:$E$114))/12,SUMPRODUCT(($B59='IP1'!$B$96:$B$114)*('IP1'!$E$96:$E$114))/12*'IP1'!$F$154))</f>
        <v>200</v>
      </c>
      <c r="AB59" s="85">
        <f>IF(LEFT($D59,5)="Other",VLOOKUP($A59,'IP1'!$A$37:$G$89,5,0)*VLOOKUP(VLOOKUP($A59,'IP1'!$A$37:$G$89,7,0),Patterns!$A$2:$N$28,COLUMN(AB59)-14,0)/VLOOKUP(VLOOKUP($A59,'IP1'!$A$37:$G$89,7,0),Patterns!$A$2:$N$28,2,0),IF(LEFT($D59,7)="Payroll",SUMPRODUCT(($B59='IP1'!$B$96:$B$114)*('IP1'!$E$96:$E$114))/12,SUMPRODUCT(($B59='IP1'!$B$96:$B$114)*('IP1'!$E$96:$E$114))/12*'IP1'!$F$154))</f>
        <v>1000</v>
      </c>
    </row>
    <row r="60" spans="1:28">
      <c r="A60" s="1" t="str">
        <f t="shared" si="2"/>
        <v xml:space="preserve">Rooms / Rest. / EventsLicenses </v>
      </c>
      <c r="B60" s="1" t="s">
        <v>480</v>
      </c>
      <c r="C60" s="1" t="s">
        <v>483</v>
      </c>
      <c r="D60" s="11" t="s">
        <v>100</v>
      </c>
      <c r="E60" s="85">
        <f>IF(LEFT($D60,5)="Other",
VLOOKUP($A60,'IP1'!$A$37:$G$89,4,0)*
VLOOKUP(
VLOOKUP($A60,'IP1'!$A$37:$G$89,7,0),Patterns!$A$2:$N$28,COLUMN(E60)-2,0)/
VLOOKUP(
VLOOKUP($A60,'IP1'!$A$37:$G$89,7,0),Patterns!$A$2:$N$28,2,0),
IF(LEFT($D60,7)="Payroll",
SUMPRODUCT(($B60='IP1'!$B$96:$B$114)*('IP1'!$D$96:$D$114))/12,
SUMPRODUCT(($B60='IP1'!$B$96:$B$114)*('IP1'!$D$96:$D$114))/12*'IP1'!$F$154))</f>
        <v>20</v>
      </c>
      <c r="F60" s="85">
        <f>IF(LEFT($D60,5)="Other",VLOOKUP($A60,'IP1'!$A$37:$G$89,4,0)*VLOOKUP(VLOOKUP($A60,'IP1'!$A$37:$G$89,7,0),Patterns!$A$2:$N$28,COLUMN(F60)-2,0)/VLOOKUP(VLOOKUP($A60,'IP1'!$A$37:$G$89,7,0),Patterns!$A$2:$N$28,2,0),IF(LEFT($D60,7)="Payroll",SUMPRODUCT(($B60='IP1'!$B$96:$B$114)*('IP1'!$D$96:$D$114))/12,SUMPRODUCT(($B60='IP1'!$B$96:$B$114)*('IP1'!$D$96:$D$114))/12*'IP1'!$F$154))</f>
        <v>20</v>
      </c>
      <c r="G60" s="85">
        <f>IF(LEFT($D60,5)="Other",VLOOKUP($A60,'IP1'!$A$37:$G$89,4,0)*VLOOKUP(VLOOKUP($A60,'IP1'!$A$37:$G$89,7,0),Patterns!$A$2:$N$28,COLUMN(G60)-2,0)/VLOOKUP(VLOOKUP($A60,'IP1'!$A$37:$G$89,7,0),Patterns!$A$2:$N$28,2,0),IF(LEFT($D60,7)="Payroll",SUMPRODUCT(($B60='IP1'!$B$96:$B$114)*('IP1'!$D$96:$D$114))/12,SUMPRODUCT(($B60='IP1'!$B$96:$B$114)*('IP1'!$D$96:$D$114))/12*'IP1'!$F$154))</f>
        <v>60</v>
      </c>
      <c r="H60" s="85">
        <f>IF(LEFT($D60,5)="Other",VLOOKUP($A60,'IP1'!$A$37:$G$89,4,0)*VLOOKUP(VLOOKUP($A60,'IP1'!$A$37:$G$89,7,0),Patterns!$A$2:$N$28,COLUMN(H60)-2,0)/VLOOKUP(VLOOKUP($A60,'IP1'!$A$37:$G$89,7,0),Patterns!$A$2:$N$28,2,0),IF(LEFT($D60,7)="Payroll",SUMPRODUCT(($B60='IP1'!$B$96:$B$114)*('IP1'!$D$96:$D$114))/12,SUMPRODUCT(($B60='IP1'!$B$96:$B$114)*('IP1'!$D$96:$D$114))/12*'IP1'!$F$154))</f>
        <v>60</v>
      </c>
      <c r="I60" s="85">
        <f>IF(LEFT($D60,5)="Other",VLOOKUP($A60,'IP1'!$A$37:$G$89,4,0)*VLOOKUP(VLOOKUP($A60,'IP1'!$A$37:$G$89,7,0),Patterns!$A$2:$N$28,COLUMN(I60)-2,0)/VLOOKUP(VLOOKUP($A60,'IP1'!$A$37:$G$89,7,0),Patterns!$A$2:$N$28,2,0),IF(LEFT($D60,7)="Payroll",SUMPRODUCT(($B60='IP1'!$B$96:$B$114)*('IP1'!$D$96:$D$114))/12,SUMPRODUCT(($B60='IP1'!$B$96:$B$114)*('IP1'!$D$96:$D$114))/12*'IP1'!$F$154))</f>
        <v>120</v>
      </c>
      <c r="J60" s="85">
        <f>IF(LEFT($D60,5)="Other",VLOOKUP($A60,'IP1'!$A$37:$G$89,4,0)*VLOOKUP(VLOOKUP($A60,'IP1'!$A$37:$G$89,7,0),Patterns!$A$2:$N$28,COLUMN(J60)-2,0)/VLOOKUP(VLOOKUP($A60,'IP1'!$A$37:$G$89,7,0),Patterns!$A$2:$N$28,2,0),IF(LEFT($D60,7)="Payroll",SUMPRODUCT(($B60='IP1'!$B$96:$B$114)*('IP1'!$D$96:$D$114))/12,SUMPRODUCT(($B60='IP1'!$B$96:$B$114)*('IP1'!$D$96:$D$114))/12*'IP1'!$F$154))</f>
        <v>120</v>
      </c>
      <c r="K60" s="85">
        <f>IF(LEFT($D60,5)="Other",VLOOKUP($A60,'IP1'!$A$37:$G$89,4,0)*VLOOKUP(VLOOKUP($A60,'IP1'!$A$37:$G$89,7,0),Patterns!$A$2:$N$28,COLUMN(K60)-2,0)/VLOOKUP(VLOOKUP($A60,'IP1'!$A$37:$G$89,7,0),Patterns!$A$2:$N$28,2,0),IF(LEFT($D60,7)="Payroll",SUMPRODUCT(($B60='IP1'!$B$96:$B$114)*('IP1'!$D$96:$D$114))/12,SUMPRODUCT(($B60='IP1'!$B$96:$B$114)*('IP1'!$D$96:$D$114))/12*'IP1'!$F$154))</f>
        <v>120</v>
      </c>
      <c r="L60" s="85">
        <f>IF(LEFT($D60,5)="Other",VLOOKUP($A60,'IP1'!$A$37:$G$89,4,0)*VLOOKUP(VLOOKUP($A60,'IP1'!$A$37:$G$89,7,0),Patterns!$A$2:$N$28,COLUMN(L60)-2,0)/VLOOKUP(VLOOKUP($A60,'IP1'!$A$37:$G$89,7,0),Patterns!$A$2:$N$28,2,0),IF(LEFT($D60,7)="Payroll",SUMPRODUCT(($B60='IP1'!$B$96:$B$114)*('IP1'!$D$96:$D$114))/12,SUMPRODUCT(($B60='IP1'!$B$96:$B$114)*('IP1'!$D$96:$D$114))/12*'IP1'!$F$154))</f>
        <v>120</v>
      </c>
      <c r="M60" s="85">
        <f>IF(LEFT($D60,5)="Other",VLOOKUP($A60,'IP1'!$A$37:$G$89,4,0)*VLOOKUP(VLOOKUP($A60,'IP1'!$A$37:$G$89,7,0),Patterns!$A$2:$N$28,COLUMN(M60)-2,0)/VLOOKUP(VLOOKUP($A60,'IP1'!$A$37:$G$89,7,0),Patterns!$A$2:$N$28,2,0),IF(LEFT($D60,7)="Payroll",SUMPRODUCT(($B60='IP1'!$B$96:$B$114)*('IP1'!$D$96:$D$114))/12,SUMPRODUCT(($B60='IP1'!$B$96:$B$114)*('IP1'!$D$96:$D$114))/12*'IP1'!$F$154))</f>
        <v>120</v>
      </c>
      <c r="N60" s="85">
        <f>IF(LEFT($D60,5)="Other",VLOOKUP($A60,'IP1'!$A$37:$G$89,4,0)*VLOOKUP(VLOOKUP($A60,'IP1'!$A$37:$G$89,7,0),Patterns!$A$2:$N$28,COLUMN(N60)-2,0)/VLOOKUP(VLOOKUP($A60,'IP1'!$A$37:$G$89,7,0),Patterns!$A$2:$N$28,2,0),IF(LEFT($D60,7)="Payroll",SUMPRODUCT(($B60='IP1'!$B$96:$B$114)*('IP1'!$D$96:$D$114))/12,SUMPRODUCT(($B60='IP1'!$B$96:$B$114)*('IP1'!$D$96:$D$114))/12*'IP1'!$F$154))</f>
        <v>120</v>
      </c>
      <c r="O60" s="85">
        <f>IF(LEFT($D60,5)="Other",VLOOKUP($A60,'IP1'!$A$37:$G$89,4,0)*VLOOKUP(VLOOKUP($A60,'IP1'!$A$37:$G$89,7,0),Patterns!$A$2:$N$28,COLUMN(O60)-2,0)/VLOOKUP(VLOOKUP($A60,'IP1'!$A$37:$G$89,7,0),Patterns!$A$2:$N$28,2,0),IF(LEFT($D60,7)="Payroll",SUMPRODUCT(($B60='IP1'!$B$96:$B$114)*('IP1'!$D$96:$D$114))/12,SUMPRODUCT(($B60='IP1'!$B$96:$B$114)*('IP1'!$D$96:$D$114))/12*'IP1'!$F$154))</f>
        <v>20</v>
      </c>
      <c r="P60" s="85">
        <f>IF(LEFT($D60,5)="Other",VLOOKUP($A60,'IP1'!$A$37:$G$89,4,0)*VLOOKUP(VLOOKUP($A60,'IP1'!$A$37:$G$89,7,0),Patterns!$A$2:$N$28,COLUMN(P60)-2,0)/VLOOKUP(VLOOKUP($A60,'IP1'!$A$37:$G$89,7,0),Patterns!$A$2:$N$28,2,0),IF(LEFT($D60,7)="Payroll",SUMPRODUCT(($B60='IP1'!$B$96:$B$114)*('IP1'!$D$96:$D$114))/12,SUMPRODUCT(($B60='IP1'!$B$96:$B$114)*('IP1'!$D$96:$D$114))/12*'IP1'!$F$154))</f>
        <v>100</v>
      </c>
      <c r="Q60" s="85">
        <f>IF(LEFT($D60,5)="Other",VLOOKUP($A60,'IP1'!$A$37:$G$89,5,0)*VLOOKUP(VLOOKUP($A60,'IP1'!$A$37:$G$89,7,0),Patterns!$A$2:$N$28,COLUMN(Q60)-14,0)/VLOOKUP(VLOOKUP($A60,'IP1'!$A$37:$G$89,7,0),Patterns!$A$2:$N$28,2,0),IF(LEFT($D60,7)="Payroll",SUMPRODUCT(($B60='IP1'!$B$96:$B$114)*('IP1'!$E$96:$E$114))/12,SUMPRODUCT(($B60='IP1'!$B$96:$B$114)*('IP1'!$E$96:$E$114))/12*'IP1'!$F$154))</f>
        <v>20</v>
      </c>
      <c r="R60" s="85">
        <f>IF(LEFT($D60,5)="Other",VLOOKUP($A60,'IP1'!$A$37:$G$89,5,0)*VLOOKUP(VLOOKUP($A60,'IP1'!$A$37:$G$89,7,0),Patterns!$A$2:$N$28,COLUMN(R60)-14,0)/VLOOKUP(VLOOKUP($A60,'IP1'!$A$37:$G$89,7,0),Patterns!$A$2:$N$28,2,0),IF(LEFT($D60,7)="Payroll",SUMPRODUCT(($B60='IP1'!$B$96:$B$114)*('IP1'!$E$96:$E$114))/12,SUMPRODUCT(($B60='IP1'!$B$96:$B$114)*('IP1'!$E$96:$E$114))/12*'IP1'!$F$154))</f>
        <v>20</v>
      </c>
      <c r="S60" s="85">
        <f>IF(LEFT($D60,5)="Other",VLOOKUP($A60,'IP1'!$A$37:$G$89,5,0)*VLOOKUP(VLOOKUP($A60,'IP1'!$A$37:$G$89,7,0),Patterns!$A$2:$N$28,COLUMN(S60)-14,0)/VLOOKUP(VLOOKUP($A60,'IP1'!$A$37:$G$89,7,0),Patterns!$A$2:$N$28,2,0),IF(LEFT($D60,7)="Payroll",SUMPRODUCT(($B60='IP1'!$B$96:$B$114)*('IP1'!$E$96:$E$114))/12,SUMPRODUCT(($B60='IP1'!$B$96:$B$114)*('IP1'!$E$96:$E$114))/12*'IP1'!$F$154))</f>
        <v>60</v>
      </c>
      <c r="T60" s="85">
        <f>IF(LEFT($D60,5)="Other",VLOOKUP($A60,'IP1'!$A$37:$G$89,5,0)*VLOOKUP(VLOOKUP($A60,'IP1'!$A$37:$G$89,7,0),Patterns!$A$2:$N$28,COLUMN(T60)-14,0)/VLOOKUP(VLOOKUP($A60,'IP1'!$A$37:$G$89,7,0),Patterns!$A$2:$N$28,2,0),IF(LEFT($D60,7)="Payroll",SUMPRODUCT(($B60='IP1'!$B$96:$B$114)*('IP1'!$E$96:$E$114))/12,SUMPRODUCT(($B60='IP1'!$B$96:$B$114)*('IP1'!$E$96:$E$114))/12*'IP1'!$F$154))</f>
        <v>60</v>
      </c>
      <c r="U60" s="85">
        <f>IF(LEFT($D60,5)="Other",VLOOKUP($A60,'IP1'!$A$37:$G$89,5,0)*VLOOKUP(VLOOKUP($A60,'IP1'!$A$37:$G$89,7,0),Patterns!$A$2:$N$28,COLUMN(U60)-14,0)/VLOOKUP(VLOOKUP($A60,'IP1'!$A$37:$G$89,7,0),Patterns!$A$2:$N$28,2,0),IF(LEFT($D60,7)="Payroll",SUMPRODUCT(($B60='IP1'!$B$96:$B$114)*('IP1'!$E$96:$E$114))/12,SUMPRODUCT(($B60='IP1'!$B$96:$B$114)*('IP1'!$E$96:$E$114))/12*'IP1'!$F$154))</f>
        <v>120</v>
      </c>
      <c r="V60" s="85">
        <f>IF(LEFT($D60,5)="Other",VLOOKUP($A60,'IP1'!$A$37:$G$89,5,0)*VLOOKUP(VLOOKUP($A60,'IP1'!$A$37:$G$89,7,0),Patterns!$A$2:$N$28,COLUMN(V60)-14,0)/VLOOKUP(VLOOKUP($A60,'IP1'!$A$37:$G$89,7,0),Patterns!$A$2:$N$28,2,0),IF(LEFT($D60,7)="Payroll",SUMPRODUCT(($B60='IP1'!$B$96:$B$114)*('IP1'!$E$96:$E$114))/12,SUMPRODUCT(($B60='IP1'!$B$96:$B$114)*('IP1'!$E$96:$E$114))/12*'IP1'!$F$154))</f>
        <v>120</v>
      </c>
      <c r="W60" s="85">
        <f>IF(LEFT($D60,5)="Other",VLOOKUP($A60,'IP1'!$A$37:$G$89,5,0)*VLOOKUP(VLOOKUP($A60,'IP1'!$A$37:$G$89,7,0),Patterns!$A$2:$N$28,COLUMN(W60)-14,0)/VLOOKUP(VLOOKUP($A60,'IP1'!$A$37:$G$89,7,0),Patterns!$A$2:$N$28,2,0),IF(LEFT($D60,7)="Payroll",SUMPRODUCT(($B60='IP1'!$B$96:$B$114)*('IP1'!$E$96:$E$114))/12,SUMPRODUCT(($B60='IP1'!$B$96:$B$114)*('IP1'!$E$96:$E$114))/12*'IP1'!$F$154))</f>
        <v>120</v>
      </c>
      <c r="X60" s="85">
        <f>IF(LEFT($D60,5)="Other",VLOOKUP($A60,'IP1'!$A$37:$G$89,5,0)*VLOOKUP(VLOOKUP($A60,'IP1'!$A$37:$G$89,7,0),Patterns!$A$2:$N$28,COLUMN(X60)-14,0)/VLOOKUP(VLOOKUP($A60,'IP1'!$A$37:$G$89,7,0),Patterns!$A$2:$N$28,2,0),IF(LEFT($D60,7)="Payroll",SUMPRODUCT(($B60='IP1'!$B$96:$B$114)*('IP1'!$E$96:$E$114))/12,SUMPRODUCT(($B60='IP1'!$B$96:$B$114)*('IP1'!$E$96:$E$114))/12*'IP1'!$F$154))</f>
        <v>120</v>
      </c>
      <c r="Y60" s="85">
        <f>IF(LEFT($D60,5)="Other",VLOOKUP($A60,'IP1'!$A$37:$G$89,5,0)*VLOOKUP(VLOOKUP($A60,'IP1'!$A$37:$G$89,7,0),Patterns!$A$2:$N$28,COLUMN(Y60)-14,0)/VLOOKUP(VLOOKUP($A60,'IP1'!$A$37:$G$89,7,0),Patterns!$A$2:$N$28,2,0),IF(LEFT($D60,7)="Payroll",SUMPRODUCT(($B60='IP1'!$B$96:$B$114)*('IP1'!$E$96:$E$114))/12,SUMPRODUCT(($B60='IP1'!$B$96:$B$114)*('IP1'!$E$96:$E$114))/12*'IP1'!$F$154))</f>
        <v>120</v>
      </c>
      <c r="Z60" s="85">
        <f>IF(LEFT($D60,5)="Other",VLOOKUP($A60,'IP1'!$A$37:$G$89,5,0)*VLOOKUP(VLOOKUP($A60,'IP1'!$A$37:$G$89,7,0),Patterns!$A$2:$N$28,COLUMN(Z60)-14,0)/VLOOKUP(VLOOKUP($A60,'IP1'!$A$37:$G$89,7,0),Patterns!$A$2:$N$28,2,0),IF(LEFT($D60,7)="Payroll",SUMPRODUCT(($B60='IP1'!$B$96:$B$114)*('IP1'!$E$96:$E$114))/12,SUMPRODUCT(($B60='IP1'!$B$96:$B$114)*('IP1'!$E$96:$E$114))/12*'IP1'!$F$154))</f>
        <v>120</v>
      </c>
      <c r="AA60" s="85">
        <f>IF(LEFT($D60,5)="Other",VLOOKUP($A60,'IP1'!$A$37:$G$89,5,0)*VLOOKUP(VLOOKUP($A60,'IP1'!$A$37:$G$89,7,0),Patterns!$A$2:$N$28,COLUMN(AA60)-14,0)/VLOOKUP(VLOOKUP($A60,'IP1'!$A$37:$G$89,7,0),Patterns!$A$2:$N$28,2,0),IF(LEFT($D60,7)="Payroll",SUMPRODUCT(($B60='IP1'!$B$96:$B$114)*('IP1'!$E$96:$E$114))/12,SUMPRODUCT(($B60='IP1'!$B$96:$B$114)*('IP1'!$E$96:$E$114))/12*'IP1'!$F$154))</f>
        <v>20</v>
      </c>
      <c r="AB60" s="85">
        <f>IF(LEFT($D60,5)="Other",VLOOKUP($A60,'IP1'!$A$37:$G$89,5,0)*VLOOKUP(VLOOKUP($A60,'IP1'!$A$37:$G$89,7,0),Patterns!$A$2:$N$28,COLUMN(AB60)-14,0)/VLOOKUP(VLOOKUP($A60,'IP1'!$A$37:$G$89,7,0),Patterns!$A$2:$N$28,2,0),IF(LEFT($D60,7)="Payroll",SUMPRODUCT(($B60='IP1'!$B$96:$B$114)*('IP1'!$E$96:$E$114))/12,SUMPRODUCT(($B60='IP1'!$B$96:$B$114)*('IP1'!$E$96:$E$114))/12*'IP1'!$F$154))</f>
        <v>100</v>
      </c>
    </row>
    <row r="61" spans="1:28">
      <c r="A61" s="1" t="str">
        <f t="shared" si="2"/>
        <v xml:space="preserve">Rooms / Rest. / EventsLinen </v>
      </c>
      <c r="B61" s="1" t="s">
        <v>480</v>
      </c>
      <c r="C61" s="1" t="s">
        <v>484</v>
      </c>
      <c r="D61" s="11" t="s">
        <v>100</v>
      </c>
      <c r="E61" s="85">
        <f>IF(LEFT($D61,5)="Other",
VLOOKUP($A61,'IP1'!$A$37:$G$89,4,0)*
VLOOKUP(
VLOOKUP($A61,'IP1'!$A$37:$G$89,7,0),Patterns!$A$2:$N$28,COLUMN(E61)-2,0)/
VLOOKUP(
VLOOKUP($A61,'IP1'!$A$37:$G$89,7,0),Patterns!$A$2:$N$28,2,0),
IF(LEFT($D61,7)="Payroll",
SUMPRODUCT(($B61='IP1'!$B$96:$B$114)*('IP1'!$D$96:$D$114))/12,
SUMPRODUCT(($B61='IP1'!$B$96:$B$114)*('IP1'!$D$96:$D$114))/12*'IP1'!$F$154))</f>
        <v>100</v>
      </c>
      <c r="F61" s="85">
        <f>IF(LEFT($D61,5)="Other",VLOOKUP($A61,'IP1'!$A$37:$G$89,4,0)*VLOOKUP(VLOOKUP($A61,'IP1'!$A$37:$G$89,7,0),Patterns!$A$2:$N$28,COLUMN(F61)-2,0)/VLOOKUP(VLOOKUP($A61,'IP1'!$A$37:$G$89,7,0),Patterns!$A$2:$N$28,2,0),IF(LEFT($D61,7)="Payroll",SUMPRODUCT(($B61='IP1'!$B$96:$B$114)*('IP1'!$D$96:$D$114))/12,SUMPRODUCT(($B61='IP1'!$B$96:$B$114)*('IP1'!$D$96:$D$114))/12*'IP1'!$F$154))</f>
        <v>100</v>
      </c>
      <c r="G61" s="85">
        <f>IF(LEFT($D61,5)="Other",VLOOKUP($A61,'IP1'!$A$37:$G$89,4,0)*VLOOKUP(VLOOKUP($A61,'IP1'!$A$37:$G$89,7,0),Patterns!$A$2:$N$28,COLUMN(G61)-2,0)/VLOOKUP(VLOOKUP($A61,'IP1'!$A$37:$G$89,7,0),Patterns!$A$2:$N$28,2,0),IF(LEFT($D61,7)="Payroll",SUMPRODUCT(($B61='IP1'!$B$96:$B$114)*('IP1'!$D$96:$D$114))/12,SUMPRODUCT(($B61='IP1'!$B$96:$B$114)*('IP1'!$D$96:$D$114))/12*'IP1'!$F$154))</f>
        <v>300</v>
      </c>
      <c r="H61" s="85">
        <f>IF(LEFT($D61,5)="Other",VLOOKUP($A61,'IP1'!$A$37:$G$89,4,0)*VLOOKUP(VLOOKUP($A61,'IP1'!$A$37:$G$89,7,0),Patterns!$A$2:$N$28,COLUMN(H61)-2,0)/VLOOKUP(VLOOKUP($A61,'IP1'!$A$37:$G$89,7,0),Patterns!$A$2:$N$28,2,0),IF(LEFT($D61,7)="Payroll",SUMPRODUCT(($B61='IP1'!$B$96:$B$114)*('IP1'!$D$96:$D$114))/12,SUMPRODUCT(($B61='IP1'!$B$96:$B$114)*('IP1'!$D$96:$D$114))/12*'IP1'!$F$154))</f>
        <v>300</v>
      </c>
      <c r="I61" s="85">
        <f>IF(LEFT($D61,5)="Other",VLOOKUP($A61,'IP1'!$A$37:$G$89,4,0)*VLOOKUP(VLOOKUP($A61,'IP1'!$A$37:$G$89,7,0),Patterns!$A$2:$N$28,COLUMN(I61)-2,0)/VLOOKUP(VLOOKUP($A61,'IP1'!$A$37:$G$89,7,0),Patterns!$A$2:$N$28,2,0),IF(LEFT($D61,7)="Payroll",SUMPRODUCT(($B61='IP1'!$B$96:$B$114)*('IP1'!$D$96:$D$114))/12,SUMPRODUCT(($B61='IP1'!$B$96:$B$114)*('IP1'!$D$96:$D$114))/12*'IP1'!$F$154))</f>
        <v>600</v>
      </c>
      <c r="J61" s="85">
        <f>IF(LEFT($D61,5)="Other",VLOOKUP($A61,'IP1'!$A$37:$G$89,4,0)*VLOOKUP(VLOOKUP($A61,'IP1'!$A$37:$G$89,7,0),Patterns!$A$2:$N$28,COLUMN(J61)-2,0)/VLOOKUP(VLOOKUP($A61,'IP1'!$A$37:$G$89,7,0),Patterns!$A$2:$N$28,2,0),IF(LEFT($D61,7)="Payroll",SUMPRODUCT(($B61='IP1'!$B$96:$B$114)*('IP1'!$D$96:$D$114))/12,SUMPRODUCT(($B61='IP1'!$B$96:$B$114)*('IP1'!$D$96:$D$114))/12*'IP1'!$F$154))</f>
        <v>600</v>
      </c>
      <c r="K61" s="85">
        <f>IF(LEFT($D61,5)="Other",VLOOKUP($A61,'IP1'!$A$37:$G$89,4,0)*VLOOKUP(VLOOKUP($A61,'IP1'!$A$37:$G$89,7,0),Patterns!$A$2:$N$28,COLUMN(K61)-2,0)/VLOOKUP(VLOOKUP($A61,'IP1'!$A$37:$G$89,7,0),Patterns!$A$2:$N$28,2,0),IF(LEFT($D61,7)="Payroll",SUMPRODUCT(($B61='IP1'!$B$96:$B$114)*('IP1'!$D$96:$D$114))/12,SUMPRODUCT(($B61='IP1'!$B$96:$B$114)*('IP1'!$D$96:$D$114))/12*'IP1'!$F$154))</f>
        <v>600</v>
      </c>
      <c r="L61" s="85">
        <f>IF(LEFT($D61,5)="Other",VLOOKUP($A61,'IP1'!$A$37:$G$89,4,0)*VLOOKUP(VLOOKUP($A61,'IP1'!$A$37:$G$89,7,0),Patterns!$A$2:$N$28,COLUMN(L61)-2,0)/VLOOKUP(VLOOKUP($A61,'IP1'!$A$37:$G$89,7,0),Patterns!$A$2:$N$28,2,0),IF(LEFT($D61,7)="Payroll",SUMPRODUCT(($B61='IP1'!$B$96:$B$114)*('IP1'!$D$96:$D$114))/12,SUMPRODUCT(($B61='IP1'!$B$96:$B$114)*('IP1'!$D$96:$D$114))/12*'IP1'!$F$154))</f>
        <v>600</v>
      </c>
      <c r="M61" s="85">
        <f>IF(LEFT($D61,5)="Other",VLOOKUP($A61,'IP1'!$A$37:$G$89,4,0)*VLOOKUP(VLOOKUP($A61,'IP1'!$A$37:$G$89,7,0),Patterns!$A$2:$N$28,COLUMN(M61)-2,0)/VLOOKUP(VLOOKUP($A61,'IP1'!$A$37:$G$89,7,0),Patterns!$A$2:$N$28,2,0),IF(LEFT($D61,7)="Payroll",SUMPRODUCT(($B61='IP1'!$B$96:$B$114)*('IP1'!$D$96:$D$114))/12,SUMPRODUCT(($B61='IP1'!$B$96:$B$114)*('IP1'!$D$96:$D$114))/12*'IP1'!$F$154))</f>
        <v>600</v>
      </c>
      <c r="N61" s="85">
        <f>IF(LEFT($D61,5)="Other",VLOOKUP($A61,'IP1'!$A$37:$G$89,4,0)*VLOOKUP(VLOOKUP($A61,'IP1'!$A$37:$G$89,7,0),Patterns!$A$2:$N$28,COLUMN(N61)-2,0)/VLOOKUP(VLOOKUP($A61,'IP1'!$A$37:$G$89,7,0),Patterns!$A$2:$N$28,2,0),IF(LEFT($D61,7)="Payroll",SUMPRODUCT(($B61='IP1'!$B$96:$B$114)*('IP1'!$D$96:$D$114))/12,SUMPRODUCT(($B61='IP1'!$B$96:$B$114)*('IP1'!$D$96:$D$114))/12*'IP1'!$F$154))</f>
        <v>600</v>
      </c>
      <c r="O61" s="85">
        <f>IF(LEFT($D61,5)="Other",VLOOKUP($A61,'IP1'!$A$37:$G$89,4,0)*VLOOKUP(VLOOKUP($A61,'IP1'!$A$37:$G$89,7,0),Patterns!$A$2:$N$28,COLUMN(O61)-2,0)/VLOOKUP(VLOOKUP($A61,'IP1'!$A$37:$G$89,7,0),Patterns!$A$2:$N$28,2,0),IF(LEFT($D61,7)="Payroll",SUMPRODUCT(($B61='IP1'!$B$96:$B$114)*('IP1'!$D$96:$D$114))/12,SUMPRODUCT(($B61='IP1'!$B$96:$B$114)*('IP1'!$D$96:$D$114))/12*'IP1'!$F$154))</f>
        <v>100</v>
      </c>
      <c r="P61" s="85">
        <f>IF(LEFT($D61,5)="Other",VLOOKUP($A61,'IP1'!$A$37:$G$89,4,0)*VLOOKUP(VLOOKUP($A61,'IP1'!$A$37:$G$89,7,0),Patterns!$A$2:$N$28,COLUMN(P61)-2,0)/VLOOKUP(VLOOKUP($A61,'IP1'!$A$37:$G$89,7,0),Patterns!$A$2:$N$28,2,0),IF(LEFT($D61,7)="Payroll",SUMPRODUCT(($B61='IP1'!$B$96:$B$114)*('IP1'!$D$96:$D$114))/12,SUMPRODUCT(($B61='IP1'!$B$96:$B$114)*('IP1'!$D$96:$D$114))/12*'IP1'!$F$154))</f>
        <v>500</v>
      </c>
      <c r="Q61" s="85">
        <f>IF(LEFT($D61,5)="Other",VLOOKUP($A61,'IP1'!$A$37:$G$89,5,0)*VLOOKUP(VLOOKUP($A61,'IP1'!$A$37:$G$89,7,0),Patterns!$A$2:$N$28,COLUMN(Q61)-14,0)/VLOOKUP(VLOOKUP($A61,'IP1'!$A$37:$G$89,7,0),Patterns!$A$2:$N$28,2,0),IF(LEFT($D61,7)="Payroll",SUMPRODUCT(($B61='IP1'!$B$96:$B$114)*('IP1'!$E$96:$E$114))/12,SUMPRODUCT(($B61='IP1'!$B$96:$B$114)*('IP1'!$E$96:$E$114))/12*'IP1'!$F$154))</f>
        <v>100</v>
      </c>
      <c r="R61" s="85">
        <f>IF(LEFT($D61,5)="Other",VLOOKUP($A61,'IP1'!$A$37:$G$89,5,0)*VLOOKUP(VLOOKUP($A61,'IP1'!$A$37:$G$89,7,0),Patterns!$A$2:$N$28,COLUMN(R61)-14,0)/VLOOKUP(VLOOKUP($A61,'IP1'!$A$37:$G$89,7,0),Patterns!$A$2:$N$28,2,0),IF(LEFT($D61,7)="Payroll",SUMPRODUCT(($B61='IP1'!$B$96:$B$114)*('IP1'!$E$96:$E$114))/12,SUMPRODUCT(($B61='IP1'!$B$96:$B$114)*('IP1'!$E$96:$E$114))/12*'IP1'!$F$154))</f>
        <v>100</v>
      </c>
      <c r="S61" s="85">
        <f>IF(LEFT($D61,5)="Other",VLOOKUP($A61,'IP1'!$A$37:$G$89,5,0)*VLOOKUP(VLOOKUP($A61,'IP1'!$A$37:$G$89,7,0),Patterns!$A$2:$N$28,COLUMN(S61)-14,0)/VLOOKUP(VLOOKUP($A61,'IP1'!$A$37:$G$89,7,0),Patterns!$A$2:$N$28,2,0),IF(LEFT($D61,7)="Payroll",SUMPRODUCT(($B61='IP1'!$B$96:$B$114)*('IP1'!$E$96:$E$114))/12,SUMPRODUCT(($B61='IP1'!$B$96:$B$114)*('IP1'!$E$96:$E$114))/12*'IP1'!$F$154))</f>
        <v>300</v>
      </c>
      <c r="T61" s="85">
        <f>IF(LEFT($D61,5)="Other",VLOOKUP($A61,'IP1'!$A$37:$G$89,5,0)*VLOOKUP(VLOOKUP($A61,'IP1'!$A$37:$G$89,7,0),Patterns!$A$2:$N$28,COLUMN(T61)-14,0)/VLOOKUP(VLOOKUP($A61,'IP1'!$A$37:$G$89,7,0),Patterns!$A$2:$N$28,2,0),IF(LEFT($D61,7)="Payroll",SUMPRODUCT(($B61='IP1'!$B$96:$B$114)*('IP1'!$E$96:$E$114))/12,SUMPRODUCT(($B61='IP1'!$B$96:$B$114)*('IP1'!$E$96:$E$114))/12*'IP1'!$F$154))</f>
        <v>300</v>
      </c>
      <c r="U61" s="85">
        <f>IF(LEFT($D61,5)="Other",VLOOKUP($A61,'IP1'!$A$37:$G$89,5,0)*VLOOKUP(VLOOKUP($A61,'IP1'!$A$37:$G$89,7,0),Patterns!$A$2:$N$28,COLUMN(U61)-14,0)/VLOOKUP(VLOOKUP($A61,'IP1'!$A$37:$G$89,7,0),Patterns!$A$2:$N$28,2,0),IF(LEFT($D61,7)="Payroll",SUMPRODUCT(($B61='IP1'!$B$96:$B$114)*('IP1'!$E$96:$E$114))/12,SUMPRODUCT(($B61='IP1'!$B$96:$B$114)*('IP1'!$E$96:$E$114))/12*'IP1'!$F$154))</f>
        <v>600</v>
      </c>
      <c r="V61" s="85">
        <f>IF(LEFT($D61,5)="Other",VLOOKUP($A61,'IP1'!$A$37:$G$89,5,0)*VLOOKUP(VLOOKUP($A61,'IP1'!$A$37:$G$89,7,0),Patterns!$A$2:$N$28,COLUMN(V61)-14,0)/VLOOKUP(VLOOKUP($A61,'IP1'!$A$37:$G$89,7,0),Patterns!$A$2:$N$28,2,0),IF(LEFT($D61,7)="Payroll",SUMPRODUCT(($B61='IP1'!$B$96:$B$114)*('IP1'!$E$96:$E$114))/12,SUMPRODUCT(($B61='IP1'!$B$96:$B$114)*('IP1'!$E$96:$E$114))/12*'IP1'!$F$154))</f>
        <v>600</v>
      </c>
      <c r="W61" s="85">
        <f>IF(LEFT($D61,5)="Other",VLOOKUP($A61,'IP1'!$A$37:$G$89,5,0)*VLOOKUP(VLOOKUP($A61,'IP1'!$A$37:$G$89,7,0),Patterns!$A$2:$N$28,COLUMN(W61)-14,0)/VLOOKUP(VLOOKUP($A61,'IP1'!$A$37:$G$89,7,0),Patterns!$A$2:$N$28,2,0),IF(LEFT($D61,7)="Payroll",SUMPRODUCT(($B61='IP1'!$B$96:$B$114)*('IP1'!$E$96:$E$114))/12,SUMPRODUCT(($B61='IP1'!$B$96:$B$114)*('IP1'!$E$96:$E$114))/12*'IP1'!$F$154))</f>
        <v>600</v>
      </c>
      <c r="X61" s="85">
        <f>IF(LEFT($D61,5)="Other",VLOOKUP($A61,'IP1'!$A$37:$G$89,5,0)*VLOOKUP(VLOOKUP($A61,'IP1'!$A$37:$G$89,7,0),Patterns!$A$2:$N$28,COLUMN(X61)-14,0)/VLOOKUP(VLOOKUP($A61,'IP1'!$A$37:$G$89,7,0),Patterns!$A$2:$N$28,2,0),IF(LEFT($D61,7)="Payroll",SUMPRODUCT(($B61='IP1'!$B$96:$B$114)*('IP1'!$E$96:$E$114))/12,SUMPRODUCT(($B61='IP1'!$B$96:$B$114)*('IP1'!$E$96:$E$114))/12*'IP1'!$F$154))</f>
        <v>600</v>
      </c>
      <c r="Y61" s="85">
        <f>IF(LEFT($D61,5)="Other",VLOOKUP($A61,'IP1'!$A$37:$G$89,5,0)*VLOOKUP(VLOOKUP($A61,'IP1'!$A$37:$G$89,7,0),Patterns!$A$2:$N$28,COLUMN(Y61)-14,0)/VLOOKUP(VLOOKUP($A61,'IP1'!$A$37:$G$89,7,0),Patterns!$A$2:$N$28,2,0),IF(LEFT($D61,7)="Payroll",SUMPRODUCT(($B61='IP1'!$B$96:$B$114)*('IP1'!$E$96:$E$114))/12,SUMPRODUCT(($B61='IP1'!$B$96:$B$114)*('IP1'!$E$96:$E$114))/12*'IP1'!$F$154))</f>
        <v>600</v>
      </c>
      <c r="Z61" s="85">
        <f>IF(LEFT($D61,5)="Other",VLOOKUP($A61,'IP1'!$A$37:$G$89,5,0)*VLOOKUP(VLOOKUP($A61,'IP1'!$A$37:$G$89,7,0),Patterns!$A$2:$N$28,COLUMN(Z61)-14,0)/VLOOKUP(VLOOKUP($A61,'IP1'!$A$37:$G$89,7,0),Patterns!$A$2:$N$28,2,0),IF(LEFT($D61,7)="Payroll",SUMPRODUCT(($B61='IP1'!$B$96:$B$114)*('IP1'!$E$96:$E$114))/12,SUMPRODUCT(($B61='IP1'!$B$96:$B$114)*('IP1'!$E$96:$E$114))/12*'IP1'!$F$154))</f>
        <v>600</v>
      </c>
      <c r="AA61" s="85">
        <f>IF(LEFT($D61,5)="Other",VLOOKUP($A61,'IP1'!$A$37:$G$89,5,0)*VLOOKUP(VLOOKUP($A61,'IP1'!$A$37:$G$89,7,0),Patterns!$A$2:$N$28,COLUMN(AA61)-14,0)/VLOOKUP(VLOOKUP($A61,'IP1'!$A$37:$G$89,7,0),Patterns!$A$2:$N$28,2,0),IF(LEFT($D61,7)="Payroll",SUMPRODUCT(($B61='IP1'!$B$96:$B$114)*('IP1'!$E$96:$E$114))/12,SUMPRODUCT(($B61='IP1'!$B$96:$B$114)*('IP1'!$E$96:$E$114))/12*'IP1'!$F$154))</f>
        <v>100</v>
      </c>
      <c r="AB61" s="85">
        <f>IF(LEFT($D61,5)="Other",VLOOKUP($A61,'IP1'!$A$37:$G$89,5,0)*VLOOKUP(VLOOKUP($A61,'IP1'!$A$37:$G$89,7,0),Patterns!$A$2:$N$28,COLUMN(AB61)-14,0)/VLOOKUP(VLOOKUP($A61,'IP1'!$A$37:$G$89,7,0),Patterns!$A$2:$N$28,2,0),IF(LEFT($D61,7)="Payroll",SUMPRODUCT(($B61='IP1'!$B$96:$B$114)*('IP1'!$E$96:$E$114))/12,SUMPRODUCT(($B61='IP1'!$B$96:$B$114)*('IP1'!$E$96:$E$114))/12*'IP1'!$F$154))</f>
        <v>500</v>
      </c>
    </row>
    <row r="62" spans="1:28">
      <c r="A62" s="1" t="str">
        <f t="shared" si="1"/>
        <v xml:space="preserve">Rooms / Rest. / EventsMusic and entertainment </v>
      </c>
      <c r="B62" s="1" t="s">
        <v>480</v>
      </c>
      <c r="C62" s="1" t="s">
        <v>485</v>
      </c>
      <c r="D62" s="11" t="s">
        <v>100</v>
      </c>
      <c r="E62" s="85">
        <f>IF(LEFT($D62,5)="Other",
VLOOKUP($A62,'IP1'!$A$37:$G$89,4,0)*
VLOOKUP(
VLOOKUP($A62,'IP1'!$A$37:$G$89,7,0),Patterns!$A$2:$N$28,COLUMN(E62)-2,0)/
VLOOKUP(
VLOOKUP($A62,'IP1'!$A$37:$G$89,7,0),Patterns!$A$2:$N$28,2,0),
IF(LEFT($D62,7)="Payroll",
SUMPRODUCT(($B62='IP1'!$B$96:$B$114)*('IP1'!$D$96:$D$114))/12,
SUMPRODUCT(($B62='IP1'!$B$96:$B$114)*('IP1'!$D$96:$D$114))/12*'IP1'!$F$154))</f>
        <v>350</v>
      </c>
      <c r="F62" s="85">
        <f>IF(LEFT($D62,5)="Other",VLOOKUP($A62,'IP1'!$A$37:$G$89,4,0)*VLOOKUP(VLOOKUP($A62,'IP1'!$A$37:$G$89,7,0),Patterns!$A$2:$N$28,COLUMN(F62)-2,0)/VLOOKUP(VLOOKUP($A62,'IP1'!$A$37:$G$89,7,0),Patterns!$A$2:$N$28,2,0),IF(LEFT($D62,7)="Payroll",SUMPRODUCT(($B62='IP1'!$B$96:$B$114)*('IP1'!$D$96:$D$114))/12,SUMPRODUCT(($B62='IP1'!$B$96:$B$114)*('IP1'!$D$96:$D$114))/12*'IP1'!$F$154))</f>
        <v>350</v>
      </c>
      <c r="G62" s="85">
        <f>IF(LEFT($D62,5)="Other",VLOOKUP($A62,'IP1'!$A$37:$G$89,4,0)*VLOOKUP(VLOOKUP($A62,'IP1'!$A$37:$G$89,7,0),Patterns!$A$2:$N$28,COLUMN(G62)-2,0)/VLOOKUP(VLOOKUP($A62,'IP1'!$A$37:$G$89,7,0),Patterns!$A$2:$N$28,2,0),IF(LEFT($D62,7)="Payroll",SUMPRODUCT(($B62='IP1'!$B$96:$B$114)*('IP1'!$D$96:$D$114))/12,SUMPRODUCT(($B62='IP1'!$B$96:$B$114)*('IP1'!$D$96:$D$114))/12*'IP1'!$F$154))</f>
        <v>1050</v>
      </c>
      <c r="H62" s="85">
        <f>IF(LEFT($D62,5)="Other",VLOOKUP($A62,'IP1'!$A$37:$G$89,4,0)*VLOOKUP(VLOOKUP($A62,'IP1'!$A$37:$G$89,7,0),Patterns!$A$2:$N$28,COLUMN(H62)-2,0)/VLOOKUP(VLOOKUP($A62,'IP1'!$A$37:$G$89,7,0),Patterns!$A$2:$N$28,2,0),IF(LEFT($D62,7)="Payroll",SUMPRODUCT(($B62='IP1'!$B$96:$B$114)*('IP1'!$D$96:$D$114))/12,SUMPRODUCT(($B62='IP1'!$B$96:$B$114)*('IP1'!$D$96:$D$114))/12*'IP1'!$F$154))</f>
        <v>1050</v>
      </c>
      <c r="I62" s="85">
        <f>IF(LEFT($D62,5)="Other",VLOOKUP($A62,'IP1'!$A$37:$G$89,4,0)*VLOOKUP(VLOOKUP($A62,'IP1'!$A$37:$G$89,7,0),Patterns!$A$2:$N$28,COLUMN(I62)-2,0)/VLOOKUP(VLOOKUP($A62,'IP1'!$A$37:$G$89,7,0),Patterns!$A$2:$N$28,2,0),IF(LEFT($D62,7)="Payroll",SUMPRODUCT(($B62='IP1'!$B$96:$B$114)*('IP1'!$D$96:$D$114))/12,SUMPRODUCT(($B62='IP1'!$B$96:$B$114)*('IP1'!$D$96:$D$114))/12*'IP1'!$F$154))</f>
        <v>2100</v>
      </c>
      <c r="J62" s="85">
        <f>IF(LEFT($D62,5)="Other",VLOOKUP($A62,'IP1'!$A$37:$G$89,4,0)*VLOOKUP(VLOOKUP($A62,'IP1'!$A$37:$G$89,7,0),Patterns!$A$2:$N$28,COLUMN(J62)-2,0)/VLOOKUP(VLOOKUP($A62,'IP1'!$A$37:$G$89,7,0),Patterns!$A$2:$N$28,2,0),IF(LEFT($D62,7)="Payroll",SUMPRODUCT(($B62='IP1'!$B$96:$B$114)*('IP1'!$D$96:$D$114))/12,SUMPRODUCT(($B62='IP1'!$B$96:$B$114)*('IP1'!$D$96:$D$114))/12*'IP1'!$F$154))</f>
        <v>2100</v>
      </c>
      <c r="K62" s="85">
        <f>IF(LEFT($D62,5)="Other",VLOOKUP($A62,'IP1'!$A$37:$G$89,4,0)*VLOOKUP(VLOOKUP($A62,'IP1'!$A$37:$G$89,7,0),Patterns!$A$2:$N$28,COLUMN(K62)-2,0)/VLOOKUP(VLOOKUP($A62,'IP1'!$A$37:$G$89,7,0),Patterns!$A$2:$N$28,2,0),IF(LEFT($D62,7)="Payroll",SUMPRODUCT(($B62='IP1'!$B$96:$B$114)*('IP1'!$D$96:$D$114))/12,SUMPRODUCT(($B62='IP1'!$B$96:$B$114)*('IP1'!$D$96:$D$114))/12*'IP1'!$F$154))</f>
        <v>2100</v>
      </c>
      <c r="L62" s="85">
        <f>IF(LEFT($D62,5)="Other",VLOOKUP($A62,'IP1'!$A$37:$G$89,4,0)*VLOOKUP(VLOOKUP($A62,'IP1'!$A$37:$G$89,7,0),Patterns!$A$2:$N$28,COLUMN(L62)-2,0)/VLOOKUP(VLOOKUP($A62,'IP1'!$A$37:$G$89,7,0),Patterns!$A$2:$N$28,2,0),IF(LEFT($D62,7)="Payroll",SUMPRODUCT(($B62='IP1'!$B$96:$B$114)*('IP1'!$D$96:$D$114))/12,SUMPRODUCT(($B62='IP1'!$B$96:$B$114)*('IP1'!$D$96:$D$114))/12*'IP1'!$F$154))</f>
        <v>2100</v>
      </c>
      <c r="M62" s="85">
        <f>IF(LEFT($D62,5)="Other",VLOOKUP($A62,'IP1'!$A$37:$G$89,4,0)*VLOOKUP(VLOOKUP($A62,'IP1'!$A$37:$G$89,7,0),Patterns!$A$2:$N$28,COLUMN(M62)-2,0)/VLOOKUP(VLOOKUP($A62,'IP1'!$A$37:$G$89,7,0),Patterns!$A$2:$N$28,2,0),IF(LEFT($D62,7)="Payroll",SUMPRODUCT(($B62='IP1'!$B$96:$B$114)*('IP1'!$D$96:$D$114))/12,SUMPRODUCT(($B62='IP1'!$B$96:$B$114)*('IP1'!$D$96:$D$114))/12*'IP1'!$F$154))</f>
        <v>2100</v>
      </c>
      <c r="N62" s="85">
        <f>IF(LEFT($D62,5)="Other",VLOOKUP($A62,'IP1'!$A$37:$G$89,4,0)*VLOOKUP(VLOOKUP($A62,'IP1'!$A$37:$G$89,7,0),Patterns!$A$2:$N$28,COLUMN(N62)-2,0)/VLOOKUP(VLOOKUP($A62,'IP1'!$A$37:$G$89,7,0),Patterns!$A$2:$N$28,2,0),IF(LEFT($D62,7)="Payroll",SUMPRODUCT(($B62='IP1'!$B$96:$B$114)*('IP1'!$D$96:$D$114))/12,SUMPRODUCT(($B62='IP1'!$B$96:$B$114)*('IP1'!$D$96:$D$114))/12*'IP1'!$F$154))</f>
        <v>2100</v>
      </c>
      <c r="O62" s="85">
        <f>IF(LEFT($D62,5)="Other",VLOOKUP($A62,'IP1'!$A$37:$G$89,4,0)*VLOOKUP(VLOOKUP($A62,'IP1'!$A$37:$G$89,7,0),Patterns!$A$2:$N$28,COLUMN(O62)-2,0)/VLOOKUP(VLOOKUP($A62,'IP1'!$A$37:$G$89,7,0),Patterns!$A$2:$N$28,2,0),IF(LEFT($D62,7)="Payroll",SUMPRODUCT(($B62='IP1'!$B$96:$B$114)*('IP1'!$D$96:$D$114))/12,SUMPRODUCT(($B62='IP1'!$B$96:$B$114)*('IP1'!$D$96:$D$114))/12*'IP1'!$F$154))</f>
        <v>350</v>
      </c>
      <c r="P62" s="85">
        <f>IF(LEFT($D62,5)="Other",VLOOKUP($A62,'IP1'!$A$37:$G$89,4,0)*VLOOKUP(VLOOKUP($A62,'IP1'!$A$37:$G$89,7,0),Patterns!$A$2:$N$28,COLUMN(P62)-2,0)/VLOOKUP(VLOOKUP($A62,'IP1'!$A$37:$G$89,7,0),Patterns!$A$2:$N$28,2,0),IF(LEFT($D62,7)="Payroll",SUMPRODUCT(($B62='IP1'!$B$96:$B$114)*('IP1'!$D$96:$D$114))/12,SUMPRODUCT(($B62='IP1'!$B$96:$B$114)*('IP1'!$D$96:$D$114))/12*'IP1'!$F$154))</f>
        <v>1750</v>
      </c>
      <c r="Q62" s="85">
        <f>IF(LEFT($D62,5)="Other",VLOOKUP($A62,'IP1'!$A$37:$G$89,5,0)*VLOOKUP(VLOOKUP($A62,'IP1'!$A$37:$G$89,7,0),Patterns!$A$2:$N$28,COLUMN(Q62)-14,0)/VLOOKUP(VLOOKUP($A62,'IP1'!$A$37:$G$89,7,0),Patterns!$A$2:$N$28,2,0),IF(LEFT($D62,7)="Payroll",SUMPRODUCT(($B62='IP1'!$B$96:$B$114)*('IP1'!$E$96:$E$114))/12,SUMPRODUCT(($B62='IP1'!$B$96:$B$114)*('IP1'!$E$96:$E$114))/12*'IP1'!$F$154))</f>
        <v>350</v>
      </c>
      <c r="R62" s="85">
        <f>IF(LEFT($D62,5)="Other",VLOOKUP($A62,'IP1'!$A$37:$G$89,5,0)*VLOOKUP(VLOOKUP($A62,'IP1'!$A$37:$G$89,7,0),Patterns!$A$2:$N$28,COLUMN(R62)-14,0)/VLOOKUP(VLOOKUP($A62,'IP1'!$A$37:$G$89,7,0),Patterns!$A$2:$N$28,2,0),IF(LEFT($D62,7)="Payroll",SUMPRODUCT(($B62='IP1'!$B$96:$B$114)*('IP1'!$E$96:$E$114))/12,SUMPRODUCT(($B62='IP1'!$B$96:$B$114)*('IP1'!$E$96:$E$114))/12*'IP1'!$F$154))</f>
        <v>350</v>
      </c>
      <c r="S62" s="85">
        <f>IF(LEFT($D62,5)="Other",VLOOKUP($A62,'IP1'!$A$37:$G$89,5,0)*VLOOKUP(VLOOKUP($A62,'IP1'!$A$37:$G$89,7,0),Patterns!$A$2:$N$28,COLUMN(S62)-14,0)/VLOOKUP(VLOOKUP($A62,'IP1'!$A$37:$G$89,7,0),Patterns!$A$2:$N$28,2,0),IF(LEFT($D62,7)="Payroll",SUMPRODUCT(($B62='IP1'!$B$96:$B$114)*('IP1'!$E$96:$E$114))/12,SUMPRODUCT(($B62='IP1'!$B$96:$B$114)*('IP1'!$E$96:$E$114))/12*'IP1'!$F$154))</f>
        <v>1050</v>
      </c>
      <c r="T62" s="85">
        <f>IF(LEFT($D62,5)="Other",VLOOKUP($A62,'IP1'!$A$37:$G$89,5,0)*VLOOKUP(VLOOKUP($A62,'IP1'!$A$37:$G$89,7,0),Patterns!$A$2:$N$28,COLUMN(T62)-14,0)/VLOOKUP(VLOOKUP($A62,'IP1'!$A$37:$G$89,7,0),Patterns!$A$2:$N$28,2,0),IF(LEFT($D62,7)="Payroll",SUMPRODUCT(($B62='IP1'!$B$96:$B$114)*('IP1'!$E$96:$E$114))/12,SUMPRODUCT(($B62='IP1'!$B$96:$B$114)*('IP1'!$E$96:$E$114))/12*'IP1'!$F$154))</f>
        <v>1050</v>
      </c>
      <c r="U62" s="85">
        <f>IF(LEFT($D62,5)="Other",VLOOKUP($A62,'IP1'!$A$37:$G$89,5,0)*VLOOKUP(VLOOKUP($A62,'IP1'!$A$37:$G$89,7,0),Patterns!$A$2:$N$28,COLUMN(U62)-14,0)/VLOOKUP(VLOOKUP($A62,'IP1'!$A$37:$G$89,7,0),Patterns!$A$2:$N$28,2,0),IF(LEFT($D62,7)="Payroll",SUMPRODUCT(($B62='IP1'!$B$96:$B$114)*('IP1'!$E$96:$E$114))/12,SUMPRODUCT(($B62='IP1'!$B$96:$B$114)*('IP1'!$E$96:$E$114))/12*'IP1'!$F$154))</f>
        <v>2100</v>
      </c>
      <c r="V62" s="85">
        <f>IF(LEFT($D62,5)="Other",VLOOKUP($A62,'IP1'!$A$37:$G$89,5,0)*VLOOKUP(VLOOKUP($A62,'IP1'!$A$37:$G$89,7,0),Patterns!$A$2:$N$28,COLUMN(V62)-14,0)/VLOOKUP(VLOOKUP($A62,'IP1'!$A$37:$G$89,7,0),Patterns!$A$2:$N$28,2,0),IF(LEFT($D62,7)="Payroll",SUMPRODUCT(($B62='IP1'!$B$96:$B$114)*('IP1'!$E$96:$E$114))/12,SUMPRODUCT(($B62='IP1'!$B$96:$B$114)*('IP1'!$E$96:$E$114))/12*'IP1'!$F$154))</f>
        <v>2100</v>
      </c>
      <c r="W62" s="85">
        <f>IF(LEFT($D62,5)="Other",VLOOKUP($A62,'IP1'!$A$37:$G$89,5,0)*VLOOKUP(VLOOKUP($A62,'IP1'!$A$37:$G$89,7,0),Patterns!$A$2:$N$28,COLUMN(W62)-14,0)/VLOOKUP(VLOOKUP($A62,'IP1'!$A$37:$G$89,7,0),Patterns!$A$2:$N$28,2,0),IF(LEFT($D62,7)="Payroll",SUMPRODUCT(($B62='IP1'!$B$96:$B$114)*('IP1'!$E$96:$E$114))/12,SUMPRODUCT(($B62='IP1'!$B$96:$B$114)*('IP1'!$E$96:$E$114))/12*'IP1'!$F$154))</f>
        <v>2100</v>
      </c>
      <c r="X62" s="85">
        <f>IF(LEFT($D62,5)="Other",VLOOKUP($A62,'IP1'!$A$37:$G$89,5,0)*VLOOKUP(VLOOKUP($A62,'IP1'!$A$37:$G$89,7,0),Patterns!$A$2:$N$28,COLUMN(X62)-14,0)/VLOOKUP(VLOOKUP($A62,'IP1'!$A$37:$G$89,7,0),Patterns!$A$2:$N$28,2,0),IF(LEFT($D62,7)="Payroll",SUMPRODUCT(($B62='IP1'!$B$96:$B$114)*('IP1'!$E$96:$E$114))/12,SUMPRODUCT(($B62='IP1'!$B$96:$B$114)*('IP1'!$E$96:$E$114))/12*'IP1'!$F$154))</f>
        <v>2100</v>
      </c>
      <c r="Y62" s="85">
        <f>IF(LEFT($D62,5)="Other",VLOOKUP($A62,'IP1'!$A$37:$G$89,5,0)*VLOOKUP(VLOOKUP($A62,'IP1'!$A$37:$G$89,7,0),Patterns!$A$2:$N$28,COLUMN(Y62)-14,0)/VLOOKUP(VLOOKUP($A62,'IP1'!$A$37:$G$89,7,0),Patterns!$A$2:$N$28,2,0),IF(LEFT($D62,7)="Payroll",SUMPRODUCT(($B62='IP1'!$B$96:$B$114)*('IP1'!$E$96:$E$114))/12,SUMPRODUCT(($B62='IP1'!$B$96:$B$114)*('IP1'!$E$96:$E$114))/12*'IP1'!$F$154))</f>
        <v>2100</v>
      </c>
      <c r="Z62" s="85">
        <f>IF(LEFT($D62,5)="Other",VLOOKUP($A62,'IP1'!$A$37:$G$89,5,0)*VLOOKUP(VLOOKUP($A62,'IP1'!$A$37:$G$89,7,0),Patterns!$A$2:$N$28,COLUMN(Z62)-14,0)/VLOOKUP(VLOOKUP($A62,'IP1'!$A$37:$G$89,7,0),Patterns!$A$2:$N$28,2,0),IF(LEFT($D62,7)="Payroll",SUMPRODUCT(($B62='IP1'!$B$96:$B$114)*('IP1'!$E$96:$E$114))/12,SUMPRODUCT(($B62='IP1'!$B$96:$B$114)*('IP1'!$E$96:$E$114))/12*'IP1'!$F$154))</f>
        <v>2100</v>
      </c>
      <c r="AA62" s="85">
        <f>IF(LEFT($D62,5)="Other",VLOOKUP($A62,'IP1'!$A$37:$G$89,5,0)*VLOOKUP(VLOOKUP($A62,'IP1'!$A$37:$G$89,7,0),Patterns!$A$2:$N$28,COLUMN(AA62)-14,0)/VLOOKUP(VLOOKUP($A62,'IP1'!$A$37:$G$89,7,0),Patterns!$A$2:$N$28,2,0),IF(LEFT($D62,7)="Payroll",SUMPRODUCT(($B62='IP1'!$B$96:$B$114)*('IP1'!$E$96:$E$114))/12,SUMPRODUCT(($B62='IP1'!$B$96:$B$114)*('IP1'!$E$96:$E$114))/12*'IP1'!$F$154))</f>
        <v>350</v>
      </c>
      <c r="AB62" s="85">
        <f>IF(LEFT($D62,5)="Other",VLOOKUP($A62,'IP1'!$A$37:$G$89,5,0)*VLOOKUP(VLOOKUP($A62,'IP1'!$A$37:$G$89,7,0),Patterns!$A$2:$N$28,COLUMN(AB62)-14,0)/VLOOKUP(VLOOKUP($A62,'IP1'!$A$37:$G$89,7,0),Patterns!$A$2:$N$28,2,0),IF(LEFT($D62,7)="Payroll",SUMPRODUCT(($B62='IP1'!$B$96:$B$114)*('IP1'!$E$96:$E$114))/12,SUMPRODUCT(($B62='IP1'!$B$96:$B$114)*('IP1'!$E$96:$E$114))/12*'IP1'!$F$154))</f>
        <v>1750</v>
      </c>
    </row>
    <row r="63" spans="1:28"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</row>
    <row r="64" spans="1:28"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</row>
  </sheetData>
  <pageMargins left="0.7" right="0.7" top="0.75" bottom="0.75" header="0.3" footer="0.3"/>
  <pageSetup paperSize="9" scale="51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tabColor rgb="FFFF0000"/>
  </sheetPr>
  <dimension ref="A1:AN60"/>
  <sheetViews>
    <sheetView zoomScale="117" zoomScaleNormal="117" zoomScaleSheetLayoutView="140" workbookViewId="0"/>
  </sheetViews>
  <sheetFormatPr defaultColWidth="9.109375" defaultRowHeight="13.8"/>
  <cols>
    <col min="1" max="1" width="4" style="1" bestFit="1" customWidth="1"/>
    <col min="2" max="2" width="26.44140625" style="1" customWidth="1"/>
    <col min="3" max="3" width="2.109375" style="1" customWidth="1"/>
    <col min="4" max="4" width="9.5546875" style="1" customWidth="1"/>
    <col min="5" max="5" width="9.109375" style="1" customWidth="1"/>
    <col min="6" max="16384" width="9.109375" style="1"/>
  </cols>
  <sheetData>
    <row r="1" spans="1:40">
      <c r="A1" s="13"/>
      <c r="B1" s="91" t="s">
        <v>129</v>
      </c>
      <c r="C1" s="13"/>
      <c r="D1" s="13" t="s">
        <v>121</v>
      </c>
      <c r="E1" s="13">
        <f>DATEVALUE(1&amp;"/"&amp;'IP1'!$B$3&amp;"/"&amp;'IP1'!$B$4)</f>
        <v>41275</v>
      </c>
      <c r="F1" s="13">
        <f>DATE(YEAR(E1),MONTH(E1)+1,1)</f>
        <v>41306</v>
      </c>
      <c r="G1" s="13">
        <f t="shared" ref="G1:AN1" si="0">DATE(YEAR(F1),MONTH(F1)+1,1)</f>
        <v>41334</v>
      </c>
      <c r="H1" s="13">
        <f t="shared" si="0"/>
        <v>41365</v>
      </c>
      <c r="I1" s="13">
        <f t="shared" si="0"/>
        <v>41395</v>
      </c>
      <c r="J1" s="13">
        <f t="shared" si="0"/>
        <v>41426</v>
      </c>
      <c r="K1" s="13">
        <f t="shared" si="0"/>
        <v>41456</v>
      </c>
      <c r="L1" s="13">
        <f t="shared" si="0"/>
        <v>41487</v>
      </c>
      <c r="M1" s="13">
        <f t="shared" si="0"/>
        <v>41518</v>
      </c>
      <c r="N1" s="13">
        <f t="shared" si="0"/>
        <v>41548</v>
      </c>
      <c r="O1" s="13">
        <f t="shared" si="0"/>
        <v>41579</v>
      </c>
      <c r="P1" s="13">
        <f t="shared" si="0"/>
        <v>41609</v>
      </c>
      <c r="Q1" s="13">
        <f t="shared" si="0"/>
        <v>41640</v>
      </c>
      <c r="R1" s="13">
        <f t="shared" si="0"/>
        <v>41671</v>
      </c>
      <c r="S1" s="13">
        <f t="shared" si="0"/>
        <v>41699</v>
      </c>
      <c r="T1" s="13">
        <f t="shared" si="0"/>
        <v>41730</v>
      </c>
      <c r="U1" s="13">
        <f t="shared" si="0"/>
        <v>41760</v>
      </c>
      <c r="V1" s="13">
        <f t="shared" si="0"/>
        <v>41791</v>
      </c>
      <c r="W1" s="13">
        <f t="shared" si="0"/>
        <v>41821</v>
      </c>
      <c r="X1" s="13">
        <f t="shared" si="0"/>
        <v>41852</v>
      </c>
      <c r="Y1" s="13">
        <f t="shared" si="0"/>
        <v>41883</v>
      </c>
      <c r="Z1" s="13">
        <f t="shared" si="0"/>
        <v>41913</v>
      </c>
      <c r="AA1" s="13">
        <f t="shared" si="0"/>
        <v>41944</v>
      </c>
      <c r="AB1" s="13">
        <f t="shared" si="0"/>
        <v>41974</v>
      </c>
      <c r="AC1" s="90">
        <f t="shared" si="0"/>
        <v>42005</v>
      </c>
      <c r="AD1" s="90">
        <f t="shared" si="0"/>
        <v>42036</v>
      </c>
      <c r="AE1" s="90">
        <f t="shared" si="0"/>
        <v>42064</v>
      </c>
      <c r="AF1" s="90">
        <f t="shared" si="0"/>
        <v>42095</v>
      </c>
      <c r="AG1" s="90">
        <f t="shared" si="0"/>
        <v>42125</v>
      </c>
      <c r="AH1" s="90">
        <f t="shared" si="0"/>
        <v>42156</v>
      </c>
      <c r="AI1" s="90">
        <f t="shared" si="0"/>
        <v>42186</v>
      </c>
      <c r="AJ1" s="90">
        <f t="shared" si="0"/>
        <v>42217</v>
      </c>
      <c r="AK1" s="90">
        <f t="shared" si="0"/>
        <v>42248</v>
      </c>
      <c r="AL1" s="90">
        <f t="shared" si="0"/>
        <v>42278</v>
      </c>
      <c r="AM1" s="90">
        <f t="shared" si="0"/>
        <v>42309</v>
      </c>
      <c r="AN1" s="90">
        <f t="shared" si="0"/>
        <v>42339</v>
      </c>
    </row>
    <row r="3" spans="1:40">
      <c r="A3" s="1">
        <v>1</v>
      </c>
      <c r="B3" s="88" t="s">
        <v>131</v>
      </c>
      <c r="D3" s="85">
        <f>'IP1'!D138</f>
        <v>250000</v>
      </c>
    </row>
    <row r="4" spans="1:40">
      <c r="A4" s="1">
        <v>1</v>
      </c>
      <c r="B4" s="88" t="s">
        <v>132</v>
      </c>
      <c r="D4" s="87">
        <f>'IP1'!D139</f>
        <v>2</v>
      </c>
    </row>
    <row r="5" spans="1:40">
      <c r="A5" s="1">
        <v>1</v>
      </c>
      <c r="B5" s="88" t="s">
        <v>133</v>
      </c>
      <c r="D5" s="86">
        <f>'IP1'!D140</f>
        <v>7.4999999999999997E-2</v>
      </c>
    </row>
    <row r="6" spans="1:40">
      <c r="A6" s="1">
        <v>1</v>
      </c>
      <c r="B6" s="88" t="s">
        <v>96</v>
      </c>
      <c r="D6" s="85">
        <f>'IP1'!D141</f>
        <v>0</v>
      </c>
    </row>
    <row r="7" spans="1:40">
      <c r="A7" s="1">
        <v>1</v>
      </c>
      <c r="B7" s="88" t="s">
        <v>134</v>
      </c>
      <c r="D7" s="89">
        <f>IFERROR(-PMT(D5/12,D4*12,D3,D6),0)</f>
        <v>11249.898162906135</v>
      </c>
    </row>
    <row r="8" spans="1:40">
      <c r="A8" s="1">
        <v>1</v>
      </c>
      <c r="B8" s="1" t="s">
        <v>135</v>
      </c>
      <c r="D8" s="85">
        <f>(D7*D4*12)</f>
        <v>269997.55590974726</v>
      </c>
    </row>
    <row r="9" spans="1:40">
      <c r="A9" s="1">
        <v>1</v>
      </c>
      <c r="B9" s="1" t="s">
        <v>136</v>
      </c>
      <c r="D9" s="85">
        <f>(D8-D3)</f>
        <v>19997.555909747258</v>
      </c>
    </row>
    <row r="10" spans="1:40">
      <c r="A10" s="1">
        <v>1</v>
      </c>
      <c r="B10" s="1" t="s">
        <v>138</v>
      </c>
      <c r="D10" s="85">
        <f>D7*12</f>
        <v>134998.77795487363</v>
      </c>
    </row>
    <row r="11" spans="1:40">
      <c r="A11" s="1">
        <v>1</v>
      </c>
      <c r="B11" s="1" t="s">
        <v>139</v>
      </c>
      <c r="D11" s="85">
        <f>D8-D10</f>
        <v>134998.77795487363</v>
      </c>
    </row>
    <row r="12" spans="1:40">
      <c r="D12" s="85"/>
    </row>
    <row r="13" spans="1:40">
      <c r="A13" s="1">
        <v>1</v>
      </c>
      <c r="B13" s="1" t="s">
        <v>128</v>
      </c>
      <c r="D13" s="85"/>
      <c r="E13" s="85">
        <f>'IP1'!$D$138*('IP1'!$D$142=Loans!E$1)</f>
        <v>0</v>
      </c>
      <c r="F13" s="85">
        <f>((E13&gt;0)*E16)+('IP1'!$D$138*('IP1'!$D$142=Loans!F$1))</f>
        <v>250000</v>
      </c>
      <c r="G13" s="85">
        <f>((F13&gt;0)*F16)+('IP1'!$D$138*('IP1'!$D$142=Loans!G$1))</f>
        <v>240312.60183709385</v>
      </c>
      <c r="H13" s="85">
        <f>((G13&gt;0)*G16)+('IP1'!$D$138*('IP1'!$D$142=Loans!H$1))</f>
        <v>230564.65743566956</v>
      </c>
      <c r="I13" s="85">
        <f>((H13&gt;0)*H16)+('IP1'!$D$138*('IP1'!$D$142=Loans!I$1))</f>
        <v>220755.78838173638</v>
      </c>
      <c r="J13" s="85">
        <f>((I13&gt;0)*I16)+('IP1'!$D$138*('IP1'!$D$142=Loans!J$1))</f>
        <v>210885.61389621609</v>
      </c>
      <c r="K13" s="85">
        <f>((J13&gt;0)*J16)+('IP1'!$D$138*('IP1'!$D$142=Loans!K$1))</f>
        <v>200953.75082016131</v>
      </c>
      <c r="L13" s="85">
        <f>((K13&gt;0)*K16)+('IP1'!$D$138*('IP1'!$D$142=Loans!L$1))</f>
        <v>190959.81359988119</v>
      </c>
      <c r="M13" s="85">
        <f>((L13&gt;0)*L16)+('IP1'!$D$138*('IP1'!$D$142=Loans!M$1))</f>
        <v>180903.41427197432</v>
      </c>
      <c r="N13" s="85">
        <f>((M13&gt;0)*M16)+('IP1'!$D$138*('IP1'!$D$142=Loans!N$1))</f>
        <v>170784.16244826803</v>
      </c>
      <c r="O13" s="85">
        <f>((N13&gt;0)*N16)+('IP1'!$D$138*('IP1'!$D$142=Loans!O$1))</f>
        <v>160601.66530066356</v>
      </c>
      <c r="P13" s="85">
        <f>((O13&gt;0)*O16)+('IP1'!$D$138*('IP1'!$D$142=Loans!P$1))</f>
        <v>150355.52754588658</v>
      </c>
      <c r="Q13" s="85">
        <f>((P13&gt;0)*P16)+('IP1'!$D$138*('IP1'!$D$142=Loans!Q$1))</f>
        <v>140045.35143014224</v>
      </c>
      <c r="R13" s="85">
        <f>((Q13&gt;0)*Q16)+('IP1'!$D$138*('IP1'!$D$142=Loans!R$1))</f>
        <v>129670.7367136745</v>
      </c>
      <c r="S13" s="85">
        <f>((R13&gt;0)*R16)+('IP1'!$D$138*('IP1'!$D$142=Loans!S$1))</f>
        <v>119231.28065522884</v>
      </c>
      <c r="T13" s="85">
        <f>((S13&gt;0)*S16)+('IP1'!$D$138*('IP1'!$D$142=Loans!T$1))</f>
        <v>108726.57799641788</v>
      </c>
      <c r="U13" s="85">
        <f>((T13&gt;0)*T16)+('IP1'!$D$138*('IP1'!$D$142=Loans!U$1))</f>
        <v>98156.220945989364</v>
      </c>
      <c r="V13" s="85">
        <f>((U13&gt;0)*U16)+('IP1'!$D$138*('IP1'!$D$142=Loans!V$1))</f>
        <v>87519.79916399566</v>
      </c>
      <c r="W13" s="85">
        <f>((V13&gt;0)*V16)+('IP1'!$D$138*('IP1'!$D$142=Loans!W$1))</f>
        <v>76816.899745864503</v>
      </c>
      <c r="X13" s="85">
        <f>((W13&gt;0)*W16)+('IP1'!$D$138*('IP1'!$D$142=Loans!X$1))</f>
        <v>66047.107206370027</v>
      </c>
      <c r="Y13" s="85">
        <f>((X13&gt;0)*X16)+('IP1'!$D$138*('IP1'!$D$142=Loans!Y$1))</f>
        <v>55210.003463503701</v>
      </c>
      <c r="Z13" s="85">
        <f>((Y13&gt;0)*Y16)+('IP1'!$D$138*('IP1'!$D$142=Loans!Z$1))</f>
        <v>44305.167822244461</v>
      </c>
      <c r="AA13" s="85">
        <f>((Z13&gt;0)*Z16)+('IP1'!$D$138*('IP1'!$D$142=Loans!AA$1))</f>
        <v>33332.176958227355</v>
      </c>
      <c r="AB13" s="85">
        <f>((AA13&gt;0)*AA16)+('IP1'!$D$138*('IP1'!$D$142=Loans!AB$1))</f>
        <v>22290.604901310144</v>
      </c>
      <c r="AC13" s="85">
        <f>((AB13&gt;0)*AB16)+('IP1'!$D$138*('IP1'!$D$142=Loans!AC$1))</f>
        <v>11180.023019037199</v>
      </c>
      <c r="AD13" s="85">
        <f>((AC13&gt;0)*AC16)+('IP1'!$D$138*('IP1'!$D$142=Loans!AD$1))</f>
        <v>69.875143868983287</v>
      </c>
      <c r="AE13" s="85">
        <f>((AD13&gt;0)*AD16)+('IP1'!$D$138*('IP1'!$D$142=Loans!AE$1))</f>
        <v>0.4367196491811427</v>
      </c>
      <c r="AF13" s="85">
        <f>((AE13&gt;0)*AE16)+('IP1'!$D$138*('IP1'!$D$142=Loans!AF$1))</f>
        <v>2.7294978073821308E-3</v>
      </c>
      <c r="AG13" s="85">
        <f>((AF13&gt;0)*AF16)+('IP1'!$D$138*('IP1'!$D$142=Loans!AG$1))</f>
        <v>1.7059361296138231E-5</v>
      </c>
      <c r="AH13" s="85">
        <f>((AG13&gt;0)*AG16)+('IP1'!$D$138*('IP1'!$D$142=Loans!AH$1))</f>
        <v>1.0662100810086462E-7</v>
      </c>
      <c r="AI13" s="85">
        <f>((AH13&gt;0)*AH16)+('IP1'!$D$138*('IP1'!$D$142=Loans!AI$1))</f>
        <v>6.6638130063040916E-10</v>
      </c>
      <c r="AJ13" s="85">
        <f>((AI13&gt;0)*AI16)+('IP1'!$D$138*('IP1'!$D$142=Loans!AJ$1))</f>
        <v>4.1648831289400573E-12</v>
      </c>
      <c r="AK13" s="85">
        <f>((AJ13&gt;0)*AJ16)+('IP1'!$D$138*('IP1'!$D$142=Loans!AK$1))</f>
        <v>2.6030519555875196E-14</v>
      </c>
      <c r="AL13" s="85">
        <f>((AK13&gt;0)*AK16)+('IP1'!$D$138*('IP1'!$D$142=Loans!AL$1))</f>
        <v>1.6269074722421871E-16</v>
      </c>
      <c r="AM13" s="85">
        <f>((AL13&gt;0)*AL16)+('IP1'!$D$138*('IP1'!$D$142=Loans!AM$1))</f>
        <v>1.016817170151367E-18</v>
      </c>
      <c r="AN13" s="85">
        <f>((AM13&gt;0)*AM16)+('IP1'!$D$138*('IP1'!$D$142=Loans!AN$1))</f>
        <v>6.3551073134461206E-21</v>
      </c>
    </row>
    <row r="14" spans="1:40">
      <c r="A14" s="1">
        <v>1</v>
      </c>
      <c r="B14" s="1" t="s">
        <v>98</v>
      </c>
      <c r="D14" s="85"/>
      <c r="E14" s="85">
        <f>(E13&gt;0)*(MIN($D7,E13))</f>
        <v>0</v>
      </c>
      <c r="F14" s="85">
        <f t="shared" ref="F14:AN14" si="1">(F13&gt;0)*(MIN($D7,F13))</f>
        <v>11249.898162906135</v>
      </c>
      <c r="G14" s="85">
        <f t="shared" si="1"/>
        <v>11249.898162906135</v>
      </c>
      <c r="H14" s="85">
        <f t="shared" si="1"/>
        <v>11249.898162906135</v>
      </c>
      <c r="I14" s="85">
        <f t="shared" si="1"/>
        <v>11249.898162906135</v>
      </c>
      <c r="J14" s="85">
        <f t="shared" si="1"/>
        <v>11249.898162906135</v>
      </c>
      <c r="K14" s="85">
        <f t="shared" si="1"/>
        <v>11249.898162906135</v>
      </c>
      <c r="L14" s="85">
        <f t="shared" si="1"/>
        <v>11249.898162906135</v>
      </c>
      <c r="M14" s="85">
        <f t="shared" si="1"/>
        <v>11249.898162906135</v>
      </c>
      <c r="N14" s="85">
        <f t="shared" si="1"/>
        <v>11249.898162906135</v>
      </c>
      <c r="O14" s="85">
        <f t="shared" si="1"/>
        <v>11249.898162906135</v>
      </c>
      <c r="P14" s="85">
        <f t="shared" si="1"/>
        <v>11249.898162906135</v>
      </c>
      <c r="Q14" s="85">
        <f t="shared" si="1"/>
        <v>11249.898162906135</v>
      </c>
      <c r="R14" s="85">
        <f t="shared" si="1"/>
        <v>11249.898162906135</v>
      </c>
      <c r="S14" s="85">
        <f t="shared" si="1"/>
        <v>11249.898162906135</v>
      </c>
      <c r="T14" s="85">
        <f t="shared" si="1"/>
        <v>11249.898162906135</v>
      </c>
      <c r="U14" s="85">
        <f t="shared" si="1"/>
        <v>11249.898162906135</v>
      </c>
      <c r="V14" s="85">
        <f t="shared" si="1"/>
        <v>11249.898162906135</v>
      </c>
      <c r="W14" s="85">
        <f t="shared" si="1"/>
        <v>11249.898162906135</v>
      </c>
      <c r="X14" s="85">
        <f t="shared" si="1"/>
        <v>11249.898162906135</v>
      </c>
      <c r="Y14" s="85">
        <f t="shared" si="1"/>
        <v>11249.898162906135</v>
      </c>
      <c r="Z14" s="85">
        <f t="shared" si="1"/>
        <v>11249.898162906135</v>
      </c>
      <c r="AA14" s="85">
        <f t="shared" si="1"/>
        <v>11249.898162906135</v>
      </c>
      <c r="AB14" s="85">
        <f t="shared" si="1"/>
        <v>11249.898162906135</v>
      </c>
      <c r="AC14" s="85">
        <f t="shared" si="1"/>
        <v>11180.023019037199</v>
      </c>
      <c r="AD14" s="85">
        <f t="shared" si="1"/>
        <v>69.875143868983287</v>
      </c>
      <c r="AE14" s="85">
        <f t="shared" si="1"/>
        <v>0.4367196491811427</v>
      </c>
      <c r="AF14" s="85">
        <f t="shared" si="1"/>
        <v>2.7294978073821308E-3</v>
      </c>
      <c r="AG14" s="85">
        <f t="shared" si="1"/>
        <v>1.7059361296138231E-5</v>
      </c>
      <c r="AH14" s="85">
        <f t="shared" si="1"/>
        <v>1.0662100810086462E-7</v>
      </c>
      <c r="AI14" s="85">
        <f t="shared" si="1"/>
        <v>6.6638130063040916E-10</v>
      </c>
      <c r="AJ14" s="85">
        <f t="shared" si="1"/>
        <v>4.1648831289400573E-12</v>
      </c>
      <c r="AK14" s="85">
        <f t="shared" si="1"/>
        <v>2.6030519555875196E-14</v>
      </c>
      <c r="AL14" s="85">
        <f t="shared" si="1"/>
        <v>1.6269074722421871E-16</v>
      </c>
      <c r="AM14" s="85">
        <f t="shared" si="1"/>
        <v>1.016817170151367E-18</v>
      </c>
      <c r="AN14" s="85">
        <f t="shared" si="1"/>
        <v>6.3551073134461206E-21</v>
      </c>
    </row>
    <row r="15" spans="1:40">
      <c r="A15" s="1">
        <v>1</v>
      </c>
      <c r="B15" s="1" t="s">
        <v>140</v>
      </c>
      <c r="D15" s="85"/>
      <c r="E15" s="85">
        <f>('IP1'!$D$140/12)*E13</f>
        <v>0</v>
      </c>
      <c r="F15" s="85">
        <f>('IP1'!$D$140/12)*F13</f>
        <v>1562.4999999999998</v>
      </c>
      <c r="G15" s="85">
        <f>('IP1'!$D$140/12)*G13</f>
        <v>1501.9537614818364</v>
      </c>
      <c r="H15" s="85">
        <f>('IP1'!$D$140/12)*H13</f>
        <v>1441.0291089729346</v>
      </c>
      <c r="I15" s="85">
        <f>('IP1'!$D$140/12)*I13</f>
        <v>1379.7236773858522</v>
      </c>
      <c r="J15" s="85">
        <f>('IP1'!$D$140/12)*J13</f>
        <v>1318.0350868513506</v>
      </c>
      <c r="K15" s="85">
        <f>('IP1'!$D$140/12)*K13</f>
        <v>1255.9609426260081</v>
      </c>
      <c r="L15" s="85">
        <f>('IP1'!$D$140/12)*L13</f>
        <v>1193.4988349992573</v>
      </c>
      <c r="M15" s="85">
        <f>('IP1'!$D$140/12)*M13</f>
        <v>1130.6463391998395</v>
      </c>
      <c r="N15" s="85">
        <f>('IP1'!$D$140/12)*N13</f>
        <v>1067.4010153016752</v>
      </c>
      <c r="O15" s="85">
        <f>('IP1'!$D$140/12)*O13</f>
        <v>1003.7604081291472</v>
      </c>
      <c r="P15" s="85">
        <f>('IP1'!$D$140/12)*P13</f>
        <v>939.72204716179101</v>
      </c>
      <c r="Q15" s="85">
        <f>('IP1'!$D$140/12)*Q13</f>
        <v>875.28344643838898</v>
      </c>
      <c r="R15" s="85">
        <f>('IP1'!$D$140/12)*R13</f>
        <v>810.44210446046554</v>
      </c>
      <c r="S15" s="85">
        <f>('IP1'!$D$140/12)*S13</f>
        <v>745.19550409518013</v>
      </c>
      <c r="T15" s="85">
        <f>('IP1'!$D$140/12)*T13</f>
        <v>679.5411124776117</v>
      </c>
      <c r="U15" s="85">
        <f>('IP1'!$D$140/12)*U13</f>
        <v>613.47638091243346</v>
      </c>
      <c r="V15" s="85">
        <f>('IP1'!$D$140/12)*V13</f>
        <v>546.99874477497281</v>
      </c>
      <c r="W15" s="85">
        <f>('IP1'!$D$140/12)*W13</f>
        <v>480.10562341165308</v>
      </c>
      <c r="X15" s="85">
        <f>('IP1'!$D$140/12)*X13</f>
        <v>412.79442003981262</v>
      </c>
      <c r="Y15" s="85">
        <f>('IP1'!$D$140/12)*Y13</f>
        <v>345.06252164689812</v>
      </c>
      <c r="Z15" s="85">
        <f>('IP1'!$D$140/12)*Z13</f>
        <v>276.90729888902786</v>
      </c>
      <c r="AA15" s="85">
        <f>('IP1'!$D$140/12)*AA13</f>
        <v>208.32610598892094</v>
      </c>
      <c r="AB15" s="85">
        <f>('IP1'!$D$140/12)*AB13</f>
        <v>139.3162806331884</v>
      </c>
      <c r="AC15" s="85">
        <f>('IP1'!$D$140/12)*AC13</f>
        <v>69.875143868982491</v>
      </c>
      <c r="AD15" s="85">
        <f>('IP1'!$D$140/12)*AD13</f>
        <v>0.43671964918114553</v>
      </c>
      <c r="AE15" s="85">
        <f>('IP1'!$D$140/12)*AE13</f>
        <v>2.7294978073821416E-3</v>
      </c>
      <c r="AF15" s="85">
        <f>('IP1'!$D$140/12)*AF13</f>
        <v>1.7059361296138315E-5</v>
      </c>
      <c r="AG15" s="85">
        <f>('IP1'!$D$140/12)*AG13</f>
        <v>1.0662100810086393E-7</v>
      </c>
      <c r="AH15" s="85">
        <f>('IP1'!$D$140/12)*AH13</f>
        <v>6.6638130063040378E-10</v>
      </c>
      <c r="AI15" s="85">
        <f>('IP1'!$D$140/12)*AI13</f>
        <v>4.1648831289400573E-12</v>
      </c>
      <c r="AJ15" s="85">
        <f>('IP1'!$D$140/12)*AJ13</f>
        <v>2.6030519555875357E-14</v>
      </c>
      <c r="AK15" s="85">
        <f>('IP1'!$D$140/12)*AK13</f>
        <v>1.6269074722421997E-16</v>
      </c>
      <c r="AL15" s="85">
        <f>('IP1'!$D$140/12)*AL13</f>
        <v>1.016817170151367E-18</v>
      </c>
      <c r="AM15" s="85">
        <f>('IP1'!$D$140/12)*AM13</f>
        <v>6.3551073134460431E-21</v>
      </c>
      <c r="AN15" s="85">
        <f>('IP1'!$D$140/12)*AN13</f>
        <v>3.9719420709038251E-23</v>
      </c>
    </row>
    <row r="16" spans="1:40">
      <c r="A16" s="1">
        <v>1</v>
      </c>
      <c r="B16" s="1" t="s">
        <v>37</v>
      </c>
      <c r="D16" s="85"/>
      <c r="E16" s="85">
        <f>E13-(E14-E15)</f>
        <v>0</v>
      </c>
      <c r="F16" s="85">
        <f>F13-(F14-F15)</f>
        <v>240312.60183709385</v>
      </c>
      <c r="G16" s="85">
        <f t="shared" ref="G16:AB16" si="2">G13-(G14-G15)</f>
        <v>230564.65743566956</v>
      </c>
      <c r="H16" s="85">
        <f t="shared" si="2"/>
        <v>220755.78838173638</v>
      </c>
      <c r="I16" s="85">
        <f t="shared" si="2"/>
        <v>210885.61389621609</v>
      </c>
      <c r="J16" s="85">
        <f t="shared" si="2"/>
        <v>200953.75082016131</v>
      </c>
      <c r="K16" s="85">
        <f t="shared" si="2"/>
        <v>190959.81359988119</v>
      </c>
      <c r="L16" s="85">
        <f t="shared" si="2"/>
        <v>180903.41427197432</v>
      </c>
      <c r="M16" s="85">
        <f t="shared" si="2"/>
        <v>170784.16244826803</v>
      </c>
      <c r="N16" s="85">
        <f t="shared" si="2"/>
        <v>160601.66530066356</v>
      </c>
      <c r="O16" s="85">
        <f t="shared" si="2"/>
        <v>150355.52754588658</v>
      </c>
      <c r="P16" s="85">
        <f t="shared" si="2"/>
        <v>140045.35143014224</v>
      </c>
      <c r="Q16" s="85">
        <f t="shared" si="2"/>
        <v>129670.7367136745</v>
      </c>
      <c r="R16" s="85">
        <f t="shared" si="2"/>
        <v>119231.28065522884</v>
      </c>
      <c r="S16" s="85">
        <f t="shared" si="2"/>
        <v>108726.57799641788</v>
      </c>
      <c r="T16" s="85">
        <f t="shared" si="2"/>
        <v>98156.220945989364</v>
      </c>
      <c r="U16" s="85">
        <f t="shared" si="2"/>
        <v>87519.79916399566</v>
      </c>
      <c r="V16" s="85">
        <f t="shared" si="2"/>
        <v>76816.899745864503</v>
      </c>
      <c r="W16" s="85">
        <f t="shared" si="2"/>
        <v>66047.107206370027</v>
      </c>
      <c r="X16" s="85">
        <f t="shared" si="2"/>
        <v>55210.003463503701</v>
      </c>
      <c r="Y16" s="85">
        <f t="shared" si="2"/>
        <v>44305.167822244461</v>
      </c>
      <c r="Z16" s="85">
        <f t="shared" si="2"/>
        <v>33332.176958227355</v>
      </c>
      <c r="AA16" s="85">
        <f t="shared" si="2"/>
        <v>22290.604901310144</v>
      </c>
      <c r="AB16" s="85">
        <f t="shared" si="2"/>
        <v>11180.023019037199</v>
      </c>
      <c r="AC16" s="85">
        <f t="shared" ref="AC16:AN16" si="3">AC13-(AC14-AC15)</f>
        <v>69.875143868983287</v>
      </c>
      <c r="AD16" s="85">
        <f t="shared" si="3"/>
        <v>0.4367196491811427</v>
      </c>
      <c r="AE16" s="85">
        <f t="shared" si="3"/>
        <v>2.7294978073821308E-3</v>
      </c>
      <c r="AF16" s="85">
        <f t="shared" si="3"/>
        <v>1.7059361296138231E-5</v>
      </c>
      <c r="AG16" s="85">
        <f t="shared" si="3"/>
        <v>1.0662100810086462E-7</v>
      </c>
      <c r="AH16" s="85">
        <f t="shared" si="3"/>
        <v>6.6638130063040916E-10</v>
      </c>
      <c r="AI16" s="85">
        <f t="shared" si="3"/>
        <v>4.1648831289400573E-12</v>
      </c>
      <c r="AJ16" s="85">
        <f t="shared" si="3"/>
        <v>2.6030519555875196E-14</v>
      </c>
      <c r="AK16" s="85">
        <f t="shared" si="3"/>
        <v>1.6269074722421871E-16</v>
      </c>
      <c r="AL16" s="85">
        <f t="shared" si="3"/>
        <v>1.016817170151367E-18</v>
      </c>
      <c r="AM16" s="85">
        <f t="shared" si="3"/>
        <v>6.3551073134461206E-21</v>
      </c>
      <c r="AN16" s="85">
        <f t="shared" si="3"/>
        <v>3.9719420709038404E-23</v>
      </c>
    </row>
    <row r="17" spans="1:40">
      <c r="A17" s="1">
        <v>1</v>
      </c>
      <c r="B17" s="1" t="s">
        <v>99</v>
      </c>
      <c r="D17" s="85"/>
      <c r="E17" s="85">
        <f>E13-E16</f>
        <v>0</v>
      </c>
      <c r="F17" s="85">
        <f>F13-F16</f>
        <v>9687.3981629061454</v>
      </c>
      <c r="G17" s="85">
        <f t="shared" ref="G17:AB17" si="4">G13-G16</f>
        <v>9747.9444014242908</v>
      </c>
      <c r="H17" s="85">
        <f t="shared" si="4"/>
        <v>9808.8690539331874</v>
      </c>
      <c r="I17" s="85">
        <f t="shared" si="4"/>
        <v>9870.1744855202851</v>
      </c>
      <c r="J17" s="85">
        <f t="shared" si="4"/>
        <v>9931.8630760547821</v>
      </c>
      <c r="K17" s="85">
        <f t="shared" si="4"/>
        <v>9993.9372202801169</v>
      </c>
      <c r="L17" s="85">
        <f t="shared" si="4"/>
        <v>10056.399327906867</v>
      </c>
      <c r="M17" s="85">
        <f t="shared" si="4"/>
        <v>10119.25182370629</v>
      </c>
      <c r="N17" s="85">
        <f t="shared" si="4"/>
        <v>10182.497147604474</v>
      </c>
      <c r="O17" s="85">
        <f t="shared" si="4"/>
        <v>10246.137754776981</v>
      </c>
      <c r="P17" s="85">
        <f t="shared" si="4"/>
        <v>10310.17611574434</v>
      </c>
      <c r="Q17" s="85">
        <f t="shared" si="4"/>
        <v>10374.614716467739</v>
      </c>
      <c r="R17" s="85">
        <f t="shared" si="4"/>
        <v>10439.456058445663</v>
      </c>
      <c r="S17" s="85">
        <f t="shared" si="4"/>
        <v>10504.702658810958</v>
      </c>
      <c r="T17" s="85">
        <f t="shared" si="4"/>
        <v>10570.357050428516</v>
      </c>
      <c r="U17" s="85">
        <f t="shared" si="4"/>
        <v>10636.421781993704</v>
      </c>
      <c r="V17" s="85">
        <f t="shared" si="4"/>
        <v>10702.899418131157</v>
      </c>
      <c r="W17" s="85">
        <f t="shared" si="4"/>
        <v>10769.792539494476</v>
      </c>
      <c r="X17" s="85">
        <f t="shared" si="4"/>
        <v>10837.103742866326</v>
      </c>
      <c r="Y17" s="85">
        <f t="shared" si="4"/>
        <v>10904.83564125924</v>
      </c>
      <c r="Z17" s="85">
        <f t="shared" si="4"/>
        <v>10972.990864017105</v>
      </c>
      <c r="AA17" s="85">
        <f t="shared" si="4"/>
        <v>11041.572056917212</v>
      </c>
      <c r="AB17" s="85">
        <f t="shared" si="4"/>
        <v>11110.581882272945</v>
      </c>
      <c r="AC17" s="85">
        <f t="shared" ref="AC17:AN17" si="5">AC13-AC16</f>
        <v>11110.147875168215</v>
      </c>
      <c r="AD17" s="85">
        <f t="shared" si="5"/>
        <v>69.438424219802144</v>
      </c>
      <c r="AE17" s="85">
        <f t="shared" si="5"/>
        <v>0.43399015137376057</v>
      </c>
      <c r="AF17" s="85">
        <f t="shared" si="5"/>
        <v>2.7124384460859925E-3</v>
      </c>
      <c r="AG17" s="85">
        <f t="shared" si="5"/>
        <v>1.6952740288037366E-5</v>
      </c>
      <c r="AH17" s="85">
        <f t="shared" si="5"/>
        <v>1.0595462680023421E-7</v>
      </c>
      <c r="AI17" s="85">
        <f t="shared" si="5"/>
        <v>6.622164175014691E-10</v>
      </c>
      <c r="AJ17" s="85">
        <f t="shared" si="5"/>
        <v>4.1388526093841821E-12</v>
      </c>
      <c r="AK17" s="85">
        <f t="shared" si="5"/>
        <v>2.5867828808650978E-14</v>
      </c>
      <c r="AL17" s="85">
        <f t="shared" si="5"/>
        <v>1.6167393005406735E-16</v>
      </c>
      <c r="AM17" s="85">
        <f t="shared" si="5"/>
        <v>1.0104620628379208E-18</v>
      </c>
      <c r="AN17" s="85">
        <f t="shared" si="5"/>
        <v>6.3153878927370822E-21</v>
      </c>
    </row>
    <row r="18" spans="1:40">
      <c r="A18" s="1">
        <v>1</v>
      </c>
      <c r="B18" s="1" t="s">
        <v>141</v>
      </c>
      <c r="D18" s="85"/>
      <c r="E18" s="85">
        <f>(E13&gt;0)*SUM(F17:Q17)</f>
        <v>0</v>
      </c>
      <c r="F18" s="85">
        <f t="shared" ref="F18:O18" si="6">(F13&gt;0)*SUM(G17:R17)</f>
        <v>121081.32118186502</v>
      </c>
      <c r="G18" s="85">
        <f t="shared" si="6"/>
        <v>121838.07943925168</v>
      </c>
      <c r="H18" s="85">
        <f t="shared" si="6"/>
        <v>122599.56743574701</v>
      </c>
      <c r="I18" s="85">
        <f t="shared" si="6"/>
        <v>123365.81473222043</v>
      </c>
      <c r="J18" s="85">
        <f t="shared" si="6"/>
        <v>124136.85107429681</v>
      </c>
      <c r="K18" s="85">
        <f t="shared" si="6"/>
        <v>124912.70639351117</v>
      </c>
      <c r="L18" s="85">
        <f t="shared" si="6"/>
        <v>125693.41080847062</v>
      </c>
      <c r="M18" s="85">
        <f t="shared" si="6"/>
        <v>126478.99462602357</v>
      </c>
      <c r="N18" s="85">
        <f t="shared" si="6"/>
        <v>127269.48834243621</v>
      </c>
      <c r="O18" s="85">
        <f t="shared" si="6"/>
        <v>128064.92264457644</v>
      </c>
      <c r="P18" s="85">
        <f t="shared" ref="P18:AB18" si="7">(P13&gt;0)*SUM(Q17:AB17)</f>
        <v>128865.32841110505</v>
      </c>
      <c r="Q18" s="85">
        <f t="shared" si="7"/>
        <v>129600.86156980552</v>
      </c>
      <c r="R18" s="85">
        <f t="shared" si="7"/>
        <v>119230.84393557966</v>
      </c>
      <c r="S18" s="85">
        <f t="shared" si="7"/>
        <v>108726.57526692007</v>
      </c>
      <c r="T18" s="85">
        <f t="shared" si="7"/>
        <v>98156.220928930008</v>
      </c>
      <c r="U18" s="85">
        <f t="shared" si="7"/>
        <v>87519.799163889038</v>
      </c>
      <c r="V18" s="85">
        <f t="shared" si="7"/>
        <v>76816.899745863833</v>
      </c>
      <c r="W18" s="85">
        <f t="shared" si="7"/>
        <v>66047.107206370027</v>
      </c>
      <c r="X18" s="85">
        <f t="shared" si="7"/>
        <v>55210.003463503701</v>
      </c>
      <c r="Y18" s="85">
        <f t="shared" si="7"/>
        <v>44305.167822244461</v>
      </c>
      <c r="Z18" s="85">
        <f t="shared" si="7"/>
        <v>33332.176958227355</v>
      </c>
      <c r="AA18" s="85">
        <f t="shared" si="7"/>
        <v>22290.604901310147</v>
      </c>
      <c r="AB18" s="85">
        <f t="shared" si="7"/>
        <v>11180.0230190372</v>
      </c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</row>
    <row r="19" spans="1:40">
      <c r="A19" s="1">
        <v>1</v>
      </c>
      <c r="B19" s="1" t="s">
        <v>142</v>
      </c>
      <c r="D19" s="85"/>
      <c r="E19" s="85">
        <f>(E13&gt;0)*Q16</f>
        <v>0</v>
      </c>
      <c r="F19" s="85">
        <f t="shared" ref="F19:O19" si="8">(F13&gt;0)*R16</f>
        <v>119231.28065522884</v>
      </c>
      <c r="G19" s="85">
        <f t="shared" si="8"/>
        <v>108726.57799641788</v>
      </c>
      <c r="H19" s="85">
        <f t="shared" si="8"/>
        <v>98156.220945989364</v>
      </c>
      <c r="I19" s="85">
        <f t="shared" si="8"/>
        <v>87519.79916399566</v>
      </c>
      <c r="J19" s="85">
        <f t="shared" si="8"/>
        <v>76816.899745864503</v>
      </c>
      <c r="K19" s="85">
        <f t="shared" si="8"/>
        <v>66047.107206370027</v>
      </c>
      <c r="L19" s="85">
        <f t="shared" si="8"/>
        <v>55210.003463503701</v>
      </c>
      <c r="M19" s="85">
        <f t="shared" si="8"/>
        <v>44305.167822244461</v>
      </c>
      <c r="N19" s="85">
        <f t="shared" si="8"/>
        <v>33332.176958227355</v>
      </c>
      <c r="O19" s="85">
        <f t="shared" si="8"/>
        <v>22290.604901310144</v>
      </c>
      <c r="P19" s="85">
        <f t="shared" ref="P19:AB19" si="9">(P13&gt;0)*AB16</f>
        <v>11180.023019037199</v>
      </c>
      <c r="Q19" s="85">
        <f t="shared" si="9"/>
        <v>69.875143868983287</v>
      </c>
      <c r="R19" s="85">
        <f t="shared" si="9"/>
        <v>0.4367196491811427</v>
      </c>
      <c r="S19" s="85">
        <f t="shared" si="9"/>
        <v>2.7294978073821308E-3</v>
      </c>
      <c r="T19" s="85">
        <f t="shared" si="9"/>
        <v>1.7059361296138231E-5</v>
      </c>
      <c r="U19" s="85">
        <f t="shared" si="9"/>
        <v>1.0662100810086462E-7</v>
      </c>
      <c r="V19" s="85">
        <f t="shared" si="9"/>
        <v>6.6638130063040916E-10</v>
      </c>
      <c r="W19" s="85">
        <f t="shared" si="9"/>
        <v>4.1648831289400573E-12</v>
      </c>
      <c r="X19" s="85">
        <f t="shared" si="9"/>
        <v>2.6030519555875196E-14</v>
      </c>
      <c r="Y19" s="85">
        <f t="shared" si="9"/>
        <v>1.6269074722421871E-16</v>
      </c>
      <c r="Z19" s="85">
        <f t="shared" si="9"/>
        <v>1.016817170151367E-18</v>
      </c>
      <c r="AA19" s="85">
        <f t="shared" si="9"/>
        <v>6.3551073134461206E-21</v>
      </c>
      <c r="AB19" s="85">
        <f t="shared" si="9"/>
        <v>3.9719420709038404E-23</v>
      </c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</row>
    <row r="20" spans="1:40">
      <c r="D20" s="85"/>
    </row>
    <row r="21" spans="1:40">
      <c r="A21" s="13"/>
      <c r="B21" s="91" t="s">
        <v>130</v>
      </c>
      <c r="C21" s="13"/>
      <c r="D21" s="13" t="s">
        <v>121</v>
      </c>
      <c r="E21" s="13">
        <f>DATEVALUE(1&amp;"/"&amp;'IP1'!$B$3&amp;"/"&amp;'IP1'!$B$4)</f>
        <v>41275</v>
      </c>
      <c r="F21" s="13">
        <f>DATE(YEAR(E21),MONTH(E21)+1,1)</f>
        <v>41306</v>
      </c>
      <c r="G21" s="13">
        <f t="shared" ref="G21:AN21" si="10">DATE(YEAR(F21),MONTH(F21)+1,1)</f>
        <v>41334</v>
      </c>
      <c r="H21" s="13">
        <f t="shared" si="10"/>
        <v>41365</v>
      </c>
      <c r="I21" s="13">
        <f t="shared" si="10"/>
        <v>41395</v>
      </c>
      <c r="J21" s="13">
        <f t="shared" si="10"/>
        <v>41426</v>
      </c>
      <c r="K21" s="13">
        <f t="shared" si="10"/>
        <v>41456</v>
      </c>
      <c r="L21" s="13">
        <f t="shared" si="10"/>
        <v>41487</v>
      </c>
      <c r="M21" s="13">
        <f t="shared" si="10"/>
        <v>41518</v>
      </c>
      <c r="N21" s="13">
        <f t="shared" si="10"/>
        <v>41548</v>
      </c>
      <c r="O21" s="13">
        <f t="shared" si="10"/>
        <v>41579</v>
      </c>
      <c r="P21" s="13">
        <f t="shared" si="10"/>
        <v>41609</v>
      </c>
      <c r="Q21" s="13">
        <f t="shared" si="10"/>
        <v>41640</v>
      </c>
      <c r="R21" s="13">
        <f t="shared" si="10"/>
        <v>41671</v>
      </c>
      <c r="S21" s="13">
        <f t="shared" si="10"/>
        <v>41699</v>
      </c>
      <c r="T21" s="13">
        <f t="shared" si="10"/>
        <v>41730</v>
      </c>
      <c r="U21" s="13">
        <f t="shared" si="10"/>
        <v>41760</v>
      </c>
      <c r="V21" s="13">
        <f t="shared" si="10"/>
        <v>41791</v>
      </c>
      <c r="W21" s="13">
        <f t="shared" si="10"/>
        <v>41821</v>
      </c>
      <c r="X21" s="13">
        <f t="shared" si="10"/>
        <v>41852</v>
      </c>
      <c r="Y21" s="13">
        <f t="shared" si="10"/>
        <v>41883</v>
      </c>
      <c r="Z21" s="13">
        <f t="shared" si="10"/>
        <v>41913</v>
      </c>
      <c r="AA21" s="13">
        <f t="shared" si="10"/>
        <v>41944</v>
      </c>
      <c r="AB21" s="13">
        <f t="shared" si="10"/>
        <v>41974</v>
      </c>
      <c r="AC21" s="90">
        <f t="shared" si="10"/>
        <v>42005</v>
      </c>
      <c r="AD21" s="90">
        <f t="shared" si="10"/>
        <v>42036</v>
      </c>
      <c r="AE21" s="90">
        <f t="shared" si="10"/>
        <v>42064</v>
      </c>
      <c r="AF21" s="90">
        <f t="shared" si="10"/>
        <v>42095</v>
      </c>
      <c r="AG21" s="90">
        <f t="shared" si="10"/>
        <v>42125</v>
      </c>
      <c r="AH21" s="90">
        <f t="shared" si="10"/>
        <v>42156</v>
      </c>
      <c r="AI21" s="90">
        <f t="shared" si="10"/>
        <v>42186</v>
      </c>
      <c r="AJ21" s="90">
        <f t="shared" si="10"/>
        <v>42217</v>
      </c>
      <c r="AK21" s="90">
        <f t="shared" si="10"/>
        <v>42248</v>
      </c>
      <c r="AL21" s="90">
        <f t="shared" si="10"/>
        <v>42278</v>
      </c>
      <c r="AM21" s="90">
        <f t="shared" si="10"/>
        <v>42309</v>
      </c>
      <c r="AN21" s="90">
        <f t="shared" si="10"/>
        <v>42339</v>
      </c>
    </row>
    <row r="23" spans="1:40">
      <c r="A23" s="1">
        <v>2</v>
      </c>
      <c r="B23" s="88" t="s">
        <v>131</v>
      </c>
      <c r="D23" s="85">
        <f>'IP1'!E138</f>
        <v>250000</v>
      </c>
    </row>
    <row r="24" spans="1:40">
      <c r="A24" s="1">
        <v>2</v>
      </c>
      <c r="B24" s="88" t="s">
        <v>132</v>
      </c>
      <c r="D24" s="87">
        <f>'IP1'!E139</f>
        <v>2</v>
      </c>
    </row>
    <row r="25" spans="1:40">
      <c r="A25" s="1">
        <v>2</v>
      </c>
      <c r="B25" s="88" t="s">
        <v>133</v>
      </c>
      <c r="D25" s="86">
        <f>'IP1'!E140</f>
        <v>7.4999999999999997E-2</v>
      </c>
    </row>
    <row r="26" spans="1:40">
      <c r="A26" s="1">
        <v>2</v>
      </c>
      <c r="B26" s="88" t="s">
        <v>96</v>
      </c>
      <c r="D26" s="85">
        <f>'IP1'!E141</f>
        <v>0</v>
      </c>
    </row>
    <row r="27" spans="1:40">
      <c r="A27" s="1">
        <v>2</v>
      </c>
      <c r="B27" s="88" t="s">
        <v>134</v>
      </c>
      <c r="D27" s="89">
        <f>IFERROR(-PMT(D25/12,D24*12,D23,D26),0)</f>
        <v>11249.898162906135</v>
      </c>
    </row>
    <row r="28" spans="1:40">
      <c r="A28" s="1">
        <v>2</v>
      </c>
      <c r="B28" s="1" t="s">
        <v>135</v>
      </c>
      <c r="D28" s="85">
        <f>(D27*D24*12)</f>
        <v>269997.55590974726</v>
      </c>
    </row>
    <row r="29" spans="1:40">
      <c r="A29" s="1">
        <v>2</v>
      </c>
      <c r="B29" s="1" t="s">
        <v>136</v>
      </c>
      <c r="D29" s="85">
        <f>(D28-D23)</f>
        <v>19997.555909747258</v>
      </c>
    </row>
    <row r="30" spans="1:40">
      <c r="A30" s="1">
        <v>2</v>
      </c>
      <c r="B30" s="1" t="s">
        <v>138</v>
      </c>
      <c r="D30" s="85">
        <f>D27*12</f>
        <v>134998.77795487363</v>
      </c>
    </row>
    <row r="31" spans="1:40">
      <c r="A31" s="1">
        <v>2</v>
      </c>
      <c r="B31" s="1" t="s">
        <v>139</v>
      </c>
      <c r="D31" s="85">
        <f>D28-D30</f>
        <v>134998.77795487363</v>
      </c>
    </row>
    <row r="32" spans="1:40">
      <c r="D32" s="85"/>
    </row>
    <row r="33" spans="1:40">
      <c r="A33" s="1">
        <v>2</v>
      </c>
      <c r="B33" s="1" t="s">
        <v>128</v>
      </c>
      <c r="D33" s="85"/>
      <c r="E33" s="85">
        <f>'IP1'!$D$138*('IP1'!$D$142=Loans!E$1)</f>
        <v>0</v>
      </c>
      <c r="F33" s="85">
        <f>((E33&gt;0)*E36)+('IP1'!$E$138*('IP1'!$E$142=Loans!F$1))</f>
        <v>0</v>
      </c>
      <c r="G33" s="85">
        <f>((F33&gt;0)*F36)+('IP1'!$E$138*('IP1'!$E$142=Loans!G$1))</f>
        <v>0</v>
      </c>
      <c r="H33" s="85">
        <f>((G33&gt;0)*G36)+('IP1'!$E$138*('IP1'!$E$142=Loans!H$1))</f>
        <v>0</v>
      </c>
      <c r="I33" s="85">
        <f>((H33&gt;0)*H36)+('IP1'!$E$138*('IP1'!$E$142=Loans!I$1))</f>
        <v>0</v>
      </c>
      <c r="J33" s="85">
        <f>((I33&gt;0)*I36)+('IP1'!$E$138*('IP1'!$E$142=Loans!J$1))</f>
        <v>0</v>
      </c>
      <c r="K33" s="85">
        <f>((J33&gt;0)*J36)+('IP1'!$E$138*('IP1'!$E$142=Loans!K$1))</f>
        <v>0</v>
      </c>
      <c r="L33" s="85">
        <f>((K33&gt;0)*K36)+('IP1'!$E$138*('IP1'!$E$142=Loans!L$1))</f>
        <v>0</v>
      </c>
      <c r="M33" s="85">
        <f>((L33&gt;0)*L36)+('IP1'!$E$138*('IP1'!$E$142=Loans!M$1))</f>
        <v>0</v>
      </c>
      <c r="N33" s="85">
        <f>((M33&gt;0)*M36)+('IP1'!$E$138*('IP1'!$E$142=Loans!N$1))</f>
        <v>0</v>
      </c>
      <c r="O33" s="85">
        <f>((N33&gt;0)*N36)+('IP1'!$E$138*('IP1'!$E$142=Loans!O$1))</f>
        <v>0</v>
      </c>
      <c r="P33" s="85">
        <f>((O33&gt;0)*O36)+('IP1'!$E$138*('IP1'!$E$142=Loans!P$1))</f>
        <v>0</v>
      </c>
      <c r="Q33" s="85">
        <f>((P33&gt;0)*P36)+('IP1'!$E$138*('IP1'!$E$142=Loans!Q$1))</f>
        <v>0</v>
      </c>
      <c r="R33" s="85">
        <f>((Q33&gt;0)*Q36)+('IP1'!$E$138*('IP1'!$E$142=Loans!R$1))</f>
        <v>0</v>
      </c>
      <c r="S33" s="85">
        <f>((R33&gt;0)*R36)+('IP1'!$E$138*('IP1'!$E$142=Loans!S$1))</f>
        <v>250000</v>
      </c>
      <c r="T33" s="85">
        <f>((S33&gt;0)*S36)+('IP1'!$E$138*('IP1'!$E$142=Loans!T$1))</f>
        <v>240312.60183709385</v>
      </c>
      <c r="U33" s="85">
        <f>((T33&gt;0)*T36)+('IP1'!$E$138*('IP1'!$E$142=Loans!U$1))</f>
        <v>230564.65743566956</v>
      </c>
      <c r="V33" s="85">
        <f>((U33&gt;0)*U36)+('IP1'!$E$138*('IP1'!$E$142=Loans!V$1))</f>
        <v>220755.78838173638</v>
      </c>
      <c r="W33" s="85">
        <f>((V33&gt;0)*V36)+('IP1'!$E$138*('IP1'!$E$142=Loans!W$1))</f>
        <v>210885.61389621609</v>
      </c>
      <c r="X33" s="85">
        <f>((W33&gt;0)*W36)+('IP1'!$E$138*('IP1'!$E$142=Loans!X$1))</f>
        <v>200953.75082016131</v>
      </c>
      <c r="Y33" s="85">
        <f>((X33&gt;0)*X36)+('IP1'!$E$138*('IP1'!$E$142=Loans!Y$1))</f>
        <v>190959.81359988119</v>
      </c>
      <c r="Z33" s="85">
        <f>((Y33&gt;0)*Y36)+('IP1'!$E$138*('IP1'!$E$142=Loans!Z$1))</f>
        <v>180903.41427197432</v>
      </c>
      <c r="AA33" s="85">
        <f>((Z33&gt;0)*Z36)+('IP1'!$E$138*('IP1'!$E$142=Loans!AA$1))</f>
        <v>170784.16244826803</v>
      </c>
      <c r="AB33" s="85">
        <f>((AA33&gt;0)*AA36)+('IP1'!$E$138*('IP1'!$E$142=Loans!AB$1))</f>
        <v>160601.66530066356</v>
      </c>
      <c r="AC33" s="85">
        <f>((AB33&gt;0)*AB36)+('IP1'!$E$138*('IP1'!$E$142=Loans!AC$1))</f>
        <v>150355.52754588658</v>
      </c>
      <c r="AD33" s="85">
        <f>((AC33&gt;0)*AC36)+('IP1'!$E$138*('IP1'!$E$142=Loans!AD$1))</f>
        <v>140045.35143014224</v>
      </c>
      <c r="AE33" s="85">
        <f>((AD33&gt;0)*AD36)+('IP1'!$E$138*('IP1'!$E$142=Loans!AE$1))</f>
        <v>129670.7367136745</v>
      </c>
      <c r="AF33" s="85">
        <f>((AE33&gt;0)*AE36)+('IP1'!$E$138*('IP1'!$E$142=Loans!AF$1))</f>
        <v>119231.28065522884</v>
      </c>
      <c r="AG33" s="85">
        <f>((AF33&gt;0)*AF36)+('IP1'!$E$138*('IP1'!$E$142=Loans!AG$1))</f>
        <v>108726.57799641788</v>
      </c>
      <c r="AH33" s="85">
        <f>((AG33&gt;0)*AG36)+('IP1'!$E$138*('IP1'!$E$142=Loans!AH$1))</f>
        <v>98156.220945989364</v>
      </c>
      <c r="AI33" s="85">
        <f>((AH33&gt;0)*AH36)+('IP1'!$E$138*('IP1'!$E$142=Loans!AI$1))</f>
        <v>87519.79916399566</v>
      </c>
      <c r="AJ33" s="85">
        <f>((AI33&gt;0)*AI36)+('IP1'!$E$138*('IP1'!$E$142=Loans!AJ$1))</f>
        <v>76816.899745864503</v>
      </c>
      <c r="AK33" s="85">
        <f>((AJ33&gt;0)*AJ36)+('IP1'!$E$138*('IP1'!$E$142=Loans!AK$1))</f>
        <v>66047.107206370027</v>
      </c>
      <c r="AL33" s="85">
        <f>((AK33&gt;0)*AK36)+('IP1'!$E$138*('IP1'!$E$142=Loans!AL$1))</f>
        <v>55210.003463503701</v>
      </c>
      <c r="AM33" s="85">
        <f>((AL33&gt;0)*AL36)+('IP1'!$E$138*('IP1'!$E$142=Loans!AM$1))</f>
        <v>44305.167822244461</v>
      </c>
      <c r="AN33" s="85">
        <f>((AM33&gt;0)*AM36)+('IP1'!$E$138*('IP1'!$E$142=Loans!AN$1))</f>
        <v>33332.176958227355</v>
      </c>
    </row>
    <row r="34" spans="1:40">
      <c r="A34" s="1">
        <v>2</v>
      </c>
      <c r="B34" s="1" t="s">
        <v>98</v>
      </c>
      <c r="D34" s="85"/>
      <c r="E34" s="85">
        <f>(E33&gt;0)*(MIN($D27,E33))</f>
        <v>0</v>
      </c>
      <c r="F34" s="85">
        <f t="shared" ref="F34:AN34" si="11">(F33&gt;0)*(MIN($D27,F33))</f>
        <v>0</v>
      </c>
      <c r="G34" s="85">
        <f t="shared" si="11"/>
        <v>0</v>
      </c>
      <c r="H34" s="85">
        <f t="shared" si="11"/>
        <v>0</v>
      </c>
      <c r="I34" s="85">
        <f t="shared" si="11"/>
        <v>0</v>
      </c>
      <c r="J34" s="85">
        <f t="shared" si="11"/>
        <v>0</v>
      </c>
      <c r="K34" s="85">
        <f t="shared" si="11"/>
        <v>0</v>
      </c>
      <c r="L34" s="85">
        <f t="shared" si="11"/>
        <v>0</v>
      </c>
      <c r="M34" s="85">
        <f t="shared" si="11"/>
        <v>0</v>
      </c>
      <c r="N34" s="85">
        <f t="shared" si="11"/>
        <v>0</v>
      </c>
      <c r="O34" s="85">
        <f t="shared" si="11"/>
        <v>0</v>
      </c>
      <c r="P34" s="85">
        <f t="shared" si="11"/>
        <v>0</v>
      </c>
      <c r="Q34" s="85">
        <f t="shared" si="11"/>
        <v>0</v>
      </c>
      <c r="R34" s="85">
        <f t="shared" si="11"/>
        <v>0</v>
      </c>
      <c r="S34" s="85">
        <f t="shared" si="11"/>
        <v>11249.898162906135</v>
      </c>
      <c r="T34" s="85">
        <f t="shared" si="11"/>
        <v>11249.898162906135</v>
      </c>
      <c r="U34" s="85">
        <f t="shared" si="11"/>
        <v>11249.898162906135</v>
      </c>
      <c r="V34" s="85">
        <f t="shared" si="11"/>
        <v>11249.898162906135</v>
      </c>
      <c r="W34" s="85">
        <f t="shared" si="11"/>
        <v>11249.898162906135</v>
      </c>
      <c r="X34" s="85">
        <f t="shared" si="11"/>
        <v>11249.898162906135</v>
      </c>
      <c r="Y34" s="85">
        <f t="shared" si="11"/>
        <v>11249.898162906135</v>
      </c>
      <c r="Z34" s="85">
        <f t="shared" si="11"/>
        <v>11249.898162906135</v>
      </c>
      <c r="AA34" s="85">
        <f t="shared" si="11"/>
        <v>11249.898162906135</v>
      </c>
      <c r="AB34" s="85">
        <f t="shared" si="11"/>
        <v>11249.898162906135</v>
      </c>
      <c r="AC34" s="85">
        <f t="shared" si="11"/>
        <v>11249.898162906135</v>
      </c>
      <c r="AD34" s="85">
        <f t="shared" si="11"/>
        <v>11249.898162906135</v>
      </c>
      <c r="AE34" s="85">
        <f t="shared" si="11"/>
        <v>11249.898162906135</v>
      </c>
      <c r="AF34" s="85">
        <f t="shared" si="11"/>
        <v>11249.898162906135</v>
      </c>
      <c r="AG34" s="85">
        <f t="shared" si="11"/>
        <v>11249.898162906135</v>
      </c>
      <c r="AH34" s="85">
        <f t="shared" si="11"/>
        <v>11249.898162906135</v>
      </c>
      <c r="AI34" s="85">
        <f t="shared" si="11"/>
        <v>11249.898162906135</v>
      </c>
      <c r="AJ34" s="85">
        <f t="shared" si="11"/>
        <v>11249.898162906135</v>
      </c>
      <c r="AK34" s="85">
        <f t="shared" si="11"/>
        <v>11249.898162906135</v>
      </c>
      <c r="AL34" s="85">
        <f t="shared" si="11"/>
        <v>11249.898162906135</v>
      </c>
      <c r="AM34" s="85">
        <f t="shared" si="11"/>
        <v>11249.898162906135</v>
      </c>
      <c r="AN34" s="85">
        <f t="shared" si="11"/>
        <v>11249.898162906135</v>
      </c>
    </row>
    <row r="35" spans="1:40">
      <c r="A35" s="1">
        <v>2</v>
      </c>
      <c r="B35" s="1" t="s">
        <v>140</v>
      </c>
      <c r="D35" s="85"/>
      <c r="E35" s="85">
        <f>('IP1'!$D$140/12)*E33</f>
        <v>0</v>
      </c>
      <c r="F35" s="85">
        <f>('IP1'!$E$140/12)*F33</f>
        <v>0</v>
      </c>
      <c r="G35" s="85">
        <f>('IP1'!$E$140/12)*G33</f>
        <v>0</v>
      </c>
      <c r="H35" s="85">
        <f>('IP1'!$E$140/12)*H33</f>
        <v>0</v>
      </c>
      <c r="I35" s="85">
        <f>('IP1'!$E$140/12)*I33</f>
        <v>0</v>
      </c>
      <c r="J35" s="85">
        <f>('IP1'!$E$140/12)*J33</f>
        <v>0</v>
      </c>
      <c r="K35" s="85">
        <f>('IP1'!$E$140/12)*K33</f>
        <v>0</v>
      </c>
      <c r="L35" s="85">
        <f>('IP1'!$E$140/12)*L33</f>
        <v>0</v>
      </c>
      <c r="M35" s="85">
        <f>('IP1'!$E$140/12)*M33</f>
        <v>0</v>
      </c>
      <c r="N35" s="85">
        <f>('IP1'!$E$140/12)*N33</f>
        <v>0</v>
      </c>
      <c r="O35" s="85">
        <f>('IP1'!$E$140/12)*O33</f>
        <v>0</v>
      </c>
      <c r="P35" s="85">
        <f>('IP1'!$E$140/12)*P33</f>
        <v>0</v>
      </c>
      <c r="Q35" s="85">
        <f>('IP1'!$E$140/12)*Q33</f>
        <v>0</v>
      </c>
      <c r="R35" s="85">
        <f>('IP1'!$E$140/12)*R33</f>
        <v>0</v>
      </c>
      <c r="S35" s="85">
        <f>('IP1'!$E$140/12)*S33</f>
        <v>1562.4999999999998</v>
      </c>
      <c r="T35" s="85">
        <f>('IP1'!$E$140/12)*T33</f>
        <v>1501.9537614818364</v>
      </c>
      <c r="U35" s="85">
        <f>('IP1'!$E$140/12)*U33</f>
        <v>1441.0291089729346</v>
      </c>
      <c r="V35" s="85">
        <f>('IP1'!$E$140/12)*V33</f>
        <v>1379.7236773858522</v>
      </c>
      <c r="W35" s="85">
        <f>('IP1'!$E$140/12)*W33</f>
        <v>1318.0350868513506</v>
      </c>
      <c r="X35" s="85">
        <f>('IP1'!$E$140/12)*X33</f>
        <v>1255.9609426260081</v>
      </c>
      <c r="Y35" s="85">
        <f>('IP1'!$E$140/12)*Y33</f>
        <v>1193.4988349992573</v>
      </c>
      <c r="Z35" s="85">
        <f>('IP1'!$E$140/12)*Z33</f>
        <v>1130.6463391998395</v>
      </c>
      <c r="AA35" s="85">
        <f>('IP1'!$E$140/12)*AA33</f>
        <v>1067.4010153016752</v>
      </c>
      <c r="AB35" s="85">
        <f>('IP1'!$E$140/12)*AB33</f>
        <v>1003.7604081291472</v>
      </c>
      <c r="AC35" s="85">
        <f>('IP1'!$E$140/12)*AC33</f>
        <v>939.72204716179101</v>
      </c>
      <c r="AD35" s="85">
        <f>('IP1'!$E$140/12)*AD33</f>
        <v>875.28344643838898</v>
      </c>
      <c r="AE35" s="85">
        <f>('IP1'!$E$140/12)*AE33</f>
        <v>810.44210446046554</v>
      </c>
      <c r="AF35" s="85">
        <f>('IP1'!$E$140/12)*AF33</f>
        <v>745.19550409518013</v>
      </c>
      <c r="AG35" s="85">
        <f>('IP1'!$E$140/12)*AG33</f>
        <v>679.5411124776117</v>
      </c>
      <c r="AH35" s="85">
        <f>('IP1'!$E$140/12)*AH33</f>
        <v>613.47638091243346</v>
      </c>
      <c r="AI35" s="85">
        <f>('IP1'!$E$140/12)*AI33</f>
        <v>546.99874477497281</v>
      </c>
      <c r="AJ35" s="85">
        <f>('IP1'!$E$140/12)*AJ33</f>
        <v>480.10562341165308</v>
      </c>
      <c r="AK35" s="85">
        <f>('IP1'!$E$140/12)*AK33</f>
        <v>412.79442003981262</v>
      </c>
      <c r="AL35" s="85">
        <f>('IP1'!$E$140/12)*AL33</f>
        <v>345.06252164689812</v>
      </c>
      <c r="AM35" s="85">
        <f>('IP1'!$E$140/12)*AM33</f>
        <v>276.90729888902786</v>
      </c>
      <c r="AN35" s="85">
        <f>('IP1'!$E$140/12)*AN33</f>
        <v>208.32610598892094</v>
      </c>
    </row>
    <row r="36" spans="1:40">
      <c r="A36" s="1">
        <v>2</v>
      </c>
      <c r="B36" s="1" t="s">
        <v>37</v>
      </c>
      <c r="D36" s="85"/>
      <c r="E36" s="85">
        <f>E33-(E34-E35)</f>
        <v>0</v>
      </c>
      <c r="F36" s="85">
        <f>F33-(F34-F35)</f>
        <v>0</v>
      </c>
      <c r="G36" s="85">
        <f t="shared" ref="G36:AB36" si="12">G33-(G34-G35)</f>
        <v>0</v>
      </c>
      <c r="H36" s="85">
        <f t="shared" si="12"/>
        <v>0</v>
      </c>
      <c r="I36" s="85">
        <f t="shared" si="12"/>
        <v>0</v>
      </c>
      <c r="J36" s="85">
        <f t="shared" si="12"/>
        <v>0</v>
      </c>
      <c r="K36" s="85">
        <f t="shared" si="12"/>
        <v>0</v>
      </c>
      <c r="L36" s="85">
        <f t="shared" si="12"/>
        <v>0</v>
      </c>
      <c r="M36" s="85">
        <f t="shared" si="12"/>
        <v>0</v>
      </c>
      <c r="N36" s="85">
        <f t="shared" si="12"/>
        <v>0</v>
      </c>
      <c r="O36" s="85">
        <f t="shared" si="12"/>
        <v>0</v>
      </c>
      <c r="P36" s="85">
        <f t="shared" si="12"/>
        <v>0</v>
      </c>
      <c r="Q36" s="85">
        <f t="shared" si="12"/>
        <v>0</v>
      </c>
      <c r="R36" s="85">
        <f t="shared" si="12"/>
        <v>0</v>
      </c>
      <c r="S36" s="85">
        <f t="shared" si="12"/>
        <v>240312.60183709385</v>
      </c>
      <c r="T36" s="85">
        <f t="shared" si="12"/>
        <v>230564.65743566956</v>
      </c>
      <c r="U36" s="85">
        <f t="shared" si="12"/>
        <v>220755.78838173638</v>
      </c>
      <c r="V36" s="85">
        <f t="shared" si="12"/>
        <v>210885.61389621609</v>
      </c>
      <c r="W36" s="85">
        <f t="shared" si="12"/>
        <v>200953.75082016131</v>
      </c>
      <c r="X36" s="85">
        <f t="shared" si="12"/>
        <v>190959.81359988119</v>
      </c>
      <c r="Y36" s="85">
        <f t="shared" si="12"/>
        <v>180903.41427197432</v>
      </c>
      <c r="Z36" s="85">
        <f t="shared" si="12"/>
        <v>170784.16244826803</v>
      </c>
      <c r="AA36" s="85">
        <f t="shared" si="12"/>
        <v>160601.66530066356</v>
      </c>
      <c r="AB36" s="85">
        <f t="shared" si="12"/>
        <v>150355.52754588658</v>
      </c>
      <c r="AC36" s="85">
        <f t="shared" ref="AC36:AN36" si="13">AC33-(AC34-AC35)</f>
        <v>140045.35143014224</v>
      </c>
      <c r="AD36" s="85">
        <f t="shared" si="13"/>
        <v>129670.7367136745</v>
      </c>
      <c r="AE36" s="85">
        <f t="shared" si="13"/>
        <v>119231.28065522884</v>
      </c>
      <c r="AF36" s="85">
        <f t="shared" si="13"/>
        <v>108726.57799641788</v>
      </c>
      <c r="AG36" s="85">
        <f t="shared" si="13"/>
        <v>98156.220945989364</v>
      </c>
      <c r="AH36" s="85">
        <f t="shared" si="13"/>
        <v>87519.79916399566</v>
      </c>
      <c r="AI36" s="85">
        <f t="shared" si="13"/>
        <v>76816.899745864503</v>
      </c>
      <c r="AJ36" s="85">
        <f t="shared" si="13"/>
        <v>66047.107206370027</v>
      </c>
      <c r="AK36" s="85">
        <f t="shared" si="13"/>
        <v>55210.003463503701</v>
      </c>
      <c r="AL36" s="85">
        <f t="shared" si="13"/>
        <v>44305.167822244461</v>
      </c>
      <c r="AM36" s="85">
        <f t="shared" si="13"/>
        <v>33332.176958227355</v>
      </c>
      <c r="AN36" s="85">
        <f t="shared" si="13"/>
        <v>22290.604901310144</v>
      </c>
    </row>
    <row r="37" spans="1:40">
      <c r="A37" s="1">
        <v>2</v>
      </c>
      <c r="B37" s="1" t="s">
        <v>99</v>
      </c>
      <c r="D37" s="85"/>
      <c r="E37" s="85">
        <f>E33-E36</f>
        <v>0</v>
      </c>
      <c r="F37" s="85">
        <f>F33-F36</f>
        <v>0</v>
      </c>
      <c r="G37" s="85">
        <f t="shared" ref="G37:AB37" si="14">G33-G36</f>
        <v>0</v>
      </c>
      <c r="H37" s="85">
        <f t="shared" si="14"/>
        <v>0</v>
      </c>
      <c r="I37" s="85">
        <f t="shared" si="14"/>
        <v>0</v>
      </c>
      <c r="J37" s="85">
        <f t="shared" si="14"/>
        <v>0</v>
      </c>
      <c r="K37" s="85">
        <f t="shared" si="14"/>
        <v>0</v>
      </c>
      <c r="L37" s="85">
        <f t="shared" si="14"/>
        <v>0</v>
      </c>
      <c r="M37" s="85">
        <f t="shared" si="14"/>
        <v>0</v>
      </c>
      <c r="N37" s="85">
        <f t="shared" si="14"/>
        <v>0</v>
      </c>
      <c r="O37" s="85">
        <f t="shared" si="14"/>
        <v>0</v>
      </c>
      <c r="P37" s="85">
        <f t="shared" si="14"/>
        <v>0</v>
      </c>
      <c r="Q37" s="85">
        <f t="shared" si="14"/>
        <v>0</v>
      </c>
      <c r="R37" s="85">
        <f t="shared" si="14"/>
        <v>0</v>
      </c>
      <c r="S37" s="85">
        <f t="shared" si="14"/>
        <v>9687.3981629061454</v>
      </c>
      <c r="T37" s="85">
        <f t="shared" si="14"/>
        <v>9747.9444014242908</v>
      </c>
      <c r="U37" s="85">
        <f t="shared" si="14"/>
        <v>9808.8690539331874</v>
      </c>
      <c r="V37" s="85">
        <f t="shared" si="14"/>
        <v>9870.1744855202851</v>
      </c>
      <c r="W37" s="85">
        <f t="shared" si="14"/>
        <v>9931.8630760547821</v>
      </c>
      <c r="X37" s="85">
        <f t="shared" si="14"/>
        <v>9993.9372202801169</v>
      </c>
      <c r="Y37" s="85">
        <f t="shared" si="14"/>
        <v>10056.399327906867</v>
      </c>
      <c r="Z37" s="85">
        <f t="shared" si="14"/>
        <v>10119.25182370629</v>
      </c>
      <c r="AA37" s="85">
        <f t="shared" si="14"/>
        <v>10182.497147604474</v>
      </c>
      <c r="AB37" s="85">
        <f t="shared" si="14"/>
        <v>10246.137754776981</v>
      </c>
      <c r="AC37" s="85">
        <f t="shared" ref="AC37:AN37" si="15">AC33-AC36</f>
        <v>10310.17611574434</v>
      </c>
      <c r="AD37" s="85">
        <f t="shared" si="15"/>
        <v>10374.614716467739</v>
      </c>
      <c r="AE37" s="85">
        <f t="shared" si="15"/>
        <v>10439.456058445663</v>
      </c>
      <c r="AF37" s="85">
        <f t="shared" si="15"/>
        <v>10504.702658810958</v>
      </c>
      <c r="AG37" s="85">
        <f t="shared" si="15"/>
        <v>10570.357050428516</v>
      </c>
      <c r="AH37" s="85">
        <f t="shared" si="15"/>
        <v>10636.421781993704</v>
      </c>
      <c r="AI37" s="85">
        <f t="shared" si="15"/>
        <v>10702.899418131157</v>
      </c>
      <c r="AJ37" s="85">
        <f t="shared" si="15"/>
        <v>10769.792539494476</v>
      </c>
      <c r="AK37" s="85">
        <f t="shared" si="15"/>
        <v>10837.103742866326</v>
      </c>
      <c r="AL37" s="85">
        <f t="shared" si="15"/>
        <v>10904.83564125924</v>
      </c>
      <c r="AM37" s="85">
        <f t="shared" si="15"/>
        <v>10972.990864017105</v>
      </c>
      <c r="AN37" s="85">
        <f t="shared" si="15"/>
        <v>11041.572056917212</v>
      </c>
    </row>
    <row r="38" spans="1:40">
      <c r="A38" s="1">
        <v>2</v>
      </c>
      <c r="B38" s="1" t="s">
        <v>141</v>
      </c>
      <c r="D38" s="85"/>
      <c r="E38" s="85">
        <f>(E33&gt;0)*SUM(F37:Q37)</f>
        <v>0</v>
      </c>
      <c r="F38" s="85">
        <f t="shared" ref="F38:AB38" si="16">(F33&gt;0)*SUM(G37:R37)</f>
        <v>0</v>
      </c>
      <c r="G38" s="85">
        <f t="shared" si="16"/>
        <v>0</v>
      </c>
      <c r="H38" s="85">
        <f t="shared" si="16"/>
        <v>0</v>
      </c>
      <c r="I38" s="85">
        <f t="shared" si="16"/>
        <v>0</v>
      </c>
      <c r="J38" s="85">
        <f t="shared" si="16"/>
        <v>0</v>
      </c>
      <c r="K38" s="85">
        <f t="shared" si="16"/>
        <v>0</v>
      </c>
      <c r="L38" s="85">
        <f t="shared" si="16"/>
        <v>0</v>
      </c>
      <c r="M38" s="85">
        <f t="shared" si="16"/>
        <v>0</v>
      </c>
      <c r="N38" s="85">
        <f t="shared" si="16"/>
        <v>0</v>
      </c>
      <c r="O38" s="85">
        <f t="shared" si="16"/>
        <v>0</v>
      </c>
      <c r="P38" s="85">
        <f t="shared" si="16"/>
        <v>0</v>
      </c>
      <c r="Q38" s="85">
        <f t="shared" si="16"/>
        <v>0</v>
      </c>
      <c r="R38" s="85">
        <f t="shared" si="16"/>
        <v>0</v>
      </c>
      <c r="S38" s="85">
        <f t="shared" si="16"/>
        <v>121081.32118186502</v>
      </c>
      <c r="T38" s="85">
        <f t="shared" si="16"/>
        <v>121838.07943925168</v>
      </c>
      <c r="U38" s="85">
        <f t="shared" si="16"/>
        <v>122599.56743574701</v>
      </c>
      <c r="V38" s="85">
        <f t="shared" si="16"/>
        <v>123365.81473222043</v>
      </c>
      <c r="W38" s="85">
        <f t="shared" si="16"/>
        <v>124136.85107429681</v>
      </c>
      <c r="X38" s="85">
        <f t="shared" si="16"/>
        <v>124912.70639351117</v>
      </c>
      <c r="Y38" s="85">
        <f t="shared" si="16"/>
        <v>125693.41080847062</v>
      </c>
      <c r="Z38" s="85">
        <f t="shared" si="16"/>
        <v>126478.99462602357</v>
      </c>
      <c r="AA38" s="85">
        <f t="shared" si="16"/>
        <v>127269.48834243621</v>
      </c>
      <c r="AB38" s="85">
        <f t="shared" si="16"/>
        <v>128064.92264457644</v>
      </c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</row>
    <row r="39" spans="1:40">
      <c r="A39" s="1">
        <v>2</v>
      </c>
      <c r="B39" s="1" t="s">
        <v>142</v>
      </c>
      <c r="D39" s="85"/>
      <c r="E39" s="85">
        <f>(E33&gt;0)*Q36</f>
        <v>0</v>
      </c>
      <c r="F39" s="85">
        <f t="shared" ref="F39:AB39" si="17">(F33&gt;0)*R36</f>
        <v>0</v>
      </c>
      <c r="G39" s="85">
        <f t="shared" si="17"/>
        <v>0</v>
      </c>
      <c r="H39" s="85">
        <f t="shared" si="17"/>
        <v>0</v>
      </c>
      <c r="I39" s="85">
        <f t="shared" si="17"/>
        <v>0</v>
      </c>
      <c r="J39" s="85">
        <f t="shared" si="17"/>
        <v>0</v>
      </c>
      <c r="K39" s="85">
        <f t="shared" si="17"/>
        <v>0</v>
      </c>
      <c r="L39" s="85">
        <f t="shared" si="17"/>
        <v>0</v>
      </c>
      <c r="M39" s="85">
        <f t="shared" si="17"/>
        <v>0</v>
      </c>
      <c r="N39" s="85">
        <f t="shared" si="17"/>
        <v>0</v>
      </c>
      <c r="O39" s="85">
        <f t="shared" si="17"/>
        <v>0</v>
      </c>
      <c r="P39" s="85">
        <f t="shared" si="17"/>
        <v>0</v>
      </c>
      <c r="Q39" s="85">
        <f t="shared" si="17"/>
        <v>0</v>
      </c>
      <c r="R39" s="85">
        <f t="shared" si="17"/>
        <v>0</v>
      </c>
      <c r="S39" s="85">
        <f t="shared" si="17"/>
        <v>119231.28065522884</v>
      </c>
      <c r="T39" s="85">
        <f t="shared" si="17"/>
        <v>108726.57799641788</v>
      </c>
      <c r="U39" s="85">
        <f t="shared" si="17"/>
        <v>98156.220945989364</v>
      </c>
      <c r="V39" s="85">
        <f t="shared" si="17"/>
        <v>87519.79916399566</v>
      </c>
      <c r="W39" s="85">
        <f t="shared" si="17"/>
        <v>76816.899745864503</v>
      </c>
      <c r="X39" s="85">
        <f t="shared" si="17"/>
        <v>66047.107206370027</v>
      </c>
      <c r="Y39" s="85">
        <f t="shared" si="17"/>
        <v>55210.003463503701</v>
      </c>
      <c r="Z39" s="85">
        <f t="shared" si="17"/>
        <v>44305.167822244461</v>
      </c>
      <c r="AA39" s="85">
        <f t="shared" si="17"/>
        <v>33332.176958227355</v>
      </c>
      <c r="AB39" s="85">
        <f t="shared" si="17"/>
        <v>22290.604901310144</v>
      </c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</row>
    <row r="40" spans="1:40">
      <c r="D40" s="85"/>
    </row>
    <row r="41" spans="1:40">
      <c r="A41" s="13"/>
      <c r="B41" s="91" t="s">
        <v>59</v>
      </c>
      <c r="C41" s="13"/>
      <c r="D41" s="13" t="s">
        <v>121</v>
      </c>
      <c r="E41" s="13">
        <f>DATEVALUE(1&amp;"/"&amp;'IP1'!$B$3&amp;"/"&amp;'IP1'!$B$4)</f>
        <v>41275</v>
      </c>
      <c r="F41" s="13">
        <f>DATE(YEAR(E41),MONTH(E41)+1,1)</f>
        <v>41306</v>
      </c>
      <c r="G41" s="13">
        <f t="shared" ref="G41:AN41" si="18">DATE(YEAR(F41),MONTH(F41)+1,1)</f>
        <v>41334</v>
      </c>
      <c r="H41" s="13">
        <f t="shared" si="18"/>
        <v>41365</v>
      </c>
      <c r="I41" s="13">
        <f t="shared" si="18"/>
        <v>41395</v>
      </c>
      <c r="J41" s="13">
        <f t="shared" si="18"/>
        <v>41426</v>
      </c>
      <c r="K41" s="13">
        <f t="shared" si="18"/>
        <v>41456</v>
      </c>
      <c r="L41" s="13">
        <f t="shared" si="18"/>
        <v>41487</v>
      </c>
      <c r="M41" s="13">
        <f t="shared" si="18"/>
        <v>41518</v>
      </c>
      <c r="N41" s="13">
        <f t="shared" si="18"/>
        <v>41548</v>
      </c>
      <c r="O41" s="13">
        <f t="shared" si="18"/>
        <v>41579</v>
      </c>
      <c r="P41" s="13">
        <f t="shared" si="18"/>
        <v>41609</v>
      </c>
      <c r="Q41" s="13">
        <f t="shared" si="18"/>
        <v>41640</v>
      </c>
      <c r="R41" s="13">
        <f t="shared" si="18"/>
        <v>41671</v>
      </c>
      <c r="S41" s="13">
        <f t="shared" si="18"/>
        <v>41699</v>
      </c>
      <c r="T41" s="13">
        <f t="shared" si="18"/>
        <v>41730</v>
      </c>
      <c r="U41" s="13">
        <f t="shared" si="18"/>
        <v>41760</v>
      </c>
      <c r="V41" s="13">
        <f t="shared" si="18"/>
        <v>41791</v>
      </c>
      <c r="W41" s="13">
        <f t="shared" si="18"/>
        <v>41821</v>
      </c>
      <c r="X41" s="13">
        <f t="shared" si="18"/>
        <v>41852</v>
      </c>
      <c r="Y41" s="13">
        <f t="shared" si="18"/>
        <v>41883</v>
      </c>
      <c r="Z41" s="13">
        <f t="shared" si="18"/>
        <v>41913</v>
      </c>
      <c r="AA41" s="13">
        <f t="shared" si="18"/>
        <v>41944</v>
      </c>
      <c r="AB41" s="13">
        <f t="shared" si="18"/>
        <v>41974</v>
      </c>
      <c r="AC41" s="90">
        <f t="shared" si="18"/>
        <v>42005</v>
      </c>
      <c r="AD41" s="90">
        <f t="shared" si="18"/>
        <v>42036</v>
      </c>
      <c r="AE41" s="90">
        <f t="shared" si="18"/>
        <v>42064</v>
      </c>
      <c r="AF41" s="90">
        <f t="shared" si="18"/>
        <v>42095</v>
      </c>
      <c r="AG41" s="90">
        <f t="shared" si="18"/>
        <v>42125</v>
      </c>
      <c r="AH41" s="90">
        <f t="shared" si="18"/>
        <v>42156</v>
      </c>
      <c r="AI41" s="90">
        <f t="shared" si="18"/>
        <v>42186</v>
      </c>
      <c r="AJ41" s="90">
        <f t="shared" si="18"/>
        <v>42217</v>
      </c>
      <c r="AK41" s="90">
        <f t="shared" si="18"/>
        <v>42248</v>
      </c>
      <c r="AL41" s="90">
        <f t="shared" si="18"/>
        <v>42278</v>
      </c>
      <c r="AM41" s="90">
        <f t="shared" si="18"/>
        <v>42309</v>
      </c>
      <c r="AN41" s="90">
        <f t="shared" si="18"/>
        <v>42339</v>
      </c>
    </row>
    <row r="43" spans="1:40">
      <c r="A43" s="1" t="s">
        <v>147</v>
      </c>
      <c r="B43" s="88" t="s">
        <v>131</v>
      </c>
      <c r="D43" s="85">
        <f>'IP1'!F138</f>
        <v>100000</v>
      </c>
    </row>
    <row r="44" spans="1:40">
      <c r="A44" s="1" t="s">
        <v>147</v>
      </c>
      <c r="B44" s="88" t="s">
        <v>132</v>
      </c>
      <c r="D44" s="85">
        <f>'IP1'!F139</f>
        <v>2</v>
      </c>
    </row>
    <row r="45" spans="1:40">
      <c r="A45" s="1" t="s">
        <v>147</v>
      </c>
      <c r="B45" s="88" t="s">
        <v>133</v>
      </c>
      <c r="D45" s="86">
        <f>'IP1'!F135</f>
        <v>0.08</v>
      </c>
    </row>
    <row r="46" spans="1:40">
      <c r="D46" s="85"/>
    </row>
    <row r="47" spans="1:40">
      <c r="A47" s="1" t="s">
        <v>147</v>
      </c>
      <c r="B47" s="1" t="s">
        <v>128</v>
      </c>
      <c r="D47" s="85"/>
      <c r="E47" s="85">
        <f>'IP1'!$F$138*('IP1'!$F$142=Loans!E$1)</f>
        <v>100000</v>
      </c>
      <c r="F47" s="85">
        <f>((E47&gt;0)*E51)+('IP1'!$F$138*('IP1'!$F$142=Loans!F$1))</f>
        <v>100000</v>
      </c>
      <c r="G47" s="85">
        <f>((F47&gt;0)*F51)+('IP1'!$F$138*('IP1'!$F$142=Loans!G$1))</f>
        <v>100000</v>
      </c>
      <c r="H47" s="85">
        <f>((G47&gt;0)*G51)+('IP1'!$F$138*('IP1'!$F$142=Loans!H$1))</f>
        <v>95833.333333333343</v>
      </c>
      <c r="I47" s="85">
        <f>((H47&gt;0)*H51)+('IP1'!$F$138*('IP1'!$F$142=Loans!I$1))</f>
        <v>91666.666666666672</v>
      </c>
      <c r="J47" s="85">
        <f>((I47&gt;0)*I51)+('IP1'!$F$138*('IP1'!$F$142=Loans!J$1))</f>
        <v>87500</v>
      </c>
      <c r="K47" s="85">
        <f>((J47&gt;0)*J51)+('IP1'!$F$138*('IP1'!$F$142=Loans!K$1))</f>
        <v>83333.333333333328</v>
      </c>
      <c r="L47" s="85">
        <f>((K47&gt;0)*K51)+('IP1'!$F$138*('IP1'!$F$142=Loans!L$1))</f>
        <v>79166.666666666672</v>
      </c>
      <c r="M47" s="85">
        <f>((L47&gt;0)*L51)+('IP1'!$F$138*('IP1'!$F$142=Loans!M$1))</f>
        <v>75000</v>
      </c>
      <c r="N47" s="85">
        <f>((M47&gt;0)*M51)+('IP1'!$F$138*('IP1'!$F$142=Loans!N$1))</f>
        <v>70833.333333333328</v>
      </c>
      <c r="O47" s="85">
        <f>((N47&gt;0)*N51)+('IP1'!$F$138*('IP1'!$F$142=Loans!O$1))</f>
        <v>66666.666666666657</v>
      </c>
      <c r="P47" s="85">
        <f>((O47&gt;0)*O51)+('IP1'!$F$138*('IP1'!$F$142=Loans!P$1))</f>
        <v>62499.999999999985</v>
      </c>
      <c r="Q47" s="85">
        <f>((P47&gt;0)*P51)+('IP1'!$F$138*('IP1'!$F$142=Loans!Q$1))</f>
        <v>58333.333333333314</v>
      </c>
      <c r="R47" s="85">
        <f>((Q47&gt;0)*Q51)+('IP1'!$F$138*('IP1'!$F$142=Loans!R$1))</f>
        <v>54166.66666666665</v>
      </c>
      <c r="S47" s="85">
        <f>((R47&gt;0)*R51)+('IP1'!$F$138*('IP1'!$F$142=Loans!S$1))</f>
        <v>49999.999999999978</v>
      </c>
      <c r="T47" s="85">
        <f>((S47&gt;0)*S51)+('IP1'!$F$138*('IP1'!$F$142=Loans!T$1))</f>
        <v>45833.333333333314</v>
      </c>
      <c r="U47" s="85">
        <f>((T47&gt;0)*T51)+('IP1'!$F$138*('IP1'!$F$142=Loans!U$1))</f>
        <v>41666.666666666642</v>
      </c>
      <c r="V47" s="85">
        <f>((U47&gt;0)*U51)+('IP1'!$F$138*('IP1'!$F$142=Loans!V$1))</f>
        <v>37499.999999999978</v>
      </c>
      <c r="W47" s="85">
        <f>((V47&gt;0)*V51)+('IP1'!$F$138*('IP1'!$F$142=Loans!W$1))</f>
        <v>33333.333333333314</v>
      </c>
      <c r="X47" s="85">
        <f>((W47&gt;0)*W51)+('IP1'!$F$138*('IP1'!$F$142=Loans!X$1))</f>
        <v>29166.666666666642</v>
      </c>
      <c r="Y47" s="85">
        <f>((X47&gt;0)*X51)+('IP1'!$F$138*('IP1'!$F$142=Loans!Y$1))</f>
        <v>24999.999999999978</v>
      </c>
      <c r="Z47" s="85">
        <f>((Y47&gt;0)*Y51)+('IP1'!$F$138*('IP1'!$F$142=Loans!Z$1))</f>
        <v>20833.333333333314</v>
      </c>
      <c r="AA47" s="85">
        <f>((Z47&gt;0)*Z51)+('IP1'!$F$138*('IP1'!$F$142=Loans!AA$1))</f>
        <v>16666.66666666665</v>
      </c>
      <c r="AB47" s="85">
        <f>((AA47&gt;0)*AA51)+('IP1'!$F$138*('IP1'!$F$142=Loans!AB$1))</f>
        <v>12499.999999999982</v>
      </c>
      <c r="AC47" s="85">
        <f>((AB47&gt;0)*AB51)+('IP1'!$F$138*('IP1'!$F$142=Loans!AC$1))</f>
        <v>8333.3333333333157</v>
      </c>
      <c r="AD47" s="85">
        <f>((AC47&gt;0)*AC51)+('IP1'!$F$138*('IP1'!$F$142=Loans!AD$1))</f>
        <v>4166.6666666666479</v>
      </c>
      <c r="AE47" s="85">
        <f>((AD47&gt;0)*AD51)+('IP1'!$F$138*('IP1'!$F$142=Loans!AE$1))</f>
        <v>0</v>
      </c>
      <c r="AF47" s="85">
        <f>((AE47&gt;0)*AE51)+('IP1'!$F$138*('IP1'!$F$142=Loans!AF$1))</f>
        <v>0</v>
      </c>
      <c r="AG47" s="85">
        <f>((AF47&gt;0)*AF51)+('IP1'!$F$138*('IP1'!$F$142=Loans!AG$1))</f>
        <v>0</v>
      </c>
      <c r="AH47" s="85">
        <f>((AG47&gt;0)*AG51)+('IP1'!$F$138*('IP1'!$F$142=Loans!AH$1))</f>
        <v>0</v>
      </c>
      <c r="AI47" s="85">
        <f>((AH47&gt;0)*AH51)+('IP1'!$F$138*('IP1'!$F$142=Loans!AI$1))</f>
        <v>0</v>
      </c>
      <c r="AJ47" s="85">
        <f>((AI47&gt;0)*AI51)+('IP1'!$F$138*('IP1'!$F$142=Loans!AJ$1))</f>
        <v>0</v>
      </c>
      <c r="AK47" s="85">
        <f>((AJ47&gt;0)*AJ51)+('IP1'!$F$138*('IP1'!$F$142=Loans!AK$1))</f>
        <v>0</v>
      </c>
      <c r="AL47" s="85">
        <f>((AK47&gt;0)*AK51)+('IP1'!$F$138*('IP1'!$F$142=Loans!AL$1))</f>
        <v>0</v>
      </c>
      <c r="AM47" s="85">
        <f>((AL47&gt;0)*AL51)+('IP1'!$F$138*('IP1'!$F$142=Loans!AM$1))</f>
        <v>0</v>
      </c>
      <c r="AN47" s="85">
        <f>((AM47&gt;0)*AM51)+('IP1'!$F$138*('IP1'!$F$142=Loans!AN$1))</f>
        <v>0</v>
      </c>
    </row>
    <row r="48" spans="1:40">
      <c r="A48" s="1" t="s">
        <v>147</v>
      </c>
      <c r="B48" s="1" t="s">
        <v>32</v>
      </c>
      <c r="D48" s="85"/>
      <c r="E48" s="85">
        <f>(E47*$D$45)/12</f>
        <v>666.66666666666663</v>
      </c>
      <c r="F48" s="85">
        <f t="shared" ref="F48:AC48" si="19">(F47*$D$45)/12</f>
        <v>666.66666666666663</v>
      </c>
      <c r="G48" s="85">
        <f t="shared" si="19"/>
        <v>666.66666666666663</v>
      </c>
      <c r="H48" s="85">
        <f t="shared" si="19"/>
        <v>638.88888888888903</v>
      </c>
      <c r="I48" s="85">
        <f t="shared" si="19"/>
        <v>611.1111111111112</v>
      </c>
      <c r="J48" s="85">
        <f t="shared" si="19"/>
        <v>583.33333333333337</v>
      </c>
      <c r="K48" s="85">
        <f t="shared" si="19"/>
        <v>555.55555555555554</v>
      </c>
      <c r="L48" s="85">
        <f t="shared" si="19"/>
        <v>527.77777777777783</v>
      </c>
      <c r="M48" s="85">
        <f t="shared" si="19"/>
        <v>500</v>
      </c>
      <c r="N48" s="85">
        <f t="shared" si="19"/>
        <v>472.22222222222217</v>
      </c>
      <c r="O48" s="85">
        <f t="shared" si="19"/>
        <v>444.4444444444444</v>
      </c>
      <c r="P48" s="85">
        <f t="shared" si="19"/>
        <v>416.66666666666657</v>
      </c>
      <c r="Q48" s="85">
        <f t="shared" si="19"/>
        <v>388.88888888888874</v>
      </c>
      <c r="R48" s="85">
        <f t="shared" si="19"/>
        <v>361.11111111111103</v>
      </c>
      <c r="S48" s="85">
        <f t="shared" si="19"/>
        <v>333.3333333333332</v>
      </c>
      <c r="T48" s="85">
        <f t="shared" si="19"/>
        <v>305.55555555555543</v>
      </c>
      <c r="U48" s="85">
        <f t="shared" si="19"/>
        <v>277.77777777777766</v>
      </c>
      <c r="V48" s="85">
        <f t="shared" si="19"/>
        <v>249.99999999999986</v>
      </c>
      <c r="W48" s="85">
        <f t="shared" si="19"/>
        <v>222.22222222222209</v>
      </c>
      <c r="X48" s="85">
        <f t="shared" si="19"/>
        <v>194.44444444444431</v>
      </c>
      <c r="Y48" s="85">
        <f t="shared" si="19"/>
        <v>166.66666666666654</v>
      </c>
      <c r="Z48" s="85">
        <f t="shared" si="19"/>
        <v>138.88888888888877</v>
      </c>
      <c r="AA48" s="85">
        <f t="shared" si="19"/>
        <v>111.11111111111099</v>
      </c>
      <c r="AB48" s="85">
        <f t="shared" si="19"/>
        <v>83.333333333333215</v>
      </c>
      <c r="AC48" s="85">
        <f t="shared" si="19"/>
        <v>55.555555555555436</v>
      </c>
      <c r="AD48" s="85">
        <f t="shared" ref="AD48:AN48" si="20">(AD47*$D$45)/12</f>
        <v>27.777777777777654</v>
      </c>
      <c r="AE48" s="85">
        <f t="shared" si="20"/>
        <v>0</v>
      </c>
      <c r="AF48" s="85">
        <f t="shared" si="20"/>
        <v>0</v>
      </c>
      <c r="AG48" s="85">
        <f t="shared" si="20"/>
        <v>0</v>
      </c>
      <c r="AH48" s="85">
        <f t="shared" si="20"/>
        <v>0</v>
      </c>
      <c r="AI48" s="85">
        <f t="shared" si="20"/>
        <v>0</v>
      </c>
      <c r="AJ48" s="85">
        <f t="shared" si="20"/>
        <v>0</v>
      </c>
      <c r="AK48" s="85">
        <f t="shared" si="20"/>
        <v>0</v>
      </c>
      <c r="AL48" s="85">
        <f t="shared" si="20"/>
        <v>0</v>
      </c>
      <c r="AM48" s="85">
        <f t="shared" si="20"/>
        <v>0</v>
      </c>
      <c r="AN48" s="85">
        <f t="shared" si="20"/>
        <v>0</v>
      </c>
    </row>
    <row r="49" spans="1:40">
      <c r="A49" s="1" t="s">
        <v>147</v>
      </c>
      <c r="B49" s="1" t="s">
        <v>148</v>
      </c>
      <c r="D49" s="85"/>
      <c r="E49" s="85">
        <f>E48</f>
        <v>666.66666666666663</v>
      </c>
      <c r="F49" s="85">
        <f t="shared" ref="F49:AC49" si="21">F48</f>
        <v>666.66666666666663</v>
      </c>
      <c r="G49" s="85">
        <f t="shared" si="21"/>
        <v>666.66666666666663</v>
      </c>
      <c r="H49" s="85">
        <f t="shared" si="21"/>
        <v>638.88888888888903</v>
      </c>
      <c r="I49" s="85">
        <f t="shared" si="21"/>
        <v>611.1111111111112</v>
      </c>
      <c r="J49" s="85">
        <f t="shared" si="21"/>
        <v>583.33333333333337</v>
      </c>
      <c r="K49" s="85">
        <f t="shared" si="21"/>
        <v>555.55555555555554</v>
      </c>
      <c r="L49" s="85">
        <f t="shared" si="21"/>
        <v>527.77777777777783</v>
      </c>
      <c r="M49" s="85">
        <f t="shared" si="21"/>
        <v>500</v>
      </c>
      <c r="N49" s="85">
        <f t="shared" si="21"/>
        <v>472.22222222222217</v>
      </c>
      <c r="O49" s="85">
        <f t="shared" si="21"/>
        <v>444.4444444444444</v>
      </c>
      <c r="P49" s="85">
        <f t="shared" si="21"/>
        <v>416.66666666666657</v>
      </c>
      <c r="Q49" s="85">
        <f t="shared" si="21"/>
        <v>388.88888888888874</v>
      </c>
      <c r="R49" s="85">
        <f t="shared" si="21"/>
        <v>361.11111111111103</v>
      </c>
      <c r="S49" s="85">
        <f t="shared" si="21"/>
        <v>333.3333333333332</v>
      </c>
      <c r="T49" s="85">
        <f t="shared" si="21"/>
        <v>305.55555555555543</v>
      </c>
      <c r="U49" s="85">
        <f t="shared" si="21"/>
        <v>277.77777777777766</v>
      </c>
      <c r="V49" s="85">
        <f t="shared" si="21"/>
        <v>249.99999999999986</v>
      </c>
      <c r="W49" s="85">
        <f t="shared" si="21"/>
        <v>222.22222222222209</v>
      </c>
      <c r="X49" s="85">
        <f t="shared" si="21"/>
        <v>194.44444444444431</v>
      </c>
      <c r="Y49" s="85">
        <f t="shared" si="21"/>
        <v>166.66666666666654</v>
      </c>
      <c r="Z49" s="85">
        <f t="shared" si="21"/>
        <v>138.88888888888877</v>
      </c>
      <c r="AA49" s="85">
        <f t="shared" si="21"/>
        <v>111.11111111111099</v>
      </c>
      <c r="AB49" s="85">
        <f t="shared" si="21"/>
        <v>83.333333333333215</v>
      </c>
      <c r="AC49" s="85">
        <f t="shared" si="21"/>
        <v>55.555555555555436</v>
      </c>
      <c r="AD49" s="85">
        <f t="shared" ref="AD49:AN49" si="22">AD48</f>
        <v>27.777777777777654</v>
      </c>
      <c r="AE49" s="85">
        <f t="shared" si="22"/>
        <v>0</v>
      </c>
      <c r="AF49" s="85">
        <f t="shared" si="22"/>
        <v>0</v>
      </c>
      <c r="AG49" s="85">
        <f t="shared" si="22"/>
        <v>0</v>
      </c>
      <c r="AH49" s="85">
        <f t="shared" si="22"/>
        <v>0</v>
      </c>
      <c r="AI49" s="85">
        <f t="shared" si="22"/>
        <v>0</v>
      </c>
      <c r="AJ49" s="85">
        <f t="shared" si="22"/>
        <v>0</v>
      </c>
      <c r="AK49" s="85">
        <f t="shared" si="22"/>
        <v>0</v>
      </c>
      <c r="AL49" s="85">
        <f t="shared" si="22"/>
        <v>0</v>
      </c>
      <c r="AM49" s="85">
        <f t="shared" si="22"/>
        <v>0</v>
      </c>
      <c r="AN49" s="85">
        <f t="shared" si="22"/>
        <v>0</v>
      </c>
    </row>
    <row r="50" spans="1:40">
      <c r="A50" s="1" t="s">
        <v>147</v>
      </c>
      <c r="B50" s="1" t="s">
        <v>149</v>
      </c>
      <c r="D50" s="85"/>
      <c r="E50" s="85">
        <f>MIN(E47,IFERROR((E41&gt;='IP1'!$F$143)*($D$43/($D$44*12)),0))</f>
        <v>0</v>
      </c>
      <c r="F50" s="85">
        <f>MIN(F47,IFERROR((F41&gt;='IP1'!$F$143)*($D$43/($D$44*12)),0))</f>
        <v>0</v>
      </c>
      <c r="G50" s="85">
        <f>MIN(G47,IFERROR((G41&gt;='IP1'!$F$143)*($D$43/($D$44*12)),0))</f>
        <v>4166.666666666667</v>
      </c>
      <c r="H50" s="85">
        <f>MIN(H47,IFERROR((H41&gt;='IP1'!$F$143)*($D$43/($D$44*12)),0))</f>
        <v>4166.666666666667</v>
      </c>
      <c r="I50" s="85">
        <f>MIN(I47,IFERROR((I41&gt;='IP1'!$F$143)*($D$43/($D$44*12)),0))</f>
        <v>4166.666666666667</v>
      </c>
      <c r="J50" s="85">
        <f>MIN(J47,IFERROR((J41&gt;='IP1'!$F$143)*($D$43/($D$44*12)),0))</f>
        <v>4166.666666666667</v>
      </c>
      <c r="K50" s="85">
        <f>MIN(K47,IFERROR((K41&gt;='IP1'!$F$143)*($D$43/($D$44*12)),0))</f>
        <v>4166.666666666667</v>
      </c>
      <c r="L50" s="85">
        <f>MIN(L47,IFERROR((L41&gt;='IP1'!$F$143)*($D$43/($D$44*12)),0))</f>
        <v>4166.666666666667</v>
      </c>
      <c r="M50" s="85">
        <f>MIN(M47,IFERROR((M41&gt;='IP1'!$F$143)*($D$43/($D$44*12)),0))</f>
        <v>4166.666666666667</v>
      </c>
      <c r="N50" s="85">
        <f>MIN(N47,IFERROR((N41&gt;='IP1'!$F$143)*($D$43/($D$44*12)),0))</f>
        <v>4166.666666666667</v>
      </c>
      <c r="O50" s="85">
        <f>MIN(O47,IFERROR((O41&gt;='IP1'!$F$143)*($D$43/($D$44*12)),0))</f>
        <v>4166.666666666667</v>
      </c>
      <c r="P50" s="85">
        <f>MIN(P47,IFERROR((P41&gt;='IP1'!$F$143)*($D$43/($D$44*12)),0))</f>
        <v>4166.666666666667</v>
      </c>
      <c r="Q50" s="85">
        <f>MIN(Q47,IFERROR((Q41&gt;='IP1'!$F$143)*($D$43/($D$44*12)),0))</f>
        <v>4166.666666666667</v>
      </c>
      <c r="R50" s="85">
        <f>MIN(R47,IFERROR((R41&gt;='IP1'!$F$143)*($D$43/($D$44*12)),0))</f>
        <v>4166.666666666667</v>
      </c>
      <c r="S50" s="85">
        <f>MIN(S47,IFERROR((S41&gt;='IP1'!$F$143)*($D$43/($D$44*12)),0))</f>
        <v>4166.666666666667</v>
      </c>
      <c r="T50" s="85">
        <f>MIN(T47,IFERROR((T41&gt;='IP1'!$F$143)*($D$43/($D$44*12)),0))</f>
        <v>4166.666666666667</v>
      </c>
      <c r="U50" s="85">
        <f>MIN(U47,IFERROR((U41&gt;='IP1'!$F$143)*($D$43/($D$44*12)),0))</f>
        <v>4166.666666666667</v>
      </c>
      <c r="V50" s="85">
        <f>MIN(V47,IFERROR((V41&gt;='IP1'!$F$143)*($D$43/($D$44*12)),0))</f>
        <v>4166.666666666667</v>
      </c>
      <c r="W50" s="85">
        <f>MIN(W47,IFERROR((W41&gt;='IP1'!$F$143)*($D$43/($D$44*12)),0))</f>
        <v>4166.666666666667</v>
      </c>
      <c r="X50" s="85">
        <f>MIN(X47,IFERROR((X41&gt;='IP1'!$F$143)*($D$43/($D$44*12)),0))</f>
        <v>4166.666666666667</v>
      </c>
      <c r="Y50" s="85">
        <f>MIN(Y47,IFERROR((Y41&gt;='IP1'!$F$143)*($D$43/($D$44*12)),0))</f>
        <v>4166.666666666667</v>
      </c>
      <c r="Z50" s="85">
        <f>MIN(Z47,IFERROR((Z41&gt;='IP1'!$F$143)*($D$43/($D$44*12)),0))</f>
        <v>4166.666666666667</v>
      </c>
      <c r="AA50" s="85">
        <f>MIN(AA47,IFERROR((AA41&gt;='IP1'!$F$143)*($D$43/($D$44*12)),0))</f>
        <v>4166.666666666667</v>
      </c>
      <c r="AB50" s="85">
        <f>MIN(AB47,IFERROR((AB41&gt;='IP1'!$F$143)*($D$43/($D$44*12)),0))</f>
        <v>4166.666666666667</v>
      </c>
      <c r="AC50" s="85">
        <f>MIN(AC47,IFERROR((AC41&gt;='IP1'!$F$143)*($D$43/($D$44*12)),0))</f>
        <v>4166.666666666667</v>
      </c>
      <c r="AD50" s="85">
        <f>MIN(AD47,IFERROR((AD41&gt;='IP1'!$F$143)*($D$43/($D$44*12)),0))</f>
        <v>4166.6666666666479</v>
      </c>
      <c r="AE50" s="85">
        <f>MIN(AE47,IFERROR((AE41&gt;='IP1'!$F$143)*($D$43/($D$44*12)),0))</f>
        <v>0</v>
      </c>
      <c r="AF50" s="85">
        <f>MIN(AF47,IFERROR((AF41&gt;='IP1'!$F$143)*($D$43/($D$44*12)),0))</f>
        <v>0</v>
      </c>
      <c r="AG50" s="85">
        <f>MIN(AG47,IFERROR((AG41&gt;='IP1'!$F$143)*($D$43/($D$44*12)),0))</f>
        <v>0</v>
      </c>
      <c r="AH50" s="85">
        <f>MIN(AH47,IFERROR((AH41&gt;='IP1'!$F$143)*($D$43/($D$44*12)),0))</f>
        <v>0</v>
      </c>
      <c r="AI50" s="85">
        <f>MIN(AI47,IFERROR((AI41&gt;='IP1'!$F$143)*($D$43/($D$44*12)),0))</f>
        <v>0</v>
      </c>
      <c r="AJ50" s="85">
        <f>MIN(AJ47,IFERROR((AJ41&gt;='IP1'!$F$143)*($D$43/($D$44*12)),0))</f>
        <v>0</v>
      </c>
      <c r="AK50" s="85">
        <f>MIN(AK47,IFERROR((AK41&gt;='IP1'!$F$143)*($D$43/($D$44*12)),0))</f>
        <v>0</v>
      </c>
      <c r="AL50" s="85">
        <f>MIN(AL47,IFERROR((AL41&gt;='IP1'!$F$143)*($D$43/($D$44*12)),0))</f>
        <v>0</v>
      </c>
      <c r="AM50" s="85">
        <f>MIN(AM47,IFERROR((AM41&gt;='IP1'!$F$143)*($D$43/($D$44*12)),0))</f>
        <v>0</v>
      </c>
      <c r="AN50" s="85">
        <f>MIN(AN47,IFERROR((AN41&gt;='IP1'!$F$143)*($D$43/($D$44*12)),0))</f>
        <v>0</v>
      </c>
    </row>
    <row r="51" spans="1:40">
      <c r="A51" s="1" t="s">
        <v>147</v>
      </c>
      <c r="B51" s="1" t="s">
        <v>37</v>
      </c>
      <c r="D51" s="85"/>
      <c r="E51" s="85">
        <f>SUM(E47:E48)-SUM(E49:E50)</f>
        <v>100000</v>
      </c>
      <c r="F51" s="85">
        <f t="shared" ref="F51:AC51" si="23">SUM(F47:F48)-SUM(F49:F50)</f>
        <v>100000</v>
      </c>
      <c r="G51" s="85">
        <f t="shared" si="23"/>
        <v>95833.333333333343</v>
      </c>
      <c r="H51" s="85">
        <f t="shared" si="23"/>
        <v>91666.666666666672</v>
      </c>
      <c r="I51" s="85">
        <f t="shared" si="23"/>
        <v>87500</v>
      </c>
      <c r="J51" s="85">
        <f t="shared" si="23"/>
        <v>83333.333333333328</v>
      </c>
      <c r="K51" s="85">
        <f t="shared" si="23"/>
        <v>79166.666666666672</v>
      </c>
      <c r="L51" s="85">
        <f t="shared" si="23"/>
        <v>75000</v>
      </c>
      <c r="M51" s="85">
        <f t="shared" si="23"/>
        <v>70833.333333333328</v>
      </c>
      <c r="N51" s="85">
        <f t="shared" si="23"/>
        <v>66666.666666666657</v>
      </c>
      <c r="O51" s="85">
        <f t="shared" si="23"/>
        <v>62499.999999999985</v>
      </c>
      <c r="P51" s="85">
        <f t="shared" si="23"/>
        <v>58333.333333333314</v>
      </c>
      <c r="Q51" s="85">
        <f t="shared" si="23"/>
        <v>54166.66666666665</v>
      </c>
      <c r="R51" s="85">
        <f t="shared" si="23"/>
        <v>49999.999999999978</v>
      </c>
      <c r="S51" s="85">
        <f t="shared" si="23"/>
        <v>45833.333333333314</v>
      </c>
      <c r="T51" s="85">
        <f t="shared" si="23"/>
        <v>41666.666666666642</v>
      </c>
      <c r="U51" s="85">
        <f t="shared" si="23"/>
        <v>37499.999999999978</v>
      </c>
      <c r="V51" s="85">
        <f t="shared" si="23"/>
        <v>33333.333333333314</v>
      </c>
      <c r="W51" s="85">
        <f t="shared" si="23"/>
        <v>29166.666666666642</v>
      </c>
      <c r="X51" s="85">
        <f t="shared" si="23"/>
        <v>24999.999999999978</v>
      </c>
      <c r="Y51" s="85">
        <f t="shared" si="23"/>
        <v>20833.333333333314</v>
      </c>
      <c r="Z51" s="85">
        <f t="shared" si="23"/>
        <v>16666.66666666665</v>
      </c>
      <c r="AA51" s="85">
        <f t="shared" si="23"/>
        <v>12499.999999999982</v>
      </c>
      <c r="AB51" s="85">
        <f t="shared" si="23"/>
        <v>8333.3333333333157</v>
      </c>
      <c r="AC51" s="85">
        <f t="shared" si="23"/>
        <v>4166.6666666666479</v>
      </c>
      <c r="AD51" s="85">
        <f t="shared" ref="AD51:AN51" si="24">SUM(AD47:AD48)-SUM(AD49:AD50)</f>
        <v>0</v>
      </c>
      <c r="AE51" s="85">
        <f t="shared" si="24"/>
        <v>0</v>
      </c>
      <c r="AF51" s="85">
        <f t="shared" si="24"/>
        <v>0</v>
      </c>
      <c r="AG51" s="85">
        <f t="shared" si="24"/>
        <v>0</v>
      </c>
      <c r="AH51" s="85">
        <f t="shared" si="24"/>
        <v>0</v>
      </c>
      <c r="AI51" s="85">
        <f t="shared" si="24"/>
        <v>0</v>
      </c>
      <c r="AJ51" s="85">
        <f t="shared" si="24"/>
        <v>0</v>
      </c>
      <c r="AK51" s="85">
        <f t="shared" si="24"/>
        <v>0</v>
      </c>
      <c r="AL51" s="85">
        <f t="shared" si="24"/>
        <v>0</v>
      </c>
      <c r="AM51" s="85">
        <f t="shared" si="24"/>
        <v>0</v>
      </c>
      <c r="AN51" s="85">
        <f t="shared" si="24"/>
        <v>0</v>
      </c>
    </row>
    <row r="52" spans="1:40">
      <c r="A52" s="1" t="s">
        <v>147</v>
      </c>
      <c r="B52" s="1" t="s">
        <v>141</v>
      </c>
      <c r="D52" s="85"/>
      <c r="E52" s="85">
        <f>(E47&gt;0)*SUM(F50:Q50)</f>
        <v>45833.333333333328</v>
      </c>
      <c r="F52" s="85">
        <f t="shared" ref="F52:AB52" si="25">(F47&gt;0)*SUM(G50:R50)</f>
        <v>49999.999999999993</v>
      </c>
      <c r="G52" s="85">
        <f t="shared" si="25"/>
        <v>49999.999999999993</v>
      </c>
      <c r="H52" s="85">
        <f t="shared" si="25"/>
        <v>49999.999999999993</v>
      </c>
      <c r="I52" s="85">
        <f t="shared" si="25"/>
        <v>49999.999999999993</v>
      </c>
      <c r="J52" s="85">
        <f t="shared" si="25"/>
        <v>49999.999999999993</v>
      </c>
      <c r="K52" s="85">
        <f t="shared" si="25"/>
        <v>49999.999999999993</v>
      </c>
      <c r="L52" s="85">
        <f t="shared" si="25"/>
        <v>49999.999999999993</v>
      </c>
      <c r="M52" s="85">
        <f t="shared" si="25"/>
        <v>49999.999999999993</v>
      </c>
      <c r="N52" s="85">
        <f t="shared" si="25"/>
        <v>49999.999999999993</v>
      </c>
      <c r="O52" s="85">
        <f t="shared" si="25"/>
        <v>49999.999999999993</v>
      </c>
      <c r="P52" s="85">
        <f t="shared" si="25"/>
        <v>49999.999999999993</v>
      </c>
      <c r="Q52" s="85">
        <f t="shared" si="25"/>
        <v>49999.999999999993</v>
      </c>
      <c r="R52" s="85">
        <f t="shared" si="25"/>
        <v>49999.999999999978</v>
      </c>
      <c r="S52" s="85">
        <f t="shared" si="25"/>
        <v>45833.333333333314</v>
      </c>
      <c r="T52" s="85">
        <f t="shared" si="25"/>
        <v>41666.66666666665</v>
      </c>
      <c r="U52" s="85">
        <f t="shared" si="25"/>
        <v>37499.999999999985</v>
      </c>
      <c r="V52" s="85">
        <f t="shared" si="25"/>
        <v>33333.333333333321</v>
      </c>
      <c r="W52" s="85">
        <f t="shared" si="25"/>
        <v>29166.66666666665</v>
      </c>
      <c r="X52" s="85">
        <f t="shared" si="25"/>
        <v>24999.999999999985</v>
      </c>
      <c r="Y52" s="85">
        <f t="shared" si="25"/>
        <v>20833.333333333314</v>
      </c>
      <c r="Z52" s="85">
        <f t="shared" si="25"/>
        <v>16666.66666666665</v>
      </c>
      <c r="AA52" s="85">
        <f t="shared" si="25"/>
        <v>12499.999999999982</v>
      </c>
      <c r="AB52" s="85">
        <f t="shared" si="25"/>
        <v>8333.3333333333139</v>
      </c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</row>
    <row r="53" spans="1:40">
      <c r="A53" s="1" t="s">
        <v>147</v>
      </c>
      <c r="B53" s="1" t="s">
        <v>142</v>
      </c>
      <c r="D53" s="85"/>
      <c r="E53" s="85">
        <f t="shared" ref="E53:AB53" si="26">(E47&gt;0)*Q51</f>
        <v>54166.66666666665</v>
      </c>
      <c r="F53" s="85">
        <f t="shared" si="26"/>
        <v>49999.999999999978</v>
      </c>
      <c r="G53" s="85">
        <f t="shared" si="26"/>
        <v>45833.333333333314</v>
      </c>
      <c r="H53" s="85">
        <f t="shared" si="26"/>
        <v>41666.666666666642</v>
      </c>
      <c r="I53" s="85">
        <f t="shared" si="26"/>
        <v>37499.999999999978</v>
      </c>
      <c r="J53" s="85">
        <f t="shared" si="26"/>
        <v>33333.333333333314</v>
      </c>
      <c r="K53" s="85">
        <f t="shared" si="26"/>
        <v>29166.666666666642</v>
      </c>
      <c r="L53" s="85">
        <f t="shared" si="26"/>
        <v>24999.999999999978</v>
      </c>
      <c r="M53" s="85">
        <f t="shared" si="26"/>
        <v>20833.333333333314</v>
      </c>
      <c r="N53" s="85">
        <f t="shared" si="26"/>
        <v>16666.66666666665</v>
      </c>
      <c r="O53" s="85">
        <f t="shared" si="26"/>
        <v>12499.999999999982</v>
      </c>
      <c r="P53" s="85">
        <f t="shared" si="26"/>
        <v>8333.3333333333157</v>
      </c>
      <c r="Q53" s="85">
        <f t="shared" si="26"/>
        <v>4166.6666666666479</v>
      </c>
      <c r="R53" s="85">
        <f t="shared" si="26"/>
        <v>0</v>
      </c>
      <c r="S53" s="85">
        <f t="shared" si="26"/>
        <v>0</v>
      </c>
      <c r="T53" s="85">
        <f t="shared" si="26"/>
        <v>0</v>
      </c>
      <c r="U53" s="85">
        <f t="shared" si="26"/>
        <v>0</v>
      </c>
      <c r="V53" s="85">
        <f t="shared" si="26"/>
        <v>0</v>
      </c>
      <c r="W53" s="85">
        <f t="shared" si="26"/>
        <v>0</v>
      </c>
      <c r="X53" s="85">
        <f t="shared" si="26"/>
        <v>0</v>
      </c>
      <c r="Y53" s="85">
        <f t="shared" si="26"/>
        <v>0</v>
      </c>
      <c r="Z53" s="85">
        <f t="shared" si="26"/>
        <v>0</v>
      </c>
      <c r="AA53" s="85">
        <f t="shared" si="26"/>
        <v>0</v>
      </c>
      <c r="AB53" s="85">
        <f t="shared" si="26"/>
        <v>0</v>
      </c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</row>
    <row r="57" spans="1:40">
      <c r="A57" s="13"/>
      <c r="B57" s="91" t="s">
        <v>156</v>
      </c>
      <c r="C57" s="13"/>
      <c r="D57" s="13" t="s">
        <v>121</v>
      </c>
      <c r="E57" s="13">
        <f>DATEVALUE(1&amp;"/"&amp;'IP1'!$B$3&amp;"/"&amp;'IP1'!$B$4)</f>
        <v>41275</v>
      </c>
      <c r="F57" s="13">
        <f>DATE(YEAR(E57),MONTH(E57)+1,1)</f>
        <v>41306</v>
      </c>
      <c r="G57" s="13">
        <f t="shared" ref="G57:AN57" si="27">DATE(YEAR(F57),MONTH(F57)+1,1)</f>
        <v>41334</v>
      </c>
      <c r="H57" s="13">
        <f t="shared" si="27"/>
        <v>41365</v>
      </c>
      <c r="I57" s="13">
        <f t="shared" si="27"/>
        <v>41395</v>
      </c>
      <c r="J57" s="13">
        <f t="shared" si="27"/>
        <v>41426</v>
      </c>
      <c r="K57" s="13">
        <f t="shared" si="27"/>
        <v>41456</v>
      </c>
      <c r="L57" s="13">
        <f t="shared" si="27"/>
        <v>41487</v>
      </c>
      <c r="M57" s="13">
        <f t="shared" si="27"/>
        <v>41518</v>
      </c>
      <c r="N57" s="13">
        <f t="shared" si="27"/>
        <v>41548</v>
      </c>
      <c r="O57" s="13">
        <f t="shared" si="27"/>
        <v>41579</v>
      </c>
      <c r="P57" s="13">
        <f t="shared" si="27"/>
        <v>41609</v>
      </c>
      <c r="Q57" s="13">
        <f t="shared" si="27"/>
        <v>41640</v>
      </c>
      <c r="R57" s="13">
        <f t="shared" si="27"/>
        <v>41671</v>
      </c>
      <c r="S57" s="13">
        <f t="shared" si="27"/>
        <v>41699</v>
      </c>
      <c r="T57" s="13">
        <f t="shared" si="27"/>
        <v>41730</v>
      </c>
      <c r="U57" s="13">
        <f t="shared" si="27"/>
        <v>41760</v>
      </c>
      <c r="V57" s="13">
        <f t="shared" si="27"/>
        <v>41791</v>
      </c>
      <c r="W57" s="13">
        <f t="shared" si="27"/>
        <v>41821</v>
      </c>
      <c r="X57" s="13">
        <f t="shared" si="27"/>
        <v>41852</v>
      </c>
      <c r="Y57" s="13">
        <f t="shared" si="27"/>
        <v>41883</v>
      </c>
      <c r="Z57" s="13">
        <f t="shared" si="27"/>
        <v>41913</v>
      </c>
      <c r="AA57" s="13">
        <f t="shared" si="27"/>
        <v>41944</v>
      </c>
      <c r="AB57" s="13">
        <f t="shared" si="27"/>
        <v>41974</v>
      </c>
      <c r="AC57" s="90">
        <f t="shared" si="27"/>
        <v>42005</v>
      </c>
      <c r="AD57" s="90">
        <f t="shared" si="27"/>
        <v>42036</v>
      </c>
      <c r="AE57" s="90">
        <f t="shared" si="27"/>
        <v>42064</v>
      </c>
      <c r="AF57" s="90">
        <f t="shared" si="27"/>
        <v>42095</v>
      </c>
      <c r="AG57" s="90">
        <f t="shared" si="27"/>
        <v>42125</v>
      </c>
      <c r="AH57" s="90">
        <f t="shared" si="27"/>
        <v>42156</v>
      </c>
      <c r="AI57" s="90">
        <f t="shared" si="27"/>
        <v>42186</v>
      </c>
      <c r="AJ57" s="90">
        <f t="shared" si="27"/>
        <v>42217</v>
      </c>
      <c r="AK57" s="90">
        <f t="shared" si="27"/>
        <v>42248</v>
      </c>
      <c r="AL57" s="90">
        <f t="shared" si="27"/>
        <v>42278</v>
      </c>
      <c r="AM57" s="90">
        <f t="shared" si="27"/>
        <v>42309</v>
      </c>
      <c r="AN57" s="90">
        <f t="shared" si="27"/>
        <v>42339</v>
      </c>
    </row>
    <row r="58" spans="1:40">
      <c r="B58" s="1" t="s">
        <v>129</v>
      </c>
      <c r="E58" s="85">
        <f>(E$57='IP1'!$D$142)*'IP1'!$D$138</f>
        <v>0</v>
      </c>
      <c r="F58" s="85">
        <f>(F$57='IP1'!$D$142)*'IP1'!$D$138</f>
        <v>250000</v>
      </c>
      <c r="G58" s="85">
        <f>(G$57='IP1'!$D$142)*'IP1'!$D$138</f>
        <v>0</v>
      </c>
      <c r="H58" s="85">
        <f>(H$57='IP1'!$D$142)*'IP1'!$D$138</f>
        <v>0</v>
      </c>
      <c r="I58" s="85">
        <f>(I$57='IP1'!$D$142)*'IP1'!$D$138</f>
        <v>0</v>
      </c>
      <c r="J58" s="85">
        <f>(J$57='IP1'!$D$142)*'IP1'!$D$138</f>
        <v>0</v>
      </c>
      <c r="K58" s="85">
        <f>(K$57='IP1'!$D$142)*'IP1'!$D$138</f>
        <v>0</v>
      </c>
      <c r="L58" s="85">
        <f>(L$57='IP1'!$D$142)*'IP1'!$D$138</f>
        <v>0</v>
      </c>
      <c r="M58" s="85">
        <f>(M$57='IP1'!$D$142)*'IP1'!$D$138</f>
        <v>0</v>
      </c>
      <c r="N58" s="85">
        <f>(N$57='IP1'!$D$142)*'IP1'!$D$138</f>
        <v>0</v>
      </c>
      <c r="O58" s="85">
        <f>(O$57='IP1'!$D$142)*'IP1'!$D$138</f>
        <v>0</v>
      </c>
      <c r="P58" s="85">
        <f>(P$57='IP1'!$D$142)*'IP1'!$D$138</f>
        <v>0</v>
      </c>
      <c r="Q58" s="85">
        <f>(Q$57='IP1'!$D$142)*'IP1'!$D$138</f>
        <v>0</v>
      </c>
      <c r="R58" s="85">
        <f>(R$57='IP1'!$D$142)*'IP1'!$D$138</f>
        <v>0</v>
      </c>
      <c r="S58" s="85">
        <f>(S$57='IP1'!$D$142)*'IP1'!$D$138</f>
        <v>0</v>
      </c>
      <c r="T58" s="85">
        <f>(T$57='IP1'!$D$142)*'IP1'!$D$138</f>
        <v>0</v>
      </c>
      <c r="U58" s="85">
        <f>(U$57='IP1'!$D$142)*'IP1'!$D$138</f>
        <v>0</v>
      </c>
      <c r="V58" s="85">
        <f>(V$57='IP1'!$D$142)*'IP1'!$D$138</f>
        <v>0</v>
      </c>
      <c r="W58" s="85">
        <f>(W$57='IP1'!$D$142)*'IP1'!$D$138</f>
        <v>0</v>
      </c>
      <c r="X58" s="85">
        <f>(X$57='IP1'!$D$142)*'IP1'!$D$138</f>
        <v>0</v>
      </c>
      <c r="Y58" s="85">
        <f>(Y$57='IP1'!$D$142)*'IP1'!$D$138</f>
        <v>0</v>
      </c>
      <c r="Z58" s="85">
        <f>(Z$57='IP1'!$D$142)*'IP1'!$D$138</f>
        <v>0</v>
      </c>
      <c r="AA58" s="85">
        <f>(AA$57='IP1'!$D$142)*'IP1'!$D$138</f>
        <v>0</v>
      </c>
      <c r="AB58" s="85">
        <f>(AB$57='IP1'!$D$142)*'IP1'!$D$138</f>
        <v>0</v>
      </c>
    </row>
    <row r="59" spans="1:40">
      <c r="B59" s="1" t="s">
        <v>130</v>
      </c>
      <c r="E59" s="85">
        <f>(E$57='IP1'!$E$142)*'IP1'!$E$138</f>
        <v>0</v>
      </c>
      <c r="F59" s="85">
        <f>(F$57='IP1'!$E$142)*'IP1'!$E$138</f>
        <v>0</v>
      </c>
      <c r="G59" s="85">
        <f>(G$57='IP1'!$E$142)*'IP1'!$E$138</f>
        <v>0</v>
      </c>
      <c r="H59" s="85">
        <f>(H$57='IP1'!$E$142)*'IP1'!$E$138</f>
        <v>0</v>
      </c>
      <c r="I59" s="85">
        <f>(I$57='IP1'!$E$142)*'IP1'!$E$138</f>
        <v>0</v>
      </c>
      <c r="J59" s="85">
        <f>(J$57='IP1'!$E$142)*'IP1'!$E$138</f>
        <v>0</v>
      </c>
      <c r="K59" s="85">
        <f>(K$57='IP1'!$E$142)*'IP1'!$E$138</f>
        <v>0</v>
      </c>
      <c r="L59" s="85">
        <f>(L$57='IP1'!$E$142)*'IP1'!$E$138</f>
        <v>0</v>
      </c>
      <c r="M59" s="85">
        <f>(M$57='IP1'!$E$142)*'IP1'!$E$138</f>
        <v>0</v>
      </c>
      <c r="N59" s="85">
        <f>(N$57='IP1'!$E$142)*'IP1'!$E$138</f>
        <v>0</v>
      </c>
      <c r="O59" s="85">
        <f>(O$57='IP1'!$E$142)*'IP1'!$E$138</f>
        <v>0</v>
      </c>
      <c r="P59" s="85">
        <f>(P$57='IP1'!$E$142)*'IP1'!$E$138</f>
        <v>0</v>
      </c>
      <c r="Q59" s="85">
        <f>(Q$57='IP1'!$E$142)*'IP1'!$E$138</f>
        <v>0</v>
      </c>
      <c r="R59" s="85">
        <f>(R$57='IP1'!$E$142)*'IP1'!$E$138</f>
        <v>0</v>
      </c>
      <c r="S59" s="85">
        <f>(S$57='IP1'!$E$142)*'IP1'!$E$138</f>
        <v>250000</v>
      </c>
      <c r="T59" s="85">
        <f>(T$57='IP1'!$E$142)*'IP1'!$E$138</f>
        <v>0</v>
      </c>
      <c r="U59" s="85">
        <f>(U$57='IP1'!$E$142)*'IP1'!$E$138</f>
        <v>0</v>
      </c>
      <c r="V59" s="85">
        <f>(V$57='IP1'!$E$142)*'IP1'!$E$138</f>
        <v>0</v>
      </c>
      <c r="W59" s="85">
        <f>(W$57='IP1'!$E$142)*'IP1'!$E$138</f>
        <v>0</v>
      </c>
      <c r="X59" s="85">
        <f>(X$57='IP1'!$E$142)*'IP1'!$E$138</f>
        <v>0</v>
      </c>
      <c r="Y59" s="85">
        <f>(Y$57='IP1'!$E$142)*'IP1'!$E$138</f>
        <v>0</v>
      </c>
      <c r="Z59" s="85">
        <f>(Z$57='IP1'!$E$142)*'IP1'!$E$138</f>
        <v>0</v>
      </c>
      <c r="AA59" s="85">
        <f>(AA$57='IP1'!$E$142)*'IP1'!$E$138</f>
        <v>0</v>
      </c>
      <c r="AB59" s="85">
        <f>(AB$57='IP1'!$E$142)*'IP1'!$E$138</f>
        <v>0</v>
      </c>
    </row>
    <row r="60" spans="1:40">
      <c r="B60" s="1" t="s">
        <v>59</v>
      </c>
      <c r="E60" s="85">
        <f>(E$57='IP1'!$F$142)*'IP1'!$F$138</f>
        <v>100000</v>
      </c>
      <c r="F60" s="85">
        <f>(F$57='IP1'!$F$142)*'IP1'!$F$138</f>
        <v>0</v>
      </c>
      <c r="G60" s="85">
        <f>(G$57='IP1'!$F$142)*'IP1'!$F$138</f>
        <v>0</v>
      </c>
      <c r="H60" s="85">
        <f>(H$57='IP1'!$F$142)*'IP1'!$F$138</f>
        <v>0</v>
      </c>
      <c r="I60" s="85">
        <f>(I$57='IP1'!$F$142)*'IP1'!$F$138</f>
        <v>0</v>
      </c>
      <c r="J60" s="85">
        <f>(J$57='IP1'!$F$142)*'IP1'!$F$138</f>
        <v>0</v>
      </c>
      <c r="K60" s="85">
        <f>(K$57='IP1'!$F$142)*'IP1'!$F$138</f>
        <v>0</v>
      </c>
      <c r="L60" s="85">
        <f>(L$57='IP1'!$F$142)*'IP1'!$F$138</f>
        <v>0</v>
      </c>
      <c r="M60" s="85">
        <f>(M$57='IP1'!$F$142)*'IP1'!$F$138</f>
        <v>0</v>
      </c>
      <c r="N60" s="85">
        <f>(N$57='IP1'!$F$142)*'IP1'!$F$138</f>
        <v>0</v>
      </c>
      <c r="O60" s="85">
        <f>(O$57='IP1'!$F$142)*'IP1'!$F$138</f>
        <v>0</v>
      </c>
      <c r="P60" s="85">
        <f>(P$57='IP1'!$F$142)*'IP1'!$F$138</f>
        <v>0</v>
      </c>
      <c r="Q60" s="85">
        <f>(Q$57='IP1'!$F$142)*'IP1'!$F$138</f>
        <v>0</v>
      </c>
      <c r="R60" s="85">
        <f>(R$57='IP1'!$F$142)*'IP1'!$F$138</f>
        <v>0</v>
      </c>
      <c r="S60" s="85">
        <f>(S$57='IP1'!$F$142)*'IP1'!$F$138</f>
        <v>0</v>
      </c>
      <c r="T60" s="85">
        <f>(T$57='IP1'!$F$142)*'IP1'!$F$138</f>
        <v>0</v>
      </c>
      <c r="U60" s="85">
        <f>(U$57='IP1'!$F$142)*'IP1'!$F$138</f>
        <v>0</v>
      </c>
      <c r="V60" s="85">
        <f>(V$57='IP1'!$F$142)*'IP1'!$F$138</f>
        <v>0</v>
      </c>
      <c r="W60" s="85">
        <f>(W$57='IP1'!$F$142)*'IP1'!$F$138</f>
        <v>0</v>
      </c>
      <c r="X60" s="85">
        <f>(X$57='IP1'!$F$142)*'IP1'!$F$138</f>
        <v>0</v>
      </c>
      <c r="Y60" s="85">
        <f>(Y$57='IP1'!$F$142)*'IP1'!$F$138</f>
        <v>0</v>
      </c>
      <c r="Z60" s="85">
        <f>(Z$57='IP1'!$F$142)*'IP1'!$F$138</f>
        <v>0</v>
      </c>
      <c r="AA60" s="85">
        <f>(AA$57='IP1'!$F$142)*'IP1'!$F$138</f>
        <v>0</v>
      </c>
      <c r="AB60" s="85">
        <f>(AB$57='IP1'!$F$142)*'IP1'!$F$138</f>
        <v>0</v>
      </c>
    </row>
  </sheetData>
  <pageMargins left="0.75" right="0.75" top="1" bottom="1" header="0.5" footer="0.5"/>
  <pageSetup paperSize="9" scale="32" orientation="portrait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rgb="FFFF0000"/>
  </sheetPr>
  <dimension ref="A1:AO35"/>
  <sheetViews>
    <sheetView zoomScale="117" zoomScaleNormal="117" zoomScaleSheetLayoutView="140" workbookViewId="0"/>
  </sheetViews>
  <sheetFormatPr defaultColWidth="9.109375" defaultRowHeight="13.8"/>
  <cols>
    <col min="1" max="1" width="4" style="1" bestFit="1" customWidth="1"/>
    <col min="2" max="2" width="26.44140625" style="1" customWidth="1"/>
    <col min="3" max="3" width="2.109375" style="1" customWidth="1"/>
    <col min="4" max="4" width="8" style="1" bestFit="1" customWidth="1"/>
    <col min="5" max="5" width="9.5546875" style="1" customWidth="1"/>
    <col min="6" max="6" width="9.109375" style="1" customWidth="1"/>
    <col min="7" max="7" width="9.44140625" style="1" bestFit="1" customWidth="1"/>
    <col min="8" max="16384" width="9.109375" style="1"/>
  </cols>
  <sheetData>
    <row r="1" spans="1:41">
      <c r="A1" s="13"/>
      <c r="B1" s="91" t="s">
        <v>280</v>
      </c>
      <c r="C1" s="13"/>
      <c r="D1" s="13" t="s">
        <v>279</v>
      </c>
      <c r="E1" s="13" t="s">
        <v>128</v>
      </c>
      <c r="F1" s="13">
        <f>DATEVALUE(1&amp;"/"&amp;'IP1'!$B$3&amp;"/"&amp;'IP1'!$B$4)</f>
        <v>41275</v>
      </c>
      <c r="G1" s="13">
        <f>DATE(YEAR(F1),MONTH(F1)+1,1)</f>
        <v>41306</v>
      </c>
      <c r="H1" s="13">
        <f t="shared" ref="H1:AO1" si="0">DATE(YEAR(G1),MONTH(G1)+1,1)</f>
        <v>41334</v>
      </c>
      <c r="I1" s="13">
        <f t="shared" si="0"/>
        <v>41365</v>
      </c>
      <c r="J1" s="13">
        <f t="shared" si="0"/>
        <v>41395</v>
      </c>
      <c r="K1" s="13">
        <f t="shared" si="0"/>
        <v>41426</v>
      </c>
      <c r="L1" s="13">
        <f t="shared" si="0"/>
        <v>41456</v>
      </c>
      <c r="M1" s="13">
        <f t="shared" si="0"/>
        <v>41487</v>
      </c>
      <c r="N1" s="13">
        <f t="shared" si="0"/>
        <v>41518</v>
      </c>
      <c r="O1" s="13">
        <f t="shared" si="0"/>
        <v>41548</v>
      </c>
      <c r="P1" s="13">
        <f t="shared" si="0"/>
        <v>41579</v>
      </c>
      <c r="Q1" s="13">
        <f t="shared" si="0"/>
        <v>41609</v>
      </c>
      <c r="R1" s="13">
        <f t="shared" si="0"/>
        <v>41640</v>
      </c>
      <c r="S1" s="13">
        <f t="shared" si="0"/>
        <v>41671</v>
      </c>
      <c r="T1" s="13">
        <f t="shared" si="0"/>
        <v>41699</v>
      </c>
      <c r="U1" s="13">
        <f t="shared" si="0"/>
        <v>41730</v>
      </c>
      <c r="V1" s="13">
        <f t="shared" si="0"/>
        <v>41760</v>
      </c>
      <c r="W1" s="13">
        <f t="shared" si="0"/>
        <v>41791</v>
      </c>
      <c r="X1" s="13">
        <f t="shared" si="0"/>
        <v>41821</v>
      </c>
      <c r="Y1" s="13">
        <f t="shared" si="0"/>
        <v>41852</v>
      </c>
      <c r="Z1" s="13">
        <f t="shared" si="0"/>
        <v>41883</v>
      </c>
      <c r="AA1" s="13">
        <f t="shared" si="0"/>
        <v>41913</v>
      </c>
      <c r="AB1" s="13">
        <f t="shared" si="0"/>
        <v>41944</v>
      </c>
      <c r="AC1" s="13">
        <f t="shared" si="0"/>
        <v>41974</v>
      </c>
      <c r="AD1" s="90">
        <f t="shared" si="0"/>
        <v>42005</v>
      </c>
      <c r="AE1" s="90">
        <f t="shared" si="0"/>
        <v>42036</v>
      </c>
      <c r="AF1" s="90">
        <f t="shared" si="0"/>
        <v>42064</v>
      </c>
      <c r="AG1" s="90">
        <f t="shared" si="0"/>
        <v>42095</v>
      </c>
      <c r="AH1" s="90">
        <f t="shared" si="0"/>
        <v>42125</v>
      </c>
      <c r="AI1" s="90">
        <f t="shared" si="0"/>
        <v>42156</v>
      </c>
      <c r="AJ1" s="90">
        <f t="shared" si="0"/>
        <v>42186</v>
      </c>
      <c r="AK1" s="90">
        <f t="shared" si="0"/>
        <v>42217</v>
      </c>
      <c r="AL1" s="90">
        <f t="shared" si="0"/>
        <v>42248</v>
      </c>
      <c r="AM1" s="90">
        <f t="shared" si="0"/>
        <v>42278</v>
      </c>
      <c r="AN1" s="90">
        <f t="shared" si="0"/>
        <v>42309</v>
      </c>
      <c r="AO1" s="90">
        <f t="shared" si="0"/>
        <v>42339</v>
      </c>
    </row>
    <row r="2" spans="1:41">
      <c r="A2" s="1">
        <v>1</v>
      </c>
      <c r="B2" s="88" t="s">
        <v>131</v>
      </c>
      <c r="D2" s="85">
        <f>'IP2'!D25</f>
        <v>0</v>
      </c>
      <c r="E2" s="85">
        <f>'IP2'!D28</f>
        <v>0</v>
      </c>
    </row>
    <row r="3" spans="1:41">
      <c r="A3" s="1">
        <v>1</v>
      </c>
      <c r="B3" s="88" t="s">
        <v>132</v>
      </c>
      <c r="D3" s="87">
        <f>'IP2'!D26</f>
        <v>0</v>
      </c>
      <c r="E3" s="87"/>
    </row>
    <row r="4" spans="1:41">
      <c r="A4" s="1">
        <v>1</v>
      </c>
      <c r="B4" s="88" t="s">
        <v>133</v>
      </c>
      <c r="D4" s="86">
        <f>'IP2'!D27</f>
        <v>0</v>
      </c>
      <c r="E4" s="86"/>
    </row>
    <row r="5" spans="1:41">
      <c r="A5" s="1">
        <v>1</v>
      </c>
      <c r="B5" s="88" t="s">
        <v>96</v>
      </c>
      <c r="D5" s="85">
        <v>0</v>
      </c>
      <c r="E5" s="85"/>
    </row>
    <row r="6" spans="1:41">
      <c r="A6" s="1">
        <v>1</v>
      </c>
      <c r="B6" s="88" t="s">
        <v>134</v>
      </c>
      <c r="D6" s="89">
        <f>IFERROR(-PMT(D4/12,D3*12,D2,D5),0)</f>
        <v>0</v>
      </c>
      <c r="E6" s="89"/>
      <c r="F6" s="89"/>
      <c r="G6" s="89"/>
      <c r="H6" s="89"/>
    </row>
    <row r="7" spans="1:41">
      <c r="D7" s="85"/>
      <c r="E7" s="85"/>
    </row>
    <row r="8" spans="1:41">
      <c r="A8" s="1">
        <v>1</v>
      </c>
      <c r="B8" s="1" t="s">
        <v>128</v>
      </c>
      <c r="E8" s="132">
        <f>E11+E9-E10</f>
        <v>0</v>
      </c>
      <c r="F8" s="85">
        <f>IF(E11&gt;0,E11,0)</f>
        <v>0</v>
      </c>
      <c r="G8" s="85">
        <f>IF(F11&gt;0,F11,0)</f>
        <v>0</v>
      </c>
      <c r="H8" s="85">
        <f t="shared" ref="H8:AO8" si="1">IF(G11&gt;0,G11,0)</f>
        <v>0</v>
      </c>
      <c r="I8" s="85">
        <f t="shared" si="1"/>
        <v>0</v>
      </c>
      <c r="J8" s="85">
        <f t="shared" si="1"/>
        <v>0</v>
      </c>
      <c r="K8" s="85">
        <f t="shared" si="1"/>
        <v>0</v>
      </c>
      <c r="L8" s="85">
        <f t="shared" si="1"/>
        <v>0</v>
      </c>
      <c r="M8" s="85">
        <f t="shared" si="1"/>
        <v>0</v>
      </c>
      <c r="N8" s="85">
        <f t="shared" si="1"/>
        <v>0</v>
      </c>
      <c r="O8" s="85">
        <f t="shared" si="1"/>
        <v>0</v>
      </c>
      <c r="P8" s="85">
        <f t="shared" si="1"/>
        <v>0</v>
      </c>
      <c r="Q8" s="85">
        <f t="shared" si="1"/>
        <v>0</v>
      </c>
      <c r="R8" s="85">
        <f t="shared" si="1"/>
        <v>0</v>
      </c>
      <c r="S8" s="85">
        <f t="shared" si="1"/>
        <v>0</v>
      </c>
      <c r="T8" s="85">
        <f t="shared" si="1"/>
        <v>0</v>
      </c>
      <c r="U8" s="85">
        <f t="shared" si="1"/>
        <v>0</v>
      </c>
      <c r="V8" s="85">
        <f t="shared" si="1"/>
        <v>0</v>
      </c>
      <c r="W8" s="85">
        <f t="shared" si="1"/>
        <v>0</v>
      </c>
      <c r="X8" s="85">
        <f t="shared" si="1"/>
        <v>0</v>
      </c>
      <c r="Y8" s="85">
        <f t="shared" si="1"/>
        <v>0</v>
      </c>
      <c r="Z8" s="85">
        <f t="shared" si="1"/>
        <v>0</v>
      </c>
      <c r="AA8" s="85">
        <f t="shared" si="1"/>
        <v>0</v>
      </c>
      <c r="AB8" s="85">
        <f t="shared" si="1"/>
        <v>0</v>
      </c>
      <c r="AC8" s="85">
        <f t="shared" si="1"/>
        <v>0</v>
      </c>
      <c r="AD8" s="85">
        <f t="shared" si="1"/>
        <v>0</v>
      </c>
      <c r="AE8" s="85">
        <f t="shared" si="1"/>
        <v>0</v>
      </c>
      <c r="AF8" s="85">
        <f t="shared" si="1"/>
        <v>0</v>
      </c>
      <c r="AG8" s="85">
        <f t="shared" si="1"/>
        <v>0</v>
      </c>
      <c r="AH8" s="85">
        <f t="shared" si="1"/>
        <v>0</v>
      </c>
      <c r="AI8" s="85">
        <f t="shared" si="1"/>
        <v>0</v>
      </c>
      <c r="AJ8" s="85">
        <f t="shared" si="1"/>
        <v>0</v>
      </c>
      <c r="AK8" s="85">
        <f t="shared" si="1"/>
        <v>0</v>
      </c>
      <c r="AL8" s="85">
        <f t="shared" si="1"/>
        <v>0</v>
      </c>
      <c r="AM8" s="85">
        <f t="shared" si="1"/>
        <v>0</v>
      </c>
      <c r="AN8" s="85">
        <f t="shared" si="1"/>
        <v>0</v>
      </c>
      <c r="AO8" s="85">
        <f t="shared" si="1"/>
        <v>0</v>
      </c>
    </row>
    <row r="9" spans="1:41">
      <c r="A9" s="1">
        <v>1</v>
      </c>
      <c r="B9" s="1" t="s">
        <v>98</v>
      </c>
      <c r="E9" s="85">
        <f>IF(E2&gt;0,D6,0)</f>
        <v>0</v>
      </c>
      <c r="F9" s="85">
        <f>IF(F8&lt;$D$6,F8,$D$6)</f>
        <v>0</v>
      </c>
      <c r="G9" s="85">
        <f t="shared" ref="G9:AO9" si="2">IF(G8&lt;$D$6,G8,$D$6)</f>
        <v>0</v>
      </c>
      <c r="H9" s="85">
        <f t="shared" si="2"/>
        <v>0</v>
      </c>
      <c r="I9" s="85">
        <f t="shared" si="2"/>
        <v>0</v>
      </c>
      <c r="J9" s="85">
        <f t="shared" si="2"/>
        <v>0</v>
      </c>
      <c r="K9" s="85">
        <f t="shared" si="2"/>
        <v>0</v>
      </c>
      <c r="L9" s="85">
        <f t="shared" si="2"/>
        <v>0</v>
      </c>
      <c r="M9" s="85">
        <f t="shared" si="2"/>
        <v>0</v>
      </c>
      <c r="N9" s="85">
        <f t="shared" si="2"/>
        <v>0</v>
      </c>
      <c r="O9" s="85">
        <f t="shared" si="2"/>
        <v>0</v>
      </c>
      <c r="P9" s="85">
        <f t="shared" si="2"/>
        <v>0</v>
      </c>
      <c r="Q9" s="85">
        <f t="shared" si="2"/>
        <v>0</v>
      </c>
      <c r="R9" s="85">
        <f t="shared" si="2"/>
        <v>0</v>
      </c>
      <c r="S9" s="85">
        <f t="shared" si="2"/>
        <v>0</v>
      </c>
      <c r="T9" s="85">
        <f t="shared" si="2"/>
        <v>0</v>
      </c>
      <c r="U9" s="85">
        <f t="shared" si="2"/>
        <v>0</v>
      </c>
      <c r="V9" s="85">
        <f t="shared" si="2"/>
        <v>0</v>
      </c>
      <c r="W9" s="85">
        <f t="shared" si="2"/>
        <v>0</v>
      </c>
      <c r="X9" s="85">
        <f t="shared" si="2"/>
        <v>0</v>
      </c>
      <c r="Y9" s="85">
        <f t="shared" si="2"/>
        <v>0</v>
      </c>
      <c r="Z9" s="85">
        <f t="shared" si="2"/>
        <v>0</v>
      </c>
      <c r="AA9" s="85">
        <f t="shared" si="2"/>
        <v>0</v>
      </c>
      <c r="AB9" s="85">
        <f t="shared" si="2"/>
        <v>0</v>
      </c>
      <c r="AC9" s="85">
        <f t="shared" si="2"/>
        <v>0</v>
      </c>
      <c r="AD9" s="85">
        <f t="shared" si="2"/>
        <v>0</v>
      </c>
      <c r="AE9" s="85">
        <f t="shared" si="2"/>
        <v>0</v>
      </c>
      <c r="AF9" s="85">
        <f t="shared" si="2"/>
        <v>0</v>
      </c>
      <c r="AG9" s="85">
        <f t="shared" si="2"/>
        <v>0</v>
      </c>
      <c r="AH9" s="85">
        <f t="shared" si="2"/>
        <v>0</v>
      </c>
      <c r="AI9" s="85">
        <f t="shared" si="2"/>
        <v>0</v>
      </c>
      <c r="AJ9" s="85">
        <f t="shared" si="2"/>
        <v>0</v>
      </c>
      <c r="AK9" s="85">
        <f t="shared" si="2"/>
        <v>0</v>
      </c>
      <c r="AL9" s="85">
        <f t="shared" si="2"/>
        <v>0</v>
      </c>
      <c r="AM9" s="85">
        <f t="shared" si="2"/>
        <v>0</v>
      </c>
      <c r="AN9" s="85">
        <f t="shared" si="2"/>
        <v>0</v>
      </c>
      <c r="AO9" s="85">
        <f t="shared" si="2"/>
        <v>0</v>
      </c>
    </row>
    <row r="10" spans="1:41">
      <c r="A10" s="1">
        <v>1</v>
      </c>
      <c r="B10" s="1" t="s">
        <v>140</v>
      </c>
      <c r="E10" s="85">
        <f>(F10-G10)+F10</f>
        <v>0</v>
      </c>
      <c r="F10" s="85">
        <f>IF(F8=F9,0,($D$4/12)*F8)</f>
        <v>0</v>
      </c>
      <c r="G10" s="85">
        <f t="shared" ref="G10:AO10" si="3">IF(G8=G9,0,($D$4/12)*G8)</f>
        <v>0</v>
      </c>
      <c r="H10" s="85">
        <f t="shared" si="3"/>
        <v>0</v>
      </c>
      <c r="I10" s="85">
        <f t="shared" si="3"/>
        <v>0</v>
      </c>
      <c r="J10" s="85">
        <f t="shared" si="3"/>
        <v>0</v>
      </c>
      <c r="K10" s="85">
        <f t="shared" si="3"/>
        <v>0</v>
      </c>
      <c r="L10" s="85">
        <f t="shared" si="3"/>
        <v>0</v>
      </c>
      <c r="M10" s="85">
        <f t="shared" si="3"/>
        <v>0</v>
      </c>
      <c r="N10" s="85">
        <f t="shared" si="3"/>
        <v>0</v>
      </c>
      <c r="O10" s="85">
        <f t="shared" si="3"/>
        <v>0</v>
      </c>
      <c r="P10" s="85">
        <f t="shared" si="3"/>
        <v>0</v>
      </c>
      <c r="Q10" s="85">
        <f t="shared" si="3"/>
        <v>0</v>
      </c>
      <c r="R10" s="85">
        <f t="shared" si="3"/>
        <v>0</v>
      </c>
      <c r="S10" s="85">
        <f t="shared" si="3"/>
        <v>0</v>
      </c>
      <c r="T10" s="85">
        <f t="shared" si="3"/>
        <v>0</v>
      </c>
      <c r="U10" s="85">
        <f t="shared" si="3"/>
        <v>0</v>
      </c>
      <c r="V10" s="85">
        <f t="shared" si="3"/>
        <v>0</v>
      </c>
      <c r="W10" s="85">
        <f t="shared" si="3"/>
        <v>0</v>
      </c>
      <c r="X10" s="85">
        <f t="shared" si="3"/>
        <v>0</v>
      </c>
      <c r="Y10" s="85">
        <f t="shared" si="3"/>
        <v>0</v>
      </c>
      <c r="Z10" s="85">
        <f t="shared" si="3"/>
        <v>0</v>
      </c>
      <c r="AA10" s="85">
        <f t="shared" si="3"/>
        <v>0</v>
      </c>
      <c r="AB10" s="85">
        <f t="shared" si="3"/>
        <v>0</v>
      </c>
      <c r="AC10" s="85">
        <f t="shared" si="3"/>
        <v>0</v>
      </c>
      <c r="AD10" s="85">
        <f t="shared" si="3"/>
        <v>0</v>
      </c>
      <c r="AE10" s="85">
        <f t="shared" si="3"/>
        <v>0</v>
      </c>
      <c r="AF10" s="85">
        <f t="shared" si="3"/>
        <v>0</v>
      </c>
      <c r="AG10" s="85">
        <f t="shared" si="3"/>
        <v>0</v>
      </c>
      <c r="AH10" s="85">
        <f t="shared" si="3"/>
        <v>0</v>
      </c>
      <c r="AI10" s="85">
        <f t="shared" si="3"/>
        <v>0</v>
      </c>
      <c r="AJ10" s="85">
        <f t="shared" si="3"/>
        <v>0</v>
      </c>
      <c r="AK10" s="85">
        <f t="shared" si="3"/>
        <v>0</v>
      </c>
      <c r="AL10" s="85">
        <f t="shared" si="3"/>
        <v>0</v>
      </c>
      <c r="AM10" s="85">
        <f t="shared" si="3"/>
        <v>0</v>
      </c>
      <c r="AN10" s="85">
        <f t="shared" si="3"/>
        <v>0</v>
      </c>
      <c r="AO10" s="85">
        <f t="shared" si="3"/>
        <v>0</v>
      </c>
    </row>
    <row r="11" spans="1:41">
      <c r="A11" s="1">
        <v>1</v>
      </c>
      <c r="B11" s="1" t="s">
        <v>37</v>
      </c>
      <c r="E11" s="132">
        <f>E2</f>
        <v>0</v>
      </c>
      <c r="F11" s="85">
        <f>F8-(F9-F10)</f>
        <v>0</v>
      </c>
      <c r="G11" s="85">
        <f>G8-(G9-G10)</f>
        <v>0</v>
      </c>
      <c r="H11" s="85">
        <f t="shared" ref="H11:AO11" si="4">H8-(H9-H10)</f>
        <v>0</v>
      </c>
      <c r="I11" s="85">
        <f t="shared" si="4"/>
        <v>0</v>
      </c>
      <c r="J11" s="85">
        <f t="shared" si="4"/>
        <v>0</v>
      </c>
      <c r="K11" s="85">
        <f t="shared" si="4"/>
        <v>0</v>
      </c>
      <c r="L11" s="85">
        <f t="shared" si="4"/>
        <v>0</v>
      </c>
      <c r="M11" s="85">
        <f t="shared" si="4"/>
        <v>0</v>
      </c>
      <c r="N11" s="85">
        <f t="shared" si="4"/>
        <v>0</v>
      </c>
      <c r="O11" s="85">
        <f t="shared" si="4"/>
        <v>0</v>
      </c>
      <c r="P11" s="85">
        <f t="shared" si="4"/>
        <v>0</v>
      </c>
      <c r="Q11" s="85">
        <f t="shared" si="4"/>
        <v>0</v>
      </c>
      <c r="R11" s="85">
        <f t="shared" si="4"/>
        <v>0</v>
      </c>
      <c r="S11" s="85">
        <f t="shared" si="4"/>
        <v>0</v>
      </c>
      <c r="T11" s="85">
        <f t="shared" si="4"/>
        <v>0</v>
      </c>
      <c r="U11" s="85">
        <f t="shared" si="4"/>
        <v>0</v>
      </c>
      <c r="V11" s="85">
        <f t="shared" si="4"/>
        <v>0</v>
      </c>
      <c r="W11" s="85">
        <f t="shared" si="4"/>
        <v>0</v>
      </c>
      <c r="X11" s="85">
        <f t="shared" si="4"/>
        <v>0</v>
      </c>
      <c r="Y11" s="85">
        <f t="shared" si="4"/>
        <v>0</v>
      </c>
      <c r="Z11" s="85">
        <f t="shared" si="4"/>
        <v>0</v>
      </c>
      <c r="AA11" s="85">
        <f t="shared" si="4"/>
        <v>0</v>
      </c>
      <c r="AB11" s="85">
        <f t="shared" si="4"/>
        <v>0</v>
      </c>
      <c r="AC11" s="85">
        <f t="shared" si="4"/>
        <v>0</v>
      </c>
      <c r="AD11" s="85">
        <f t="shared" si="4"/>
        <v>0</v>
      </c>
      <c r="AE11" s="85">
        <f t="shared" si="4"/>
        <v>0</v>
      </c>
      <c r="AF11" s="85">
        <f t="shared" si="4"/>
        <v>0</v>
      </c>
      <c r="AG11" s="85">
        <f t="shared" si="4"/>
        <v>0</v>
      </c>
      <c r="AH11" s="85">
        <f t="shared" si="4"/>
        <v>0</v>
      </c>
      <c r="AI11" s="85">
        <f t="shared" si="4"/>
        <v>0</v>
      </c>
      <c r="AJ11" s="85">
        <f t="shared" si="4"/>
        <v>0</v>
      </c>
      <c r="AK11" s="85">
        <f t="shared" si="4"/>
        <v>0</v>
      </c>
      <c r="AL11" s="85">
        <f t="shared" si="4"/>
        <v>0</v>
      </c>
      <c r="AM11" s="85">
        <f t="shared" si="4"/>
        <v>0</v>
      </c>
      <c r="AN11" s="85">
        <f t="shared" si="4"/>
        <v>0</v>
      </c>
      <c r="AO11" s="85">
        <f t="shared" si="4"/>
        <v>0</v>
      </c>
    </row>
    <row r="12" spans="1:41">
      <c r="A12" s="1">
        <v>1</v>
      </c>
      <c r="B12" s="1" t="s">
        <v>99</v>
      </c>
      <c r="E12" s="85">
        <f>E8-E11</f>
        <v>0</v>
      </c>
      <c r="F12" s="85">
        <f>F8-F11</f>
        <v>0</v>
      </c>
      <c r="G12" s="85">
        <f>G8-G11</f>
        <v>0</v>
      </c>
      <c r="H12" s="85">
        <f t="shared" ref="H12:AO12" si="5">H8-H11</f>
        <v>0</v>
      </c>
      <c r="I12" s="85">
        <f t="shared" si="5"/>
        <v>0</v>
      </c>
      <c r="J12" s="85">
        <f t="shared" si="5"/>
        <v>0</v>
      </c>
      <c r="K12" s="85">
        <f t="shared" si="5"/>
        <v>0</v>
      </c>
      <c r="L12" s="85">
        <f t="shared" si="5"/>
        <v>0</v>
      </c>
      <c r="M12" s="85">
        <f t="shared" si="5"/>
        <v>0</v>
      </c>
      <c r="N12" s="85">
        <f t="shared" si="5"/>
        <v>0</v>
      </c>
      <c r="O12" s="85">
        <f t="shared" si="5"/>
        <v>0</v>
      </c>
      <c r="P12" s="85">
        <f t="shared" si="5"/>
        <v>0</v>
      </c>
      <c r="Q12" s="85">
        <f t="shared" si="5"/>
        <v>0</v>
      </c>
      <c r="R12" s="85">
        <f t="shared" si="5"/>
        <v>0</v>
      </c>
      <c r="S12" s="85">
        <f t="shared" si="5"/>
        <v>0</v>
      </c>
      <c r="T12" s="85">
        <f t="shared" si="5"/>
        <v>0</v>
      </c>
      <c r="U12" s="85">
        <f t="shared" si="5"/>
        <v>0</v>
      </c>
      <c r="V12" s="85">
        <f t="shared" si="5"/>
        <v>0</v>
      </c>
      <c r="W12" s="85">
        <f t="shared" si="5"/>
        <v>0</v>
      </c>
      <c r="X12" s="85">
        <f t="shared" si="5"/>
        <v>0</v>
      </c>
      <c r="Y12" s="85">
        <f t="shared" si="5"/>
        <v>0</v>
      </c>
      <c r="Z12" s="85">
        <f t="shared" si="5"/>
        <v>0</v>
      </c>
      <c r="AA12" s="85">
        <f t="shared" si="5"/>
        <v>0</v>
      </c>
      <c r="AB12" s="85">
        <f t="shared" si="5"/>
        <v>0</v>
      </c>
      <c r="AC12" s="85">
        <f t="shared" si="5"/>
        <v>0</v>
      </c>
      <c r="AD12" s="85">
        <f t="shared" si="5"/>
        <v>0</v>
      </c>
      <c r="AE12" s="85">
        <f t="shared" si="5"/>
        <v>0</v>
      </c>
      <c r="AF12" s="85">
        <f t="shared" si="5"/>
        <v>0</v>
      </c>
      <c r="AG12" s="85">
        <f t="shared" si="5"/>
        <v>0</v>
      </c>
      <c r="AH12" s="85">
        <f t="shared" si="5"/>
        <v>0</v>
      </c>
      <c r="AI12" s="85">
        <f t="shared" si="5"/>
        <v>0</v>
      </c>
      <c r="AJ12" s="85">
        <f t="shared" si="5"/>
        <v>0</v>
      </c>
      <c r="AK12" s="85">
        <f t="shared" si="5"/>
        <v>0</v>
      </c>
      <c r="AL12" s="85">
        <f t="shared" si="5"/>
        <v>0</v>
      </c>
      <c r="AM12" s="85">
        <f t="shared" si="5"/>
        <v>0</v>
      </c>
      <c r="AN12" s="85">
        <f t="shared" si="5"/>
        <v>0</v>
      </c>
      <c r="AO12" s="85">
        <f t="shared" si="5"/>
        <v>0</v>
      </c>
    </row>
    <row r="13" spans="1:41">
      <c r="A13" s="1">
        <v>1</v>
      </c>
      <c r="B13" s="1" t="s">
        <v>141</v>
      </c>
      <c r="E13" s="85">
        <f>(E8&gt;0)*SUM(F12:Q12)</f>
        <v>0</v>
      </c>
      <c r="F13" s="85">
        <f>(F8&gt;0)*SUM(G12:R12)</f>
        <v>0</v>
      </c>
      <c r="G13" s="85">
        <f t="shared" ref="G13:AC13" si="6">(G8&gt;0)*SUM(H12:S12)</f>
        <v>0</v>
      </c>
      <c r="H13" s="85">
        <f t="shared" si="6"/>
        <v>0</v>
      </c>
      <c r="I13" s="85">
        <f t="shared" si="6"/>
        <v>0</v>
      </c>
      <c r="J13" s="85">
        <f t="shared" si="6"/>
        <v>0</v>
      </c>
      <c r="K13" s="85">
        <f t="shared" si="6"/>
        <v>0</v>
      </c>
      <c r="L13" s="85">
        <f t="shared" si="6"/>
        <v>0</v>
      </c>
      <c r="M13" s="85">
        <f t="shared" si="6"/>
        <v>0</v>
      </c>
      <c r="N13" s="85">
        <f t="shared" si="6"/>
        <v>0</v>
      </c>
      <c r="O13" s="85">
        <f t="shared" si="6"/>
        <v>0</v>
      </c>
      <c r="P13" s="85">
        <f t="shared" si="6"/>
        <v>0</v>
      </c>
      <c r="Q13" s="85">
        <f t="shared" si="6"/>
        <v>0</v>
      </c>
      <c r="R13" s="85">
        <f t="shared" si="6"/>
        <v>0</v>
      </c>
      <c r="S13" s="85">
        <f t="shared" si="6"/>
        <v>0</v>
      </c>
      <c r="T13" s="85">
        <f t="shared" si="6"/>
        <v>0</v>
      </c>
      <c r="U13" s="85">
        <f t="shared" si="6"/>
        <v>0</v>
      </c>
      <c r="V13" s="85">
        <f t="shared" si="6"/>
        <v>0</v>
      </c>
      <c r="W13" s="85">
        <f t="shared" si="6"/>
        <v>0</v>
      </c>
      <c r="X13" s="85">
        <f t="shared" si="6"/>
        <v>0</v>
      </c>
      <c r="Y13" s="85">
        <f t="shared" si="6"/>
        <v>0</v>
      </c>
      <c r="Z13" s="85">
        <f t="shared" si="6"/>
        <v>0</v>
      </c>
      <c r="AA13" s="85">
        <f t="shared" si="6"/>
        <v>0</v>
      </c>
      <c r="AB13" s="85">
        <f t="shared" si="6"/>
        <v>0</v>
      </c>
      <c r="AC13" s="85">
        <f t="shared" si="6"/>
        <v>0</v>
      </c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</row>
    <row r="14" spans="1:41">
      <c r="A14" s="1">
        <v>1</v>
      </c>
      <c r="B14" s="1" t="s">
        <v>142</v>
      </c>
      <c r="E14" s="85">
        <f>(E8&gt;0)*Q11</f>
        <v>0</v>
      </c>
      <c r="F14" s="85">
        <f>(F8&gt;0)*R11</f>
        <v>0</v>
      </c>
      <c r="G14" s="85">
        <f t="shared" ref="G14:AC14" si="7">(G8&gt;0)*S11</f>
        <v>0</v>
      </c>
      <c r="H14" s="85">
        <f t="shared" si="7"/>
        <v>0</v>
      </c>
      <c r="I14" s="85">
        <f t="shared" si="7"/>
        <v>0</v>
      </c>
      <c r="J14" s="85">
        <f t="shared" si="7"/>
        <v>0</v>
      </c>
      <c r="K14" s="85">
        <f t="shared" si="7"/>
        <v>0</v>
      </c>
      <c r="L14" s="85">
        <f t="shared" si="7"/>
        <v>0</v>
      </c>
      <c r="M14" s="85">
        <f t="shared" si="7"/>
        <v>0</v>
      </c>
      <c r="N14" s="85">
        <f t="shared" si="7"/>
        <v>0</v>
      </c>
      <c r="O14" s="85">
        <f t="shared" si="7"/>
        <v>0</v>
      </c>
      <c r="P14" s="85">
        <f t="shared" si="7"/>
        <v>0</v>
      </c>
      <c r="Q14" s="85">
        <f t="shared" si="7"/>
        <v>0</v>
      </c>
      <c r="R14" s="85">
        <f t="shared" si="7"/>
        <v>0</v>
      </c>
      <c r="S14" s="85">
        <f t="shared" si="7"/>
        <v>0</v>
      </c>
      <c r="T14" s="85">
        <f t="shared" si="7"/>
        <v>0</v>
      </c>
      <c r="U14" s="85">
        <f t="shared" si="7"/>
        <v>0</v>
      </c>
      <c r="V14" s="85">
        <f t="shared" si="7"/>
        <v>0</v>
      </c>
      <c r="W14" s="85">
        <f t="shared" si="7"/>
        <v>0</v>
      </c>
      <c r="X14" s="85">
        <f t="shared" si="7"/>
        <v>0</v>
      </c>
      <c r="Y14" s="85">
        <f t="shared" si="7"/>
        <v>0</v>
      </c>
      <c r="Z14" s="85">
        <f t="shared" si="7"/>
        <v>0</v>
      </c>
      <c r="AA14" s="85">
        <f t="shared" si="7"/>
        <v>0</v>
      </c>
      <c r="AB14" s="85">
        <f t="shared" si="7"/>
        <v>0</v>
      </c>
      <c r="AC14" s="85">
        <f t="shared" si="7"/>
        <v>0</v>
      </c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</row>
    <row r="15" spans="1:41">
      <c r="E15" s="85"/>
    </row>
    <row r="16" spans="1:41">
      <c r="A16" s="13"/>
      <c r="B16" s="91" t="s">
        <v>282</v>
      </c>
      <c r="C16" s="13"/>
      <c r="D16" s="13" t="s">
        <v>279</v>
      </c>
      <c r="E16" s="13" t="s">
        <v>128</v>
      </c>
      <c r="F16" s="13">
        <f>DATEVALUE(1&amp;"/"&amp;'IP1'!$B$3&amp;"/"&amp;'IP1'!$B$4)</f>
        <v>41275</v>
      </c>
      <c r="G16" s="13">
        <f>DATE(YEAR(F16),MONTH(F16)+1,1)</f>
        <v>41306</v>
      </c>
      <c r="H16" s="13">
        <f t="shared" ref="H16:AO16" si="8">DATE(YEAR(G16),MONTH(G16)+1,1)</f>
        <v>41334</v>
      </c>
      <c r="I16" s="13">
        <f t="shared" si="8"/>
        <v>41365</v>
      </c>
      <c r="J16" s="13">
        <f t="shared" si="8"/>
        <v>41395</v>
      </c>
      <c r="K16" s="13">
        <f t="shared" si="8"/>
        <v>41426</v>
      </c>
      <c r="L16" s="13">
        <f t="shared" si="8"/>
        <v>41456</v>
      </c>
      <c r="M16" s="13">
        <f t="shared" si="8"/>
        <v>41487</v>
      </c>
      <c r="N16" s="13">
        <f t="shared" si="8"/>
        <v>41518</v>
      </c>
      <c r="O16" s="13">
        <f t="shared" si="8"/>
        <v>41548</v>
      </c>
      <c r="P16" s="13">
        <f t="shared" si="8"/>
        <v>41579</v>
      </c>
      <c r="Q16" s="13">
        <f t="shared" si="8"/>
        <v>41609</v>
      </c>
      <c r="R16" s="13">
        <f t="shared" si="8"/>
        <v>41640</v>
      </c>
      <c r="S16" s="13">
        <f t="shared" si="8"/>
        <v>41671</v>
      </c>
      <c r="T16" s="13">
        <f t="shared" si="8"/>
        <v>41699</v>
      </c>
      <c r="U16" s="13">
        <f t="shared" si="8"/>
        <v>41730</v>
      </c>
      <c r="V16" s="13">
        <f t="shared" si="8"/>
        <v>41760</v>
      </c>
      <c r="W16" s="13">
        <f t="shared" si="8"/>
        <v>41791</v>
      </c>
      <c r="X16" s="13">
        <f t="shared" si="8"/>
        <v>41821</v>
      </c>
      <c r="Y16" s="13">
        <f t="shared" si="8"/>
        <v>41852</v>
      </c>
      <c r="Z16" s="13">
        <f t="shared" si="8"/>
        <v>41883</v>
      </c>
      <c r="AA16" s="13">
        <f t="shared" si="8"/>
        <v>41913</v>
      </c>
      <c r="AB16" s="13">
        <f t="shared" si="8"/>
        <v>41944</v>
      </c>
      <c r="AC16" s="13">
        <f t="shared" si="8"/>
        <v>41974</v>
      </c>
      <c r="AD16" s="90">
        <f t="shared" si="8"/>
        <v>42005</v>
      </c>
      <c r="AE16" s="90">
        <f t="shared" si="8"/>
        <v>42036</v>
      </c>
      <c r="AF16" s="90">
        <f t="shared" si="8"/>
        <v>42064</v>
      </c>
      <c r="AG16" s="90">
        <f t="shared" si="8"/>
        <v>42095</v>
      </c>
      <c r="AH16" s="90">
        <f t="shared" si="8"/>
        <v>42125</v>
      </c>
      <c r="AI16" s="90">
        <f t="shared" si="8"/>
        <v>42156</v>
      </c>
      <c r="AJ16" s="90">
        <f t="shared" si="8"/>
        <v>42186</v>
      </c>
      <c r="AK16" s="90">
        <f t="shared" si="8"/>
        <v>42217</v>
      </c>
      <c r="AL16" s="90">
        <f t="shared" si="8"/>
        <v>42248</v>
      </c>
      <c r="AM16" s="90">
        <f t="shared" si="8"/>
        <v>42278</v>
      </c>
      <c r="AN16" s="90">
        <f t="shared" si="8"/>
        <v>42309</v>
      </c>
      <c r="AO16" s="90">
        <f t="shared" si="8"/>
        <v>42339</v>
      </c>
    </row>
    <row r="17" spans="1:41">
      <c r="A17" s="1">
        <v>2</v>
      </c>
      <c r="B17" s="88" t="s">
        <v>131</v>
      </c>
      <c r="D17" s="85">
        <f>'IP2'!J25</f>
        <v>0</v>
      </c>
      <c r="E17" s="85">
        <f>'IP2'!J28</f>
        <v>0</v>
      </c>
    </row>
    <row r="18" spans="1:41">
      <c r="A18" s="1">
        <v>2</v>
      </c>
      <c r="B18" s="88" t="s">
        <v>132</v>
      </c>
      <c r="D18" s="87">
        <f>'IP2'!J26</f>
        <v>0</v>
      </c>
      <c r="E18" s="87"/>
    </row>
    <row r="19" spans="1:41">
      <c r="A19" s="1">
        <v>2</v>
      </c>
      <c r="B19" s="88" t="s">
        <v>133</v>
      </c>
      <c r="D19" s="86">
        <f>'IP2'!J27</f>
        <v>0</v>
      </c>
      <c r="E19" s="86"/>
    </row>
    <row r="20" spans="1:41">
      <c r="A20" s="1">
        <v>2</v>
      </c>
      <c r="B20" s="88" t="s">
        <v>96</v>
      </c>
      <c r="D20" s="85">
        <v>0</v>
      </c>
      <c r="E20" s="85"/>
    </row>
    <row r="21" spans="1:41">
      <c r="A21" s="1">
        <v>2</v>
      </c>
      <c r="B21" s="88" t="s">
        <v>134</v>
      </c>
      <c r="D21" s="89">
        <f>IFERROR(-PMT(D19/12,D18*12,D17,D20),0)</f>
        <v>0</v>
      </c>
      <c r="E21" s="89"/>
    </row>
    <row r="22" spans="1:41">
      <c r="D22" s="85"/>
      <c r="E22" s="85"/>
    </row>
    <row r="23" spans="1:41">
      <c r="A23" s="1">
        <v>2</v>
      </c>
      <c r="B23" s="1" t="s">
        <v>128</v>
      </c>
      <c r="E23" s="132">
        <f>E26+E24-E25</f>
        <v>0</v>
      </c>
      <c r="F23" s="85">
        <f>IF(E26&gt;0,E26,0)</f>
        <v>0</v>
      </c>
      <c r="G23" s="85">
        <f t="shared" ref="G23:AO23" si="9">IF(F26&gt;0,F26,0)</f>
        <v>0</v>
      </c>
      <c r="H23" s="85">
        <f t="shared" si="9"/>
        <v>0</v>
      </c>
      <c r="I23" s="85">
        <f t="shared" si="9"/>
        <v>0</v>
      </c>
      <c r="J23" s="85">
        <f t="shared" si="9"/>
        <v>0</v>
      </c>
      <c r="K23" s="85">
        <f t="shared" si="9"/>
        <v>0</v>
      </c>
      <c r="L23" s="85">
        <f t="shared" si="9"/>
        <v>0</v>
      </c>
      <c r="M23" s="85">
        <f t="shared" si="9"/>
        <v>0</v>
      </c>
      <c r="N23" s="85">
        <f t="shared" si="9"/>
        <v>0</v>
      </c>
      <c r="O23" s="85">
        <f t="shared" si="9"/>
        <v>0</v>
      </c>
      <c r="P23" s="85">
        <f t="shared" si="9"/>
        <v>0</v>
      </c>
      <c r="Q23" s="85">
        <f t="shared" si="9"/>
        <v>0</v>
      </c>
      <c r="R23" s="85">
        <f t="shared" si="9"/>
        <v>0</v>
      </c>
      <c r="S23" s="85">
        <f t="shared" si="9"/>
        <v>0</v>
      </c>
      <c r="T23" s="85">
        <f t="shared" si="9"/>
        <v>0</v>
      </c>
      <c r="U23" s="85">
        <f t="shared" si="9"/>
        <v>0</v>
      </c>
      <c r="V23" s="85">
        <f t="shared" si="9"/>
        <v>0</v>
      </c>
      <c r="W23" s="85">
        <f t="shared" si="9"/>
        <v>0</v>
      </c>
      <c r="X23" s="85">
        <f t="shared" si="9"/>
        <v>0</v>
      </c>
      <c r="Y23" s="85">
        <f t="shared" si="9"/>
        <v>0</v>
      </c>
      <c r="Z23" s="85">
        <f t="shared" si="9"/>
        <v>0</v>
      </c>
      <c r="AA23" s="85">
        <f t="shared" si="9"/>
        <v>0</v>
      </c>
      <c r="AB23" s="85">
        <f t="shared" si="9"/>
        <v>0</v>
      </c>
      <c r="AC23" s="85">
        <f t="shared" si="9"/>
        <v>0</v>
      </c>
      <c r="AD23" s="85">
        <f t="shared" si="9"/>
        <v>0</v>
      </c>
      <c r="AE23" s="85">
        <f t="shared" si="9"/>
        <v>0</v>
      </c>
      <c r="AF23" s="85">
        <f t="shared" si="9"/>
        <v>0</v>
      </c>
      <c r="AG23" s="85">
        <f t="shared" si="9"/>
        <v>0</v>
      </c>
      <c r="AH23" s="85">
        <f t="shared" si="9"/>
        <v>0</v>
      </c>
      <c r="AI23" s="85">
        <f t="shared" si="9"/>
        <v>0</v>
      </c>
      <c r="AJ23" s="85">
        <f t="shared" si="9"/>
        <v>0</v>
      </c>
      <c r="AK23" s="85">
        <f t="shared" si="9"/>
        <v>0</v>
      </c>
      <c r="AL23" s="85">
        <f t="shared" si="9"/>
        <v>0</v>
      </c>
      <c r="AM23" s="85">
        <f t="shared" si="9"/>
        <v>0</v>
      </c>
      <c r="AN23" s="85">
        <f t="shared" si="9"/>
        <v>0</v>
      </c>
      <c r="AO23" s="85">
        <f t="shared" si="9"/>
        <v>0</v>
      </c>
    </row>
    <row r="24" spans="1:41">
      <c r="A24" s="1">
        <v>2</v>
      </c>
      <c r="B24" s="1" t="s">
        <v>98</v>
      </c>
      <c r="E24" s="85">
        <f>IF(E17&gt;0,D21,0)</f>
        <v>0</v>
      </c>
      <c r="F24" s="85">
        <f>IF(F23&lt;$D$21,F23,$D$21)</f>
        <v>0</v>
      </c>
      <c r="G24" s="85">
        <f t="shared" ref="G24:AO24" si="10">IF(G23&lt;$D$21,G23,$D$21)</f>
        <v>0</v>
      </c>
      <c r="H24" s="85">
        <f t="shared" si="10"/>
        <v>0</v>
      </c>
      <c r="I24" s="85">
        <f t="shared" si="10"/>
        <v>0</v>
      </c>
      <c r="J24" s="85">
        <f t="shared" si="10"/>
        <v>0</v>
      </c>
      <c r="K24" s="85">
        <f t="shared" si="10"/>
        <v>0</v>
      </c>
      <c r="L24" s="85">
        <f t="shared" si="10"/>
        <v>0</v>
      </c>
      <c r="M24" s="85">
        <f t="shared" si="10"/>
        <v>0</v>
      </c>
      <c r="N24" s="85">
        <f t="shared" si="10"/>
        <v>0</v>
      </c>
      <c r="O24" s="85">
        <f t="shared" si="10"/>
        <v>0</v>
      </c>
      <c r="P24" s="85">
        <f t="shared" si="10"/>
        <v>0</v>
      </c>
      <c r="Q24" s="85">
        <f t="shared" si="10"/>
        <v>0</v>
      </c>
      <c r="R24" s="85">
        <f t="shared" si="10"/>
        <v>0</v>
      </c>
      <c r="S24" s="85">
        <f t="shared" si="10"/>
        <v>0</v>
      </c>
      <c r="T24" s="85">
        <f t="shared" si="10"/>
        <v>0</v>
      </c>
      <c r="U24" s="85">
        <f t="shared" si="10"/>
        <v>0</v>
      </c>
      <c r="V24" s="85">
        <f t="shared" si="10"/>
        <v>0</v>
      </c>
      <c r="W24" s="85">
        <f t="shared" si="10"/>
        <v>0</v>
      </c>
      <c r="X24" s="85">
        <f t="shared" si="10"/>
        <v>0</v>
      </c>
      <c r="Y24" s="85">
        <f t="shared" si="10"/>
        <v>0</v>
      </c>
      <c r="Z24" s="85">
        <f t="shared" si="10"/>
        <v>0</v>
      </c>
      <c r="AA24" s="85">
        <f t="shared" si="10"/>
        <v>0</v>
      </c>
      <c r="AB24" s="85">
        <f t="shared" si="10"/>
        <v>0</v>
      </c>
      <c r="AC24" s="85">
        <f t="shared" si="10"/>
        <v>0</v>
      </c>
      <c r="AD24" s="85">
        <f t="shared" si="10"/>
        <v>0</v>
      </c>
      <c r="AE24" s="85">
        <f t="shared" si="10"/>
        <v>0</v>
      </c>
      <c r="AF24" s="85">
        <f t="shared" si="10"/>
        <v>0</v>
      </c>
      <c r="AG24" s="85">
        <f t="shared" si="10"/>
        <v>0</v>
      </c>
      <c r="AH24" s="85">
        <f t="shared" si="10"/>
        <v>0</v>
      </c>
      <c r="AI24" s="85">
        <f t="shared" si="10"/>
        <v>0</v>
      </c>
      <c r="AJ24" s="85">
        <f t="shared" si="10"/>
        <v>0</v>
      </c>
      <c r="AK24" s="85">
        <f t="shared" si="10"/>
        <v>0</v>
      </c>
      <c r="AL24" s="85">
        <f t="shared" si="10"/>
        <v>0</v>
      </c>
      <c r="AM24" s="85">
        <f t="shared" si="10"/>
        <v>0</v>
      </c>
      <c r="AN24" s="85">
        <f t="shared" si="10"/>
        <v>0</v>
      </c>
      <c r="AO24" s="85">
        <f t="shared" si="10"/>
        <v>0</v>
      </c>
    </row>
    <row r="25" spans="1:41">
      <c r="A25" s="1">
        <v>2</v>
      </c>
      <c r="B25" s="1" t="s">
        <v>140</v>
      </c>
      <c r="E25" s="85">
        <f>(F25-G25)+F25</f>
        <v>0</v>
      </c>
      <c r="F25" s="85">
        <f t="shared" ref="F25:AO25" si="11">IF(F23=F24,0,($D$4/12)*F23)</f>
        <v>0</v>
      </c>
      <c r="G25" s="85">
        <f t="shared" si="11"/>
        <v>0</v>
      </c>
      <c r="H25" s="85">
        <f t="shared" si="11"/>
        <v>0</v>
      </c>
      <c r="I25" s="85">
        <f t="shared" si="11"/>
        <v>0</v>
      </c>
      <c r="J25" s="85">
        <f t="shared" si="11"/>
        <v>0</v>
      </c>
      <c r="K25" s="85">
        <f t="shared" si="11"/>
        <v>0</v>
      </c>
      <c r="L25" s="85">
        <f t="shared" si="11"/>
        <v>0</v>
      </c>
      <c r="M25" s="85">
        <f t="shared" si="11"/>
        <v>0</v>
      </c>
      <c r="N25" s="85">
        <f t="shared" si="11"/>
        <v>0</v>
      </c>
      <c r="O25" s="85">
        <f t="shared" si="11"/>
        <v>0</v>
      </c>
      <c r="P25" s="85">
        <f t="shared" si="11"/>
        <v>0</v>
      </c>
      <c r="Q25" s="85">
        <f t="shared" si="11"/>
        <v>0</v>
      </c>
      <c r="R25" s="85">
        <f t="shared" si="11"/>
        <v>0</v>
      </c>
      <c r="S25" s="85">
        <f t="shared" si="11"/>
        <v>0</v>
      </c>
      <c r="T25" s="85">
        <f t="shared" si="11"/>
        <v>0</v>
      </c>
      <c r="U25" s="85">
        <f t="shared" si="11"/>
        <v>0</v>
      </c>
      <c r="V25" s="85">
        <f t="shared" si="11"/>
        <v>0</v>
      </c>
      <c r="W25" s="85">
        <f t="shared" si="11"/>
        <v>0</v>
      </c>
      <c r="X25" s="85">
        <f t="shared" si="11"/>
        <v>0</v>
      </c>
      <c r="Y25" s="85">
        <f t="shared" si="11"/>
        <v>0</v>
      </c>
      <c r="Z25" s="85">
        <f t="shared" si="11"/>
        <v>0</v>
      </c>
      <c r="AA25" s="85">
        <f t="shared" si="11"/>
        <v>0</v>
      </c>
      <c r="AB25" s="85">
        <f t="shared" si="11"/>
        <v>0</v>
      </c>
      <c r="AC25" s="85">
        <f t="shared" si="11"/>
        <v>0</v>
      </c>
      <c r="AD25" s="85">
        <f t="shared" si="11"/>
        <v>0</v>
      </c>
      <c r="AE25" s="85">
        <f t="shared" si="11"/>
        <v>0</v>
      </c>
      <c r="AF25" s="85">
        <f t="shared" si="11"/>
        <v>0</v>
      </c>
      <c r="AG25" s="85">
        <f t="shared" si="11"/>
        <v>0</v>
      </c>
      <c r="AH25" s="85">
        <f t="shared" si="11"/>
        <v>0</v>
      </c>
      <c r="AI25" s="85">
        <f t="shared" si="11"/>
        <v>0</v>
      </c>
      <c r="AJ25" s="85">
        <f t="shared" si="11"/>
        <v>0</v>
      </c>
      <c r="AK25" s="85">
        <f t="shared" si="11"/>
        <v>0</v>
      </c>
      <c r="AL25" s="85">
        <f t="shared" si="11"/>
        <v>0</v>
      </c>
      <c r="AM25" s="85">
        <f t="shared" si="11"/>
        <v>0</v>
      </c>
      <c r="AN25" s="85">
        <f t="shared" si="11"/>
        <v>0</v>
      </c>
      <c r="AO25" s="85">
        <f t="shared" si="11"/>
        <v>0</v>
      </c>
    </row>
    <row r="26" spans="1:41">
      <c r="A26" s="1">
        <v>2</v>
      </c>
      <c r="B26" s="1" t="s">
        <v>37</v>
      </c>
      <c r="E26" s="132">
        <f>E17</f>
        <v>0</v>
      </c>
      <c r="F26" s="85">
        <f t="shared" ref="F26:AO26" si="12">F23-(F24-F25)</f>
        <v>0</v>
      </c>
      <c r="G26" s="85">
        <f t="shared" si="12"/>
        <v>0</v>
      </c>
      <c r="H26" s="85">
        <f t="shared" si="12"/>
        <v>0</v>
      </c>
      <c r="I26" s="85">
        <f t="shared" si="12"/>
        <v>0</v>
      </c>
      <c r="J26" s="85">
        <f t="shared" si="12"/>
        <v>0</v>
      </c>
      <c r="K26" s="85">
        <f t="shared" si="12"/>
        <v>0</v>
      </c>
      <c r="L26" s="85">
        <f t="shared" si="12"/>
        <v>0</v>
      </c>
      <c r="M26" s="85">
        <f t="shared" si="12"/>
        <v>0</v>
      </c>
      <c r="N26" s="85">
        <f t="shared" si="12"/>
        <v>0</v>
      </c>
      <c r="O26" s="85">
        <f t="shared" si="12"/>
        <v>0</v>
      </c>
      <c r="P26" s="85">
        <f t="shared" si="12"/>
        <v>0</v>
      </c>
      <c r="Q26" s="85">
        <f t="shared" si="12"/>
        <v>0</v>
      </c>
      <c r="R26" s="85">
        <f t="shared" si="12"/>
        <v>0</v>
      </c>
      <c r="S26" s="85">
        <f t="shared" si="12"/>
        <v>0</v>
      </c>
      <c r="T26" s="85">
        <f t="shared" si="12"/>
        <v>0</v>
      </c>
      <c r="U26" s="85">
        <f t="shared" si="12"/>
        <v>0</v>
      </c>
      <c r="V26" s="85">
        <f t="shared" si="12"/>
        <v>0</v>
      </c>
      <c r="W26" s="85">
        <f t="shared" si="12"/>
        <v>0</v>
      </c>
      <c r="X26" s="85">
        <f t="shared" si="12"/>
        <v>0</v>
      </c>
      <c r="Y26" s="85">
        <f t="shared" si="12"/>
        <v>0</v>
      </c>
      <c r="Z26" s="85">
        <f t="shared" si="12"/>
        <v>0</v>
      </c>
      <c r="AA26" s="85">
        <f t="shared" si="12"/>
        <v>0</v>
      </c>
      <c r="AB26" s="85">
        <f t="shared" si="12"/>
        <v>0</v>
      </c>
      <c r="AC26" s="85">
        <f t="shared" si="12"/>
        <v>0</v>
      </c>
      <c r="AD26" s="85">
        <f t="shared" si="12"/>
        <v>0</v>
      </c>
      <c r="AE26" s="85">
        <f t="shared" si="12"/>
        <v>0</v>
      </c>
      <c r="AF26" s="85">
        <f t="shared" si="12"/>
        <v>0</v>
      </c>
      <c r="AG26" s="85">
        <f t="shared" si="12"/>
        <v>0</v>
      </c>
      <c r="AH26" s="85">
        <f t="shared" si="12"/>
        <v>0</v>
      </c>
      <c r="AI26" s="85">
        <f t="shared" si="12"/>
        <v>0</v>
      </c>
      <c r="AJ26" s="85">
        <f t="shared" si="12"/>
        <v>0</v>
      </c>
      <c r="AK26" s="85">
        <f t="shared" si="12"/>
        <v>0</v>
      </c>
      <c r="AL26" s="85">
        <f t="shared" si="12"/>
        <v>0</v>
      </c>
      <c r="AM26" s="85">
        <f t="shared" si="12"/>
        <v>0</v>
      </c>
      <c r="AN26" s="85">
        <f t="shared" si="12"/>
        <v>0</v>
      </c>
      <c r="AO26" s="85">
        <f t="shared" si="12"/>
        <v>0</v>
      </c>
    </row>
    <row r="27" spans="1:41">
      <c r="A27" s="1">
        <v>2</v>
      </c>
      <c r="B27" s="1" t="s">
        <v>99</v>
      </c>
      <c r="E27" s="85">
        <f t="shared" ref="E27:AO27" si="13">E23-E26</f>
        <v>0</v>
      </c>
      <c r="F27" s="85">
        <f t="shared" si="13"/>
        <v>0</v>
      </c>
      <c r="G27" s="85">
        <f t="shared" si="13"/>
        <v>0</v>
      </c>
      <c r="H27" s="85">
        <f t="shared" si="13"/>
        <v>0</v>
      </c>
      <c r="I27" s="85">
        <f t="shared" si="13"/>
        <v>0</v>
      </c>
      <c r="J27" s="85">
        <f t="shared" si="13"/>
        <v>0</v>
      </c>
      <c r="K27" s="85">
        <f t="shared" si="13"/>
        <v>0</v>
      </c>
      <c r="L27" s="85">
        <f t="shared" si="13"/>
        <v>0</v>
      </c>
      <c r="M27" s="85">
        <f t="shared" si="13"/>
        <v>0</v>
      </c>
      <c r="N27" s="85">
        <f t="shared" si="13"/>
        <v>0</v>
      </c>
      <c r="O27" s="85">
        <f t="shared" si="13"/>
        <v>0</v>
      </c>
      <c r="P27" s="85">
        <f t="shared" si="13"/>
        <v>0</v>
      </c>
      <c r="Q27" s="85">
        <f t="shared" si="13"/>
        <v>0</v>
      </c>
      <c r="R27" s="85">
        <f t="shared" si="13"/>
        <v>0</v>
      </c>
      <c r="S27" s="85">
        <f t="shared" si="13"/>
        <v>0</v>
      </c>
      <c r="T27" s="85">
        <f t="shared" si="13"/>
        <v>0</v>
      </c>
      <c r="U27" s="85">
        <f t="shared" si="13"/>
        <v>0</v>
      </c>
      <c r="V27" s="85">
        <f t="shared" si="13"/>
        <v>0</v>
      </c>
      <c r="W27" s="85">
        <f t="shared" si="13"/>
        <v>0</v>
      </c>
      <c r="X27" s="85">
        <f t="shared" si="13"/>
        <v>0</v>
      </c>
      <c r="Y27" s="85">
        <f t="shared" si="13"/>
        <v>0</v>
      </c>
      <c r="Z27" s="85">
        <f t="shared" si="13"/>
        <v>0</v>
      </c>
      <c r="AA27" s="85">
        <f t="shared" si="13"/>
        <v>0</v>
      </c>
      <c r="AB27" s="85">
        <f t="shared" si="13"/>
        <v>0</v>
      </c>
      <c r="AC27" s="85">
        <f t="shared" si="13"/>
        <v>0</v>
      </c>
      <c r="AD27" s="85">
        <f t="shared" si="13"/>
        <v>0</v>
      </c>
      <c r="AE27" s="85">
        <f t="shared" si="13"/>
        <v>0</v>
      </c>
      <c r="AF27" s="85">
        <f t="shared" si="13"/>
        <v>0</v>
      </c>
      <c r="AG27" s="85">
        <f t="shared" si="13"/>
        <v>0</v>
      </c>
      <c r="AH27" s="85">
        <f t="shared" si="13"/>
        <v>0</v>
      </c>
      <c r="AI27" s="85">
        <f t="shared" si="13"/>
        <v>0</v>
      </c>
      <c r="AJ27" s="85">
        <f t="shared" si="13"/>
        <v>0</v>
      </c>
      <c r="AK27" s="85">
        <f t="shared" si="13"/>
        <v>0</v>
      </c>
      <c r="AL27" s="85">
        <f t="shared" si="13"/>
        <v>0</v>
      </c>
      <c r="AM27" s="85">
        <f t="shared" si="13"/>
        <v>0</v>
      </c>
      <c r="AN27" s="85">
        <f t="shared" si="13"/>
        <v>0</v>
      </c>
      <c r="AO27" s="85">
        <f t="shared" si="13"/>
        <v>0</v>
      </c>
    </row>
    <row r="28" spans="1:41">
      <c r="A28" s="1">
        <v>2</v>
      </c>
      <c r="B28" s="1" t="s">
        <v>141</v>
      </c>
      <c r="E28" s="85">
        <f t="shared" ref="E28:AC28" si="14">(E23&gt;0)*SUM(F27:Q27)</f>
        <v>0</v>
      </c>
      <c r="F28" s="85">
        <f t="shared" si="14"/>
        <v>0</v>
      </c>
      <c r="G28" s="85">
        <f t="shared" si="14"/>
        <v>0</v>
      </c>
      <c r="H28" s="85">
        <f t="shared" si="14"/>
        <v>0</v>
      </c>
      <c r="I28" s="85">
        <f t="shared" si="14"/>
        <v>0</v>
      </c>
      <c r="J28" s="85">
        <f t="shared" si="14"/>
        <v>0</v>
      </c>
      <c r="K28" s="85">
        <f t="shared" si="14"/>
        <v>0</v>
      </c>
      <c r="L28" s="85">
        <f t="shared" si="14"/>
        <v>0</v>
      </c>
      <c r="M28" s="85">
        <f t="shared" si="14"/>
        <v>0</v>
      </c>
      <c r="N28" s="85">
        <f t="shared" si="14"/>
        <v>0</v>
      </c>
      <c r="O28" s="85">
        <f t="shared" si="14"/>
        <v>0</v>
      </c>
      <c r="P28" s="85">
        <f t="shared" si="14"/>
        <v>0</v>
      </c>
      <c r="Q28" s="85">
        <f t="shared" si="14"/>
        <v>0</v>
      </c>
      <c r="R28" s="85">
        <f t="shared" si="14"/>
        <v>0</v>
      </c>
      <c r="S28" s="85">
        <f t="shared" si="14"/>
        <v>0</v>
      </c>
      <c r="T28" s="85">
        <f t="shared" si="14"/>
        <v>0</v>
      </c>
      <c r="U28" s="85">
        <f t="shared" si="14"/>
        <v>0</v>
      </c>
      <c r="V28" s="85">
        <f t="shared" si="14"/>
        <v>0</v>
      </c>
      <c r="W28" s="85">
        <f t="shared" si="14"/>
        <v>0</v>
      </c>
      <c r="X28" s="85">
        <f t="shared" si="14"/>
        <v>0</v>
      </c>
      <c r="Y28" s="85">
        <f t="shared" si="14"/>
        <v>0</v>
      </c>
      <c r="Z28" s="85">
        <f t="shared" si="14"/>
        <v>0</v>
      </c>
      <c r="AA28" s="85">
        <f t="shared" si="14"/>
        <v>0</v>
      </c>
      <c r="AB28" s="85">
        <f t="shared" si="14"/>
        <v>0</v>
      </c>
      <c r="AC28" s="85">
        <f t="shared" si="14"/>
        <v>0</v>
      </c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</row>
    <row r="29" spans="1:41">
      <c r="A29" s="1">
        <v>2</v>
      </c>
      <c r="B29" s="1" t="s">
        <v>142</v>
      </c>
      <c r="E29" s="85">
        <f t="shared" ref="E29:AC29" si="15">(E23&gt;0)*Q26</f>
        <v>0</v>
      </c>
      <c r="F29" s="85">
        <f t="shared" si="15"/>
        <v>0</v>
      </c>
      <c r="G29" s="85">
        <f t="shared" si="15"/>
        <v>0</v>
      </c>
      <c r="H29" s="85">
        <f t="shared" si="15"/>
        <v>0</v>
      </c>
      <c r="I29" s="85">
        <f t="shared" si="15"/>
        <v>0</v>
      </c>
      <c r="J29" s="85">
        <f t="shared" si="15"/>
        <v>0</v>
      </c>
      <c r="K29" s="85">
        <f t="shared" si="15"/>
        <v>0</v>
      </c>
      <c r="L29" s="85">
        <f t="shared" si="15"/>
        <v>0</v>
      </c>
      <c r="M29" s="85">
        <f t="shared" si="15"/>
        <v>0</v>
      </c>
      <c r="N29" s="85">
        <f t="shared" si="15"/>
        <v>0</v>
      </c>
      <c r="O29" s="85">
        <f t="shared" si="15"/>
        <v>0</v>
      </c>
      <c r="P29" s="85">
        <f t="shared" si="15"/>
        <v>0</v>
      </c>
      <c r="Q29" s="85">
        <f t="shared" si="15"/>
        <v>0</v>
      </c>
      <c r="R29" s="85">
        <f t="shared" si="15"/>
        <v>0</v>
      </c>
      <c r="S29" s="85">
        <f t="shared" si="15"/>
        <v>0</v>
      </c>
      <c r="T29" s="85">
        <f t="shared" si="15"/>
        <v>0</v>
      </c>
      <c r="U29" s="85">
        <f t="shared" si="15"/>
        <v>0</v>
      </c>
      <c r="V29" s="85">
        <f t="shared" si="15"/>
        <v>0</v>
      </c>
      <c r="W29" s="85">
        <f t="shared" si="15"/>
        <v>0</v>
      </c>
      <c r="X29" s="85">
        <f t="shared" si="15"/>
        <v>0</v>
      </c>
      <c r="Y29" s="85">
        <f t="shared" si="15"/>
        <v>0</v>
      </c>
      <c r="Z29" s="85">
        <f t="shared" si="15"/>
        <v>0</v>
      </c>
      <c r="AA29" s="85">
        <f t="shared" si="15"/>
        <v>0</v>
      </c>
      <c r="AB29" s="85">
        <f t="shared" si="15"/>
        <v>0</v>
      </c>
      <c r="AC29" s="85">
        <f t="shared" si="15"/>
        <v>0</v>
      </c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</row>
    <row r="30" spans="1:41"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</row>
    <row r="31" spans="1:41">
      <c r="A31" s="13"/>
      <c r="B31" s="91" t="s">
        <v>285</v>
      </c>
      <c r="C31" s="13"/>
      <c r="D31" s="13" t="s">
        <v>279</v>
      </c>
      <c r="E31" s="13" t="s">
        <v>128</v>
      </c>
      <c r="F31" s="13">
        <f>DATEVALUE(1&amp;"/"&amp;'IP1'!$B$3&amp;"/"&amp;'IP1'!$B$4)</f>
        <v>41275</v>
      </c>
      <c r="G31" s="13">
        <f t="shared" ref="G31:AO31" si="16">DATE(YEAR(F31),MONTH(F31)+1,1)</f>
        <v>41306</v>
      </c>
      <c r="H31" s="13">
        <f t="shared" si="16"/>
        <v>41334</v>
      </c>
      <c r="I31" s="13">
        <f t="shared" si="16"/>
        <v>41365</v>
      </c>
      <c r="J31" s="13">
        <f t="shared" si="16"/>
        <v>41395</v>
      </c>
      <c r="K31" s="13">
        <f t="shared" si="16"/>
        <v>41426</v>
      </c>
      <c r="L31" s="13">
        <f t="shared" si="16"/>
        <v>41456</v>
      </c>
      <c r="M31" s="13">
        <f t="shared" si="16"/>
        <v>41487</v>
      </c>
      <c r="N31" s="13">
        <f t="shared" si="16"/>
        <v>41518</v>
      </c>
      <c r="O31" s="13">
        <f t="shared" si="16"/>
        <v>41548</v>
      </c>
      <c r="P31" s="13">
        <f t="shared" si="16"/>
        <v>41579</v>
      </c>
      <c r="Q31" s="13">
        <f t="shared" si="16"/>
        <v>41609</v>
      </c>
      <c r="R31" s="13">
        <f t="shared" si="16"/>
        <v>41640</v>
      </c>
      <c r="S31" s="13">
        <f t="shared" si="16"/>
        <v>41671</v>
      </c>
      <c r="T31" s="13">
        <f t="shared" si="16"/>
        <v>41699</v>
      </c>
      <c r="U31" s="13">
        <f t="shared" si="16"/>
        <v>41730</v>
      </c>
      <c r="V31" s="13">
        <f t="shared" si="16"/>
        <v>41760</v>
      </c>
      <c r="W31" s="13">
        <f t="shared" si="16"/>
        <v>41791</v>
      </c>
      <c r="X31" s="13">
        <f t="shared" si="16"/>
        <v>41821</v>
      </c>
      <c r="Y31" s="13">
        <f t="shared" si="16"/>
        <v>41852</v>
      </c>
      <c r="Z31" s="13">
        <f t="shared" si="16"/>
        <v>41883</v>
      </c>
      <c r="AA31" s="13">
        <f t="shared" si="16"/>
        <v>41913</v>
      </c>
      <c r="AB31" s="13">
        <f t="shared" si="16"/>
        <v>41944</v>
      </c>
      <c r="AC31" s="13">
        <f t="shared" si="16"/>
        <v>41974</v>
      </c>
      <c r="AD31" s="90">
        <f t="shared" si="16"/>
        <v>42005</v>
      </c>
      <c r="AE31" s="90">
        <f t="shared" si="16"/>
        <v>42036</v>
      </c>
      <c r="AF31" s="90">
        <f t="shared" si="16"/>
        <v>42064</v>
      </c>
      <c r="AG31" s="90">
        <f t="shared" si="16"/>
        <v>42095</v>
      </c>
      <c r="AH31" s="90">
        <f t="shared" si="16"/>
        <v>42125</v>
      </c>
      <c r="AI31" s="90">
        <f t="shared" si="16"/>
        <v>42156</v>
      </c>
      <c r="AJ31" s="90">
        <f t="shared" si="16"/>
        <v>42186</v>
      </c>
      <c r="AK31" s="90">
        <f t="shared" si="16"/>
        <v>42217</v>
      </c>
      <c r="AL31" s="90">
        <f t="shared" si="16"/>
        <v>42248</v>
      </c>
      <c r="AM31" s="90">
        <f t="shared" si="16"/>
        <v>42278</v>
      </c>
      <c r="AN31" s="90">
        <f t="shared" si="16"/>
        <v>42309</v>
      </c>
      <c r="AO31" s="90">
        <f t="shared" si="16"/>
        <v>42339</v>
      </c>
    </row>
    <row r="32" spans="1:41">
      <c r="B32" s="1" t="s">
        <v>141</v>
      </c>
      <c r="E32" s="85">
        <f>E13+E28</f>
        <v>0</v>
      </c>
      <c r="F32" s="85">
        <f>F13+F28</f>
        <v>0</v>
      </c>
      <c r="G32" s="85">
        <f t="shared" ref="G32:AC32" si="17">G13+G28</f>
        <v>0</v>
      </c>
      <c r="H32" s="85">
        <f t="shared" si="17"/>
        <v>0</v>
      </c>
      <c r="I32" s="85">
        <f t="shared" si="17"/>
        <v>0</v>
      </c>
      <c r="J32" s="85">
        <f t="shared" si="17"/>
        <v>0</v>
      </c>
      <c r="K32" s="85">
        <f t="shared" si="17"/>
        <v>0</v>
      </c>
      <c r="L32" s="85">
        <f t="shared" si="17"/>
        <v>0</v>
      </c>
      <c r="M32" s="85">
        <f t="shared" si="17"/>
        <v>0</v>
      </c>
      <c r="N32" s="85">
        <f t="shared" si="17"/>
        <v>0</v>
      </c>
      <c r="O32" s="85">
        <f t="shared" si="17"/>
        <v>0</v>
      </c>
      <c r="P32" s="85">
        <f t="shared" si="17"/>
        <v>0</v>
      </c>
      <c r="Q32" s="85">
        <f t="shared" si="17"/>
        <v>0</v>
      </c>
      <c r="R32" s="85">
        <f t="shared" si="17"/>
        <v>0</v>
      </c>
      <c r="S32" s="85">
        <f t="shared" si="17"/>
        <v>0</v>
      </c>
      <c r="T32" s="85">
        <f t="shared" si="17"/>
        <v>0</v>
      </c>
      <c r="U32" s="85">
        <f t="shared" si="17"/>
        <v>0</v>
      </c>
      <c r="V32" s="85">
        <f t="shared" si="17"/>
        <v>0</v>
      </c>
      <c r="W32" s="85">
        <f t="shared" si="17"/>
        <v>0</v>
      </c>
      <c r="X32" s="85">
        <f t="shared" si="17"/>
        <v>0</v>
      </c>
      <c r="Y32" s="85">
        <f t="shared" si="17"/>
        <v>0</v>
      </c>
      <c r="Z32" s="85">
        <f t="shared" si="17"/>
        <v>0</v>
      </c>
      <c r="AA32" s="85">
        <f t="shared" si="17"/>
        <v>0</v>
      </c>
      <c r="AB32" s="85">
        <f t="shared" si="17"/>
        <v>0</v>
      </c>
      <c r="AC32" s="85">
        <f t="shared" si="17"/>
        <v>0</v>
      </c>
    </row>
    <row r="33" spans="2:29">
      <c r="B33" s="1" t="s">
        <v>142</v>
      </c>
      <c r="E33" s="85">
        <f>E14+E29</f>
        <v>0</v>
      </c>
      <c r="F33" s="85">
        <f>F14+F29</f>
        <v>0</v>
      </c>
      <c r="G33" s="85">
        <f t="shared" ref="G33:AC33" si="18">G14+G29</f>
        <v>0</v>
      </c>
      <c r="H33" s="85">
        <f t="shared" si="18"/>
        <v>0</v>
      </c>
      <c r="I33" s="85">
        <f t="shared" si="18"/>
        <v>0</v>
      </c>
      <c r="J33" s="85">
        <f t="shared" si="18"/>
        <v>0</v>
      </c>
      <c r="K33" s="85">
        <f t="shared" si="18"/>
        <v>0</v>
      </c>
      <c r="L33" s="85">
        <f t="shared" si="18"/>
        <v>0</v>
      </c>
      <c r="M33" s="85">
        <f t="shared" si="18"/>
        <v>0</v>
      </c>
      <c r="N33" s="85">
        <f t="shared" si="18"/>
        <v>0</v>
      </c>
      <c r="O33" s="85">
        <f t="shared" si="18"/>
        <v>0</v>
      </c>
      <c r="P33" s="85">
        <f t="shared" si="18"/>
        <v>0</v>
      </c>
      <c r="Q33" s="85">
        <f t="shared" si="18"/>
        <v>0</v>
      </c>
      <c r="R33" s="85">
        <f t="shared" si="18"/>
        <v>0</v>
      </c>
      <c r="S33" s="85">
        <f t="shared" si="18"/>
        <v>0</v>
      </c>
      <c r="T33" s="85">
        <f t="shared" si="18"/>
        <v>0</v>
      </c>
      <c r="U33" s="85">
        <f t="shared" si="18"/>
        <v>0</v>
      </c>
      <c r="V33" s="85">
        <f t="shared" si="18"/>
        <v>0</v>
      </c>
      <c r="W33" s="85">
        <f t="shared" si="18"/>
        <v>0</v>
      </c>
      <c r="X33" s="85">
        <f t="shared" si="18"/>
        <v>0</v>
      </c>
      <c r="Y33" s="85">
        <f t="shared" si="18"/>
        <v>0</v>
      </c>
      <c r="Z33" s="85">
        <f t="shared" si="18"/>
        <v>0</v>
      </c>
      <c r="AA33" s="85">
        <f t="shared" si="18"/>
        <v>0</v>
      </c>
      <c r="AB33" s="85">
        <f t="shared" si="18"/>
        <v>0</v>
      </c>
      <c r="AC33" s="85">
        <f t="shared" si="18"/>
        <v>0</v>
      </c>
    </row>
    <row r="34" spans="2:29">
      <c r="B34" s="1" t="s">
        <v>98</v>
      </c>
      <c r="F34" s="85">
        <f>SUM(F9,F24)</f>
        <v>0</v>
      </c>
      <c r="G34" s="85">
        <f t="shared" ref="G34:AC34" si="19">SUM(G9,G24)</f>
        <v>0</v>
      </c>
      <c r="H34" s="85">
        <f t="shared" si="19"/>
        <v>0</v>
      </c>
      <c r="I34" s="85">
        <f t="shared" si="19"/>
        <v>0</v>
      </c>
      <c r="J34" s="85">
        <f t="shared" si="19"/>
        <v>0</v>
      </c>
      <c r="K34" s="85">
        <f t="shared" si="19"/>
        <v>0</v>
      </c>
      <c r="L34" s="85">
        <f t="shared" si="19"/>
        <v>0</v>
      </c>
      <c r="M34" s="85">
        <f t="shared" si="19"/>
        <v>0</v>
      </c>
      <c r="N34" s="85">
        <f t="shared" si="19"/>
        <v>0</v>
      </c>
      <c r="O34" s="85">
        <f t="shared" si="19"/>
        <v>0</v>
      </c>
      <c r="P34" s="85">
        <f t="shared" si="19"/>
        <v>0</v>
      </c>
      <c r="Q34" s="85">
        <f t="shared" si="19"/>
        <v>0</v>
      </c>
      <c r="R34" s="85">
        <f t="shared" si="19"/>
        <v>0</v>
      </c>
      <c r="S34" s="85">
        <f t="shared" si="19"/>
        <v>0</v>
      </c>
      <c r="T34" s="85">
        <f t="shared" si="19"/>
        <v>0</v>
      </c>
      <c r="U34" s="85">
        <f t="shared" si="19"/>
        <v>0</v>
      </c>
      <c r="V34" s="85">
        <f t="shared" si="19"/>
        <v>0</v>
      </c>
      <c r="W34" s="85">
        <f t="shared" si="19"/>
        <v>0</v>
      </c>
      <c r="X34" s="85">
        <f t="shared" si="19"/>
        <v>0</v>
      </c>
      <c r="Y34" s="85">
        <f t="shared" si="19"/>
        <v>0</v>
      </c>
      <c r="Z34" s="85">
        <f t="shared" si="19"/>
        <v>0</v>
      </c>
      <c r="AA34" s="85">
        <f t="shared" si="19"/>
        <v>0</v>
      </c>
      <c r="AB34" s="85">
        <f t="shared" si="19"/>
        <v>0</v>
      </c>
      <c r="AC34" s="85">
        <f t="shared" si="19"/>
        <v>0</v>
      </c>
    </row>
    <row r="35" spans="2:29">
      <c r="B35" s="1" t="s">
        <v>32</v>
      </c>
      <c r="F35" s="85">
        <f>SUM(F10,F25)</f>
        <v>0</v>
      </c>
      <c r="G35" s="85">
        <f t="shared" ref="G35:AC35" si="20">SUM(G10,G25)</f>
        <v>0</v>
      </c>
      <c r="H35" s="85">
        <f t="shared" si="20"/>
        <v>0</v>
      </c>
      <c r="I35" s="85">
        <f t="shared" si="20"/>
        <v>0</v>
      </c>
      <c r="J35" s="85">
        <f t="shared" si="20"/>
        <v>0</v>
      </c>
      <c r="K35" s="85">
        <f t="shared" si="20"/>
        <v>0</v>
      </c>
      <c r="L35" s="85">
        <f t="shared" si="20"/>
        <v>0</v>
      </c>
      <c r="M35" s="85">
        <f t="shared" si="20"/>
        <v>0</v>
      </c>
      <c r="N35" s="85">
        <f t="shared" si="20"/>
        <v>0</v>
      </c>
      <c r="O35" s="85">
        <f t="shared" si="20"/>
        <v>0</v>
      </c>
      <c r="P35" s="85">
        <f t="shared" si="20"/>
        <v>0</v>
      </c>
      <c r="Q35" s="85">
        <f t="shared" si="20"/>
        <v>0</v>
      </c>
      <c r="R35" s="85">
        <f t="shared" si="20"/>
        <v>0</v>
      </c>
      <c r="S35" s="85">
        <f t="shared" si="20"/>
        <v>0</v>
      </c>
      <c r="T35" s="85">
        <f t="shared" si="20"/>
        <v>0</v>
      </c>
      <c r="U35" s="85">
        <f t="shared" si="20"/>
        <v>0</v>
      </c>
      <c r="V35" s="85">
        <f t="shared" si="20"/>
        <v>0</v>
      </c>
      <c r="W35" s="85">
        <f t="shared" si="20"/>
        <v>0</v>
      </c>
      <c r="X35" s="85">
        <f t="shared" si="20"/>
        <v>0</v>
      </c>
      <c r="Y35" s="85">
        <f t="shared" si="20"/>
        <v>0</v>
      </c>
      <c r="Z35" s="85">
        <f t="shared" si="20"/>
        <v>0</v>
      </c>
      <c r="AA35" s="85">
        <f t="shared" si="20"/>
        <v>0</v>
      </c>
      <c r="AB35" s="85">
        <f t="shared" si="20"/>
        <v>0</v>
      </c>
      <c r="AC35" s="85">
        <f t="shared" si="20"/>
        <v>0</v>
      </c>
    </row>
  </sheetData>
  <pageMargins left="0.75" right="0.75" top="1" bottom="1" header="0.5" footer="0.5"/>
  <pageSetup paperSize="9" scale="32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7">
    <tabColor rgb="FFFF0000"/>
  </sheetPr>
  <dimension ref="A1:AN39"/>
  <sheetViews>
    <sheetView zoomScale="106" zoomScaleNormal="106" zoomScaleSheetLayoutView="140" workbookViewId="0"/>
  </sheetViews>
  <sheetFormatPr defaultColWidth="9.109375" defaultRowHeight="13.8"/>
  <cols>
    <col min="1" max="1" width="4" style="1" bestFit="1" customWidth="1"/>
    <col min="2" max="2" width="34.44140625" style="1" bestFit="1" customWidth="1"/>
    <col min="3" max="3" width="11.6640625" style="1" bestFit="1" customWidth="1"/>
    <col min="4" max="4" width="9.5546875" style="1" customWidth="1"/>
    <col min="5" max="5" width="9.109375" style="1" customWidth="1"/>
    <col min="6" max="16384" width="9.109375" style="1"/>
  </cols>
  <sheetData>
    <row r="1" spans="1:40">
      <c r="A1" s="13"/>
      <c r="B1" s="91" t="s">
        <v>152</v>
      </c>
      <c r="C1" s="13"/>
      <c r="D1" s="13" t="s">
        <v>121</v>
      </c>
      <c r="E1" s="13">
        <f>DATEVALUE(1&amp;"/"&amp;'IP1'!$B$3&amp;"/"&amp;'IP1'!$B$4)</f>
        <v>41275</v>
      </c>
      <c r="F1" s="13">
        <f>DATE(YEAR(E1),MONTH(E1)+1,1)</f>
        <v>41306</v>
      </c>
      <c r="G1" s="13">
        <f t="shared" ref="G1:AN1" si="0">DATE(YEAR(F1),MONTH(F1)+1,1)</f>
        <v>41334</v>
      </c>
      <c r="H1" s="13">
        <f t="shared" si="0"/>
        <v>41365</v>
      </c>
      <c r="I1" s="13">
        <f t="shared" si="0"/>
        <v>41395</v>
      </c>
      <c r="J1" s="13">
        <f t="shared" si="0"/>
        <v>41426</v>
      </c>
      <c r="K1" s="13">
        <f t="shared" si="0"/>
        <v>41456</v>
      </c>
      <c r="L1" s="13">
        <f t="shared" si="0"/>
        <v>41487</v>
      </c>
      <c r="M1" s="13">
        <f t="shared" si="0"/>
        <v>41518</v>
      </c>
      <c r="N1" s="13">
        <f t="shared" si="0"/>
        <v>41548</v>
      </c>
      <c r="O1" s="13">
        <f t="shared" si="0"/>
        <v>41579</v>
      </c>
      <c r="P1" s="13">
        <f t="shared" si="0"/>
        <v>41609</v>
      </c>
      <c r="Q1" s="13">
        <f t="shared" si="0"/>
        <v>41640</v>
      </c>
      <c r="R1" s="13">
        <f t="shared" si="0"/>
        <v>41671</v>
      </c>
      <c r="S1" s="13">
        <f t="shared" si="0"/>
        <v>41699</v>
      </c>
      <c r="T1" s="13">
        <f t="shared" si="0"/>
        <v>41730</v>
      </c>
      <c r="U1" s="13">
        <f t="shared" si="0"/>
        <v>41760</v>
      </c>
      <c r="V1" s="13">
        <f t="shared" si="0"/>
        <v>41791</v>
      </c>
      <c r="W1" s="13">
        <f t="shared" si="0"/>
        <v>41821</v>
      </c>
      <c r="X1" s="13">
        <f t="shared" si="0"/>
        <v>41852</v>
      </c>
      <c r="Y1" s="13">
        <f t="shared" si="0"/>
        <v>41883</v>
      </c>
      <c r="Z1" s="13">
        <f t="shared" si="0"/>
        <v>41913</v>
      </c>
      <c r="AA1" s="13">
        <f t="shared" si="0"/>
        <v>41944</v>
      </c>
      <c r="AB1" s="13">
        <f t="shared" si="0"/>
        <v>41974</v>
      </c>
      <c r="AC1" s="90">
        <f t="shared" si="0"/>
        <v>42005</v>
      </c>
      <c r="AD1" s="90">
        <f t="shared" si="0"/>
        <v>42036</v>
      </c>
      <c r="AE1" s="90">
        <f t="shared" si="0"/>
        <v>42064</v>
      </c>
      <c r="AF1" s="90">
        <f t="shared" si="0"/>
        <v>42095</v>
      </c>
      <c r="AG1" s="90">
        <f t="shared" si="0"/>
        <v>42125</v>
      </c>
      <c r="AH1" s="90">
        <f t="shared" si="0"/>
        <v>42156</v>
      </c>
      <c r="AI1" s="90">
        <f t="shared" si="0"/>
        <v>42186</v>
      </c>
      <c r="AJ1" s="90">
        <f t="shared" si="0"/>
        <v>42217</v>
      </c>
      <c r="AK1" s="90">
        <f t="shared" si="0"/>
        <v>42248</v>
      </c>
      <c r="AL1" s="90">
        <f t="shared" si="0"/>
        <v>42278</v>
      </c>
      <c r="AM1" s="90">
        <f t="shared" si="0"/>
        <v>42309</v>
      </c>
      <c r="AN1" s="90">
        <f t="shared" si="0"/>
        <v>42339</v>
      </c>
    </row>
    <row r="3" spans="1:40">
      <c r="A3" s="1">
        <v>1</v>
      </c>
      <c r="B3" s="88" t="s">
        <v>131</v>
      </c>
      <c r="D3" s="85">
        <f>'IP1'!D146</f>
        <v>0</v>
      </c>
    </row>
    <row r="4" spans="1:40">
      <c r="A4" s="1">
        <v>1</v>
      </c>
      <c r="B4" s="88" t="s">
        <v>132</v>
      </c>
      <c r="D4" s="87">
        <f>'IP1'!D147</f>
        <v>0</v>
      </c>
    </row>
    <row r="5" spans="1:40">
      <c r="A5" s="1">
        <v>1</v>
      </c>
      <c r="B5" s="88" t="s">
        <v>32</v>
      </c>
      <c r="D5" s="85">
        <f>'IP1'!D148</f>
        <v>0</v>
      </c>
    </row>
    <row r="6" spans="1:40">
      <c r="A6" s="1">
        <v>1</v>
      </c>
      <c r="B6" s="88" t="s">
        <v>134</v>
      </c>
      <c r="D6" s="89">
        <f>IFERROR(SUM(D3,D5)/(D4*12),0)</f>
        <v>0</v>
      </c>
    </row>
    <row r="7" spans="1:40">
      <c r="A7" s="1">
        <v>1</v>
      </c>
      <c r="B7" s="1" t="s">
        <v>135</v>
      </c>
      <c r="D7" s="85">
        <f>(D6*D4*12)</f>
        <v>0</v>
      </c>
    </row>
    <row r="8" spans="1:40">
      <c r="A8" s="1">
        <v>1</v>
      </c>
      <c r="B8" s="1" t="s">
        <v>137</v>
      </c>
      <c r="D8" s="85">
        <f>(D4*12)*(((D4*12)+1)/2)</f>
        <v>0</v>
      </c>
    </row>
    <row r="9" spans="1:40">
      <c r="D9" s="85"/>
    </row>
    <row r="10" spans="1:40">
      <c r="A10" s="1">
        <v>1</v>
      </c>
      <c r="B10" s="1" t="s">
        <v>153</v>
      </c>
      <c r="D10" s="85"/>
      <c r="E10" s="85">
        <f>($D$4*12)*(E$1='IP1'!$D$149)</f>
        <v>0</v>
      </c>
      <c r="F10" s="85">
        <f>IF(E10&gt;0,(E10-1),($D$4*12)*(F$1='IP1'!$D$149))</f>
        <v>0</v>
      </c>
      <c r="G10" s="85">
        <f>IF(F10&gt;0,(F10-1),($D$4*12)*(G$1='IP1'!$D$149))</f>
        <v>0</v>
      </c>
      <c r="H10" s="85">
        <f>IF(G10&gt;0,(G10-1),($D$4*12)*(H$1='IP1'!$D$149))</f>
        <v>0</v>
      </c>
      <c r="I10" s="85">
        <f>IF(H10&gt;0,(H10-1),($D$4*12)*(I$1='IP1'!$D$149))</f>
        <v>0</v>
      </c>
      <c r="J10" s="85">
        <f>IF(I10&gt;0,(I10-1),($D$4*12)*(J$1='IP1'!$D$149))</f>
        <v>0</v>
      </c>
      <c r="K10" s="85">
        <f>IF(J10&gt;0,(J10-1),($D$4*12)*(K$1='IP1'!$D$149))</f>
        <v>0</v>
      </c>
      <c r="L10" s="85">
        <f>IF(K10&gt;0,(K10-1),($D$4*12)*(L$1='IP1'!$D$149))</f>
        <v>0</v>
      </c>
      <c r="M10" s="85">
        <f>IF(L10&gt;0,(L10-1),($D$4*12)*(M$1='IP1'!$D$149))</f>
        <v>0</v>
      </c>
      <c r="N10" s="85">
        <f>IF(M10&gt;0,(M10-1),($D$4*12)*(N$1='IP1'!$D$149))</f>
        <v>0</v>
      </c>
      <c r="O10" s="85">
        <f>IF(N10&gt;0,(N10-1),($D$4*12)*(O$1='IP1'!$D$149))</f>
        <v>0</v>
      </c>
      <c r="P10" s="85">
        <f>IF(O10&gt;0,(O10-1),($D$4*12)*(P$1='IP1'!$D$149))</f>
        <v>0</v>
      </c>
      <c r="Q10" s="85">
        <f>IF(P10&gt;0,(P10-1),($D$4*12)*(Q$1='IP1'!$D$149))</f>
        <v>0</v>
      </c>
      <c r="R10" s="85">
        <f>IF(Q10&gt;0,(Q10-1),($D$4*12)*(R$1='IP1'!$D$149))</f>
        <v>0</v>
      </c>
      <c r="S10" s="85">
        <f>IF(R10&gt;0,(R10-1),($D$4*12)*(S$1='IP1'!$D$149))</f>
        <v>0</v>
      </c>
      <c r="T10" s="85">
        <f>IF(S10&gt;0,(S10-1),($D$4*12)*(T$1='IP1'!$D$149))</f>
        <v>0</v>
      </c>
      <c r="U10" s="85">
        <f>IF(T10&gt;0,(T10-1),($D$4*12)*(U$1='IP1'!$D$149))</f>
        <v>0</v>
      </c>
      <c r="V10" s="85">
        <f>IF(U10&gt;0,(U10-1),($D$4*12)*(V$1='IP1'!$D$149))</f>
        <v>0</v>
      </c>
      <c r="W10" s="85">
        <f>IF(V10&gt;0,(V10-1),($D$4*12)*(W$1='IP1'!$D$149))</f>
        <v>0</v>
      </c>
      <c r="X10" s="85">
        <f>IF(W10&gt;0,(W10-1),($D$4*12)*(X$1='IP1'!$D$149))</f>
        <v>0</v>
      </c>
      <c r="Y10" s="85">
        <f>IF(X10&gt;0,(X10-1),($D$4*12)*(Y$1='IP1'!$D$149))</f>
        <v>0</v>
      </c>
      <c r="Z10" s="85">
        <f>IF(Y10&gt;0,(Y10-1),($D$4*12)*(Z$1='IP1'!$D$149))</f>
        <v>0</v>
      </c>
      <c r="AA10" s="85">
        <f>IF(Z10&gt;0,(Z10-1),($D$4*12)*(AA$1='IP1'!$D$149))</f>
        <v>0</v>
      </c>
      <c r="AB10" s="85">
        <f>IF(AA10&gt;0,(AA10-1),($D$4*12)*(AB$1='IP1'!$D$149))</f>
        <v>0</v>
      </c>
      <c r="AC10" s="85">
        <f>IF(AB10&gt;0,(AB10-1),($D$4*12)*(AC$1='IP1'!$D$149))</f>
        <v>0</v>
      </c>
      <c r="AD10" s="85">
        <f>IF(AC10&gt;0,(AC10-1),($D$4*12)*(AD$1='IP1'!$D$149))</f>
        <v>0</v>
      </c>
      <c r="AE10" s="85">
        <f>IF(AD10&gt;0,(AD10-1),($D$4*12)*(AE$1='IP1'!$D$149))</f>
        <v>0</v>
      </c>
      <c r="AF10" s="85">
        <f>IF(AE10&gt;0,(AE10-1),($D$4*12)*(AF$1='IP1'!$D$149))</f>
        <v>0</v>
      </c>
      <c r="AG10" s="85">
        <f>IF(AF10&gt;0,(AF10-1),($D$4*12)*(AG$1='IP1'!$D$149))</f>
        <v>0</v>
      </c>
      <c r="AH10" s="85">
        <f>IF(AG10&gt;0,(AG10-1),($D$4*12)*(AH$1='IP1'!$D$149))</f>
        <v>0</v>
      </c>
      <c r="AI10" s="85">
        <f>IF(AH10&gt;0,(AH10-1),($D$4*12)*(AI$1='IP1'!$D$149))</f>
        <v>0</v>
      </c>
      <c r="AJ10" s="85">
        <f>IF(AI10&gt;0,(AI10-1),($D$4*12)*(AJ$1='IP1'!$D$149))</f>
        <v>0</v>
      </c>
      <c r="AK10" s="85">
        <f>IF(AJ10&gt;0,(AJ10-1),($D$4*12)*(AK$1='IP1'!$D$149))</f>
        <v>0</v>
      </c>
      <c r="AL10" s="85">
        <f>IF(AK10&gt;0,(AK10-1),($D$4*12)*(AL$1='IP1'!$D$149))</f>
        <v>0</v>
      </c>
      <c r="AM10" s="85">
        <f>IF(AL10&gt;0,(AL10-1),($D$4*12)*(AM$1='IP1'!$D$149))</f>
        <v>0</v>
      </c>
      <c r="AN10" s="85">
        <f>IF(AM10&gt;0,(AM10-1),($D$4*12)*(AN$1='IP1'!$D$149))</f>
        <v>0</v>
      </c>
    </row>
    <row r="11" spans="1:40">
      <c r="A11" s="1">
        <v>1</v>
      </c>
      <c r="B11" s="1" t="s">
        <v>128</v>
      </c>
      <c r="D11" s="85"/>
      <c r="E11" s="85">
        <f>'IP1'!$D$146*(E$1='IP1'!$D$149)</f>
        <v>0</v>
      </c>
      <c r="F11" s="85">
        <f>((E11&gt;0)*E14)+'IP1'!$D$146*(F$1='IP1'!$D$149)</f>
        <v>0</v>
      </c>
      <c r="G11" s="85">
        <f>((F11&gt;0)*F14)+'IP1'!$D$146*(G$1='IP1'!$D$149)</f>
        <v>0</v>
      </c>
      <c r="H11" s="85">
        <f>((G11&gt;0)*G14)+'IP1'!$D$146*(H$1='IP1'!$D$149)</f>
        <v>0</v>
      </c>
      <c r="I11" s="85">
        <f>((H11&gt;0)*H14)+'IP1'!$D$146*(I$1='IP1'!$D$149)</f>
        <v>0</v>
      </c>
      <c r="J11" s="85">
        <f>((I11&gt;0)*I14)+'IP1'!$D$146*(J$1='IP1'!$D$149)</f>
        <v>0</v>
      </c>
      <c r="K11" s="85">
        <f>((J11&gt;0)*J14)+'IP1'!$D$146*(K$1='IP1'!$D$149)</f>
        <v>0</v>
      </c>
      <c r="L11" s="85">
        <f>((K11&gt;0)*K14)+'IP1'!$D$146*(L$1='IP1'!$D$149)</f>
        <v>0</v>
      </c>
      <c r="M11" s="85">
        <f>((L11&gt;0)*L14)+'IP1'!$D$146*(M$1='IP1'!$D$149)</f>
        <v>0</v>
      </c>
      <c r="N11" s="85">
        <f>((M11&gt;0)*M14)+'IP1'!$D$146*(N$1='IP1'!$D$149)</f>
        <v>0</v>
      </c>
      <c r="O11" s="85">
        <f>((N11&gt;0)*N14)+'IP1'!$D$146*(O$1='IP1'!$D$149)</f>
        <v>0</v>
      </c>
      <c r="P11" s="85">
        <f>((O11&gt;0)*O14)+'IP1'!$D$146*(P$1='IP1'!$D$149)</f>
        <v>0</v>
      </c>
      <c r="Q11" s="85">
        <f>((P11&gt;0)*P14)+'IP1'!$D$146*(Q$1='IP1'!$D$149)</f>
        <v>0</v>
      </c>
      <c r="R11" s="85">
        <f>((Q11&gt;0)*Q14)+'IP1'!$D$146*(R$1='IP1'!$D$149)</f>
        <v>0</v>
      </c>
      <c r="S11" s="85">
        <f>((R11&gt;0)*R14)+'IP1'!$D$146*(S$1='IP1'!$D$149)</f>
        <v>0</v>
      </c>
      <c r="T11" s="85">
        <f>((S11&gt;0)*S14)+'IP1'!$D$146*(T$1='IP1'!$D$149)</f>
        <v>0</v>
      </c>
      <c r="U11" s="85">
        <f>((T11&gt;0)*T14)+'IP1'!$D$146*(U$1='IP1'!$D$149)</f>
        <v>0</v>
      </c>
      <c r="V11" s="85">
        <f>((U11&gt;0)*U14)+'IP1'!$D$146*(V$1='IP1'!$D$149)</f>
        <v>0</v>
      </c>
      <c r="W11" s="85">
        <f>((V11&gt;0)*V14)+'IP1'!$D$146*(W$1='IP1'!$D$149)</f>
        <v>0</v>
      </c>
      <c r="X11" s="85">
        <f>((W11&gt;0)*W14)+'IP1'!$D$146*(X$1='IP1'!$D$149)</f>
        <v>0</v>
      </c>
      <c r="Y11" s="85">
        <f>((X11&gt;0)*X14)+'IP1'!$D$146*(Y$1='IP1'!$D$149)</f>
        <v>0</v>
      </c>
      <c r="Z11" s="85">
        <f>((Y11&gt;0)*Y14)+'IP1'!$D$146*(Z$1='IP1'!$D$149)</f>
        <v>0</v>
      </c>
      <c r="AA11" s="85">
        <f>((Z11&gt;0)*Z14)+'IP1'!$D$146*(AA$1='IP1'!$D$149)</f>
        <v>0</v>
      </c>
      <c r="AB11" s="85">
        <f>((AA11&gt;0)*AA14)+'IP1'!$D$146*(AB$1='IP1'!$D$149)</f>
        <v>0</v>
      </c>
      <c r="AC11" s="85">
        <f>((AB11&gt;0)*AB14)+'IP1'!$D$146*(AC$1='IP1'!$D$149)</f>
        <v>0</v>
      </c>
      <c r="AD11" s="85">
        <f>((AC11&gt;0)*AC14)+'IP1'!$D$146*(AD$1='IP1'!$D$149)</f>
        <v>0</v>
      </c>
      <c r="AE11" s="85">
        <f>((AD11&gt;0)*AD14)+'IP1'!$D$146*(AE$1='IP1'!$D$149)</f>
        <v>0</v>
      </c>
      <c r="AF11" s="85">
        <f>((AE11&gt;0)*AE14)+'IP1'!$D$146*(AF$1='IP1'!$D$149)</f>
        <v>0</v>
      </c>
      <c r="AG11" s="85">
        <f>((AF11&gt;0)*AF14)+'IP1'!$D$146*(AG$1='IP1'!$D$149)</f>
        <v>0</v>
      </c>
      <c r="AH11" s="85">
        <f>((AG11&gt;0)*AG14)+'IP1'!$D$146*(AH$1='IP1'!$D$149)</f>
        <v>0</v>
      </c>
      <c r="AI11" s="85">
        <f>((AH11&gt;0)*AH14)+'IP1'!$D$146*(AI$1='IP1'!$D$149)</f>
        <v>0</v>
      </c>
      <c r="AJ11" s="85">
        <f>((AI11&gt;0)*AI14)+'IP1'!$D$146*(AJ$1='IP1'!$D$149)</f>
        <v>0</v>
      </c>
      <c r="AK11" s="85">
        <f>((AJ11&gt;0)*AJ14)+'IP1'!$D$146*(AK$1='IP1'!$D$149)</f>
        <v>0</v>
      </c>
      <c r="AL11" s="85">
        <f>((AK11&gt;0)*AK14)+'IP1'!$D$146*(AL$1='IP1'!$D$149)</f>
        <v>0</v>
      </c>
      <c r="AM11" s="85">
        <f>((AL11&gt;0)*AL14)+'IP1'!$D$146*(AM$1='IP1'!$D$149)</f>
        <v>0</v>
      </c>
      <c r="AN11" s="85">
        <f>((AM11&gt;0)*AM14)+'IP1'!$D$146*(AN$1='IP1'!$D$149)</f>
        <v>0</v>
      </c>
    </row>
    <row r="12" spans="1:40">
      <c r="A12" s="1">
        <v>1</v>
      </c>
      <c r="B12" s="1" t="s">
        <v>98</v>
      </c>
      <c r="D12" s="85"/>
      <c r="E12" s="85">
        <f>(E11&gt;0)*$D$6</f>
        <v>0</v>
      </c>
      <c r="F12" s="85">
        <f>(F11&gt;0)*$D$6</f>
        <v>0</v>
      </c>
      <c r="G12" s="85">
        <f t="shared" ref="G12:AN12" si="1">(G11&gt;0)*$D$6</f>
        <v>0</v>
      </c>
      <c r="H12" s="85">
        <f t="shared" si="1"/>
        <v>0</v>
      </c>
      <c r="I12" s="85">
        <f t="shared" si="1"/>
        <v>0</v>
      </c>
      <c r="J12" s="85">
        <f t="shared" si="1"/>
        <v>0</v>
      </c>
      <c r="K12" s="85">
        <f t="shared" si="1"/>
        <v>0</v>
      </c>
      <c r="L12" s="85">
        <f t="shared" si="1"/>
        <v>0</v>
      </c>
      <c r="M12" s="85">
        <f t="shared" si="1"/>
        <v>0</v>
      </c>
      <c r="N12" s="85">
        <f t="shared" si="1"/>
        <v>0</v>
      </c>
      <c r="O12" s="85">
        <f t="shared" si="1"/>
        <v>0</v>
      </c>
      <c r="P12" s="85">
        <f t="shared" si="1"/>
        <v>0</v>
      </c>
      <c r="Q12" s="85">
        <f t="shared" si="1"/>
        <v>0</v>
      </c>
      <c r="R12" s="85">
        <f t="shared" si="1"/>
        <v>0</v>
      </c>
      <c r="S12" s="85">
        <f t="shared" si="1"/>
        <v>0</v>
      </c>
      <c r="T12" s="85">
        <f t="shared" si="1"/>
        <v>0</v>
      </c>
      <c r="U12" s="85">
        <f t="shared" si="1"/>
        <v>0</v>
      </c>
      <c r="V12" s="85">
        <f t="shared" si="1"/>
        <v>0</v>
      </c>
      <c r="W12" s="85">
        <f t="shared" si="1"/>
        <v>0</v>
      </c>
      <c r="X12" s="85">
        <f t="shared" si="1"/>
        <v>0</v>
      </c>
      <c r="Y12" s="85">
        <f t="shared" si="1"/>
        <v>0</v>
      </c>
      <c r="Z12" s="85">
        <f t="shared" si="1"/>
        <v>0</v>
      </c>
      <c r="AA12" s="85">
        <f t="shared" si="1"/>
        <v>0</v>
      </c>
      <c r="AB12" s="85">
        <f t="shared" si="1"/>
        <v>0</v>
      </c>
      <c r="AC12" s="85">
        <f t="shared" si="1"/>
        <v>0</v>
      </c>
      <c r="AD12" s="85">
        <f t="shared" si="1"/>
        <v>0</v>
      </c>
      <c r="AE12" s="85">
        <f t="shared" si="1"/>
        <v>0</v>
      </c>
      <c r="AF12" s="85">
        <f t="shared" si="1"/>
        <v>0</v>
      </c>
      <c r="AG12" s="85">
        <f t="shared" si="1"/>
        <v>0</v>
      </c>
      <c r="AH12" s="85">
        <f t="shared" si="1"/>
        <v>0</v>
      </c>
      <c r="AI12" s="85">
        <f t="shared" si="1"/>
        <v>0</v>
      </c>
      <c r="AJ12" s="85">
        <f t="shared" si="1"/>
        <v>0</v>
      </c>
      <c r="AK12" s="85">
        <f t="shared" si="1"/>
        <v>0</v>
      </c>
      <c r="AL12" s="85">
        <f t="shared" si="1"/>
        <v>0</v>
      </c>
      <c r="AM12" s="85">
        <f t="shared" si="1"/>
        <v>0</v>
      </c>
      <c r="AN12" s="85">
        <f t="shared" si="1"/>
        <v>0</v>
      </c>
    </row>
    <row r="13" spans="1:40">
      <c r="A13" s="1">
        <v>1</v>
      </c>
      <c r="B13" s="1" t="s">
        <v>140</v>
      </c>
      <c r="D13" s="85"/>
      <c r="E13" s="85">
        <f>IFERROR((E12&gt;0)*((E10/$D$8)*$D$5),0)</f>
        <v>0</v>
      </c>
      <c r="F13" s="85">
        <f t="shared" ref="F13:AN13" si="2">IFERROR((F12&gt;0)*((F10/$D$8)*$D$5),0)</f>
        <v>0</v>
      </c>
      <c r="G13" s="85">
        <f t="shared" si="2"/>
        <v>0</v>
      </c>
      <c r="H13" s="85">
        <f t="shared" si="2"/>
        <v>0</v>
      </c>
      <c r="I13" s="85">
        <f t="shared" si="2"/>
        <v>0</v>
      </c>
      <c r="J13" s="85">
        <f t="shared" si="2"/>
        <v>0</v>
      </c>
      <c r="K13" s="85">
        <f t="shared" si="2"/>
        <v>0</v>
      </c>
      <c r="L13" s="85">
        <f t="shared" si="2"/>
        <v>0</v>
      </c>
      <c r="M13" s="85">
        <f t="shared" si="2"/>
        <v>0</v>
      </c>
      <c r="N13" s="85">
        <f t="shared" si="2"/>
        <v>0</v>
      </c>
      <c r="O13" s="85">
        <f t="shared" si="2"/>
        <v>0</v>
      </c>
      <c r="P13" s="85">
        <f t="shared" si="2"/>
        <v>0</v>
      </c>
      <c r="Q13" s="85">
        <f t="shared" si="2"/>
        <v>0</v>
      </c>
      <c r="R13" s="85">
        <f t="shared" si="2"/>
        <v>0</v>
      </c>
      <c r="S13" s="85">
        <f t="shared" si="2"/>
        <v>0</v>
      </c>
      <c r="T13" s="85">
        <f t="shared" si="2"/>
        <v>0</v>
      </c>
      <c r="U13" s="85">
        <f t="shared" si="2"/>
        <v>0</v>
      </c>
      <c r="V13" s="85">
        <f t="shared" si="2"/>
        <v>0</v>
      </c>
      <c r="W13" s="85">
        <f t="shared" si="2"/>
        <v>0</v>
      </c>
      <c r="X13" s="85">
        <f t="shared" si="2"/>
        <v>0</v>
      </c>
      <c r="Y13" s="85">
        <f t="shared" si="2"/>
        <v>0</v>
      </c>
      <c r="Z13" s="85">
        <f t="shared" si="2"/>
        <v>0</v>
      </c>
      <c r="AA13" s="85">
        <f t="shared" si="2"/>
        <v>0</v>
      </c>
      <c r="AB13" s="85">
        <f t="shared" si="2"/>
        <v>0</v>
      </c>
      <c r="AC13" s="85">
        <f t="shared" si="2"/>
        <v>0</v>
      </c>
      <c r="AD13" s="85">
        <f t="shared" si="2"/>
        <v>0</v>
      </c>
      <c r="AE13" s="85">
        <f t="shared" si="2"/>
        <v>0</v>
      </c>
      <c r="AF13" s="85">
        <f t="shared" si="2"/>
        <v>0</v>
      </c>
      <c r="AG13" s="85">
        <f t="shared" si="2"/>
        <v>0</v>
      </c>
      <c r="AH13" s="85">
        <f t="shared" si="2"/>
        <v>0</v>
      </c>
      <c r="AI13" s="85">
        <f t="shared" si="2"/>
        <v>0</v>
      </c>
      <c r="AJ13" s="85">
        <f t="shared" si="2"/>
        <v>0</v>
      </c>
      <c r="AK13" s="85">
        <f t="shared" si="2"/>
        <v>0</v>
      </c>
      <c r="AL13" s="85">
        <f t="shared" si="2"/>
        <v>0</v>
      </c>
      <c r="AM13" s="85">
        <f t="shared" si="2"/>
        <v>0</v>
      </c>
      <c r="AN13" s="85">
        <f t="shared" si="2"/>
        <v>0</v>
      </c>
    </row>
    <row r="14" spans="1:40">
      <c r="A14" s="1">
        <v>1</v>
      </c>
      <c r="B14" s="1" t="s">
        <v>37</v>
      </c>
      <c r="D14" s="85"/>
      <c r="E14" s="85">
        <f>E11-(E12-E13)</f>
        <v>0</v>
      </c>
      <c r="F14" s="85">
        <f>F11-(F12-F13)</f>
        <v>0</v>
      </c>
      <c r="G14" s="85">
        <f t="shared" ref="G14:AN14" si="3">G11-(G12-G13)</f>
        <v>0</v>
      </c>
      <c r="H14" s="85">
        <f t="shared" si="3"/>
        <v>0</v>
      </c>
      <c r="I14" s="85">
        <f t="shared" si="3"/>
        <v>0</v>
      </c>
      <c r="J14" s="85">
        <f t="shared" si="3"/>
        <v>0</v>
      </c>
      <c r="K14" s="85">
        <f t="shared" si="3"/>
        <v>0</v>
      </c>
      <c r="L14" s="85">
        <f t="shared" si="3"/>
        <v>0</v>
      </c>
      <c r="M14" s="85">
        <f t="shared" si="3"/>
        <v>0</v>
      </c>
      <c r="N14" s="85">
        <f t="shared" si="3"/>
        <v>0</v>
      </c>
      <c r="O14" s="85">
        <f t="shared" si="3"/>
        <v>0</v>
      </c>
      <c r="P14" s="85">
        <f t="shared" si="3"/>
        <v>0</v>
      </c>
      <c r="Q14" s="85">
        <f t="shared" si="3"/>
        <v>0</v>
      </c>
      <c r="R14" s="85">
        <f t="shared" si="3"/>
        <v>0</v>
      </c>
      <c r="S14" s="85">
        <f t="shared" si="3"/>
        <v>0</v>
      </c>
      <c r="T14" s="85">
        <f t="shared" si="3"/>
        <v>0</v>
      </c>
      <c r="U14" s="85">
        <f t="shared" si="3"/>
        <v>0</v>
      </c>
      <c r="V14" s="85">
        <f t="shared" si="3"/>
        <v>0</v>
      </c>
      <c r="W14" s="85">
        <f t="shared" si="3"/>
        <v>0</v>
      </c>
      <c r="X14" s="85">
        <f t="shared" si="3"/>
        <v>0</v>
      </c>
      <c r="Y14" s="85">
        <f t="shared" si="3"/>
        <v>0</v>
      </c>
      <c r="Z14" s="85">
        <f t="shared" si="3"/>
        <v>0</v>
      </c>
      <c r="AA14" s="85">
        <f t="shared" si="3"/>
        <v>0</v>
      </c>
      <c r="AB14" s="85">
        <f t="shared" si="3"/>
        <v>0</v>
      </c>
      <c r="AC14" s="85">
        <f t="shared" si="3"/>
        <v>0</v>
      </c>
      <c r="AD14" s="85">
        <f t="shared" si="3"/>
        <v>0</v>
      </c>
      <c r="AE14" s="85">
        <f t="shared" si="3"/>
        <v>0</v>
      </c>
      <c r="AF14" s="85">
        <f t="shared" si="3"/>
        <v>0</v>
      </c>
      <c r="AG14" s="85">
        <f t="shared" si="3"/>
        <v>0</v>
      </c>
      <c r="AH14" s="85">
        <f t="shared" si="3"/>
        <v>0</v>
      </c>
      <c r="AI14" s="85">
        <f t="shared" si="3"/>
        <v>0</v>
      </c>
      <c r="AJ14" s="85">
        <f t="shared" si="3"/>
        <v>0</v>
      </c>
      <c r="AK14" s="85">
        <f t="shared" si="3"/>
        <v>0</v>
      </c>
      <c r="AL14" s="85">
        <f t="shared" si="3"/>
        <v>0</v>
      </c>
      <c r="AM14" s="85">
        <f t="shared" si="3"/>
        <v>0</v>
      </c>
      <c r="AN14" s="85">
        <f t="shared" si="3"/>
        <v>0</v>
      </c>
    </row>
    <row r="15" spans="1:40">
      <c r="A15" s="1">
        <v>1</v>
      </c>
      <c r="B15" s="1" t="s">
        <v>99</v>
      </c>
      <c r="D15" s="85"/>
      <c r="E15" s="85">
        <f>E11-E14</f>
        <v>0</v>
      </c>
      <c r="F15" s="85">
        <f>F11-F14</f>
        <v>0</v>
      </c>
      <c r="G15" s="85">
        <f t="shared" ref="G15:AN15" si="4">G11-G14</f>
        <v>0</v>
      </c>
      <c r="H15" s="85">
        <f t="shared" si="4"/>
        <v>0</v>
      </c>
      <c r="I15" s="85">
        <f t="shared" si="4"/>
        <v>0</v>
      </c>
      <c r="J15" s="85">
        <f t="shared" si="4"/>
        <v>0</v>
      </c>
      <c r="K15" s="85">
        <f t="shared" si="4"/>
        <v>0</v>
      </c>
      <c r="L15" s="85">
        <f t="shared" si="4"/>
        <v>0</v>
      </c>
      <c r="M15" s="85">
        <f t="shared" si="4"/>
        <v>0</v>
      </c>
      <c r="N15" s="85">
        <f t="shared" si="4"/>
        <v>0</v>
      </c>
      <c r="O15" s="85">
        <f t="shared" si="4"/>
        <v>0</v>
      </c>
      <c r="P15" s="85">
        <f t="shared" si="4"/>
        <v>0</v>
      </c>
      <c r="Q15" s="85">
        <f t="shared" si="4"/>
        <v>0</v>
      </c>
      <c r="R15" s="85">
        <f t="shared" si="4"/>
        <v>0</v>
      </c>
      <c r="S15" s="85">
        <f t="shared" si="4"/>
        <v>0</v>
      </c>
      <c r="T15" s="85">
        <f t="shared" si="4"/>
        <v>0</v>
      </c>
      <c r="U15" s="85">
        <f t="shared" si="4"/>
        <v>0</v>
      </c>
      <c r="V15" s="85">
        <f t="shared" si="4"/>
        <v>0</v>
      </c>
      <c r="W15" s="85">
        <f t="shared" si="4"/>
        <v>0</v>
      </c>
      <c r="X15" s="85">
        <f t="shared" si="4"/>
        <v>0</v>
      </c>
      <c r="Y15" s="85">
        <f t="shared" si="4"/>
        <v>0</v>
      </c>
      <c r="Z15" s="85">
        <f t="shared" si="4"/>
        <v>0</v>
      </c>
      <c r="AA15" s="85">
        <f t="shared" si="4"/>
        <v>0</v>
      </c>
      <c r="AB15" s="85">
        <f t="shared" si="4"/>
        <v>0</v>
      </c>
      <c r="AC15" s="85">
        <f t="shared" si="4"/>
        <v>0</v>
      </c>
      <c r="AD15" s="85">
        <f t="shared" si="4"/>
        <v>0</v>
      </c>
      <c r="AE15" s="85">
        <f t="shared" si="4"/>
        <v>0</v>
      </c>
      <c r="AF15" s="85">
        <f t="shared" si="4"/>
        <v>0</v>
      </c>
      <c r="AG15" s="85">
        <f t="shared" si="4"/>
        <v>0</v>
      </c>
      <c r="AH15" s="85">
        <f t="shared" si="4"/>
        <v>0</v>
      </c>
      <c r="AI15" s="85">
        <f t="shared" si="4"/>
        <v>0</v>
      </c>
      <c r="AJ15" s="85">
        <f t="shared" si="4"/>
        <v>0</v>
      </c>
      <c r="AK15" s="85">
        <f t="shared" si="4"/>
        <v>0</v>
      </c>
      <c r="AL15" s="85">
        <f t="shared" si="4"/>
        <v>0</v>
      </c>
      <c r="AM15" s="85">
        <f t="shared" si="4"/>
        <v>0</v>
      </c>
      <c r="AN15" s="85">
        <f t="shared" si="4"/>
        <v>0</v>
      </c>
    </row>
    <row r="16" spans="1:40">
      <c r="A16" s="1">
        <v>1</v>
      </c>
      <c r="B16" s="1" t="s">
        <v>141</v>
      </c>
      <c r="D16" s="85"/>
      <c r="E16" s="85">
        <f>(E11&gt;0)*SUM(F15:Q15)</f>
        <v>0</v>
      </c>
      <c r="F16" s="85">
        <f t="shared" ref="F16:AB16" si="5">(F11&gt;0)*SUM(G15:R15)</f>
        <v>0</v>
      </c>
      <c r="G16" s="85">
        <f t="shared" si="5"/>
        <v>0</v>
      </c>
      <c r="H16" s="85">
        <f t="shared" si="5"/>
        <v>0</v>
      </c>
      <c r="I16" s="85">
        <f t="shared" si="5"/>
        <v>0</v>
      </c>
      <c r="J16" s="85">
        <f t="shared" si="5"/>
        <v>0</v>
      </c>
      <c r="K16" s="85">
        <f t="shared" si="5"/>
        <v>0</v>
      </c>
      <c r="L16" s="85">
        <f t="shared" si="5"/>
        <v>0</v>
      </c>
      <c r="M16" s="85">
        <f t="shared" si="5"/>
        <v>0</v>
      </c>
      <c r="N16" s="85">
        <f t="shared" si="5"/>
        <v>0</v>
      </c>
      <c r="O16" s="85">
        <f t="shared" si="5"/>
        <v>0</v>
      </c>
      <c r="P16" s="85">
        <f t="shared" si="5"/>
        <v>0</v>
      </c>
      <c r="Q16" s="85">
        <f t="shared" si="5"/>
        <v>0</v>
      </c>
      <c r="R16" s="85">
        <f t="shared" si="5"/>
        <v>0</v>
      </c>
      <c r="S16" s="85">
        <f t="shared" si="5"/>
        <v>0</v>
      </c>
      <c r="T16" s="85">
        <f t="shared" si="5"/>
        <v>0</v>
      </c>
      <c r="U16" s="85">
        <f t="shared" si="5"/>
        <v>0</v>
      </c>
      <c r="V16" s="85">
        <f t="shared" si="5"/>
        <v>0</v>
      </c>
      <c r="W16" s="85">
        <f t="shared" si="5"/>
        <v>0</v>
      </c>
      <c r="X16" s="85">
        <f t="shared" si="5"/>
        <v>0</v>
      </c>
      <c r="Y16" s="85">
        <f t="shared" si="5"/>
        <v>0</v>
      </c>
      <c r="Z16" s="85">
        <f t="shared" si="5"/>
        <v>0</v>
      </c>
      <c r="AA16" s="85">
        <f t="shared" si="5"/>
        <v>0</v>
      </c>
      <c r="AB16" s="85">
        <f t="shared" si="5"/>
        <v>0</v>
      </c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</row>
    <row r="17" spans="1:40">
      <c r="A17" s="1">
        <v>1</v>
      </c>
      <c r="B17" s="1" t="s">
        <v>142</v>
      </c>
      <c r="D17" s="85"/>
      <c r="E17" s="85">
        <f>(E11&gt;0)*Q14</f>
        <v>0</v>
      </c>
      <c r="F17" s="85">
        <f t="shared" ref="F17:AB17" si="6">(F11&gt;0)*R14</f>
        <v>0</v>
      </c>
      <c r="G17" s="85">
        <f t="shared" si="6"/>
        <v>0</v>
      </c>
      <c r="H17" s="85">
        <f t="shared" si="6"/>
        <v>0</v>
      </c>
      <c r="I17" s="85">
        <f t="shared" si="6"/>
        <v>0</v>
      </c>
      <c r="J17" s="85">
        <f t="shared" si="6"/>
        <v>0</v>
      </c>
      <c r="K17" s="85">
        <f t="shared" si="6"/>
        <v>0</v>
      </c>
      <c r="L17" s="85">
        <f t="shared" si="6"/>
        <v>0</v>
      </c>
      <c r="M17" s="85">
        <f t="shared" si="6"/>
        <v>0</v>
      </c>
      <c r="N17" s="85">
        <f t="shared" si="6"/>
        <v>0</v>
      </c>
      <c r="O17" s="85">
        <f t="shared" si="6"/>
        <v>0</v>
      </c>
      <c r="P17" s="85">
        <f t="shared" si="6"/>
        <v>0</v>
      </c>
      <c r="Q17" s="85">
        <f t="shared" si="6"/>
        <v>0</v>
      </c>
      <c r="R17" s="85">
        <f t="shared" si="6"/>
        <v>0</v>
      </c>
      <c r="S17" s="85">
        <f t="shared" si="6"/>
        <v>0</v>
      </c>
      <c r="T17" s="85">
        <f t="shared" si="6"/>
        <v>0</v>
      </c>
      <c r="U17" s="85">
        <f t="shared" si="6"/>
        <v>0</v>
      </c>
      <c r="V17" s="85">
        <f t="shared" si="6"/>
        <v>0</v>
      </c>
      <c r="W17" s="85">
        <f t="shared" si="6"/>
        <v>0</v>
      </c>
      <c r="X17" s="85">
        <f t="shared" si="6"/>
        <v>0</v>
      </c>
      <c r="Y17" s="85">
        <f t="shared" si="6"/>
        <v>0</v>
      </c>
      <c r="Z17" s="85">
        <f t="shared" si="6"/>
        <v>0</v>
      </c>
      <c r="AA17" s="85">
        <f t="shared" si="6"/>
        <v>0</v>
      </c>
      <c r="AB17" s="85">
        <f t="shared" si="6"/>
        <v>0</v>
      </c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</row>
    <row r="19" spans="1:40">
      <c r="A19" s="13"/>
      <c r="B19" s="91" t="s">
        <v>154</v>
      </c>
      <c r="C19" s="13"/>
      <c r="D19" s="13" t="s">
        <v>121</v>
      </c>
      <c r="E19" s="13">
        <f>DATEVALUE(1&amp;"/"&amp;'IP1'!$B$3&amp;"/"&amp;'IP1'!$B$4)</f>
        <v>41275</v>
      </c>
      <c r="F19" s="13">
        <f>DATE(YEAR(E19),MONTH(E19)+1,1)</f>
        <v>41306</v>
      </c>
      <c r="G19" s="13">
        <f t="shared" ref="G19:AN19" si="7">DATE(YEAR(F19),MONTH(F19)+1,1)</f>
        <v>41334</v>
      </c>
      <c r="H19" s="13">
        <f t="shared" si="7"/>
        <v>41365</v>
      </c>
      <c r="I19" s="13">
        <f t="shared" si="7"/>
        <v>41395</v>
      </c>
      <c r="J19" s="13">
        <f t="shared" si="7"/>
        <v>41426</v>
      </c>
      <c r="K19" s="13">
        <f t="shared" si="7"/>
        <v>41456</v>
      </c>
      <c r="L19" s="13">
        <f t="shared" si="7"/>
        <v>41487</v>
      </c>
      <c r="M19" s="13">
        <f t="shared" si="7"/>
        <v>41518</v>
      </c>
      <c r="N19" s="13">
        <f t="shared" si="7"/>
        <v>41548</v>
      </c>
      <c r="O19" s="13">
        <f t="shared" si="7"/>
        <v>41579</v>
      </c>
      <c r="P19" s="13">
        <f t="shared" si="7"/>
        <v>41609</v>
      </c>
      <c r="Q19" s="13">
        <f t="shared" si="7"/>
        <v>41640</v>
      </c>
      <c r="R19" s="13">
        <f t="shared" si="7"/>
        <v>41671</v>
      </c>
      <c r="S19" s="13">
        <f t="shared" si="7"/>
        <v>41699</v>
      </c>
      <c r="T19" s="13">
        <f t="shared" si="7"/>
        <v>41730</v>
      </c>
      <c r="U19" s="13">
        <f t="shared" si="7"/>
        <v>41760</v>
      </c>
      <c r="V19" s="13">
        <f t="shared" si="7"/>
        <v>41791</v>
      </c>
      <c r="W19" s="13">
        <f t="shared" si="7"/>
        <v>41821</v>
      </c>
      <c r="X19" s="13">
        <f t="shared" si="7"/>
        <v>41852</v>
      </c>
      <c r="Y19" s="13">
        <f t="shared" si="7"/>
        <v>41883</v>
      </c>
      <c r="Z19" s="13">
        <f t="shared" si="7"/>
        <v>41913</v>
      </c>
      <c r="AA19" s="13">
        <f t="shared" si="7"/>
        <v>41944</v>
      </c>
      <c r="AB19" s="13">
        <f t="shared" si="7"/>
        <v>41974</v>
      </c>
      <c r="AC19" s="90">
        <f t="shared" si="7"/>
        <v>42005</v>
      </c>
      <c r="AD19" s="90">
        <f t="shared" si="7"/>
        <v>42036</v>
      </c>
      <c r="AE19" s="90">
        <f t="shared" si="7"/>
        <v>42064</v>
      </c>
      <c r="AF19" s="90">
        <f t="shared" si="7"/>
        <v>42095</v>
      </c>
      <c r="AG19" s="90">
        <f t="shared" si="7"/>
        <v>42125</v>
      </c>
      <c r="AH19" s="90">
        <f t="shared" si="7"/>
        <v>42156</v>
      </c>
      <c r="AI19" s="90">
        <f t="shared" si="7"/>
        <v>42186</v>
      </c>
      <c r="AJ19" s="90">
        <f t="shared" si="7"/>
        <v>42217</v>
      </c>
      <c r="AK19" s="90">
        <f t="shared" si="7"/>
        <v>42248</v>
      </c>
      <c r="AL19" s="90">
        <f t="shared" si="7"/>
        <v>42278</v>
      </c>
      <c r="AM19" s="90">
        <f t="shared" si="7"/>
        <v>42309</v>
      </c>
      <c r="AN19" s="90">
        <f t="shared" si="7"/>
        <v>42339</v>
      </c>
    </row>
    <row r="21" spans="1:40">
      <c r="A21" s="1">
        <v>2</v>
      </c>
      <c r="B21" s="88" t="s">
        <v>131</v>
      </c>
      <c r="D21" s="85">
        <f>'IP1'!E146</f>
        <v>0</v>
      </c>
    </row>
    <row r="22" spans="1:40">
      <c r="A22" s="1">
        <v>2</v>
      </c>
      <c r="B22" s="88" t="s">
        <v>132</v>
      </c>
      <c r="D22" s="87">
        <f>'IP1'!E147</f>
        <v>0</v>
      </c>
    </row>
    <row r="23" spans="1:40">
      <c r="A23" s="1">
        <v>2</v>
      </c>
      <c r="B23" s="88" t="s">
        <v>32</v>
      </c>
      <c r="D23" s="85">
        <f>'IP1'!E148</f>
        <v>0</v>
      </c>
    </row>
    <row r="24" spans="1:40">
      <c r="A24" s="1">
        <v>2</v>
      </c>
      <c r="B24" s="88" t="s">
        <v>134</v>
      </c>
      <c r="D24" s="89">
        <f>IFERROR(SUM(D21,D23)/(D22*12),0)</f>
        <v>0</v>
      </c>
    </row>
    <row r="25" spans="1:40">
      <c r="A25" s="1">
        <v>2</v>
      </c>
      <c r="B25" s="1" t="s">
        <v>135</v>
      </c>
      <c r="D25" s="85">
        <f>(D24*D22*12)</f>
        <v>0</v>
      </c>
    </row>
    <row r="26" spans="1:40">
      <c r="A26" s="1">
        <v>2</v>
      </c>
      <c r="B26" s="1" t="s">
        <v>137</v>
      </c>
      <c r="D26" s="85">
        <f>(D22*12)*(((D22*12)+1)/2)</f>
        <v>0</v>
      </c>
    </row>
    <row r="27" spans="1:40">
      <c r="D27" s="85"/>
    </row>
    <row r="28" spans="1:40">
      <c r="A28" s="1">
        <v>2</v>
      </c>
      <c r="B28" s="1" t="s">
        <v>153</v>
      </c>
      <c r="D28" s="85"/>
      <c r="E28" s="85">
        <f>($D$22*12)*(E$1='IP1'!$E$149)</f>
        <v>0</v>
      </c>
      <c r="F28" s="85">
        <f>IF(E28&gt;0,(E28-1),($D$22*12)*(F$1='IP1'!$E$149))</f>
        <v>0</v>
      </c>
      <c r="G28" s="85">
        <f>IF(F28&gt;0,(F28-1),($D$22*12)*(G$1='IP1'!$E$149))</f>
        <v>0</v>
      </c>
      <c r="H28" s="85">
        <f>IF(G28&gt;0,(G28-1),($D$22*12)*(H$1='IP1'!$E$149))</f>
        <v>0</v>
      </c>
      <c r="I28" s="85">
        <f>IF(H28&gt;0,(H28-1),($D$22*12)*(I$1='IP1'!$E$149))</f>
        <v>0</v>
      </c>
      <c r="J28" s="85">
        <f>IF(I28&gt;0,(I28-1),($D$22*12)*(J$1='IP1'!$E$149))</f>
        <v>0</v>
      </c>
      <c r="K28" s="85">
        <f>IF(J28&gt;0,(J28-1),($D$22*12)*(K$1='IP1'!$E$149))</f>
        <v>0</v>
      </c>
      <c r="L28" s="85">
        <f>IF(K28&gt;0,(K28-1),($D$22*12)*(L$1='IP1'!$E$149))</f>
        <v>0</v>
      </c>
      <c r="M28" s="85">
        <f>IF(L28&gt;0,(L28-1),($D$22*12)*(M$1='IP1'!$E$149))</f>
        <v>0</v>
      </c>
      <c r="N28" s="85">
        <f>IF(M28&gt;0,(M28-1),($D$22*12)*(N$1='IP1'!$E$149))</f>
        <v>0</v>
      </c>
      <c r="O28" s="85">
        <f>IF(N28&gt;0,(N28-1),($D$22*12)*(O$1='IP1'!$E$149))</f>
        <v>0</v>
      </c>
      <c r="P28" s="85">
        <f>IF(O28&gt;0,(O28-1),($D$22*12)*(P$1='IP1'!$E$149))</f>
        <v>0</v>
      </c>
      <c r="Q28" s="85">
        <f>IF(P28&gt;0,(P28-1),($D$22*12)*(Q$1='IP1'!$E$149))</f>
        <v>0</v>
      </c>
      <c r="R28" s="85">
        <f>IF(Q28&gt;0,(Q28-1),($D$22*12)*(R$1='IP1'!$E$149))</f>
        <v>0</v>
      </c>
      <c r="S28" s="85">
        <f>IF(R28&gt;0,(R28-1),($D$22*12)*(S$1='IP1'!$E$149))</f>
        <v>0</v>
      </c>
      <c r="T28" s="85">
        <f>IF(S28&gt;0,(S28-1),($D$22*12)*(T$1='IP1'!$E$149))</f>
        <v>0</v>
      </c>
      <c r="U28" s="85">
        <f>IF(T28&gt;0,(T28-1),($D$22*12)*(U$1='IP1'!$E$149))</f>
        <v>0</v>
      </c>
      <c r="V28" s="85">
        <f>IF(U28&gt;0,(U28-1),($D$22*12)*(V$1='IP1'!$E$149))</f>
        <v>0</v>
      </c>
      <c r="W28" s="85">
        <f>IF(V28&gt;0,(V28-1),($D$22*12)*(W$1='IP1'!$E$149))</f>
        <v>0</v>
      </c>
      <c r="X28" s="85">
        <f>IF(W28&gt;0,(W28-1),($D$22*12)*(X$1='IP1'!$E$149))</f>
        <v>0</v>
      </c>
      <c r="Y28" s="85">
        <f>IF(X28&gt;0,(X28-1),($D$22*12)*(Y$1='IP1'!$E$149))</f>
        <v>0</v>
      </c>
      <c r="Z28" s="85">
        <f>IF(Y28&gt;0,(Y28-1),($D$22*12)*(Z$1='IP1'!$E$149))</f>
        <v>0</v>
      </c>
      <c r="AA28" s="85">
        <f>IF(Z28&gt;0,(Z28-1),($D$22*12)*(AA$1='IP1'!$E$149))</f>
        <v>0</v>
      </c>
      <c r="AB28" s="85">
        <f>IF(AA28&gt;0,(AA28-1),($D$22*12)*(AB$1='IP1'!$E$149))</f>
        <v>0</v>
      </c>
      <c r="AC28" s="85">
        <f>IF(AB28&gt;0,(AB28-1),($D$22*12)*(AC$1='IP1'!$E$149))</f>
        <v>0</v>
      </c>
      <c r="AD28" s="85">
        <f>IF(AC28&gt;0,(AC28-1),($D$22*12)*(AD$1='IP1'!$E$149))</f>
        <v>0</v>
      </c>
      <c r="AE28" s="85">
        <f>IF(AD28&gt;0,(AD28-1),($D$22*12)*(AE$1='IP1'!$E$149))</f>
        <v>0</v>
      </c>
      <c r="AF28" s="85">
        <f>IF(AE28&gt;0,(AE28-1),($D$22*12)*(AF$1='IP1'!$E$149))</f>
        <v>0</v>
      </c>
      <c r="AG28" s="85">
        <f>IF(AF28&gt;0,(AF28-1),($D$22*12)*(AG$1='IP1'!$E$149))</f>
        <v>0</v>
      </c>
      <c r="AH28" s="85">
        <f>IF(AG28&gt;0,(AG28-1),($D$22*12)*(AH$1='IP1'!$E$149))</f>
        <v>0</v>
      </c>
      <c r="AI28" s="85">
        <f>IF(AH28&gt;0,(AH28-1),($D$22*12)*(AI$1='IP1'!$E$149))</f>
        <v>0</v>
      </c>
      <c r="AJ28" s="85">
        <f>IF(AI28&gt;0,(AI28-1),($D$22*12)*(AJ$1='IP1'!$E$149))</f>
        <v>0</v>
      </c>
      <c r="AK28" s="85">
        <f>IF(AJ28&gt;0,(AJ28-1),($D$22*12)*(AK$1='IP1'!$E$149))</f>
        <v>0</v>
      </c>
      <c r="AL28" s="85">
        <f>IF(AK28&gt;0,(AK28-1),($D$22*12)*(AL$1='IP1'!$E$149))</f>
        <v>0</v>
      </c>
      <c r="AM28" s="85">
        <f>IF(AL28&gt;0,(AL28-1),($D$22*12)*(AM$1='IP1'!$E$149))</f>
        <v>0</v>
      </c>
      <c r="AN28" s="85">
        <f>IF(AM28&gt;0,(AM28-1),($D$22*12)*(AN$1='IP1'!$E$149))</f>
        <v>0</v>
      </c>
    </row>
    <row r="29" spans="1:40">
      <c r="A29" s="1">
        <v>2</v>
      </c>
      <c r="B29" s="1" t="s">
        <v>128</v>
      </c>
      <c r="D29" s="85"/>
      <c r="E29" s="85">
        <f>'IP1'!$E$146*(E$1='IP1'!$E$149)</f>
        <v>0</v>
      </c>
      <c r="F29" s="85">
        <f>((E29&gt;0)*E32)+'IP1'!$E$146*(F$1='IP1'!$E$149)</f>
        <v>0</v>
      </c>
      <c r="G29" s="85">
        <f>((F29&gt;0)*F32)+'IP1'!$E$146*(G$1='IP1'!$E$149)</f>
        <v>0</v>
      </c>
      <c r="H29" s="85">
        <f>((G29&gt;0)*G32)+'IP1'!$E$146*(H$1='IP1'!$E$149)</f>
        <v>0</v>
      </c>
      <c r="I29" s="85">
        <f>((H29&gt;0)*H32)+'IP1'!$E$146*(I$1='IP1'!$E$149)</f>
        <v>0</v>
      </c>
      <c r="J29" s="85">
        <f>((I29&gt;0)*I32)+'IP1'!$E$146*(J$1='IP1'!$E$149)</f>
        <v>0</v>
      </c>
      <c r="K29" s="85">
        <f>((J29&gt;0)*J32)+'IP1'!$E$146*(K$1='IP1'!$E$149)</f>
        <v>0</v>
      </c>
      <c r="L29" s="85">
        <f>((K29&gt;0)*K32)+'IP1'!$E$146*(L$1='IP1'!$E$149)</f>
        <v>0</v>
      </c>
      <c r="M29" s="85">
        <f>((L29&gt;0)*L32)+'IP1'!$E$146*(M$1='IP1'!$E$149)</f>
        <v>0</v>
      </c>
      <c r="N29" s="85">
        <f>((M29&gt;0)*M32)+'IP1'!$E$146*(N$1='IP1'!$E$149)</f>
        <v>0</v>
      </c>
      <c r="O29" s="85">
        <f>((N29&gt;0)*N32)+'IP1'!$E$146*(O$1='IP1'!$E$149)</f>
        <v>0</v>
      </c>
      <c r="P29" s="85">
        <f>((O29&gt;0)*O32)+'IP1'!$E$146*(P$1='IP1'!$E$149)</f>
        <v>0</v>
      </c>
      <c r="Q29" s="85">
        <f>((P29&gt;0)*P32)+'IP1'!$E$146*(Q$1='IP1'!$E$149)</f>
        <v>0</v>
      </c>
      <c r="R29" s="85">
        <f>((Q29&gt;0)*Q32)+'IP1'!$E$146*(R$1='IP1'!$E$149)</f>
        <v>0</v>
      </c>
      <c r="S29" s="85">
        <f>((R29&gt;0)*R32)+'IP1'!$E$146*(S$1='IP1'!$E$149)</f>
        <v>0</v>
      </c>
      <c r="T29" s="85">
        <f>((S29&gt;0)*S32)+'IP1'!$E$146*(T$1='IP1'!$E$149)</f>
        <v>0</v>
      </c>
      <c r="U29" s="85">
        <f>((T29&gt;0)*T32)+'IP1'!$E$146*(U$1='IP1'!$E$149)</f>
        <v>0</v>
      </c>
      <c r="V29" s="85">
        <f>((U29&gt;0)*U32)+'IP1'!$E$146*(V$1='IP1'!$E$149)</f>
        <v>0</v>
      </c>
      <c r="W29" s="85">
        <f>((V29&gt;0)*V32)+'IP1'!$E$146*(W$1='IP1'!$E$149)</f>
        <v>0</v>
      </c>
      <c r="X29" s="85">
        <f>((W29&gt;0)*W32)+'IP1'!$E$146*(X$1='IP1'!$E$149)</f>
        <v>0</v>
      </c>
      <c r="Y29" s="85">
        <f>((X29&gt;0)*X32)+'IP1'!$E$146*(Y$1='IP1'!$E$149)</f>
        <v>0</v>
      </c>
      <c r="Z29" s="85">
        <f>((Y29&gt;0)*Y32)+'IP1'!$E$146*(Z$1='IP1'!$E$149)</f>
        <v>0</v>
      </c>
      <c r="AA29" s="85">
        <f>((Z29&gt;0)*Z32)+'IP1'!$E$146*(AA$1='IP1'!$E$149)</f>
        <v>0</v>
      </c>
      <c r="AB29" s="85">
        <f>((AA29&gt;0)*AA32)+'IP1'!$E$146*(AB$1='IP1'!$E$149)</f>
        <v>0</v>
      </c>
      <c r="AC29" s="85">
        <f>((AB29&gt;0)*AB32)+'IP1'!$E$146*(AC$1='IP1'!$E$149)</f>
        <v>0</v>
      </c>
      <c r="AD29" s="85">
        <f>((AC29&gt;0)*AC32)+'IP1'!$E$146*(AD$1='IP1'!$E$149)</f>
        <v>0</v>
      </c>
      <c r="AE29" s="85">
        <f>((AD29&gt;0)*AD32)+'IP1'!$E$146*(AE$1='IP1'!$E$149)</f>
        <v>0</v>
      </c>
      <c r="AF29" s="85">
        <f>((AE29&gt;0)*AE32)+'IP1'!$E$146*(AF$1='IP1'!$E$149)</f>
        <v>0</v>
      </c>
      <c r="AG29" s="85">
        <f>((AF29&gt;0)*AF32)+'IP1'!$E$146*(AG$1='IP1'!$E$149)</f>
        <v>0</v>
      </c>
      <c r="AH29" s="85">
        <f>((AG29&gt;0)*AG32)+'IP1'!$E$146*(AH$1='IP1'!$E$149)</f>
        <v>0</v>
      </c>
      <c r="AI29" s="85">
        <f>((AH29&gt;0)*AH32)+'IP1'!$E$146*(AI$1='IP1'!$E$149)</f>
        <v>0</v>
      </c>
      <c r="AJ29" s="85">
        <f>((AI29&gt;0)*AI32)+'IP1'!$E$146*(AJ$1='IP1'!$E$149)</f>
        <v>0</v>
      </c>
      <c r="AK29" s="85">
        <f>((AJ29&gt;0)*AJ32)+'IP1'!$E$146*(AK$1='IP1'!$E$149)</f>
        <v>0</v>
      </c>
      <c r="AL29" s="85">
        <f>((AK29&gt;0)*AK32)+'IP1'!$E$146*(AL$1='IP1'!$E$149)</f>
        <v>0</v>
      </c>
      <c r="AM29" s="85">
        <f>((AL29&gt;0)*AL32)+'IP1'!$E$146*(AM$1='IP1'!$E$149)</f>
        <v>0</v>
      </c>
      <c r="AN29" s="85">
        <f>((AM29&gt;0)*AM32)+'IP1'!$E$146*(AN$1='IP1'!$E$149)</f>
        <v>0</v>
      </c>
    </row>
    <row r="30" spans="1:40">
      <c r="A30" s="1">
        <v>2</v>
      </c>
      <c r="B30" s="1" t="s">
        <v>98</v>
      </c>
      <c r="D30" s="85"/>
      <c r="E30" s="85">
        <f>(E29&gt;0)*$D$24</f>
        <v>0</v>
      </c>
      <c r="F30" s="85">
        <f t="shared" ref="F30:AB30" si="8">(F29&gt;0)*$D$24</f>
        <v>0</v>
      </c>
      <c r="G30" s="85">
        <f t="shared" si="8"/>
        <v>0</v>
      </c>
      <c r="H30" s="85">
        <f t="shared" si="8"/>
        <v>0</v>
      </c>
      <c r="I30" s="85">
        <f t="shared" si="8"/>
        <v>0</v>
      </c>
      <c r="J30" s="85">
        <f t="shared" si="8"/>
        <v>0</v>
      </c>
      <c r="K30" s="85">
        <f t="shared" si="8"/>
        <v>0</v>
      </c>
      <c r="L30" s="85">
        <f t="shared" si="8"/>
        <v>0</v>
      </c>
      <c r="M30" s="85">
        <f t="shared" si="8"/>
        <v>0</v>
      </c>
      <c r="N30" s="85">
        <f t="shared" si="8"/>
        <v>0</v>
      </c>
      <c r="O30" s="85">
        <f t="shared" si="8"/>
        <v>0</v>
      </c>
      <c r="P30" s="85">
        <f t="shared" si="8"/>
        <v>0</v>
      </c>
      <c r="Q30" s="85">
        <f t="shared" si="8"/>
        <v>0</v>
      </c>
      <c r="R30" s="85">
        <f t="shared" si="8"/>
        <v>0</v>
      </c>
      <c r="S30" s="85">
        <f t="shared" si="8"/>
        <v>0</v>
      </c>
      <c r="T30" s="85">
        <f t="shared" si="8"/>
        <v>0</v>
      </c>
      <c r="U30" s="85">
        <f t="shared" si="8"/>
        <v>0</v>
      </c>
      <c r="V30" s="85">
        <f t="shared" si="8"/>
        <v>0</v>
      </c>
      <c r="W30" s="85">
        <f t="shared" si="8"/>
        <v>0</v>
      </c>
      <c r="X30" s="85">
        <f t="shared" si="8"/>
        <v>0</v>
      </c>
      <c r="Y30" s="85">
        <f t="shared" si="8"/>
        <v>0</v>
      </c>
      <c r="Z30" s="85">
        <f t="shared" si="8"/>
        <v>0</v>
      </c>
      <c r="AA30" s="85">
        <f t="shared" si="8"/>
        <v>0</v>
      </c>
      <c r="AB30" s="85">
        <f t="shared" si="8"/>
        <v>0</v>
      </c>
      <c r="AC30" s="85">
        <f t="shared" ref="AC30:AN30" si="9">(AC29&gt;0)*$D$24</f>
        <v>0</v>
      </c>
      <c r="AD30" s="85">
        <f t="shared" si="9"/>
        <v>0</v>
      </c>
      <c r="AE30" s="85">
        <f t="shared" si="9"/>
        <v>0</v>
      </c>
      <c r="AF30" s="85">
        <f t="shared" si="9"/>
        <v>0</v>
      </c>
      <c r="AG30" s="85">
        <f t="shared" si="9"/>
        <v>0</v>
      </c>
      <c r="AH30" s="85">
        <f t="shared" si="9"/>
        <v>0</v>
      </c>
      <c r="AI30" s="85">
        <f t="shared" si="9"/>
        <v>0</v>
      </c>
      <c r="AJ30" s="85">
        <f t="shared" si="9"/>
        <v>0</v>
      </c>
      <c r="AK30" s="85">
        <f t="shared" si="9"/>
        <v>0</v>
      </c>
      <c r="AL30" s="85">
        <f t="shared" si="9"/>
        <v>0</v>
      </c>
      <c r="AM30" s="85">
        <f t="shared" si="9"/>
        <v>0</v>
      </c>
      <c r="AN30" s="85">
        <f t="shared" si="9"/>
        <v>0</v>
      </c>
    </row>
    <row r="31" spans="1:40">
      <c r="A31" s="1">
        <v>2</v>
      </c>
      <c r="B31" s="1" t="s">
        <v>140</v>
      </c>
      <c r="D31" s="85"/>
      <c r="E31" s="85">
        <f>IFERROR((E30&gt;0)*((E28/$D$26)*$D$23),0)</f>
        <v>0</v>
      </c>
      <c r="F31" s="85">
        <f t="shared" ref="F31:AN31" si="10">IFERROR((F30&gt;0)*((F28/$D$26)*$D$23),0)</f>
        <v>0</v>
      </c>
      <c r="G31" s="85">
        <f t="shared" si="10"/>
        <v>0</v>
      </c>
      <c r="H31" s="85">
        <f t="shared" si="10"/>
        <v>0</v>
      </c>
      <c r="I31" s="85">
        <f t="shared" si="10"/>
        <v>0</v>
      </c>
      <c r="J31" s="85">
        <f t="shared" si="10"/>
        <v>0</v>
      </c>
      <c r="K31" s="85">
        <f t="shared" si="10"/>
        <v>0</v>
      </c>
      <c r="L31" s="85">
        <f t="shared" si="10"/>
        <v>0</v>
      </c>
      <c r="M31" s="85">
        <f t="shared" si="10"/>
        <v>0</v>
      </c>
      <c r="N31" s="85">
        <f t="shared" si="10"/>
        <v>0</v>
      </c>
      <c r="O31" s="85">
        <f t="shared" si="10"/>
        <v>0</v>
      </c>
      <c r="P31" s="85">
        <f t="shared" si="10"/>
        <v>0</v>
      </c>
      <c r="Q31" s="85">
        <f t="shared" si="10"/>
        <v>0</v>
      </c>
      <c r="R31" s="85">
        <f t="shared" si="10"/>
        <v>0</v>
      </c>
      <c r="S31" s="85">
        <f t="shared" si="10"/>
        <v>0</v>
      </c>
      <c r="T31" s="85">
        <f t="shared" si="10"/>
        <v>0</v>
      </c>
      <c r="U31" s="85">
        <f t="shared" si="10"/>
        <v>0</v>
      </c>
      <c r="V31" s="85">
        <f t="shared" si="10"/>
        <v>0</v>
      </c>
      <c r="W31" s="85">
        <f t="shared" si="10"/>
        <v>0</v>
      </c>
      <c r="X31" s="85">
        <f t="shared" si="10"/>
        <v>0</v>
      </c>
      <c r="Y31" s="85">
        <f t="shared" si="10"/>
        <v>0</v>
      </c>
      <c r="Z31" s="85">
        <f t="shared" si="10"/>
        <v>0</v>
      </c>
      <c r="AA31" s="85">
        <f t="shared" si="10"/>
        <v>0</v>
      </c>
      <c r="AB31" s="85">
        <f t="shared" si="10"/>
        <v>0</v>
      </c>
      <c r="AC31" s="85">
        <f t="shared" si="10"/>
        <v>0</v>
      </c>
      <c r="AD31" s="85">
        <f t="shared" si="10"/>
        <v>0</v>
      </c>
      <c r="AE31" s="85">
        <f t="shared" si="10"/>
        <v>0</v>
      </c>
      <c r="AF31" s="85">
        <f t="shared" si="10"/>
        <v>0</v>
      </c>
      <c r="AG31" s="85">
        <f t="shared" si="10"/>
        <v>0</v>
      </c>
      <c r="AH31" s="85">
        <f t="shared" si="10"/>
        <v>0</v>
      </c>
      <c r="AI31" s="85">
        <f t="shared" si="10"/>
        <v>0</v>
      </c>
      <c r="AJ31" s="85">
        <f t="shared" si="10"/>
        <v>0</v>
      </c>
      <c r="AK31" s="85">
        <f t="shared" si="10"/>
        <v>0</v>
      </c>
      <c r="AL31" s="85">
        <f t="shared" si="10"/>
        <v>0</v>
      </c>
      <c r="AM31" s="85">
        <f t="shared" si="10"/>
        <v>0</v>
      </c>
      <c r="AN31" s="85">
        <f t="shared" si="10"/>
        <v>0</v>
      </c>
    </row>
    <row r="32" spans="1:40">
      <c r="A32" s="1">
        <v>2</v>
      </c>
      <c r="B32" s="1" t="s">
        <v>37</v>
      </c>
      <c r="D32" s="85"/>
      <c r="E32" s="85">
        <f>E29-(E30-E31)</f>
        <v>0</v>
      </c>
      <c r="F32" s="85">
        <f t="shared" ref="F32:AB32" si="11">F29-(F30-F31)</f>
        <v>0</v>
      </c>
      <c r="G32" s="85">
        <f t="shared" si="11"/>
        <v>0</v>
      </c>
      <c r="H32" s="85">
        <f t="shared" si="11"/>
        <v>0</v>
      </c>
      <c r="I32" s="85">
        <f t="shared" si="11"/>
        <v>0</v>
      </c>
      <c r="J32" s="85">
        <f t="shared" si="11"/>
        <v>0</v>
      </c>
      <c r="K32" s="85">
        <f t="shared" si="11"/>
        <v>0</v>
      </c>
      <c r="L32" s="85">
        <f t="shared" si="11"/>
        <v>0</v>
      </c>
      <c r="M32" s="85">
        <f t="shared" si="11"/>
        <v>0</v>
      </c>
      <c r="N32" s="85">
        <f t="shared" si="11"/>
        <v>0</v>
      </c>
      <c r="O32" s="85">
        <f t="shared" si="11"/>
        <v>0</v>
      </c>
      <c r="P32" s="85">
        <f t="shared" si="11"/>
        <v>0</v>
      </c>
      <c r="Q32" s="85">
        <f t="shared" si="11"/>
        <v>0</v>
      </c>
      <c r="R32" s="85">
        <f t="shared" si="11"/>
        <v>0</v>
      </c>
      <c r="S32" s="85">
        <f t="shared" si="11"/>
        <v>0</v>
      </c>
      <c r="T32" s="85">
        <f t="shared" si="11"/>
        <v>0</v>
      </c>
      <c r="U32" s="85">
        <f t="shared" si="11"/>
        <v>0</v>
      </c>
      <c r="V32" s="85">
        <f t="shared" si="11"/>
        <v>0</v>
      </c>
      <c r="W32" s="85">
        <f t="shared" si="11"/>
        <v>0</v>
      </c>
      <c r="X32" s="85">
        <f t="shared" si="11"/>
        <v>0</v>
      </c>
      <c r="Y32" s="85">
        <f t="shared" si="11"/>
        <v>0</v>
      </c>
      <c r="Z32" s="85">
        <f t="shared" si="11"/>
        <v>0</v>
      </c>
      <c r="AA32" s="85">
        <f t="shared" si="11"/>
        <v>0</v>
      </c>
      <c r="AB32" s="85">
        <f t="shared" si="11"/>
        <v>0</v>
      </c>
      <c r="AC32" s="85">
        <f t="shared" ref="AC32:AN32" si="12">AC29-(AC30-AC31)</f>
        <v>0</v>
      </c>
      <c r="AD32" s="85">
        <f t="shared" si="12"/>
        <v>0</v>
      </c>
      <c r="AE32" s="85">
        <f t="shared" si="12"/>
        <v>0</v>
      </c>
      <c r="AF32" s="85">
        <f t="shared" si="12"/>
        <v>0</v>
      </c>
      <c r="AG32" s="85">
        <f t="shared" si="12"/>
        <v>0</v>
      </c>
      <c r="AH32" s="85">
        <f t="shared" si="12"/>
        <v>0</v>
      </c>
      <c r="AI32" s="85">
        <f t="shared" si="12"/>
        <v>0</v>
      </c>
      <c r="AJ32" s="85">
        <f t="shared" si="12"/>
        <v>0</v>
      </c>
      <c r="AK32" s="85">
        <f t="shared" si="12"/>
        <v>0</v>
      </c>
      <c r="AL32" s="85">
        <f t="shared" si="12"/>
        <v>0</v>
      </c>
      <c r="AM32" s="85">
        <f t="shared" si="12"/>
        <v>0</v>
      </c>
      <c r="AN32" s="85">
        <f t="shared" si="12"/>
        <v>0</v>
      </c>
    </row>
    <row r="33" spans="1:40">
      <c r="A33" s="1">
        <v>2</v>
      </c>
      <c r="B33" s="1" t="s">
        <v>99</v>
      </c>
      <c r="D33" s="85"/>
      <c r="E33" s="85">
        <f>E29-E32</f>
        <v>0</v>
      </c>
      <c r="F33" s="85">
        <f t="shared" ref="F33:AB33" si="13">F29-F32</f>
        <v>0</v>
      </c>
      <c r="G33" s="85">
        <f t="shared" si="13"/>
        <v>0</v>
      </c>
      <c r="H33" s="85">
        <f t="shared" si="13"/>
        <v>0</v>
      </c>
      <c r="I33" s="85">
        <f t="shared" si="13"/>
        <v>0</v>
      </c>
      <c r="J33" s="85">
        <f t="shared" si="13"/>
        <v>0</v>
      </c>
      <c r="K33" s="85">
        <f t="shared" si="13"/>
        <v>0</v>
      </c>
      <c r="L33" s="85">
        <f t="shared" si="13"/>
        <v>0</v>
      </c>
      <c r="M33" s="85">
        <f t="shared" si="13"/>
        <v>0</v>
      </c>
      <c r="N33" s="85">
        <f t="shared" si="13"/>
        <v>0</v>
      </c>
      <c r="O33" s="85">
        <f t="shared" si="13"/>
        <v>0</v>
      </c>
      <c r="P33" s="85">
        <f t="shared" si="13"/>
        <v>0</v>
      </c>
      <c r="Q33" s="85">
        <f t="shared" si="13"/>
        <v>0</v>
      </c>
      <c r="R33" s="85">
        <f t="shared" si="13"/>
        <v>0</v>
      </c>
      <c r="S33" s="85">
        <f t="shared" si="13"/>
        <v>0</v>
      </c>
      <c r="T33" s="85">
        <f t="shared" si="13"/>
        <v>0</v>
      </c>
      <c r="U33" s="85">
        <f t="shared" si="13"/>
        <v>0</v>
      </c>
      <c r="V33" s="85">
        <f t="shared" si="13"/>
        <v>0</v>
      </c>
      <c r="W33" s="85">
        <f t="shared" si="13"/>
        <v>0</v>
      </c>
      <c r="X33" s="85">
        <f t="shared" si="13"/>
        <v>0</v>
      </c>
      <c r="Y33" s="85">
        <f t="shared" si="13"/>
        <v>0</v>
      </c>
      <c r="Z33" s="85">
        <f t="shared" si="13"/>
        <v>0</v>
      </c>
      <c r="AA33" s="85">
        <f t="shared" si="13"/>
        <v>0</v>
      </c>
      <c r="AB33" s="85">
        <f t="shared" si="13"/>
        <v>0</v>
      </c>
      <c r="AC33" s="85">
        <f t="shared" ref="AC33:AN33" si="14">AC29-AC32</f>
        <v>0</v>
      </c>
      <c r="AD33" s="85">
        <f t="shared" si="14"/>
        <v>0</v>
      </c>
      <c r="AE33" s="85">
        <f t="shared" si="14"/>
        <v>0</v>
      </c>
      <c r="AF33" s="85">
        <f t="shared" si="14"/>
        <v>0</v>
      </c>
      <c r="AG33" s="85">
        <f t="shared" si="14"/>
        <v>0</v>
      </c>
      <c r="AH33" s="85">
        <f t="shared" si="14"/>
        <v>0</v>
      </c>
      <c r="AI33" s="85">
        <f t="shared" si="14"/>
        <v>0</v>
      </c>
      <c r="AJ33" s="85">
        <f t="shared" si="14"/>
        <v>0</v>
      </c>
      <c r="AK33" s="85">
        <f t="shared" si="14"/>
        <v>0</v>
      </c>
      <c r="AL33" s="85">
        <f t="shared" si="14"/>
        <v>0</v>
      </c>
      <c r="AM33" s="85">
        <f t="shared" si="14"/>
        <v>0</v>
      </c>
      <c r="AN33" s="85">
        <f t="shared" si="14"/>
        <v>0</v>
      </c>
    </row>
    <row r="34" spans="1:40">
      <c r="A34" s="1">
        <v>2</v>
      </c>
      <c r="B34" s="1" t="s">
        <v>141</v>
      </c>
      <c r="D34" s="85"/>
      <c r="E34" s="85">
        <f>(E29&gt;0)*SUM(F33:Q33)</f>
        <v>0</v>
      </c>
      <c r="F34" s="85">
        <f t="shared" ref="F34:AB34" si="15">(F29&gt;0)*SUM(G33:R33)</f>
        <v>0</v>
      </c>
      <c r="G34" s="85">
        <f t="shared" si="15"/>
        <v>0</v>
      </c>
      <c r="H34" s="85">
        <f t="shared" si="15"/>
        <v>0</v>
      </c>
      <c r="I34" s="85">
        <f t="shared" si="15"/>
        <v>0</v>
      </c>
      <c r="J34" s="85">
        <f t="shared" si="15"/>
        <v>0</v>
      </c>
      <c r="K34" s="85">
        <f t="shared" si="15"/>
        <v>0</v>
      </c>
      <c r="L34" s="85">
        <f t="shared" si="15"/>
        <v>0</v>
      </c>
      <c r="M34" s="85">
        <f t="shared" si="15"/>
        <v>0</v>
      </c>
      <c r="N34" s="85">
        <f t="shared" si="15"/>
        <v>0</v>
      </c>
      <c r="O34" s="85">
        <f t="shared" si="15"/>
        <v>0</v>
      </c>
      <c r="P34" s="85">
        <f t="shared" si="15"/>
        <v>0</v>
      </c>
      <c r="Q34" s="85">
        <f t="shared" si="15"/>
        <v>0</v>
      </c>
      <c r="R34" s="85">
        <f t="shared" si="15"/>
        <v>0</v>
      </c>
      <c r="S34" s="85">
        <f t="shared" si="15"/>
        <v>0</v>
      </c>
      <c r="T34" s="85">
        <f t="shared" si="15"/>
        <v>0</v>
      </c>
      <c r="U34" s="85">
        <f t="shared" si="15"/>
        <v>0</v>
      </c>
      <c r="V34" s="85">
        <f t="shared" si="15"/>
        <v>0</v>
      </c>
      <c r="W34" s="85">
        <f t="shared" si="15"/>
        <v>0</v>
      </c>
      <c r="X34" s="85">
        <f t="shared" si="15"/>
        <v>0</v>
      </c>
      <c r="Y34" s="85">
        <f t="shared" si="15"/>
        <v>0</v>
      </c>
      <c r="Z34" s="85">
        <f t="shared" si="15"/>
        <v>0</v>
      </c>
      <c r="AA34" s="85">
        <f t="shared" si="15"/>
        <v>0</v>
      </c>
      <c r="AB34" s="85">
        <f t="shared" si="15"/>
        <v>0</v>
      </c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</row>
    <row r="35" spans="1:40">
      <c r="A35" s="1">
        <v>2</v>
      </c>
      <c r="B35" s="1" t="s">
        <v>142</v>
      </c>
      <c r="D35" s="85"/>
      <c r="E35" s="85">
        <f>(E29&gt;0)*Q32</f>
        <v>0</v>
      </c>
      <c r="F35" s="85">
        <f t="shared" ref="F35:AB35" si="16">(F29&gt;0)*R32</f>
        <v>0</v>
      </c>
      <c r="G35" s="85">
        <f t="shared" si="16"/>
        <v>0</v>
      </c>
      <c r="H35" s="85">
        <f t="shared" si="16"/>
        <v>0</v>
      </c>
      <c r="I35" s="85">
        <f t="shared" si="16"/>
        <v>0</v>
      </c>
      <c r="J35" s="85">
        <f t="shared" si="16"/>
        <v>0</v>
      </c>
      <c r="K35" s="85">
        <f t="shared" si="16"/>
        <v>0</v>
      </c>
      <c r="L35" s="85">
        <f t="shared" si="16"/>
        <v>0</v>
      </c>
      <c r="M35" s="85">
        <f t="shared" si="16"/>
        <v>0</v>
      </c>
      <c r="N35" s="85">
        <f t="shared" si="16"/>
        <v>0</v>
      </c>
      <c r="O35" s="85">
        <f t="shared" si="16"/>
        <v>0</v>
      </c>
      <c r="P35" s="85">
        <f t="shared" si="16"/>
        <v>0</v>
      </c>
      <c r="Q35" s="85">
        <f t="shared" si="16"/>
        <v>0</v>
      </c>
      <c r="R35" s="85">
        <f t="shared" si="16"/>
        <v>0</v>
      </c>
      <c r="S35" s="85">
        <f t="shared" si="16"/>
        <v>0</v>
      </c>
      <c r="T35" s="85">
        <f t="shared" si="16"/>
        <v>0</v>
      </c>
      <c r="U35" s="85">
        <f t="shared" si="16"/>
        <v>0</v>
      </c>
      <c r="V35" s="85">
        <f t="shared" si="16"/>
        <v>0</v>
      </c>
      <c r="W35" s="85">
        <f t="shared" si="16"/>
        <v>0</v>
      </c>
      <c r="X35" s="85">
        <f t="shared" si="16"/>
        <v>0</v>
      </c>
      <c r="Y35" s="85">
        <f t="shared" si="16"/>
        <v>0</v>
      </c>
      <c r="Z35" s="85">
        <f t="shared" si="16"/>
        <v>0</v>
      </c>
      <c r="AA35" s="85">
        <f t="shared" si="16"/>
        <v>0</v>
      </c>
      <c r="AB35" s="85">
        <f t="shared" si="16"/>
        <v>0</v>
      </c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</row>
    <row r="37" spans="1:40">
      <c r="A37" s="13"/>
      <c r="B37" s="91" t="s">
        <v>156</v>
      </c>
      <c r="C37" s="13"/>
      <c r="D37" s="13" t="s">
        <v>121</v>
      </c>
      <c r="E37" s="13">
        <f>DATEVALUE(1&amp;"/"&amp;'IP1'!$B$3&amp;"/"&amp;'IP1'!$B$4)</f>
        <v>41275</v>
      </c>
      <c r="F37" s="13">
        <f>DATE(YEAR(E37),MONTH(E37)+1,1)</f>
        <v>41306</v>
      </c>
      <c r="G37" s="13">
        <f t="shared" ref="G37:AN37" si="17">DATE(YEAR(F37),MONTH(F37)+1,1)</f>
        <v>41334</v>
      </c>
      <c r="H37" s="13">
        <f t="shared" si="17"/>
        <v>41365</v>
      </c>
      <c r="I37" s="13">
        <f t="shared" si="17"/>
        <v>41395</v>
      </c>
      <c r="J37" s="13">
        <f t="shared" si="17"/>
        <v>41426</v>
      </c>
      <c r="K37" s="13">
        <f t="shared" si="17"/>
        <v>41456</v>
      </c>
      <c r="L37" s="13">
        <f t="shared" si="17"/>
        <v>41487</v>
      </c>
      <c r="M37" s="13">
        <f t="shared" si="17"/>
        <v>41518</v>
      </c>
      <c r="N37" s="13">
        <f t="shared" si="17"/>
        <v>41548</v>
      </c>
      <c r="O37" s="13">
        <f t="shared" si="17"/>
        <v>41579</v>
      </c>
      <c r="P37" s="13">
        <f t="shared" si="17"/>
        <v>41609</v>
      </c>
      <c r="Q37" s="13">
        <f t="shared" si="17"/>
        <v>41640</v>
      </c>
      <c r="R37" s="13">
        <f t="shared" si="17"/>
        <v>41671</v>
      </c>
      <c r="S37" s="13">
        <f t="shared" si="17"/>
        <v>41699</v>
      </c>
      <c r="T37" s="13">
        <f t="shared" si="17"/>
        <v>41730</v>
      </c>
      <c r="U37" s="13">
        <f t="shared" si="17"/>
        <v>41760</v>
      </c>
      <c r="V37" s="13">
        <f t="shared" si="17"/>
        <v>41791</v>
      </c>
      <c r="W37" s="13">
        <f t="shared" si="17"/>
        <v>41821</v>
      </c>
      <c r="X37" s="13">
        <f t="shared" si="17"/>
        <v>41852</v>
      </c>
      <c r="Y37" s="13">
        <f t="shared" si="17"/>
        <v>41883</v>
      </c>
      <c r="Z37" s="13">
        <f t="shared" si="17"/>
        <v>41913</v>
      </c>
      <c r="AA37" s="13">
        <f t="shared" si="17"/>
        <v>41944</v>
      </c>
      <c r="AB37" s="13">
        <f t="shared" si="17"/>
        <v>41974</v>
      </c>
      <c r="AC37" s="90">
        <f t="shared" si="17"/>
        <v>42005</v>
      </c>
      <c r="AD37" s="90">
        <f t="shared" si="17"/>
        <v>42036</v>
      </c>
      <c r="AE37" s="90">
        <f t="shared" si="17"/>
        <v>42064</v>
      </c>
      <c r="AF37" s="90">
        <f t="shared" si="17"/>
        <v>42095</v>
      </c>
      <c r="AG37" s="90">
        <f t="shared" si="17"/>
        <v>42125</v>
      </c>
      <c r="AH37" s="90">
        <f t="shared" si="17"/>
        <v>42156</v>
      </c>
      <c r="AI37" s="90">
        <f t="shared" si="17"/>
        <v>42186</v>
      </c>
      <c r="AJ37" s="90">
        <f t="shared" si="17"/>
        <v>42217</v>
      </c>
      <c r="AK37" s="90">
        <f t="shared" si="17"/>
        <v>42248</v>
      </c>
      <c r="AL37" s="90">
        <f t="shared" si="17"/>
        <v>42278</v>
      </c>
      <c r="AM37" s="90">
        <f t="shared" si="17"/>
        <v>42309</v>
      </c>
      <c r="AN37" s="90">
        <f t="shared" si="17"/>
        <v>42339</v>
      </c>
    </row>
    <row r="38" spans="1:40">
      <c r="B38" s="1" t="s">
        <v>157</v>
      </c>
      <c r="E38" s="85">
        <f>(E$37='IP1'!$D$149)*'IP1'!$D$146</f>
        <v>0</v>
      </c>
      <c r="F38" s="85">
        <f>(F$37='IP1'!$D$149)*'IP1'!$D$146</f>
        <v>0</v>
      </c>
      <c r="G38" s="85">
        <f>(G$37='IP1'!$D$149)*'IP1'!$D$146</f>
        <v>0</v>
      </c>
      <c r="H38" s="85">
        <f>(H$37='IP1'!$D$149)*'IP1'!$D$146</f>
        <v>0</v>
      </c>
      <c r="I38" s="85">
        <f>(I$37='IP1'!$D$149)*'IP1'!$D$146</f>
        <v>0</v>
      </c>
      <c r="J38" s="85">
        <f>(J$37='IP1'!$D$149)*'IP1'!$D$146</f>
        <v>0</v>
      </c>
      <c r="K38" s="85">
        <f>(K$37='IP1'!$D$149)*'IP1'!$D$146</f>
        <v>0</v>
      </c>
      <c r="L38" s="85">
        <f>(L$37='IP1'!$D$149)*'IP1'!$D$146</f>
        <v>0</v>
      </c>
      <c r="M38" s="85">
        <f>(M$37='IP1'!$D$149)*'IP1'!$D$146</f>
        <v>0</v>
      </c>
      <c r="N38" s="85">
        <f>(N$37='IP1'!$D$149)*'IP1'!$D$146</f>
        <v>0</v>
      </c>
      <c r="O38" s="85">
        <f>(O$37='IP1'!$D$149)*'IP1'!$D$146</f>
        <v>0</v>
      </c>
      <c r="P38" s="85">
        <f>(P$37='IP1'!$D$149)*'IP1'!$D$146</f>
        <v>0</v>
      </c>
      <c r="Q38" s="85">
        <f>(Q$37='IP1'!$D$149)*'IP1'!$D$146</f>
        <v>0</v>
      </c>
      <c r="R38" s="85">
        <f>(R$37='IP1'!$D$149)*'IP1'!$D$146</f>
        <v>0</v>
      </c>
      <c r="S38" s="85">
        <f>(S$37='IP1'!$D$149)*'IP1'!$D$146</f>
        <v>0</v>
      </c>
      <c r="T38" s="85">
        <f>(T$37='IP1'!$D$149)*'IP1'!$D$146</f>
        <v>0</v>
      </c>
      <c r="U38" s="85">
        <f>(U$37='IP1'!$D$149)*'IP1'!$D$146</f>
        <v>0</v>
      </c>
      <c r="V38" s="85">
        <f>(V$37='IP1'!$D$149)*'IP1'!$D$146</f>
        <v>0</v>
      </c>
      <c r="W38" s="85">
        <f>(W$37='IP1'!$D$149)*'IP1'!$D$146</f>
        <v>0</v>
      </c>
      <c r="X38" s="85">
        <f>(X$37='IP1'!$D$149)*'IP1'!$D$146</f>
        <v>0</v>
      </c>
      <c r="Y38" s="85">
        <f>(Y$37='IP1'!$D$149)*'IP1'!$D$146</f>
        <v>0</v>
      </c>
      <c r="Z38" s="85">
        <f>(Z$37='IP1'!$D$149)*'IP1'!$D$146</f>
        <v>0</v>
      </c>
      <c r="AA38" s="85">
        <f>(AA$37='IP1'!$D$149)*'IP1'!$D$146</f>
        <v>0</v>
      </c>
      <c r="AB38" s="85">
        <f>(AB$37='IP1'!$D$149)*'IP1'!$D$146</f>
        <v>0</v>
      </c>
    </row>
    <row r="39" spans="1:40">
      <c r="B39" s="1" t="s">
        <v>158</v>
      </c>
      <c r="E39" s="85">
        <f>(E$37='IP1'!$E$149)*'IP1'!$E$146</f>
        <v>0</v>
      </c>
      <c r="F39" s="85">
        <f>(F$37='IP1'!$E$149)*'IP1'!$E$146</f>
        <v>0</v>
      </c>
      <c r="G39" s="85">
        <f>(G$37='IP1'!$E$149)*'IP1'!$E$146</f>
        <v>0</v>
      </c>
      <c r="H39" s="85">
        <f>(H$37='IP1'!$E$149)*'IP1'!$E$146</f>
        <v>0</v>
      </c>
      <c r="I39" s="85">
        <f>(I$37='IP1'!$E$149)*'IP1'!$E$146</f>
        <v>0</v>
      </c>
      <c r="J39" s="85">
        <f>(J$37='IP1'!$E$149)*'IP1'!$E$146</f>
        <v>0</v>
      </c>
      <c r="K39" s="85">
        <f>(K$37='IP1'!$E$149)*'IP1'!$E$146</f>
        <v>0</v>
      </c>
      <c r="L39" s="85">
        <f>(L$37='IP1'!$E$149)*'IP1'!$E$146</f>
        <v>0</v>
      </c>
      <c r="M39" s="85">
        <f>(M$37='IP1'!$E$149)*'IP1'!$E$146</f>
        <v>0</v>
      </c>
      <c r="N39" s="85">
        <f>(N$37='IP1'!$E$149)*'IP1'!$E$146</f>
        <v>0</v>
      </c>
      <c r="O39" s="85">
        <f>(O$37='IP1'!$E$149)*'IP1'!$E$146</f>
        <v>0</v>
      </c>
      <c r="P39" s="85">
        <f>(P$37='IP1'!$E$149)*'IP1'!$E$146</f>
        <v>0</v>
      </c>
      <c r="Q39" s="85">
        <f>(Q$37='IP1'!$E$149)*'IP1'!$E$146</f>
        <v>0</v>
      </c>
      <c r="R39" s="85">
        <f>(R$37='IP1'!$E$149)*'IP1'!$E$146</f>
        <v>0</v>
      </c>
      <c r="S39" s="85">
        <f>(S$37='IP1'!$E$149)*'IP1'!$E$146</f>
        <v>0</v>
      </c>
      <c r="T39" s="85">
        <f>(T$37='IP1'!$E$149)*'IP1'!$E$146</f>
        <v>0</v>
      </c>
      <c r="U39" s="85">
        <f>(U$37='IP1'!$E$149)*'IP1'!$E$146</f>
        <v>0</v>
      </c>
      <c r="V39" s="85">
        <f>(V$37='IP1'!$E$149)*'IP1'!$E$146</f>
        <v>0</v>
      </c>
      <c r="W39" s="85">
        <f>(W$37='IP1'!$E$149)*'IP1'!$E$146</f>
        <v>0</v>
      </c>
      <c r="X39" s="85">
        <f>(X$37='IP1'!$E$149)*'IP1'!$E$146</f>
        <v>0</v>
      </c>
      <c r="Y39" s="85">
        <f>(Y$37='IP1'!$E$149)*'IP1'!$E$146</f>
        <v>0</v>
      </c>
      <c r="Z39" s="85">
        <f>(Z$37='IP1'!$E$149)*'IP1'!$E$146</f>
        <v>0</v>
      </c>
      <c r="AA39" s="85">
        <f>(AA$37='IP1'!$E$149)*'IP1'!$E$146</f>
        <v>0</v>
      </c>
      <c r="AB39" s="85">
        <f>(AB$37='IP1'!$E$149)*'IP1'!$E$146</f>
        <v>0</v>
      </c>
    </row>
  </sheetData>
  <pageMargins left="0.75" right="0.75" top="1" bottom="1" header="0.5" footer="0.5"/>
  <pageSetup paperSize="9" orientation="portrait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FF0000"/>
  </sheetPr>
  <dimension ref="A1:AN16"/>
  <sheetViews>
    <sheetView zoomScale="106" zoomScaleNormal="106" zoomScaleSheetLayoutView="140" workbookViewId="0"/>
  </sheetViews>
  <sheetFormatPr defaultColWidth="9.109375" defaultRowHeight="13.8"/>
  <cols>
    <col min="1" max="1" width="4" style="1" bestFit="1" customWidth="1"/>
    <col min="2" max="2" width="34.44140625" style="1" bestFit="1" customWidth="1"/>
    <col min="3" max="3" width="11.6640625" style="1" bestFit="1" customWidth="1"/>
    <col min="4" max="4" width="9.5546875" style="1" customWidth="1"/>
    <col min="5" max="5" width="9.109375" style="1" customWidth="1"/>
    <col min="6" max="16384" width="9.109375" style="1"/>
  </cols>
  <sheetData>
    <row r="1" spans="1:40">
      <c r="A1" s="13"/>
      <c r="B1" s="91" t="s">
        <v>152</v>
      </c>
      <c r="C1" s="13" t="s">
        <v>279</v>
      </c>
      <c r="D1" s="13" t="s">
        <v>128</v>
      </c>
      <c r="E1" s="13">
        <f>DATEVALUE(1&amp;"/"&amp;'IP1'!$B$3&amp;"/"&amp;'IP1'!$B$4)</f>
        <v>41275</v>
      </c>
      <c r="F1" s="13">
        <f>DATE(YEAR(E1),MONTH(E1)+1,1)</f>
        <v>41306</v>
      </c>
      <c r="G1" s="13">
        <f t="shared" ref="G1:AN1" si="0">DATE(YEAR(F1),MONTH(F1)+1,1)</f>
        <v>41334</v>
      </c>
      <c r="H1" s="13">
        <f t="shared" si="0"/>
        <v>41365</v>
      </c>
      <c r="I1" s="13">
        <f t="shared" si="0"/>
        <v>41395</v>
      </c>
      <c r="J1" s="13">
        <f t="shared" si="0"/>
        <v>41426</v>
      </c>
      <c r="K1" s="13">
        <f t="shared" si="0"/>
        <v>41456</v>
      </c>
      <c r="L1" s="13">
        <f t="shared" si="0"/>
        <v>41487</v>
      </c>
      <c r="M1" s="13">
        <f t="shared" si="0"/>
        <v>41518</v>
      </c>
      <c r="N1" s="13">
        <f t="shared" si="0"/>
        <v>41548</v>
      </c>
      <c r="O1" s="13">
        <f t="shared" si="0"/>
        <v>41579</v>
      </c>
      <c r="P1" s="13">
        <f t="shared" si="0"/>
        <v>41609</v>
      </c>
      <c r="Q1" s="13">
        <f t="shared" si="0"/>
        <v>41640</v>
      </c>
      <c r="R1" s="13">
        <f t="shared" si="0"/>
        <v>41671</v>
      </c>
      <c r="S1" s="13">
        <f t="shared" si="0"/>
        <v>41699</v>
      </c>
      <c r="T1" s="13">
        <f t="shared" si="0"/>
        <v>41730</v>
      </c>
      <c r="U1" s="13">
        <f t="shared" si="0"/>
        <v>41760</v>
      </c>
      <c r="V1" s="13">
        <f t="shared" si="0"/>
        <v>41791</v>
      </c>
      <c r="W1" s="13">
        <f t="shared" si="0"/>
        <v>41821</v>
      </c>
      <c r="X1" s="13">
        <f t="shared" si="0"/>
        <v>41852</v>
      </c>
      <c r="Y1" s="13">
        <f t="shared" si="0"/>
        <v>41883</v>
      </c>
      <c r="Z1" s="13">
        <f t="shared" si="0"/>
        <v>41913</v>
      </c>
      <c r="AA1" s="13">
        <f t="shared" si="0"/>
        <v>41944</v>
      </c>
      <c r="AB1" s="13">
        <f t="shared" si="0"/>
        <v>41974</v>
      </c>
      <c r="AC1" s="90">
        <f t="shared" si="0"/>
        <v>42005</v>
      </c>
      <c r="AD1" s="90">
        <f t="shared" si="0"/>
        <v>42036</v>
      </c>
      <c r="AE1" s="90">
        <f t="shared" si="0"/>
        <v>42064</v>
      </c>
      <c r="AF1" s="90">
        <f t="shared" si="0"/>
        <v>42095</v>
      </c>
      <c r="AG1" s="90">
        <f t="shared" si="0"/>
        <v>42125</v>
      </c>
      <c r="AH1" s="90">
        <f t="shared" si="0"/>
        <v>42156</v>
      </c>
      <c r="AI1" s="90">
        <f t="shared" si="0"/>
        <v>42186</v>
      </c>
      <c r="AJ1" s="90">
        <f t="shared" si="0"/>
        <v>42217</v>
      </c>
      <c r="AK1" s="90">
        <f t="shared" si="0"/>
        <v>42248</v>
      </c>
      <c r="AL1" s="90">
        <f t="shared" si="0"/>
        <v>42278</v>
      </c>
      <c r="AM1" s="90">
        <f t="shared" si="0"/>
        <v>42309</v>
      </c>
      <c r="AN1" s="90">
        <f t="shared" si="0"/>
        <v>42339</v>
      </c>
    </row>
    <row r="3" spans="1:40">
      <c r="A3" s="1">
        <v>1</v>
      </c>
      <c r="B3" s="88" t="s">
        <v>131</v>
      </c>
      <c r="C3" s="85">
        <f>'IP2'!P25</f>
        <v>0</v>
      </c>
      <c r="D3" s="85">
        <f>'IP2'!P28</f>
        <v>0</v>
      </c>
    </row>
    <row r="4" spans="1:40">
      <c r="A4" s="1">
        <v>1</v>
      </c>
      <c r="B4" s="88" t="s">
        <v>132</v>
      </c>
      <c r="C4" s="87">
        <f>'IP2'!P26</f>
        <v>0</v>
      </c>
      <c r="D4" s="87"/>
    </row>
    <row r="5" spans="1:40">
      <c r="A5" s="1">
        <v>1</v>
      </c>
      <c r="B5" s="88" t="s">
        <v>32</v>
      </c>
      <c r="C5" s="85">
        <f>'IP2'!P27</f>
        <v>0</v>
      </c>
      <c r="D5" s="85"/>
    </row>
    <row r="6" spans="1:40">
      <c r="A6" s="1">
        <v>1</v>
      </c>
      <c r="B6" s="88" t="s">
        <v>134</v>
      </c>
      <c r="C6" s="89">
        <f>IFERROR(SUM(C3,C5)/(C4*12),0)</f>
        <v>0</v>
      </c>
      <c r="D6" s="89"/>
    </row>
    <row r="7" spans="1:40">
      <c r="A7" s="1">
        <v>1</v>
      </c>
      <c r="B7" s="1" t="s">
        <v>135</v>
      </c>
      <c r="C7" s="85">
        <f>(C6*C4*12)</f>
        <v>0</v>
      </c>
      <c r="D7" s="85"/>
    </row>
    <row r="8" spans="1:40">
      <c r="B8" s="1" t="s">
        <v>290</v>
      </c>
      <c r="C8" s="85">
        <f>IFERROR(C5/(C4*12),0)</f>
        <v>0</v>
      </c>
      <c r="D8" s="85"/>
    </row>
    <row r="9" spans="1:40"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</row>
    <row r="10" spans="1:40">
      <c r="A10" s="1">
        <v>1</v>
      </c>
      <c r="B10" s="1" t="s">
        <v>128</v>
      </c>
      <c r="D10" s="132">
        <f>D13+D11-D12</f>
        <v>0</v>
      </c>
      <c r="E10" s="85">
        <f>((D13&gt;0)*D13)</f>
        <v>0</v>
      </c>
      <c r="F10" s="85">
        <f t="shared" ref="F10:AB10" si="1">((E13&gt;0)*E13)</f>
        <v>0</v>
      </c>
      <c r="G10" s="85">
        <f t="shared" si="1"/>
        <v>0</v>
      </c>
      <c r="H10" s="85">
        <f t="shared" si="1"/>
        <v>0</v>
      </c>
      <c r="I10" s="85">
        <f t="shared" si="1"/>
        <v>0</v>
      </c>
      <c r="J10" s="85">
        <f t="shared" si="1"/>
        <v>0</v>
      </c>
      <c r="K10" s="85">
        <f t="shared" si="1"/>
        <v>0</v>
      </c>
      <c r="L10" s="85">
        <f t="shared" si="1"/>
        <v>0</v>
      </c>
      <c r="M10" s="85">
        <f t="shared" si="1"/>
        <v>0</v>
      </c>
      <c r="N10" s="85">
        <f t="shared" si="1"/>
        <v>0</v>
      </c>
      <c r="O10" s="85">
        <f t="shared" si="1"/>
        <v>0</v>
      </c>
      <c r="P10" s="85">
        <f t="shared" si="1"/>
        <v>0</v>
      </c>
      <c r="Q10" s="85">
        <f t="shared" si="1"/>
        <v>0</v>
      </c>
      <c r="R10" s="85">
        <f t="shared" si="1"/>
        <v>0</v>
      </c>
      <c r="S10" s="85">
        <f t="shared" si="1"/>
        <v>0</v>
      </c>
      <c r="T10" s="85">
        <f t="shared" si="1"/>
        <v>0</v>
      </c>
      <c r="U10" s="85">
        <f t="shared" si="1"/>
        <v>0</v>
      </c>
      <c r="V10" s="85">
        <f t="shared" si="1"/>
        <v>0</v>
      </c>
      <c r="W10" s="85">
        <f t="shared" si="1"/>
        <v>0</v>
      </c>
      <c r="X10" s="85">
        <f t="shared" si="1"/>
        <v>0</v>
      </c>
      <c r="Y10" s="85">
        <f t="shared" si="1"/>
        <v>0</v>
      </c>
      <c r="Z10" s="85">
        <f t="shared" si="1"/>
        <v>0</v>
      </c>
      <c r="AA10" s="85">
        <f t="shared" si="1"/>
        <v>0</v>
      </c>
      <c r="AB10" s="85">
        <f t="shared" si="1"/>
        <v>0</v>
      </c>
      <c r="AC10" s="85">
        <f t="shared" ref="AC10:AN10" si="2">((AB13&gt;0)*AB13)</f>
        <v>0</v>
      </c>
      <c r="AD10" s="85">
        <f t="shared" si="2"/>
        <v>0</v>
      </c>
      <c r="AE10" s="85">
        <f t="shared" si="2"/>
        <v>0</v>
      </c>
      <c r="AF10" s="85">
        <f t="shared" si="2"/>
        <v>0</v>
      </c>
      <c r="AG10" s="85">
        <f t="shared" si="2"/>
        <v>0</v>
      </c>
      <c r="AH10" s="85">
        <f t="shared" si="2"/>
        <v>0</v>
      </c>
      <c r="AI10" s="85">
        <f t="shared" si="2"/>
        <v>0</v>
      </c>
      <c r="AJ10" s="85">
        <f t="shared" si="2"/>
        <v>0</v>
      </c>
      <c r="AK10" s="85">
        <f t="shared" si="2"/>
        <v>0</v>
      </c>
      <c r="AL10" s="85">
        <f t="shared" si="2"/>
        <v>0</v>
      </c>
      <c r="AM10" s="85">
        <f t="shared" si="2"/>
        <v>0</v>
      </c>
      <c r="AN10" s="85">
        <f t="shared" si="2"/>
        <v>0</v>
      </c>
    </row>
    <row r="11" spans="1:40">
      <c r="A11" s="1">
        <v>1</v>
      </c>
      <c r="B11" s="1" t="s">
        <v>98</v>
      </c>
      <c r="D11" s="85">
        <f>C6</f>
        <v>0</v>
      </c>
      <c r="E11" s="85">
        <f>IF(E10&gt;0,IF(E10&gt;$C$6,$C$6,E10),0)</f>
        <v>0</v>
      </c>
      <c r="F11" s="85">
        <f t="shared" ref="F11:AN11" si="3">IF(F10&gt;0,IF(F10&gt;$C$6,$C$6,F10),0)</f>
        <v>0</v>
      </c>
      <c r="G11" s="85">
        <f t="shared" si="3"/>
        <v>0</v>
      </c>
      <c r="H11" s="85">
        <f t="shared" si="3"/>
        <v>0</v>
      </c>
      <c r="I11" s="85">
        <f t="shared" si="3"/>
        <v>0</v>
      </c>
      <c r="J11" s="85">
        <f t="shared" si="3"/>
        <v>0</v>
      </c>
      <c r="K11" s="85">
        <f t="shared" si="3"/>
        <v>0</v>
      </c>
      <c r="L11" s="85">
        <f t="shared" si="3"/>
        <v>0</v>
      </c>
      <c r="M11" s="85">
        <f t="shared" si="3"/>
        <v>0</v>
      </c>
      <c r="N11" s="85">
        <f t="shared" si="3"/>
        <v>0</v>
      </c>
      <c r="O11" s="85">
        <f t="shared" si="3"/>
        <v>0</v>
      </c>
      <c r="P11" s="85">
        <f t="shared" si="3"/>
        <v>0</v>
      </c>
      <c r="Q11" s="85">
        <f t="shared" si="3"/>
        <v>0</v>
      </c>
      <c r="R11" s="85">
        <f t="shared" si="3"/>
        <v>0</v>
      </c>
      <c r="S11" s="85">
        <f t="shared" si="3"/>
        <v>0</v>
      </c>
      <c r="T11" s="85">
        <f t="shared" si="3"/>
        <v>0</v>
      </c>
      <c r="U11" s="85">
        <f t="shared" si="3"/>
        <v>0</v>
      </c>
      <c r="V11" s="85">
        <f t="shared" si="3"/>
        <v>0</v>
      </c>
      <c r="W11" s="85">
        <f t="shared" si="3"/>
        <v>0</v>
      </c>
      <c r="X11" s="85">
        <f t="shared" si="3"/>
        <v>0</v>
      </c>
      <c r="Y11" s="85">
        <f t="shared" si="3"/>
        <v>0</v>
      </c>
      <c r="Z11" s="85">
        <f t="shared" si="3"/>
        <v>0</v>
      </c>
      <c r="AA11" s="85">
        <f t="shared" si="3"/>
        <v>0</v>
      </c>
      <c r="AB11" s="85">
        <f t="shared" si="3"/>
        <v>0</v>
      </c>
      <c r="AC11" s="85">
        <f t="shared" si="3"/>
        <v>0</v>
      </c>
      <c r="AD11" s="85">
        <f t="shared" si="3"/>
        <v>0</v>
      </c>
      <c r="AE11" s="85">
        <f t="shared" si="3"/>
        <v>0</v>
      </c>
      <c r="AF11" s="85">
        <f t="shared" si="3"/>
        <v>0</v>
      </c>
      <c r="AG11" s="85">
        <f t="shared" si="3"/>
        <v>0</v>
      </c>
      <c r="AH11" s="85">
        <f t="shared" si="3"/>
        <v>0</v>
      </c>
      <c r="AI11" s="85">
        <f t="shared" si="3"/>
        <v>0</v>
      </c>
      <c r="AJ11" s="85">
        <f t="shared" si="3"/>
        <v>0</v>
      </c>
      <c r="AK11" s="85">
        <f t="shared" si="3"/>
        <v>0</v>
      </c>
      <c r="AL11" s="85">
        <f t="shared" si="3"/>
        <v>0</v>
      </c>
      <c r="AM11" s="85">
        <f t="shared" si="3"/>
        <v>0</v>
      </c>
      <c r="AN11" s="85">
        <f t="shared" si="3"/>
        <v>0</v>
      </c>
    </row>
    <row r="12" spans="1:40">
      <c r="A12" s="1">
        <v>1</v>
      </c>
      <c r="B12" s="1" t="s">
        <v>140</v>
      </c>
      <c r="D12" s="85">
        <f>$C$8</f>
        <v>0</v>
      </c>
      <c r="E12" s="85">
        <f>IF((E10-E11)&gt;$C$8,$C$8,0)</f>
        <v>0</v>
      </c>
      <c r="F12" s="85">
        <f t="shared" ref="F12:AN12" si="4">IF((F10-F11)&gt;$C$8,$C$8,0)</f>
        <v>0</v>
      </c>
      <c r="G12" s="85">
        <f t="shared" si="4"/>
        <v>0</v>
      </c>
      <c r="H12" s="85">
        <f t="shared" si="4"/>
        <v>0</v>
      </c>
      <c r="I12" s="85">
        <f t="shared" si="4"/>
        <v>0</v>
      </c>
      <c r="J12" s="85">
        <f t="shared" si="4"/>
        <v>0</v>
      </c>
      <c r="K12" s="85">
        <f t="shared" si="4"/>
        <v>0</v>
      </c>
      <c r="L12" s="85">
        <f t="shared" si="4"/>
        <v>0</v>
      </c>
      <c r="M12" s="85">
        <f t="shared" si="4"/>
        <v>0</v>
      </c>
      <c r="N12" s="85">
        <f t="shared" si="4"/>
        <v>0</v>
      </c>
      <c r="O12" s="85">
        <f t="shared" si="4"/>
        <v>0</v>
      </c>
      <c r="P12" s="85">
        <f t="shared" si="4"/>
        <v>0</v>
      </c>
      <c r="Q12" s="85">
        <f t="shared" si="4"/>
        <v>0</v>
      </c>
      <c r="R12" s="85">
        <f t="shared" si="4"/>
        <v>0</v>
      </c>
      <c r="S12" s="85">
        <f t="shared" si="4"/>
        <v>0</v>
      </c>
      <c r="T12" s="85">
        <f t="shared" si="4"/>
        <v>0</v>
      </c>
      <c r="U12" s="85">
        <f t="shared" si="4"/>
        <v>0</v>
      </c>
      <c r="V12" s="85">
        <f t="shared" si="4"/>
        <v>0</v>
      </c>
      <c r="W12" s="85">
        <f t="shared" si="4"/>
        <v>0</v>
      </c>
      <c r="X12" s="85">
        <f t="shared" si="4"/>
        <v>0</v>
      </c>
      <c r="Y12" s="85">
        <f t="shared" si="4"/>
        <v>0</v>
      </c>
      <c r="Z12" s="85">
        <f t="shared" si="4"/>
        <v>0</v>
      </c>
      <c r="AA12" s="85">
        <f t="shared" si="4"/>
        <v>0</v>
      </c>
      <c r="AB12" s="85">
        <f t="shared" si="4"/>
        <v>0</v>
      </c>
      <c r="AC12" s="85">
        <f t="shared" si="4"/>
        <v>0</v>
      </c>
      <c r="AD12" s="85">
        <f t="shared" si="4"/>
        <v>0</v>
      </c>
      <c r="AE12" s="85">
        <f t="shared" si="4"/>
        <v>0</v>
      </c>
      <c r="AF12" s="85">
        <f t="shared" si="4"/>
        <v>0</v>
      </c>
      <c r="AG12" s="85">
        <f t="shared" si="4"/>
        <v>0</v>
      </c>
      <c r="AH12" s="85">
        <f t="shared" si="4"/>
        <v>0</v>
      </c>
      <c r="AI12" s="85">
        <f t="shared" si="4"/>
        <v>0</v>
      </c>
      <c r="AJ12" s="85">
        <f t="shared" si="4"/>
        <v>0</v>
      </c>
      <c r="AK12" s="85">
        <f t="shared" si="4"/>
        <v>0</v>
      </c>
      <c r="AL12" s="85">
        <f t="shared" si="4"/>
        <v>0</v>
      </c>
      <c r="AM12" s="85">
        <f t="shared" si="4"/>
        <v>0</v>
      </c>
      <c r="AN12" s="85">
        <f t="shared" si="4"/>
        <v>0</v>
      </c>
    </row>
    <row r="13" spans="1:40">
      <c r="A13" s="1">
        <v>1</v>
      </c>
      <c r="B13" s="1" t="s">
        <v>37</v>
      </c>
      <c r="D13" s="85">
        <f>D3</f>
        <v>0</v>
      </c>
      <c r="E13" s="85">
        <f>E10-(E11-E12)</f>
        <v>0</v>
      </c>
      <c r="F13" s="85">
        <f t="shared" ref="F13:AB13" si="5">F10-(F11-F12)</f>
        <v>0</v>
      </c>
      <c r="G13" s="85">
        <f t="shared" si="5"/>
        <v>0</v>
      </c>
      <c r="H13" s="85">
        <f t="shared" si="5"/>
        <v>0</v>
      </c>
      <c r="I13" s="85">
        <f t="shared" si="5"/>
        <v>0</v>
      </c>
      <c r="J13" s="85">
        <f t="shared" si="5"/>
        <v>0</v>
      </c>
      <c r="K13" s="85">
        <f t="shared" si="5"/>
        <v>0</v>
      </c>
      <c r="L13" s="85">
        <f t="shared" si="5"/>
        <v>0</v>
      </c>
      <c r="M13" s="85">
        <f t="shared" si="5"/>
        <v>0</v>
      </c>
      <c r="N13" s="85">
        <f t="shared" si="5"/>
        <v>0</v>
      </c>
      <c r="O13" s="85">
        <f t="shared" si="5"/>
        <v>0</v>
      </c>
      <c r="P13" s="85">
        <f t="shared" si="5"/>
        <v>0</v>
      </c>
      <c r="Q13" s="85">
        <f t="shared" si="5"/>
        <v>0</v>
      </c>
      <c r="R13" s="85">
        <f t="shared" si="5"/>
        <v>0</v>
      </c>
      <c r="S13" s="85">
        <f t="shared" si="5"/>
        <v>0</v>
      </c>
      <c r="T13" s="85">
        <f t="shared" si="5"/>
        <v>0</v>
      </c>
      <c r="U13" s="85">
        <f t="shared" si="5"/>
        <v>0</v>
      </c>
      <c r="V13" s="85">
        <f t="shared" si="5"/>
        <v>0</v>
      </c>
      <c r="W13" s="85">
        <f t="shared" si="5"/>
        <v>0</v>
      </c>
      <c r="X13" s="85">
        <f t="shared" si="5"/>
        <v>0</v>
      </c>
      <c r="Y13" s="85">
        <f t="shared" si="5"/>
        <v>0</v>
      </c>
      <c r="Z13" s="85">
        <f t="shared" si="5"/>
        <v>0</v>
      </c>
      <c r="AA13" s="85">
        <f t="shared" si="5"/>
        <v>0</v>
      </c>
      <c r="AB13" s="85">
        <f t="shared" si="5"/>
        <v>0</v>
      </c>
      <c r="AC13" s="85">
        <f t="shared" ref="AC13:AN13" si="6">AC10-(AC11-AC12)</f>
        <v>0</v>
      </c>
      <c r="AD13" s="85">
        <f t="shared" si="6"/>
        <v>0</v>
      </c>
      <c r="AE13" s="85">
        <f t="shared" si="6"/>
        <v>0</v>
      </c>
      <c r="AF13" s="85">
        <f t="shared" si="6"/>
        <v>0</v>
      </c>
      <c r="AG13" s="85">
        <f t="shared" si="6"/>
        <v>0</v>
      </c>
      <c r="AH13" s="85">
        <f t="shared" si="6"/>
        <v>0</v>
      </c>
      <c r="AI13" s="85">
        <f t="shared" si="6"/>
        <v>0</v>
      </c>
      <c r="AJ13" s="85">
        <f t="shared" si="6"/>
        <v>0</v>
      </c>
      <c r="AK13" s="85">
        <f t="shared" si="6"/>
        <v>0</v>
      </c>
      <c r="AL13" s="85">
        <f t="shared" si="6"/>
        <v>0</v>
      </c>
      <c r="AM13" s="85">
        <f t="shared" si="6"/>
        <v>0</v>
      </c>
      <c r="AN13" s="85">
        <f t="shared" si="6"/>
        <v>0</v>
      </c>
    </row>
    <row r="14" spans="1:40">
      <c r="A14" s="1">
        <v>1</v>
      </c>
      <c r="B14" s="1" t="s">
        <v>99</v>
      </c>
      <c r="D14" s="85">
        <f>D10-D13</f>
        <v>0</v>
      </c>
      <c r="E14" s="85">
        <f>E10-E13</f>
        <v>0</v>
      </c>
      <c r="F14" s="85">
        <f t="shared" ref="F14:AB14" si="7">F10-F13</f>
        <v>0</v>
      </c>
      <c r="G14" s="85">
        <f t="shared" si="7"/>
        <v>0</v>
      </c>
      <c r="H14" s="85">
        <f t="shared" si="7"/>
        <v>0</v>
      </c>
      <c r="I14" s="85">
        <f t="shared" si="7"/>
        <v>0</v>
      </c>
      <c r="J14" s="85">
        <f t="shared" si="7"/>
        <v>0</v>
      </c>
      <c r="K14" s="85">
        <f t="shared" si="7"/>
        <v>0</v>
      </c>
      <c r="L14" s="85">
        <f t="shared" si="7"/>
        <v>0</v>
      </c>
      <c r="M14" s="85">
        <f t="shared" si="7"/>
        <v>0</v>
      </c>
      <c r="N14" s="85">
        <f t="shared" si="7"/>
        <v>0</v>
      </c>
      <c r="O14" s="85">
        <f t="shared" si="7"/>
        <v>0</v>
      </c>
      <c r="P14" s="85">
        <f t="shared" si="7"/>
        <v>0</v>
      </c>
      <c r="Q14" s="85">
        <f t="shared" si="7"/>
        <v>0</v>
      </c>
      <c r="R14" s="85">
        <f t="shared" si="7"/>
        <v>0</v>
      </c>
      <c r="S14" s="85">
        <f t="shared" si="7"/>
        <v>0</v>
      </c>
      <c r="T14" s="85">
        <f t="shared" si="7"/>
        <v>0</v>
      </c>
      <c r="U14" s="85">
        <f t="shared" si="7"/>
        <v>0</v>
      </c>
      <c r="V14" s="85">
        <f t="shared" si="7"/>
        <v>0</v>
      </c>
      <c r="W14" s="85">
        <f t="shared" si="7"/>
        <v>0</v>
      </c>
      <c r="X14" s="85">
        <f t="shared" si="7"/>
        <v>0</v>
      </c>
      <c r="Y14" s="85">
        <f t="shared" si="7"/>
        <v>0</v>
      </c>
      <c r="Z14" s="85">
        <f t="shared" si="7"/>
        <v>0</v>
      </c>
      <c r="AA14" s="85">
        <f t="shared" si="7"/>
        <v>0</v>
      </c>
      <c r="AB14" s="85">
        <f t="shared" si="7"/>
        <v>0</v>
      </c>
      <c r="AC14" s="85">
        <f t="shared" ref="AC14:AN14" si="8">AC10-AC13</f>
        <v>0</v>
      </c>
      <c r="AD14" s="85">
        <f t="shared" si="8"/>
        <v>0</v>
      </c>
      <c r="AE14" s="85">
        <f t="shared" si="8"/>
        <v>0</v>
      </c>
      <c r="AF14" s="85">
        <f t="shared" si="8"/>
        <v>0</v>
      </c>
      <c r="AG14" s="85">
        <f t="shared" si="8"/>
        <v>0</v>
      </c>
      <c r="AH14" s="85">
        <f t="shared" si="8"/>
        <v>0</v>
      </c>
      <c r="AI14" s="85">
        <f t="shared" si="8"/>
        <v>0</v>
      </c>
      <c r="AJ14" s="85">
        <f t="shared" si="8"/>
        <v>0</v>
      </c>
      <c r="AK14" s="85">
        <f t="shared" si="8"/>
        <v>0</v>
      </c>
      <c r="AL14" s="85">
        <f t="shared" si="8"/>
        <v>0</v>
      </c>
      <c r="AM14" s="85">
        <f t="shared" si="8"/>
        <v>0</v>
      </c>
      <c r="AN14" s="85">
        <f t="shared" si="8"/>
        <v>0</v>
      </c>
    </row>
    <row r="15" spans="1:40">
      <c r="A15" s="1">
        <v>1</v>
      </c>
      <c r="B15" s="1" t="s">
        <v>141</v>
      </c>
      <c r="D15" s="85">
        <f>(D10&gt;0)*SUM(E14:P14)</f>
        <v>0</v>
      </c>
      <c r="E15" s="85">
        <f>(E10&gt;0)*SUM(F14:Q14)</f>
        <v>0</v>
      </c>
      <c r="F15" s="85">
        <f t="shared" ref="F15:AB15" si="9">(F10&gt;0)*SUM(G14:R14)</f>
        <v>0</v>
      </c>
      <c r="G15" s="85">
        <f t="shared" si="9"/>
        <v>0</v>
      </c>
      <c r="H15" s="85">
        <f t="shared" si="9"/>
        <v>0</v>
      </c>
      <c r="I15" s="85">
        <f t="shared" si="9"/>
        <v>0</v>
      </c>
      <c r="J15" s="85">
        <f t="shared" si="9"/>
        <v>0</v>
      </c>
      <c r="K15" s="85">
        <f t="shared" si="9"/>
        <v>0</v>
      </c>
      <c r="L15" s="85">
        <f t="shared" si="9"/>
        <v>0</v>
      </c>
      <c r="M15" s="85">
        <f t="shared" si="9"/>
        <v>0</v>
      </c>
      <c r="N15" s="85">
        <f t="shared" si="9"/>
        <v>0</v>
      </c>
      <c r="O15" s="85">
        <f t="shared" si="9"/>
        <v>0</v>
      </c>
      <c r="P15" s="85">
        <f t="shared" si="9"/>
        <v>0</v>
      </c>
      <c r="Q15" s="85">
        <f t="shared" si="9"/>
        <v>0</v>
      </c>
      <c r="R15" s="85">
        <f t="shared" si="9"/>
        <v>0</v>
      </c>
      <c r="S15" s="85">
        <f t="shared" si="9"/>
        <v>0</v>
      </c>
      <c r="T15" s="85">
        <f t="shared" si="9"/>
        <v>0</v>
      </c>
      <c r="U15" s="85">
        <f t="shared" si="9"/>
        <v>0</v>
      </c>
      <c r="V15" s="85">
        <f t="shared" si="9"/>
        <v>0</v>
      </c>
      <c r="W15" s="85">
        <f t="shared" si="9"/>
        <v>0</v>
      </c>
      <c r="X15" s="85">
        <f t="shared" si="9"/>
        <v>0</v>
      </c>
      <c r="Y15" s="85">
        <f t="shared" si="9"/>
        <v>0</v>
      </c>
      <c r="Z15" s="85">
        <f t="shared" si="9"/>
        <v>0</v>
      </c>
      <c r="AA15" s="85">
        <f t="shared" si="9"/>
        <v>0</v>
      </c>
      <c r="AB15" s="85">
        <f t="shared" si="9"/>
        <v>0</v>
      </c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</row>
    <row r="16" spans="1:40">
      <c r="A16" s="1">
        <v>1</v>
      </c>
      <c r="B16" s="1" t="s">
        <v>142</v>
      </c>
      <c r="D16" s="85">
        <f>(D10&gt;0)*P13</f>
        <v>0</v>
      </c>
      <c r="E16" s="85">
        <f>(E10&gt;0)*Q13</f>
        <v>0</v>
      </c>
      <c r="F16" s="85">
        <f t="shared" ref="F16:AB16" si="10">(F10&gt;0)*R13</f>
        <v>0</v>
      </c>
      <c r="G16" s="85">
        <f t="shared" si="10"/>
        <v>0</v>
      </c>
      <c r="H16" s="85">
        <f t="shared" si="10"/>
        <v>0</v>
      </c>
      <c r="I16" s="85">
        <f t="shared" si="10"/>
        <v>0</v>
      </c>
      <c r="J16" s="85">
        <f t="shared" si="10"/>
        <v>0</v>
      </c>
      <c r="K16" s="85">
        <f t="shared" si="10"/>
        <v>0</v>
      </c>
      <c r="L16" s="85">
        <f t="shared" si="10"/>
        <v>0</v>
      </c>
      <c r="M16" s="85">
        <f t="shared" si="10"/>
        <v>0</v>
      </c>
      <c r="N16" s="85">
        <f t="shared" si="10"/>
        <v>0</v>
      </c>
      <c r="O16" s="85">
        <f t="shared" si="10"/>
        <v>0</v>
      </c>
      <c r="P16" s="85">
        <f t="shared" si="10"/>
        <v>0</v>
      </c>
      <c r="Q16" s="85">
        <f t="shared" si="10"/>
        <v>0</v>
      </c>
      <c r="R16" s="85">
        <f t="shared" si="10"/>
        <v>0</v>
      </c>
      <c r="S16" s="85">
        <f t="shared" si="10"/>
        <v>0</v>
      </c>
      <c r="T16" s="85">
        <f t="shared" si="10"/>
        <v>0</v>
      </c>
      <c r="U16" s="85">
        <f t="shared" si="10"/>
        <v>0</v>
      </c>
      <c r="V16" s="85">
        <f t="shared" si="10"/>
        <v>0</v>
      </c>
      <c r="W16" s="85">
        <f t="shared" si="10"/>
        <v>0</v>
      </c>
      <c r="X16" s="85">
        <f t="shared" si="10"/>
        <v>0</v>
      </c>
      <c r="Y16" s="85">
        <f t="shared" si="10"/>
        <v>0</v>
      </c>
      <c r="Z16" s="85">
        <f t="shared" si="10"/>
        <v>0</v>
      </c>
      <c r="AA16" s="85">
        <f t="shared" si="10"/>
        <v>0</v>
      </c>
      <c r="AB16" s="85">
        <f t="shared" si="10"/>
        <v>0</v>
      </c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</row>
  </sheetData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0"/>
  <dimension ref="A1:D27"/>
  <sheetViews>
    <sheetView showGridLines="0" showRowColHeaders="0" tabSelected="1" zoomScaleNormal="100" workbookViewId="0">
      <selection activeCell="B2" sqref="B2"/>
    </sheetView>
  </sheetViews>
  <sheetFormatPr defaultColWidth="9.109375" defaultRowHeight="13.2"/>
  <cols>
    <col min="1" max="1" width="9.109375" style="136"/>
    <col min="2" max="2" width="11.88671875" style="136" customWidth="1"/>
    <col min="3" max="3" width="26" style="136" customWidth="1"/>
    <col min="4" max="4" width="38.88671875" style="136" customWidth="1"/>
    <col min="5" max="16384" width="9.109375" style="136"/>
  </cols>
  <sheetData>
    <row r="1" spans="1:4" ht="17.399999999999999">
      <c r="A1" s="143" t="s">
        <v>314</v>
      </c>
    </row>
    <row r="2" spans="1:4" ht="17.399999999999999">
      <c r="A2" s="143" t="s">
        <v>313</v>
      </c>
      <c r="B2" s="142"/>
      <c r="C2" s="142"/>
    </row>
    <row r="3" spans="1:4" ht="18">
      <c r="B3" s="141"/>
    </row>
    <row r="4" spans="1:4" ht="18">
      <c r="B4" s="141"/>
    </row>
    <row r="5" spans="1:4" ht="18">
      <c r="B5" s="141"/>
    </row>
    <row r="6" spans="1:4" ht="18">
      <c r="B6" s="141"/>
    </row>
    <row r="7" spans="1:4" ht="18">
      <c r="B7" s="141"/>
    </row>
    <row r="13" spans="1:4">
      <c r="B13" s="140" t="s">
        <v>278</v>
      </c>
      <c r="C13" s="140" t="s">
        <v>312</v>
      </c>
      <c r="D13" s="140" t="s">
        <v>311</v>
      </c>
    </row>
    <row r="14" spans="1:4">
      <c r="B14" s="139" t="s">
        <v>321</v>
      </c>
      <c r="C14" s="138" t="s">
        <v>310</v>
      </c>
      <c r="D14" s="138" t="s">
        <v>322</v>
      </c>
    </row>
    <row r="15" spans="1:4">
      <c r="B15" s="139" t="s">
        <v>323</v>
      </c>
      <c r="C15" s="138" t="s">
        <v>310</v>
      </c>
      <c r="D15" s="138" t="s">
        <v>324</v>
      </c>
    </row>
    <row r="16" spans="1:4" ht="26.4">
      <c r="B16" s="186" t="s">
        <v>504</v>
      </c>
      <c r="C16" s="187" t="s">
        <v>306</v>
      </c>
      <c r="D16" s="187" t="s">
        <v>505</v>
      </c>
    </row>
    <row r="17" spans="2:4">
      <c r="B17" s="139" t="s">
        <v>309</v>
      </c>
      <c r="C17" s="138" t="s">
        <v>306</v>
      </c>
      <c r="D17" s="138" t="s">
        <v>308</v>
      </c>
    </row>
    <row r="18" spans="2:4" ht="26.4">
      <c r="B18" s="139" t="s">
        <v>307</v>
      </c>
      <c r="C18" s="138" t="s">
        <v>306</v>
      </c>
      <c r="D18" s="138" t="s">
        <v>305</v>
      </c>
    </row>
    <row r="19" spans="2:4">
      <c r="B19" s="139" t="s">
        <v>103</v>
      </c>
      <c r="C19" s="138" t="s">
        <v>294</v>
      </c>
      <c r="D19" s="138" t="s">
        <v>300</v>
      </c>
    </row>
    <row r="20" spans="2:4">
      <c r="B20" s="139" t="s">
        <v>299</v>
      </c>
      <c r="C20" s="138" t="s">
        <v>294</v>
      </c>
      <c r="D20" s="138" t="s">
        <v>298</v>
      </c>
    </row>
    <row r="21" spans="2:4">
      <c r="B21" s="139" t="s">
        <v>159</v>
      </c>
      <c r="C21" s="138" t="s">
        <v>294</v>
      </c>
      <c r="D21" s="138" t="s">
        <v>297</v>
      </c>
    </row>
    <row r="22" spans="2:4" ht="26.4">
      <c r="B22" s="139" t="s">
        <v>302</v>
      </c>
      <c r="C22" s="138" t="s">
        <v>294</v>
      </c>
      <c r="D22" s="138" t="s">
        <v>301</v>
      </c>
    </row>
    <row r="23" spans="2:4" ht="39.6">
      <c r="B23" s="139" t="s">
        <v>156</v>
      </c>
      <c r="C23" s="138" t="s">
        <v>294</v>
      </c>
      <c r="D23" s="138" t="s">
        <v>296</v>
      </c>
    </row>
    <row r="24" spans="2:4">
      <c r="B24" s="139" t="s">
        <v>295</v>
      </c>
      <c r="C24" s="138" t="s">
        <v>294</v>
      </c>
      <c r="D24" s="138" t="s">
        <v>293</v>
      </c>
    </row>
    <row r="25" spans="2:4" ht="26.4">
      <c r="B25" s="139" t="s">
        <v>29</v>
      </c>
      <c r="C25" s="138" t="s">
        <v>303</v>
      </c>
      <c r="D25" s="138" t="s">
        <v>304</v>
      </c>
    </row>
    <row r="26" spans="2:4" ht="26.4">
      <c r="B26" s="139" t="s">
        <v>325</v>
      </c>
      <c r="C26" s="138" t="s">
        <v>310</v>
      </c>
      <c r="D26" s="138" t="s">
        <v>326</v>
      </c>
    </row>
    <row r="27" spans="2:4">
      <c r="B27" s="204" t="s">
        <v>512</v>
      </c>
    </row>
  </sheetData>
  <sheetProtection selectLockedCells="1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9">
    <tabColor rgb="FFFF0000"/>
    <pageSetUpPr fitToPage="1"/>
  </sheetPr>
  <dimension ref="A1:AU140"/>
  <sheetViews>
    <sheetView zoomScale="114" zoomScaleNormal="114" zoomScaleSheetLayoutView="120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9.109375" defaultRowHeight="13.8"/>
  <cols>
    <col min="1" max="2" width="22.44140625" style="1" customWidth="1"/>
    <col min="3" max="3" width="7.6640625" style="1" bestFit="1" customWidth="1"/>
    <col min="4" max="9" width="9.33203125" style="6" customWidth="1"/>
    <col min="10" max="10" width="9.33203125" style="12" customWidth="1"/>
    <col min="11" max="15" width="9.33203125" style="6" customWidth="1"/>
    <col min="16" max="16" width="11.88671875" style="6" customWidth="1"/>
    <col min="17" max="16384" width="9.109375" style="1"/>
  </cols>
  <sheetData>
    <row r="1" spans="1:47" ht="41.4">
      <c r="A1" s="92" t="s">
        <v>209</v>
      </c>
      <c r="B1" s="92"/>
      <c r="C1" s="126" t="s">
        <v>262</v>
      </c>
      <c r="D1" s="13">
        <f>DATEVALUE(1&amp;"/"&amp;'IP1'!$B$3&amp;"/"&amp;'IP1'!$B$4)</f>
        <v>41275</v>
      </c>
      <c r="E1" s="13">
        <f>DATE(YEAR(D1),MONTH(D1)+1,1)</f>
        <v>41306</v>
      </c>
      <c r="F1" s="13">
        <f t="shared" ref="F1:O1" si="0">DATE(YEAR(E1),MONTH(E1)+1,1)</f>
        <v>41334</v>
      </c>
      <c r="G1" s="13">
        <f t="shared" si="0"/>
        <v>41365</v>
      </c>
      <c r="H1" s="13">
        <f t="shared" si="0"/>
        <v>41395</v>
      </c>
      <c r="I1" s="13">
        <f t="shared" si="0"/>
        <v>41426</v>
      </c>
      <c r="J1" s="13">
        <f t="shared" si="0"/>
        <v>41456</v>
      </c>
      <c r="K1" s="13">
        <f t="shared" si="0"/>
        <v>41487</v>
      </c>
      <c r="L1" s="13">
        <f t="shared" si="0"/>
        <v>41518</v>
      </c>
      <c r="M1" s="13">
        <f t="shared" si="0"/>
        <v>41548</v>
      </c>
      <c r="N1" s="13">
        <f t="shared" si="0"/>
        <v>41579</v>
      </c>
      <c r="O1" s="13">
        <f t="shared" si="0"/>
        <v>41609</v>
      </c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0"/>
      <c r="AO1" s="10"/>
      <c r="AP1" s="10"/>
      <c r="AQ1" s="10"/>
      <c r="AR1" s="10"/>
      <c r="AS1" s="10"/>
      <c r="AT1" s="10"/>
      <c r="AU1" s="10"/>
    </row>
    <row r="2" spans="1:47">
      <c r="A2" s="78" t="s">
        <v>428</v>
      </c>
      <c r="B2" s="16"/>
      <c r="C2" s="24"/>
      <c r="D2" s="24">
        <f>((PRODUCT('IP1'!$D$8:$F$8)*4)+(PRODUCT('IP1'!$D$9:$F$9)*2)+PRODUCT('IP1'!$D$10:$F$10))
*(365.25/7)
*(VLOOKUP('IP1'!$C$11,Pattern,COLUMN(B2)+1,0))/(VLOOKUP('IP1'!$C$11,Pattern,2,0))*
VLOOKUP('IP1'!$G$8,VATrates,IF(YEAR(D$1)=2013,5,6),0)</f>
        <v>3671.740848214286</v>
      </c>
      <c r="E2" s="24">
        <f>((PRODUCT('IP1'!$D$8:$F$8)*4)+(PRODUCT('IP1'!$D$9:$F$9)*2)+PRODUCT('IP1'!$D$10:$F$10))
*(365.25/7)
*(VLOOKUP('IP1'!$C$11,Pattern,COLUMN(C2)+1,0))/(VLOOKUP('IP1'!$C$11,Pattern,2,0))*
VLOOKUP('IP1'!$G$8,VATrates,IF(YEAR(E$1)=2013,5,6),0)</f>
        <v>3671.740848214286</v>
      </c>
      <c r="F2" s="24">
        <f>((PRODUCT('IP1'!$D$8:$F$8)*4)+(PRODUCT('IP1'!$D$9:$F$9)*2)+PRODUCT('IP1'!$D$10:$F$10))
*(365.25/7)
*(VLOOKUP('IP1'!$C$11,Pattern,COLUMN(D2)+1,0))/(VLOOKUP('IP1'!$C$11,Pattern,2,0))*
VLOOKUP('IP1'!$G$8,VATrates,IF(YEAR(F$1)=2013,5,6),0)</f>
        <v>6119.5680803571431</v>
      </c>
      <c r="G2" s="24">
        <f>((PRODUCT('IP1'!$D$8:$F$8)*4)+(PRODUCT('IP1'!$D$9:$F$9)*2)+PRODUCT('IP1'!$D$10:$F$10))
*(365.25/7)
*(VLOOKUP('IP1'!$C$11,Pattern,COLUMN(E2)+1,0))/(VLOOKUP('IP1'!$C$11,Pattern,2,0))*
VLOOKUP('IP1'!$G$8,VATrates,IF(YEAR(G$1)=2013,5,6),0)</f>
        <v>11015.222544642857</v>
      </c>
      <c r="H2" s="24">
        <f>((PRODUCT('IP1'!$D$8:$F$8)*4)+(PRODUCT('IP1'!$D$9:$F$9)*2)+PRODUCT('IP1'!$D$10:$F$10))
*(365.25/7)
*(VLOOKUP('IP1'!$C$11,Pattern,COLUMN(F2)+1,0))/(VLOOKUP('IP1'!$C$11,Pattern,2,0))*
VLOOKUP('IP1'!$G$8,VATrates,IF(YEAR(H$1)=2013,5,6),0)</f>
        <v>12239.136160714286</v>
      </c>
      <c r="I2" s="24">
        <f>((PRODUCT('IP1'!$D$8:$F$8)*4)+(PRODUCT('IP1'!$D$9:$F$9)*2)+PRODUCT('IP1'!$D$10:$F$10))
*(365.25/7)
*(VLOOKUP('IP1'!$C$11,Pattern,COLUMN(G2)+1,0))/(VLOOKUP('IP1'!$C$11,Pattern,2,0))*
VLOOKUP('IP1'!$G$8,VATrates,IF(YEAR(I$1)=2013,5,6),0)</f>
        <v>12239.136160714286</v>
      </c>
      <c r="J2" s="24">
        <f>((PRODUCT('IP1'!$D$8:$F$8)*4)+(PRODUCT('IP1'!$D$9:$F$9)*2)+PRODUCT('IP1'!$D$10:$F$10))
*(365.25/7)
*(VLOOKUP('IP1'!$C$11,Pattern,COLUMN(H2)+1,0))/(VLOOKUP('IP1'!$C$11,Pattern,2,0))*
VLOOKUP('IP1'!$G$8,VATrates,IF(YEAR(J$1)=2013,5,6),0)</f>
        <v>15910.877008928572</v>
      </c>
      <c r="K2" s="24">
        <f>((PRODUCT('IP1'!$D$8:$F$8)*4)+(PRODUCT('IP1'!$D$9:$F$9)*2)+PRODUCT('IP1'!$D$10:$F$10))
*(365.25/7)
*(VLOOKUP('IP1'!$C$11,Pattern,COLUMN(I2)+1,0))/(VLOOKUP('IP1'!$C$11,Pattern,2,0))*
VLOOKUP('IP1'!$G$8,VATrates,IF(YEAR(K$1)=2013,5,6),0)</f>
        <v>15910.877008928572</v>
      </c>
      <c r="L2" s="24">
        <f>((PRODUCT('IP1'!$D$8:$F$8)*4)+(PRODUCT('IP1'!$D$9:$F$9)*2)+PRODUCT('IP1'!$D$10:$F$10))
*(365.25/7)
*(VLOOKUP('IP1'!$C$11,Pattern,COLUMN(J2)+1,0))/(VLOOKUP('IP1'!$C$11,Pattern,2,0))*
VLOOKUP('IP1'!$G$8,VATrates,IF(YEAR(L$1)=2013,5,6),0)</f>
        <v>12239.136160714286</v>
      </c>
      <c r="M2" s="24">
        <f>((PRODUCT('IP1'!$D$8:$F$8)*4)+(PRODUCT('IP1'!$D$9:$F$9)*2)+PRODUCT('IP1'!$D$10:$F$10))
*(365.25/7)
*(VLOOKUP('IP1'!$C$11,Pattern,COLUMN(K2)+1,0))/(VLOOKUP('IP1'!$C$11,Pattern,2,0))*
VLOOKUP('IP1'!$G$8,VATrates,IF(YEAR(M$1)=2013,5,6),0)</f>
        <v>11015.222544642857</v>
      </c>
      <c r="N2" s="24">
        <f>((PRODUCT('IP1'!$D$8:$F$8)*4)+(PRODUCT('IP1'!$D$9:$F$9)*2)+PRODUCT('IP1'!$D$10:$F$10))
*(365.25/7)
*(VLOOKUP('IP1'!$C$11,Pattern,COLUMN(L2)+1,0))/(VLOOKUP('IP1'!$C$11,Pattern,2,0))*
VLOOKUP('IP1'!$G$8,VATrates,IF(YEAR(N$1)=2013,5,6),0)</f>
        <v>3671.740848214286</v>
      </c>
      <c r="O2" s="24">
        <f>((PRODUCT('IP1'!$D$8:$F$8)*4)+(PRODUCT('IP1'!$D$9:$F$9)*2)+PRODUCT('IP1'!$D$10:$F$10))
*(365.25/7)
*(VLOOKUP('IP1'!$C$11,Pattern,COLUMN(M2)+1,0))/(VLOOKUP('IP1'!$C$11,Pattern,2,0))*
VLOOKUP('IP1'!$G$8,VATrates,IF(YEAR(O$1)=2013,5,6),0)</f>
        <v>14686.963392857144</v>
      </c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6"/>
      <c r="AO2" s="10"/>
      <c r="AP2" s="10"/>
      <c r="AQ2" s="10"/>
      <c r="AR2" s="10"/>
      <c r="AS2" s="10"/>
      <c r="AT2" s="10"/>
      <c r="AU2" s="10"/>
    </row>
    <row r="3" spans="1:47">
      <c r="A3" s="78" t="s">
        <v>429</v>
      </c>
      <c r="B3" s="16"/>
      <c r="C3" s="24"/>
      <c r="D3" s="24">
        <f>(((PRODUCT('IP1'!$D$15:$F$15)+PRODUCT('IP1'!$D$16:$F$16)+PRODUCT('IP1'!$D$17:$F$17))
*(365.25/7)
*(VLOOKUP('IP1'!$C$18,Pattern,COLUMN(B3)+1,0))/(VLOOKUP('IP1'!$C$18,Pattern,2,0))))*
VLOOKUP('IP1'!$G$15,VATrates,IF(YEAR(D$1)=2013,5,6),0)</f>
        <v>595.25314285714285</v>
      </c>
      <c r="E3" s="24">
        <f>(((PRODUCT('IP1'!$D$15:$F$15)+PRODUCT('IP1'!$D$16:$F$16)+PRODUCT('IP1'!$D$17:$F$17))
*(365.25/7)
*(VLOOKUP('IP1'!$C$18,Pattern,COLUMN(C3)+1,0))/(VLOOKUP('IP1'!$C$18,Pattern,2,0))))*
VLOOKUP('IP1'!$G$15,VATrates,IF(YEAR(E$1)=2013,5,6),0)</f>
        <v>595.25314285714285</v>
      </c>
      <c r="F3" s="24">
        <f>(((PRODUCT('IP1'!$D$15:$F$15)+PRODUCT('IP1'!$D$16:$F$16)+PRODUCT('IP1'!$D$17:$F$17))
*(365.25/7)
*(VLOOKUP('IP1'!$C$18,Pattern,COLUMN(D3)+1,0))/(VLOOKUP('IP1'!$C$18,Pattern,2,0))))*
VLOOKUP('IP1'!$G$15,VATrates,IF(YEAR(F$1)=2013,5,6),0)</f>
        <v>1785.7594285714288</v>
      </c>
      <c r="G3" s="24">
        <f>(((PRODUCT('IP1'!$D$15:$F$15)+PRODUCT('IP1'!$D$16:$F$16)+PRODUCT('IP1'!$D$17:$F$17))
*(365.25/7)
*(VLOOKUP('IP1'!$C$18,Pattern,COLUMN(E3)+1,0))/(VLOOKUP('IP1'!$C$18,Pattern,2,0))))*
VLOOKUP('IP1'!$G$15,VATrates,IF(YEAR(G$1)=2013,5,6),0)</f>
        <v>1785.7594285714288</v>
      </c>
      <c r="H3" s="24">
        <f>(((PRODUCT('IP1'!$D$15:$F$15)+PRODUCT('IP1'!$D$16:$F$16)+PRODUCT('IP1'!$D$17:$F$17))
*(365.25/7)
*(VLOOKUP('IP1'!$C$18,Pattern,COLUMN(F3)+1,0))/(VLOOKUP('IP1'!$C$18,Pattern,2,0))))*
VLOOKUP('IP1'!$G$15,VATrates,IF(YEAR(H$1)=2013,5,6),0)</f>
        <v>3571.5188571428575</v>
      </c>
      <c r="I3" s="24">
        <f>(((PRODUCT('IP1'!$D$15:$F$15)+PRODUCT('IP1'!$D$16:$F$16)+PRODUCT('IP1'!$D$17:$F$17))
*(365.25/7)
*(VLOOKUP('IP1'!$C$18,Pattern,COLUMN(G3)+1,0))/(VLOOKUP('IP1'!$C$18,Pattern,2,0))))*
VLOOKUP('IP1'!$G$15,VATrates,IF(YEAR(I$1)=2013,5,6),0)</f>
        <v>3571.5188571428575</v>
      </c>
      <c r="J3" s="24">
        <f>(((PRODUCT('IP1'!$D$15:$F$15)+PRODUCT('IP1'!$D$16:$F$16)+PRODUCT('IP1'!$D$17:$F$17))
*(365.25/7)
*(VLOOKUP('IP1'!$C$18,Pattern,COLUMN(H3)+1,0))/(VLOOKUP('IP1'!$C$18,Pattern,2,0))))*
VLOOKUP('IP1'!$G$15,VATrates,IF(YEAR(J$1)=2013,5,6),0)</f>
        <v>3571.5188571428575</v>
      </c>
      <c r="K3" s="24">
        <f>(((PRODUCT('IP1'!$D$15:$F$15)+PRODUCT('IP1'!$D$16:$F$16)+PRODUCT('IP1'!$D$17:$F$17))
*(365.25/7)
*(VLOOKUP('IP1'!$C$18,Pattern,COLUMN(I3)+1,0))/(VLOOKUP('IP1'!$C$18,Pattern,2,0))))*
VLOOKUP('IP1'!$G$15,VATrates,IF(YEAR(K$1)=2013,5,6),0)</f>
        <v>3571.5188571428575</v>
      </c>
      <c r="L3" s="24">
        <f>(((PRODUCT('IP1'!$D$15:$F$15)+PRODUCT('IP1'!$D$16:$F$16)+PRODUCT('IP1'!$D$17:$F$17))
*(365.25/7)
*(VLOOKUP('IP1'!$C$18,Pattern,COLUMN(J3)+1,0))/(VLOOKUP('IP1'!$C$18,Pattern,2,0))))*
VLOOKUP('IP1'!$G$15,VATrates,IF(YEAR(L$1)=2013,5,6),0)</f>
        <v>3571.5188571428575</v>
      </c>
      <c r="M3" s="24">
        <f>(((PRODUCT('IP1'!$D$15:$F$15)+PRODUCT('IP1'!$D$16:$F$16)+PRODUCT('IP1'!$D$17:$F$17))
*(365.25/7)
*(VLOOKUP('IP1'!$C$18,Pattern,COLUMN(K3)+1,0))/(VLOOKUP('IP1'!$C$18,Pattern,2,0))))*
VLOOKUP('IP1'!$G$15,VATrates,IF(YEAR(M$1)=2013,5,6),0)</f>
        <v>3571.5188571428575</v>
      </c>
      <c r="N3" s="24">
        <f>(((PRODUCT('IP1'!$D$15:$F$15)+PRODUCT('IP1'!$D$16:$F$16)+PRODUCT('IP1'!$D$17:$F$17))
*(365.25/7)
*(VLOOKUP('IP1'!$C$18,Pattern,COLUMN(L3)+1,0))/(VLOOKUP('IP1'!$C$18,Pattern,2,0))))*
VLOOKUP('IP1'!$G$15,VATrates,IF(YEAR(N$1)=2013,5,6),0)</f>
        <v>595.25314285714285</v>
      </c>
      <c r="O3" s="24">
        <f>(((PRODUCT('IP1'!$D$15:$F$15)+PRODUCT('IP1'!$D$16:$F$16)+PRODUCT('IP1'!$D$17:$F$17))
*(365.25/7)
*(VLOOKUP('IP1'!$C$18,Pattern,COLUMN(M3)+1,0))/(VLOOKUP('IP1'!$C$18,Pattern,2,0))))*
VLOOKUP('IP1'!$G$15,VATrates,IF(YEAR(O$1)=2013,5,6),0)</f>
        <v>2976.2657142857147</v>
      </c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6"/>
      <c r="AO3" s="10"/>
      <c r="AP3" s="10"/>
      <c r="AQ3" s="10"/>
      <c r="AR3" s="10"/>
      <c r="AS3" s="10"/>
      <c r="AT3" s="10"/>
      <c r="AU3" s="10"/>
    </row>
    <row r="4" spans="1:47">
      <c r="A4" s="78" t="s">
        <v>433</v>
      </c>
      <c r="B4" s="16"/>
      <c r="C4" s="24"/>
      <c r="D4" s="24">
        <f>(VLOOKUP($A4,'IP1'!$B$23:$G$24,5,0)
*(VLOOKUP('IP1'!$C$18,Pattern,COLUMN(B4)+1,0))/(VLOOKUP('IP1'!$C$18,Pattern,2,0)))*
VLOOKUP('IP1'!$D$23,VATrates,IF(YEAR(D$1)=2013,5,6),0)</f>
        <v>2300</v>
      </c>
      <c r="E4" s="24">
        <f>(VLOOKUP($A4,'IP1'!$B$23:$G$24,5,0)
*(VLOOKUP('IP1'!$C$18,Pattern,COLUMN(C4)+1,0))/(VLOOKUP('IP1'!$C$18,Pattern,2,0)))*
VLOOKUP('IP1'!$D$23,VATrates,IF(YEAR(E$1)=2013,5,6),0)</f>
        <v>2300</v>
      </c>
      <c r="F4" s="24">
        <f>(VLOOKUP($A4,'IP1'!$B$23:$G$24,5,0)
*(VLOOKUP('IP1'!$C$18,Pattern,COLUMN(D4)+1,0))/(VLOOKUP('IP1'!$C$18,Pattern,2,0)))*
VLOOKUP('IP1'!$D$23,VATrates,IF(YEAR(F$1)=2013,5,6),0)</f>
        <v>6900</v>
      </c>
      <c r="G4" s="24">
        <f>(VLOOKUP($A4,'IP1'!$B$23:$G$24,5,0)
*(VLOOKUP('IP1'!$C$18,Pattern,COLUMN(E4)+1,0))/(VLOOKUP('IP1'!$C$18,Pattern,2,0)))*
VLOOKUP('IP1'!$D$23,VATrates,IF(YEAR(G$1)=2013,5,6),0)</f>
        <v>6900</v>
      </c>
      <c r="H4" s="24">
        <f>(VLOOKUP($A4,'IP1'!$B$23:$G$24,5,0)
*(VLOOKUP('IP1'!$C$18,Pattern,COLUMN(F4)+1,0))/(VLOOKUP('IP1'!$C$18,Pattern,2,0)))*
VLOOKUP('IP1'!$D$23,VATrates,IF(YEAR(H$1)=2013,5,6),0)</f>
        <v>13800</v>
      </c>
      <c r="I4" s="24">
        <f>(VLOOKUP($A4,'IP1'!$B$23:$G$24,5,0)
*(VLOOKUP('IP1'!$C$18,Pattern,COLUMN(G4)+1,0))/(VLOOKUP('IP1'!$C$18,Pattern,2,0)))*
VLOOKUP('IP1'!$D$23,VATrates,IF(YEAR(I$1)=2013,5,6),0)</f>
        <v>13800</v>
      </c>
      <c r="J4" s="24">
        <f>(VLOOKUP($A4,'IP1'!$B$23:$G$24,5,0)
*(VLOOKUP('IP1'!$C$18,Pattern,COLUMN(H4)+1,0))/(VLOOKUP('IP1'!$C$18,Pattern,2,0)))*
VLOOKUP('IP1'!$D$23,VATrates,IF(YEAR(J$1)=2013,5,6),0)</f>
        <v>13800</v>
      </c>
      <c r="K4" s="24">
        <f>(VLOOKUP($A4,'IP1'!$B$23:$G$24,5,0)
*(VLOOKUP('IP1'!$C$18,Pattern,COLUMN(I4)+1,0))/(VLOOKUP('IP1'!$C$18,Pattern,2,0)))*
VLOOKUP('IP1'!$D$23,VATrates,IF(YEAR(K$1)=2013,5,6),0)</f>
        <v>13800</v>
      </c>
      <c r="L4" s="24">
        <f>(VLOOKUP($A4,'IP1'!$B$23:$G$24,5,0)
*(VLOOKUP('IP1'!$C$18,Pattern,COLUMN(J4)+1,0))/(VLOOKUP('IP1'!$C$18,Pattern,2,0)))*
VLOOKUP('IP1'!$D$23,VATrates,IF(YEAR(L$1)=2013,5,6),0)</f>
        <v>13800</v>
      </c>
      <c r="M4" s="24">
        <f>(VLOOKUP($A4,'IP1'!$B$23:$G$24,5,0)
*(VLOOKUP('IP1'!$C$18,Pattern,COLUMN(K4)+1,0))/(VLOOKUP('IP1'!$C$18,Pattern,2,0)))*
VLOOKUP('IP1'!$D$23,VATrates,IF(YEAR(M$1)=2013,5,6),0)</f>
        <v>13800</v>
      </c>
      <c r="N4" s="24">
        <f>(VLOOKUP($A4,'IP1'!$B$23:$G$24,5,0)
*(VLOOKUP('IP1'!$C$18,Pattern,COLUMN(L4)+1,0))/(VLOOKUP('IP1'!$C$18,Pattern,2,0)))*
VLOOKUP('IP1'!$D$23,VATrates,IF(YEAR(N$1)=2013,5,6),0)</f>
        <v>2300</v>
      </c>
      <c r="O4" s="24">
        <f>(VLOOKUP($A4,'IP1'!$B$23:$G$24,5,0)
*(VLOOKUP('IP1'!$C$18,Pattern,COLUMN(M4)+1,0))/(VLOOKUP('IP1'!$C$18,Pattern,2,0)))*
VLOOKUP('IP1'!$D$23,VATrates,IF(YEAR(O$1)=2013,5,6),0)</f>
        <v>11500</v>
      </c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6"/>
      <c r="AO4" s="10"/>
      <c r="AP4" s="10"/>
      <c r="AQ4" s="10"/>
      <c r="AR4" s="10"/>
      <c r="AS4" s="10"/>
      <c r="AT4" s="10"/>
      <c r="AU4" s="10"/>
    </row>
    <row r="5" spans="1:47">
      <c r="A5" s="78" t="s">
        <v>434</v>
      </c>
      <c r="B5" s="16"/>
      <c r="C5" s="24"/>
      <c r="D5" s="24">
        <f>(VLOOKUP($A5,'IP1'!$B$23:$G$24,5,0)
*(VLOOKUP('IP1'!$C$18,Pattern,COLUMN(B5)+1,0))/(VLOOKUP('IP1'!$C$18,Pattern,2,0)))*
VLOOKUP('IP1'!$D$24,VATrates,IF(YEAR(D$1)=2013,5,6),0)</f>
        <v>1350</v>
      </c>
      <c r="E5" s="24">
        <f>(VLOOKUP($A5,'IP1'!$B$23:$G$24,5,0)
*(VLOOKUP('IP1'!$C$18,Pattern,COLUMN(C5)+1,0))/(VLOOKUP('IP1'!$C$18,Pattern,2,0)))*
VLOOKUP('IP1'!$D$24,VATrates,IF(YEAR(E$1)=2013,5,6),0)</f>
        <v>1350</v>
      </c>
      <c r="F5" s="24">
        <f>(VLOOKUP($A5,'IP1'!$B$23:$G$24,5,0)
*(VLOOKUP('IP1'!$C$18,Pattern,COLUMN(D5)+1,0))/(VLOOKUP('IP1'!$C$18,Pattern,2,0)))*
VLOOKUP('IP1'!$D$24,VATrates,IF(YEAR(F$1)=2013,5,6),0)</f>
        <v>4050</v>
      </c>
      <c r="G5" s="24">
        <f>(VLOOKUP($A5,'IP1'!$B$23:$G$24,5,0)
*(VLOOKUP('IP1'!$C$18,Pattern,COLUMN(E5)+1,0))/(VLOOKUP('IP1'!$C$18,Pattern,2,0)))*
VLOOKUP('IP1'!$D$24,VATrates,IF(YEAR(G$1)=2013,5,6),0)</f>
        <v>4050</v>
      </c>
      <c r="H5" s="24">
        <f>(VLOOKUP($A5,'IP1'!$B$23:$G$24,5,0)
*(VLOOKUP('IP1'!$C$18,Pattern,COLUMN(F5)+1,0))/(VLOOKUP('IP1'!$C$18,Pattern,2,0)))*
VLOOKUP('IP1'!$D$24,VATrates,IF(YEAR(H$1)=2013,5,6),0)</f>
        <v>8100</v>
      </c>
      <c r="I5" s="24">
        <f>(VLOOKUP($A5,'IP1'!$B$23:$G$24,5,0)
*(VLOOKUP('IP1'!$C$18,Pattern,COLUMN(G5)+1,0))/(VLOOKUP('IP1'!$C$18,Pattern,2,0)))*
VLOOKUP('IP1'!$D$24,VATrates,IF(YEAR(I$1)=2013,5,6),0)</f>
        <v>8100</v>
      </c>
      <c r="J5" s="24">
        <f>(VLOOKUP($A5,'IP1'!$B$23:$G$24,5,0)
*(VLOOKUP('IP1'!$C$18,Pattern,COLUMN(H5)+1,0))/(VLOOKUP('IP1'!$C$18,Pattern,2,0)))*
VLOOKUP('IP1'!$D$24,VATrates,IF(YEAR(J$1)=2013,5,6),0)</f>
        <v>8100</v>
      </c>
      <c r="K5" s="24">
        <f>(VLOOKUP($A5,'IP1'!$B$23:$G$24,5,0)
*(VLOOKUP('IP1'!$C$18,Pattern,COLUMN(I5)+1,0))/(VLOOKUP('IP1'!$C$18,Pattern,2,0)))*
VLOOKUP('IP1'!$D$24,VATrates,IF(YEAR(K$1)=2013,5,6),0)</f>
        <v>8100</v>
      </c>
      <c r="L5" s="24">
        <f>(VLOOKUP($A5,'IP1'!$B$23:$G$24,5,0)
*(VLOOKUP('IP1'!$C$18,Pattern,COLUMN(J5)+1,0))/(VLOOKUP('IP1'!$C$18,Pattern,2,0)))*
VLOOKUP('IP1'!$D$24,VATrates,IF(YEAR(L$1)=2013,5,6),0)</f>
        <v>8100</v>
      </c>
      <c r="M5" s="24">
        <f>(VLOOKUP($A5,'IP1'!$B$23:$G$24,5,0)
*(VLOOKUP('IP1'!$C$18,Pattern,COLUMN(K5)+1,0))/(VLOOKUP('IP1'!$C$18,Pattern,2,0)))*
VLOOKUP('IP1'!$D$24,VATrates,IF(YEAR(M$1)=2013,5,6),0)</f>
        <v>8100</v>
      </c>
      <c r="N5" s="24">
        <f>(VLOOKUP($A5,'IP1'!$B$23:$G$24,5,0)
*(VLOOKUP('IP1'!$C$18,Pattern,COLUMN(L5)+1,0))/(VLOOKUP('IP1'!$C$18,Pattern,2,0)))*
VLOOKUP('IP1'!$D$24,VATrates,IF(YEAR(N$1)=2013,5,6),0)</f>
        <v>1350</v>
      </c>
      <c r="O5" s="24">
        <f>(VLOOKUP($A5,'IP1'!$B$23:$G$24,5,0)
*(VLOOKUP('IP1'!$C$18,Pattern,COLUMN(M5)+1,0))/(VLOOKUP('IP1'!$C$18,Pattern,2,0)))*
VLOOKUP('IP1'!$D$24,VATrates,IF(YEAR(O$1)=2013,5,6),0)</f>
        <v>6750</v>
      </c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6"/>
      <c r="AO5" s="10"/>
      <c r="AP5" s="10"/>
      <c r="AQ5" s="10"/>
      <c r="AR5" s="10"/>
      <c r="AS5" s="10"/>
      <c r="AT5" s="10"/>
      <c r="AU5" s="10"/>
    </row>
    <row r="6" spans="1:47" s="7" customFormat="1">
      <c r="C6" s="24"/>
      <c r="D6" s="21">
        <f>SUM(D2:D5)</f>
        <v>7916.9939910714293</v>
      </c>
      <c r="E6" s="21">
        <f t="shared" ref="E6:N6" si="1">SUM(E2:E5)</f>
        <v>7916.9939910714293</v>
      </c>
      <c r="F6" s="21">
        <f t="shared" si="1"/>
        <v>18855.327508928571</v>
      </c>
      <c r="G6" s="21">
        <f t="shared" si="1"/>
        <v>23750.981973214286</v>
      </c>
      <c r="H6" s="21">
        <f t="shared" si="1"/>
        <v>37710.655017857142</v>
      </c>
      <c r="I6" s="21">
        <f t="shared" si="1"/>
        <v>37710.655017857142</v>
      </c>
      <c r="J6" s="21">
        <f t="shared" si="1"/>
        <v>41382.395866071427</v>
      </c>
      <c r="K6" s="21">
        <f t="shared" si="1"/>
        <v>41382.395866071427</v>
      </c>
      <c r="L6" s="21">
        <f t="shared" si="1"/>
        <v>37710.655017857142</v>
      </c>
      <c r="M6" s="21">
        <f t="shared" si="1"/>
        <v>36486.741401785715</v>
      </c>
      <c r="N6" s="21">
        <f t="shared" si="1"/>
        <v>7916.9939910714293</v>
      </c>
      <c r="O6" s="21">
        <f>SUM(O2:O5)</f>
        <v>35913.229107142863</v>
      </c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3"/>
    </row>
    <row r="7" spans="1:47">
      <c r="A7" s="92" t="s">
        <v>211</v>
      </c>
      <c r="B7" s="92"/>
      <c r="C7" s="24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</row>
    <row r="8" spans="1:47">
      <c r="A8" s="78" t="str">
        <f>A2</f>
        <v>Rooms</v>
      </c>
      <c r="B8" s="16"/>
      <c r="C8" s="24"/>
      <c r="D8" s="24">
        <f>VLOOKUP($A8,'IP1'!$B$29:$F$32,5,0)
*VLOOKUP($A8,Sales!$A$2:$M$5,COLUMN()-2,0)*
VLOOKUP(VLOOKUP($A8,'IP1'!$B$29:$D$32,3,0),VATrates,IF(YEAR(D$1)=2013,5,6),0)</f>
        <v>938.3337723214288</v>
      </c>
      <c r="E8" s="24">
        <f>VLOOKUP($A8,'IP1'!$B$29:$F$32,5,0)
*VLOOKUP($A8,Sales!$A$2:$M$5,COLUMN()-2,0)*
VLOOKUP(VLOOKUP($A8,'IP1'!$B$29:$D$32,3,0),VATrates,IF(YEAR(E$1)=2013,5,6),0)</f>
        <v>938.3337723214288</v>
      </c>
      <c r="F8" s="24">
        <f>VLOOKUP($A8,'IP1'!$B$29:$F$32,5,0)
*VLOOKUP($A8,Sales!$A$2:$M$5,COLUMN()-2,0)*
VLOOKUP(VLOOKUP($A8,'IP1'!$B$29:$D$32,3,0),VATrates,IF(YEAR(F$1)=2013,5,6),0)</f>
        <v>1563.8896205357144</v>
      </c>
      <c r="G8" s="24">
        <f>VLOOKUP($A8,'IP1'!$B$29:$F$32,5,0)
*VLOOKUP($A8,Sales!$A$2:$M$5,COLUMN()-2,0)*
VLOOKUP(VLOOKUP($A8,'IP1'!$B$29:$D$32,3,0),VATrates,IF(YEAR(G$1)=2013,5,6),0)</f>
        <v>2815.0013169642862</v>
      </c>
      <c r="H8" s="24">
        <f>VLOOKUP($A8,'IP1'!$B$29:$F$32,5,0)
*VLOOKUP($A8,Sales!$A$2:$M$5,COLUMN()-2,0)*
VLOOKUP(VLOOKUP($A8,'IP1'!$B$29:$D$32,3,0),VATrates,IF(YEAR(H$1)=2013,5,6),0)</f>
        <v>3127.7792410714287</v>
      </c>
      <c r="I8" s="24">
        <f>VLOOKUP($A8,'IP1'!$B$29:$F$32,5,0)
*VLOOKUP($A8,Sales!$A$2:$M$5,COLUMN()-2,0)*
VLOOKUP(VLOOKUP($A8,'IP1'!$B$29:$D$32,3,0),VATrates,IF(YEAR(I$1)=2013,5,6),0)</f>
        <v>3127.7792410714287</v>
      </c>
      <c r="J8" s="24">
        <f>VLOOKUP($A8,'IP1'!$B$29:$F$32,5,0)
*VLOOKUP($A8,Sales!$A$2:$M$5,COLUMN()-2,0)*
VLOOKUP(VLOOKUP($A8,'IP1'!$B$29:$D$32,3,0),VATrates,IF(YEAR(J$1)=2013,5,6),0)</f>
        <v>4066.1130133928577</v>
      </c>
      <c r="K8" s="24">
        <f>VLOOKUP($A8,'IP1'!$B$29:$F$32,5,0)
*VLOOKUP($A8,Sales!$A$2:$M$5,COLUMN()-2,0)*
VLOOKUP(VLOOKUP($A8,'IP1'!$B$29:$D$32,3,0),VATrates,IF(YEAR(K$1)=2013,5,6),0)</f>
        <v>4066.1130133928577</v>
      </c>
      <c r="L8" s="24">
        <f>VLOOKUP($A8,'IP1'!$B$29:$F$32,5,0)
*VLOOKUP($A8,Sales!$A$2:$M$5,COLUMN()-2,0)*
VLOOKUP(VLOOKUP($A8,'IP1'!$B$29:$D$32,3,0),VATrates,IF(YEAR(L$1)=2013,5,6),0)</f>
        <v>3127.7792410714287</v>
      </c>
      <c r="M8" s="24">
        <f>VLOOKUP($A8,'IP1'!$B$29:$F$32,5,0)
*VLOOKUP($A8,Sales!$A$2:$M$5,COLUMN()-2,0)*
VLOOKUP(VLOOKUP($A8,'IP1'!$B$29:$D$32,3,0),VATrates,IF(YEAR(M$1)=2013,5,6),0)</f>
        <v>2815.0013169642862</v>
      </c>
      <c r="N8" s="24">
        <f>VLOOKUP($A8,'IP1'!$B$29:$F$32,5,0)
*VLOOKUP($A8,Sales!$A$2:$M$5,COLUMN()-2,0)*
VLOOKUP(VLOOKUP($A8,'IP1'!$B$29:$D$32,3,0),VATrates,IF(YEAR(N$1)=2013,5,6),0)</f>
        <v>938.3337723214288</v>
      </c>
      <c r="O8" s="24">
        <f>VLOOKUP($A8,'IP1'!$B$29:$F$32,5,0)
*VLOOKUP($A8,Sales!$A$2:$M$5,COLUMN()-2,0)*
VLOOKUP(VLOOKUP($A8,'IP1'!$B$29:$D$32,3,0),VATrates,IF(YEAR(O$1)=2013,5,6),0)</f>
        <v>3753.3350892857152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6"/>
    </row>
    <row r="9" spans="1:47">
      <c r="A9" s="78" t="str">
        <f>A3</f>
        <v>Events</v>
      </c>
      <c r="B9" s="16"/>
      <c r="C9" s="24"/>
      <c r="D9" s="24">
        <f>VLOOKUP($A9,'IP1'!$B$29:$F$32,5,0)
*VLOOKUP($A9,Sales!$A$2:$M$5,COLUMN()-2,0)*
VLOOKUP(VLOOKUP($A9,'IP1'!$B$29:$D$32,3,0),VATrates,IF(YEAR(D$1)=2013,5,6),0)</f>
        <v>416.67719999999997</v>
      </c>
      <c r="E9" s="24">
        <f>VLOOKUP($A9,'IP1'!$B$29:$F$32,5,0)
*VLOOKUP($A9,Sales!$A$2:$M$5,COLUMN()-2,0)*
VLOOKUP(VLOOKUP($A9,'IP1'!$B$29:$D$32,3,0),VATrates,IF(YEAR(E$1)=2013,5,6),0)</f>
        <v>416.67719999999997</v>
      </c>
      <c r="F9" s="24">
        <f>VLOOKUP($A9,'IP1'!$B$29:$F$32,5,0)
*VLOOKUP($A9,Sales!$A$2:$M$5,COLUMN()-2,0)*
VLOOKUP(VLOOKUP($A9,'IP1'!$B$29:$D$32,3,0),VATrates,IF(YEAR(F$1)=2013,5,6),0)</f>
        <v>1250.0316</v>
      </c>
      <c r="G9" s="24">
        <f>VLOOKUP($A9,'IP1'!$B$29:$F$32,5,0)
*VLOOKUP($A9,Sales!$A$2:$M$5,COLUMN()-2,0)*
VLOOKUP(VLOOKUP($A9,'IP1'!$B$29:$D$32,3,0),VATrates,IF(YEAR(G$1)=2013,5,6),0)</f>
        <v>1250.0316</v>
      </c>
      <c r="H9" s="24">
        <f>VLOOKUP($A9,'IP1'!$B$29:$F$32,5,0)
*VLOOKUP($A9,Sales!$A$2:$M$5,COLUMN()-2,0)*
VLOOKUP(VLOOKUP($A9,'IP1'!$B$29:$D$32,3,0),VATrates,IF(YEAR(H$1)=2013,5,6),0)</f>
        <v>2500.0632000000001</v>
      </c>
      <c r="I9" s="24">
        <f>VLOOKUP($A9,'IP1'!$B$29:$F$32,5,0)
*VLOOKUP($A9,Sales!$A$2:$M$5,COLUMN()-2,0)*
VLOOKUP(VLOOKUP($A9,'IP1'!$B$29:$D$32,3,0),VATrates,IF(YEAR(I$1)=2013,5,6),0)</f>
        <v>2500.0632000000001</v>
      </c>
      <c r="J9" s="24">
        <f>VLOOKUP($A9,'IP1'!$B$29:$F$32,5,0)
*VLOOKUP($A9,Sales!$A$2:$M$5,COLUMN()-2,0)*
VLOOKUP(VLOOKUP($A9,'IP1'!$B$29:$D$32,3,0),VATrates,IF(YEAR(J$1)=2013,5,6),0)</f>
        <v>2500.0632000000001</v>
      </c>
      <c r="K9" s="24">
        <f>VLOOKUP($A9,'IP1'!$B$29:$F$32,5,0)
*VLOOKUP($A9,Sales!$A$2:$M$5,COLUMN()-2,0)*
VLOOKUP(VLOOKUP($A9,'IP1'!$B$29:$D$32,3,0),VATrates,IF(YEAR(K$1)=2013,5,6),0)</f>
        <v>2500.0632000000001</v>
      </c>
      <c r="L9" s="24">
        <f>VLOOKUP($A9,'IP1'!$B$29:$F$32,5,0)
*VLOOKUP($A9,Sales!$A$2:$M$5,COLUMN()-2,0)*
VLOOKUP(VLOOKUP($A9,'IP1'!$B$29:$D$32,3,0),VATrates,IF(YEAR(L$1)=2013,5,6),0)</f>
        <v>2500.0632000000001</v>
      </c>
      <c r="M9" s="24">
        <f>VLOOKUP($A9,'IP1'!$B$29:$F$32,5,0)
*VLOOKUP($A9,Sales!$A$2:$M$5,COLUMN()-2,0)*
VLOOKUP(VLOOKUP($A9,'IP1'!$B$29:$D$32,3,0),VATrates,IF(YEAR(M$1)=2013,5,6),0)</f>
        <v>2500.0632000000001</v>
      </c>
      <c r="N9" s="24">
        <f>VLOOKUP($A9,'IP1'!$B$29:$F$32,5,0)
*VLOOKUP($A9,Sales!$A$2:$M$5,COLUMN()-2,0)*
VLOOKUP(VLOOKUP($A9,'IP1'!$B$29:$D$32,3,0),VATrates,IF(YEAR(N$1)=2013,5,6),0)</f>
        <v>416.67719999999997</v>
      </c>
      <c r="O9" s="24">
        <f>VLOOKUP($A9,'IP1'!$B$29:$F$32,5,0)
*VLOOKUP($A9,Sales!$A$2:$M$5,COLUMN()-2,0)*
VLOOKUP(VLOOKUP($A9,'IP1'!$B$29:$D$32,3,0),VATrates,IF(YEAR(O$1)=2013,5,6),0)</f>
        <v>2083.3860000000004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6"/>
    </row>
    <row r="10" spans="1:47">
      <c r="A10" s="78" t="str">
        <f>A4</f>
        <v>Bar</v>
      </c>
      <c r="B10" s="16"/>
      <c r="C10" s="24"/>
      <c r="D10" s="24">
        <f>VLOOKUP($A10,'IP1'!$B$29:$F$32,5,0)
*VLOOKUP($A10,Sales!$A$2:$M$5,COLUMN()-2,0)*
VLOOKUP(VLOOKUP($A10,'IP1'!$B$29:$D$32,3,0),VATrates,IF(YEAR(D$1)=2013,5,6),0)</f>
        <v>1495</v>
      </c>
      <c r="E10" s="24">
        <f>VLOOKUP($A10,'IP1'!$B$29:$F$32,5,0)
*VLOOKUP($A10,Sales!$A$2:$M$5,COLUMN()-2,0)*
VLOOKUP(VLOOKUP($A10,'IP1'!$B$29:$D$32,3,0),VATrates,IF(YEAR(E$1)=2013,5,6),0)</f>
        <v>1495</v>
      </c>
      <c r="F10" s="24">
        <f>VLOOKUP($A10,'IP1'!$B$29:$F$32,5,0)
*VLOOKUP($A10,Sales!$A$2:$M$5,COLUMN()-2,0)*
VLOOKUP(VLOOKUP($A10,'IP1'!$B$29:$D$32,3,0),VATrates,IF(YEAR(F$1)=2013,5,6),0)</f>
        <v>4485</v>
      </c>
      <c r="G10" s="24">
        <f>VLOOKUP($A10,'IP1'!$B$29:$F$32,5,0)
*VLOOKUP($A10,Sales!$A$2:$M$5,COLUMN()-2,0)*
VLOOKUP(VLOOKUP($A10,'IP1'!$B$29:$D$32,3,0),VATrates,IF(YEAR(G$1)=2013,5,6),0)</f>
        <v>4485</v>
      </c>
      <c r="H10" s="24">
        <f>VLOOKUP($A10,'IP1'!$B$29:$F$32,5,0)
*VLOOKUP($A10,Sales!$A$2:$M$5,COLUMN()-2,0)*
VLOOKUP(VLOOKUP($A10,'IP1'!$B$29:$D$32,3,0),VATrates,IF(YEAR(H$1)=2013,5,6),0)</f>
        <v>8970</v>
      </c>
      <c r="I10" s="24">
        <f>VLOOKUP($A10,'IP1'!$B$29:$F$32,5,0)
*VLOOKUP($A10,Sales!$A$2:$M$5,COLUMN()-2,0)*
VLOOKUP(VLOOKUP($A10,'IP1'!$B$29:$D$32,3,0),VATrates,IF(YEAR(I$1)=2013,5,6),0)</f>
        <v>8970</v>
      </c>
      <c r="J10" s="24">
        <f>VLOOKUP($A10,'IP1'!$B$29:$F$32,5,0)
*VLOOKUP($A10,Sales!$A$2:$M$5,COLUMN()-2,0)*
VLOOKUP(VLOOKUP($A10,'IP1'!$B$29:$D$32,3,0),VATrates,IF(YEAR(J$1)=2013,5,6),0)</f>
        <v>8970</v>
      </c>
      <c r="K10" s="24">
        <f>VLOOKUP($A10,'IP1'!$B$29:$F$32,5,0)
*VLOOKUP($A10,Sales!$A$2:$M$5,COLUMN()-2,0)*
VLOOKUP(VLOOKUP($A10,'IP1'!$B$29:$D$32,3,0),VATrates,IF(YEAR(K$1)=2013,5,6),0)</f>
        <v>8970</v>
      </c>
      <c r="L10" s="24">
        <f>VLOOKUP($A10,'IP1'!$B$29:$F$32,5,0)
*VLOOKUP($A10,Sales!$A$2:$M$5,COLUMN()-2,0)*
VLOOKUP(VLOOKUP($A10,'IP1'!$B$29:$D$32,3,0),VATrates,IF(YEAR(L$1)=2013,5,6),0)</f>
        <v>8970</v>
      </c>
      <c r="M10" s="24">
        <f>VLOOKUP($A10,'IP1'!$B$29:$F$32,5,0)
*VLOOKUP($A10,Sales!$A$2:$M$5,COLUMN()-2,0)*
VLOOKUP(VLOOKUP($A10,'IP1'!$B$29:$D$32,3,0),VATrates,IF(YEAR(M$1)=2013,5,6),0)</f>
        <v>8970</v>
      </c>
      <c r="N10" s="24">
        <f>VLOOKUP($A10,'IP1'!$B$29:$F$32,5,0)
*VLOOKUP($A10,Sales!$A$2:$M$5,COLUMN()-2,0)*
VLOOKUP(VLOOKUP($A10,'IP1'!$B$29:$D$32,3,0),VATrates,IF(YEAR(N$1)=2013,5,6),0)</f>
        <v>1495</v>
      </c>
      <c r="O10" s="24">
        <f>VLOOKUP($A10,'IP1'!$B$29:$F$32,5,0)
*VLOOKUP($A10,Sales!$A$2:$M$5,COLUMN()-2,0)*
VLOOKUP(VLOOKUP($A10,'IP1'!$B$29:$D$32,3,0),VATrates,IF(YEAR(O$1)=2013,5,6),0)</f>
        <v>7475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6"/>
    </row>
    <row r="11" spans="1:47">
      <c r="A11" s="78" t="str">
        <f>A5</f>
        <v>Restaurant</v>
      </c>
      <c r="B11" s="16"/>
      <c r="C11" s="24"/>
      <c r="D11" s="24">
        <f>VLOOKUP($A11,'IP1'!$B$29:$F$32,5,0)
*VLOOKUP($A11,Sales!$A$2:$M$5,COLUMN()-2,0)*
VLOOKUP(VLOOKUP($A11,'IP1'!$B$29:$D$32,3,0),VATrates,IF(YEAR(D$1)=2013,5,6),0)</f>
        <v>2070</v>
      </c>
      <c r="E11" s="24">
        <f>VLOOKUP($A11,'IP1'!$B$29:$F$32,5,0)
*VLOOKUP($A11,Sales!$A$2:$M$5,COLUMN()-2,0)*
VLOOKUP(VLOOKUP($A11,'IP1'!$B$29:$D$32,3,0),VATrates,IF(YEAR(E$1)=2013,5,6),0)</f>
        <v>2070</v>
      </c>
      <c r="F11" s="24">
        <f>VLOOKUP($A11,'IP1'!$B$29:$F$32,5,0)
*VLOOKUP($A11,Sales!$A$2:$M$5,COLUMN()-2,0)*
VLOOKUP(VLOOKUP($A11,'IP1'!$B$29:$D$32,3,0),VATrates,IF(YEAR(F$1)=2013,5,6),0)</f>
        <v>6210</v>
      </c>
      <c r="G11" s="24">
        <f>VLOOKUP($A11,'IP1'!$B$29:$F$32,5,0)
*VLOOKUP($A11,Sales!$A$2:$M$5,COLUMN()-2,0)*
VLOOKUP(VLOOKUP($A11,'IP1'!$B$29:$D$32,3,0),VATrates,IF(YEAR(G$1)=2013,5,6),0)</f>
        <v>6210</v>
      </c>
      <c r="H11" s="24">
        <f>VLOOKUP($A11,'IP1'!$B$29:$F$32,5,0)
*VLOOKUP($A11,Sales!$A$2:$M$5,COLUMN()-2,0)*
VLOOKUP(VLOOKUP($A11,'IP1'!$B$29:$D$32,3,0),VATrates,IF(YEAR(H$1)=2013,5,6),0)</f>
        <v>12420</v>
      </c>
      <c r="I11" s="24">
        <f>VLOOKUP($A11,'IP1'!$B$29:$F$32,5,0)
*VLOOKUP($A11,Sales!$A$2:$M$5,COLUMN()-2,0)*
VLOOKUP(VLOOKUP($A11,'IP1'!$B$29:$D$32,3,0),VATrates,IF(YEAR(I$1)=2013,5,6),0)</f>
        <v>12420</v>
      </c>
      <c r="J11" s="24">
        <f>VLOOKUP($A11,'IP1'!$B$29:$F$32,5,0)
*VLOOKUP($A11,Sales!$A$2:$M$5,COLUMN()-2,0)*
VLOOKUP(VLOOKUP($A11,'IP1'!$B$29:$D$32,3,0),VATrates,IF(YEAR(J$1)=2013,5,6),0)</f>
        <v>12420</v>
      </c>
      <c r="K11" s="24">
        <f>VLOOKUP($A11,'IP1'!$B$29:$F$32,5,0)
*VLOOKUP($A11,Sales!$A$2:$M$5,COLUMN()-2,0)*
VLOOKUP(VLOOKUP($A11,'IP1'!$B$29:$D$32,3,0),VATrates,IF(YEAR(K$1)=2013,5,6),0)</f>
        <v>12420</v>
      </c>
      <c r="L11" s="24">
        <f>VLOOKUP($A11,'IP1'!$B$29:$F$32,5,0)
*VLOOKUP($A11,Sales!$A$2:$M$5,COLUMN()-2,0)*
VLOOKUP(VLOOKUP($A11,'IP1'!$B$29:$D$32,3,0),VATrates,IF(YEAR(L$1)=2013,5,6),0)</f>
        <v>12420</v>
      </c>
      <c r="M11" s="24">
        <f>VLOOKUP($A11,'IP1'!$B$29:$F$32,5,0)
*VLOOKUP($A11,Sales!$A$2:$M$5,COLUMN()-2,0)*
VLOOKUP(VLOOKUP($A11,'IP1'!$B$29:$D$32,3,0),VATrates,IF(YEAR(M$1)=2013,5,6),0)</f>
        <v>12420</v>
      </c>
      <c r="N11" s="24">
        <f>VLOOKUP($A11,'IP1'!$B$29:$F$32,5,0)
*VLOOKUP($A11,Sales!$A$2:$M$5,COLUMN()-2,0)*
VLOOKUP(VLOOKUP($A11,'IP1'!$B$29:$D$32,3,0),VATrates,IF(YEAR(N$1)=2013,5,6),0)</f>
        <v>2070</v>
      </c>
      <c r="O11" s="24">
        <f>VLOOKUP($A11,'IP1'!$B$29:$F$32,5,0)
*VLOOKUP($A11,Sales!$A$2:$M$5,COLUMN()-2,0)*
VLOOKUP(VLOOKUP($A11,'IP1'!$B$29:$D$32,3,0),VATrates,IF(YEAR(O$1)=2013,5,6),0)</f>
        <v>10350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6"/>
    </row>
    <row r="12" spans="1:47">
      <c r="A12" s="7"/>
      <c r="B12" s="7"/>
      <c r="C12" s="24"/>
      <c r="D12" s="21">
        <f t="shared" ref="D12:O12" si="2">SUM(D8:D11)</f>
        <v>4920.0109723214282</v>
      </c>
      <c r="E12" s="21">
        <f t="shared" si="2"/>
        <v>4920.0109723214282</v>
      </c>
      <c r="F12" s="21">
        <f t="shared" si="2"/>
        <v>13508.921220535714</v>
      </c>
      <c r="G12" s="21">
        <f t="shared" si="2"/>
        <v>14760.032916964286</v>
      </c>
      <c r="H12" s="21">
        <f t="shared" si="2"/>
        <v>27017.842441071429</v>
      </c>
      <c r="I12" s="21">
        <f t="shared" si="2"/>
        <v>27017.842441071429</v>
      </c>
      <c r="J12" s="21">
        <f t="shared" si="2"/>
        <v>27956.176213392857</v>
      </c>
      <c r="K12" s="21">
        <f t="shared" si="2"/>
        <v>27956.176213392857</v>
      </c>
      <c r="L12" s="21">
        <f t="shared" si="2"/>
        <v>27017.842441071429</v>
      </c>
      <c r="M12" s="21">
        <f t="shared" si="2"/>
        <v>26705.064516964288</v>
      </c>
      <c r="N12" s="21">
        <f t="shared" si="2"/>
        <v>4920.0109723214282</v>
      </c>
      <c r="O12" s="21">
        <f t="shared" si="2"/>
        <v>23661.721089285715</v>
      </c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16"/>
    </row>
    <row r="13" spans="1:47">
      <c r="A13" s="92" t="s">
        <v>212</v>
      </c>
      <c r="B13" s="92"/>
      <c r="C13" s="2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4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</row>
    <row r="14" spans="1:47">
      <c r="A14" s="16" t="s">
        <v>10</v>
      </c>
      <c r="B14" s="16" t="s">
        <v>440</v>
      </c>
      <c r="C14" s="24"/>
      <c r="D14" s="24">
        <f>VLOOKUP($A14&amp;$B14,OH!$A$2:$AB$62,COLUMN(D14)+1,0)*
VLOOKUP(VLOOKUP($A14&amp;$B14,'IP1'!$A$37:$F$89,6,0),
VATrates,
IF(YEAR(D$1)=2013,5,6),0)</f>
        <v>287.5</v>
      </c>
      <c r="E14" s="24">
        <f>VLOOKUP($A14&amp;$B14,OH!$A$2:$AB$62,COLUMN(E14)+1,0)*
VLOOKUP(VLOOKUP($A14&amp;$B14,'IP1'!$A$37:$F$89,6,0),
VATrates,
IF(YEAR(E$1)=2013,5,6),0)</f>
        <v>0</v>
      </c>
      <c r="F14" s="24">
        <f>VLOOKUP($A14&amp;$B14,OH!$A$2:$AB$62,COLUMN(F14)+1,0)*
VLOOKUP(VLOOKUP($A14&amp;$B14,'IP1'!$A$37:$F$89,6,0),
VATrates,
IF(YEAR(F$1)=2013,5,6),0)</f>
        <v>0</v>
      </c>
      <c r="G14" s="24">
        <f>VLOOKUP($A14&amp;$B14,OH!$A$2:$AB$62,COLUMN(G14)+1,0)*
VLOOKUP(VLOOKUP($A14&amp;$B14,'IP1'!$A$37:$F$89,6,0),
VATrates,
IF(YEAR(G$1)=2013,5,6),0)</f>
        <v>287.5</v>
      </c>
      <c r="H14" s="24">
        <f>VLOOKUP($A14&amp;$B14,OH!$A$2:$AB$62,COLUMN(H14)+1,0)*
VLOOKUP(VLOOKUP($A14&amp;$B14,'IP1'!$A$37:$F$89,6,0),
VATrates,
IF(YEAR(H$1)=2013,5,6),0)</f>
        <v>0</v>
      </c>
      <c r="I14" s="24">
        <f>VLOOKUP($A14&amp;$B14,OH!$A$2:$AB$62,COLUMN(I14)+1,0)*
VLOOKUP(VLOOKUP($A14&amp;$B14,'IP1'!$A$37:$F$89,6,0),
VATrates,
IF(YEAR(I$1)=2013,5,6),0)</f>
        <v>0</v>
      </c>
      <c r="J14" s="24">
        <f>VLOOKUP($A14&amp;$B14,OH!$A$2:$AB$62,COLUMN(J14)+1,0)*
VLOOKUP(VLOOKUP($A14&amp;$B14,'IP1'!$A$37:$F$89,6,0),
VATrates,
IF(YEAR(J$1)=2013,5,6),0)</f>
        <v>287.5</v>
      </c>
      <c r="K14" s="24">
        <f>VLOOKUP($A14&amp;$B14,OH!$A$2:$AB$62,COLUMN(K14)+1,0)*
VLOOKUP(VLOOKUP($A14&amp;$B14,'IP1'!$A$37:$F$89,6,0),
VATrates,
IF(YEAR(K$1)=2013,5,6),0)</f>
        <v>0</v>
      </c>
      <c r="L14" s="24">
        <f>VLOOKUP($A14&amp;$B14,OH!$A$2:$AB$62,COLUMN(L14)+1,0)*
VLOOKUP(VLOOKUP($A14&amp;$B14,'IP1'!$A$37:$F$89,6,0),
VATrates,
IF(YEAR(L$1)=2013,5,6),0)</f>
        <v>0</v>
      </c>
      <c r="M14" s="24">
        <f>VLOOKUP($A14&amp;$B14,OH!$A$2:$AB$62,COLUMN(M14)+1,0)*
VLOOKUP(VLOOKUP($A14&amp;$B14,'IP1'!$A$37:$F$89,6,0),
VATrates,
IF(YEAR(M$1)=2013,5,6),0)</f>
        <v>287.5</v>
      </c>
      <c r="N14" s="24">
        <f>VLOOKUP($A14&amp;$B14,OH!$A$2:$AB$62,COLUMN(N14)+1,0)*
VLOOKUP(VLOOKUP($A14&amp;$B14,'IP1'!$A$37:$F$89,6,0),
VATrates,
IF(YEAR(N$1)=2013,5,6),0)</f>
        <v>0</v>
      </c>
      <c r="O14" s="24">
        <f>VLOOKUP($A14&amp;$B14,OH!$A$2:$AB$62,COLUMN(O14)+1,0)*
VLOOKUP(VLOOKUP($A14&amp;$B14,'IP1'!$A$37:$F$89,6,0),
VATrates,
IF(YEAR(O$1)=2013,5,6),0)</f>
        <v>0</v>
      </c>
      <c r="P14" s="17"/>
    </row>
    <row r="15" spans="1:47">
      <c r="A15" s="16" t="s">
        <v>10</v>
      </c>
      <c r="B15" s="16" t="s">
        <v>441</v>
      </c>
      <c r="C15" s="24"/>
      <c r="D15" s="24">
        <f>VLOOKUP($A15&amp;$B15,OH!$A$2:$AB$62,COLUMN(D15)+1,0)*
VLOOKUP(VLOOKUP($A15&amp;$B15,'IP1'!$A$37:$F$89,6,0),
VATrates,
IF(YEAR(D$1)=2013,5,6),0)</f>
        <v>287.5</v>
      </c>
      <c r="E15" s="24">
        <f>VLOOKUP($A15&amp;$B15,OH!$A$2:$AB$62,COLUMN(E15)+1,0)*
VLOOKUP(VLOOKUP($A15&amp;$B15,'IP1'!$A$37:$F$89,6,0),
VATrates,
IF(YEAR(E$1)=2013,5,6),0)</f>
        <v>0</v>
      </c>
      <c r="F15" s="24">
        <f>VLOOKUP($A15&amp;$B15,OH!$A$2:$AB$62,COLUMN(F15)+1,0)*
VLOOKUP(VLOOKUP($A15&amp;$B15,'IP1'!$A$37:$F$89,6,0),
VATrates,
IF(YEAR(F$1)=2013,5,6),0)</f>
        <v>0</v>
      </c>
      <c r="G15" s="24">
        <f>VLOOKUP($A15&amp;$B15,OH!$A$2:$AB$62,COLUMN(G15)+1,0)*
VLOOKUP(VLOOKUP($A15&amp;$B15,'IP1'!$A$37:$F$89,6,0),
VATrates,
IF(YEAR(G$1)=2013,5,6),0)</f>
        <v>287.5</v>
      </c>
      <c r="H15" s="24">
        <f>VLOOKUP($A15&amp;$B15,OH!$A$2:$AB$62,COLUMN(H15)+1,0)*
VLOOKUP(VLOOKUP($A15&amp;$B15,'IP1'!$A$37:$F$89,6,0),
VATrates,
IF(YEAR(H$1)=2013,5,6),0)</f>
        <v>0</v>
      </c>
      <c r="I15" s="24">
        <f>VLOOKUP($A15&amp;$B15,OH!$A$2:$AB$62,COLUMN(I15)+1,0)*
VLOOKUP(VLOOKUP($A15&amp;$B15,'IP1'!$A$37:$F$89,6,0),
VATrates,
IF(YEAR(I$1)=2013,5,6),0)</f>
        <v>0</v>
      </c>
      <c r="J15" s="24">
        <f>VLOOKUP($A15&amp;$B15,OH!$A$2:$AB$62,COLUMN(J15)+1,0)*
VLOOKUP(VLOOKUP($A15&amp;$B15,'IP1'!$A$37:$F$89,6,0),
VATrates,
IF(YEAR(J$1)=2013,5,6),0)</f>
        <v>287.5</v>
      </c>
      <c r="K15" s="24">
        <f>VLOOKUP($A15&amp;$B15,OH!$A$2:$AB$62,COLUMN(K15)+1,0)*
VLOOKUP(VLOOKUP($A15&amp;$B15,'IP1'!$A$37:$F$89,6,0),
VATrates,
IF(YEAR(K$1)=2013,5,6),0)</f>
        <v>0</v>
      </c>
      <c r="L15" s="24">
        <f>VLOOKUP($A15&amp;$B15,OH!$A$2:$AB$62,COLUMN(L15)+1,0)*
VLOOKUP(VLOOKUP($A15&amp;$B15,'IP1'!$A$37:$F$89,6,0),
VATrates,
IF(YEAR(L$1)=2013,5,6),0)</f>
        <v>0</v>
      </c>
      <c r="M15" s="24">
        <f>VLOOKUP($A15&amp;$B15,OH!$A$2:$AB$62,COLUMN(M15)+1,0)*
VLOOKUP(VLOOKUP($A15&amp;$B15,'IP1'!$A$37:$F$89,6,0),
VATrates,
IF(YEAR(M$1)=2013,5,6),0)</f>
        <v>287.5</v>
      </c>
      <c r="N15" s="24">
        <f>VLOOKUP($A15&amp;$B15,OH!$A$2:$AB$62,COLUMN(N15)+1,0)*
VLOOKUP(VLOOKUP($A15&amp;$B15,'IP1'!$A$37:$F$89,6,0),
VATrates,
IF(YEAR(N$1)=2013,5,6),0)</f>
        <v>0</v>
      </c>
      <c r="O15" s="24">
        <f>VLOOKUP($A15&amp;$B15,OH!$A$2:$AB$62,COLUMN(O15)+1,0)*
VLOOKUP(VLOOKUP($A15&amp;$B15,'IP1'!$A$37:$F$89,6,0),
VATrates,
IF(YEAR(O$1)=2013,5,6),0)</f>
        <v>0</v>
      </c>
      <c r="P15" s="17"/>
    </row>
    <row r="16" spans="1:47">
      <c r="A16" s="16" t="s">
        <v>10</v>
      </c>
      <c r="B16" s="16" t="s">
        <v>442</v>
      </c>
      <c r="C16" s="24"/>
      <c r="D16" s="24">
        <f>VLOOKUP($A16&amp;$B16,OH!$A$2:$AB$62,COLUMN(D16)+1,0)*
VLOOKUP(VLOOKUP($A16&amp;$B16,'IP1'!$A$37:$F$89,6,0),
VATrates,
IF(YEAR(D$1)=2013,5,6),0)</f>
        <v>0</v>
      </c>
      <c r="E16" s="24">
        <f>VLOOKUP($A16&amp;$B16,OH!$A$2:$AB$62,COLUMN(E16)+1,0)*
VLOOKUP(VLOOKUP($A16&amp;$B16,'IP1'!$A$37:$F$89,6,0),
VATrates,
IF(YEAR(E$1)=2013,5,6),0)</f>
        <v>0</v>
      </c>
      <c r="F16" s="24">
        <f>VLOOKUP($A16&amp;$B16,OH!$A$2:$AB$62,COLUMN(F16)+1,0)*
VLOOKUP(VLOOKUP($A16&amp;$B16,'IP1'!$A$37:$F$89,6,0),
VATrates,
IF(YEAR(F$1)=2013,5,6),0)</f>
        <v>287.5</v>
      </c>
      <c r="G16" s="24">
        <f>VLOOKUP($A16&amp;$B16,OH!$A$2:$AB$62,COLUMN(G16)+1,0)*
VLOOKUP(VLOOKUP($A16&amp;$B16,'IP1'!$A$37:$F$89,6,0),
VATrates,
IF(YEAR(G$1)=2013,5,6),0)</f>
        <v>0</v>
      </c>
      <c r="H16" s="24">
        <f>VLOOKUP($A16&amp;$B16,OH!$A$2:$AB$62,COLUMN(H16)+1,0)*
VLOOKUP(VLOOKUP($A16&amp;$B16,'IP1'!$A$37:$F$89,6,0),
VATrates,
IF(YEAR(H$1)=2013,5,6),0)</f>
        <v>0</v>
      </c>
      <c r="I16" s="24">
        <f>VLOOKUP($A16&amp;$B16,OH!$A$2:$AB$62,COLUMN(I16)+1,0)*
VLOOKUP(VLOOKUP($A16&amp;$B16,'IP1'!$A$37:$F$89,6,0),
VATrates,
IF(YEAR(I$1)=2013,5,6),0)</f>
        <v>287.5</v>
      </c>
      <c r="J16" s="24">
        <f>VLOOKUP($A16&amp;$B16,OH!$A$2:$AB$62,COLUMN(J16)+1,0)*
VLOOKUP(VLOOKUP($A16&amp;$B16,'IP1'!$A$37:$F$89,6,0),
VATrates,
IF(YEAR(J$1)=2013,5,6),0)</f>
        <v>0</v>
      </c>
      <c r="K16" s="24">
        <f>VLOOKUP($A16&amp;$B16,OH!$A$2:$AB$62,COLUMN(K16)+1,0)*
VLOOKUP(VLOOKUP($A16&amp;$B16,'IP1'!$A$37:$F$89,6,0),
VATrates,
IF(YEAR(K$1)=2013,5,6),0)</f>
        <v>0</v>
      </c>
      <c r="L16" s="24">
        <f>VLOOKUP($A16&amp;$B16,OH!$A$2:$AB$62,COLUMN(L16)+1,0)*
VLOOKUP(VLOOKUP($A16&amp;$B16,'IP1'!$A$37:$F$89,6,0),
VATrates,
IF(YEAR(L$1)=2013,5,6),0)</f>
        <v>287.5</v>
      </c>
      <c r="M16" s="24">
        <f>VLOOKUP($A16&amp;$B16,OH!$A$2:$AB$62,COLUMN(M16)+1,0)*
VLOOKUP(VLOOKUP($A16&amp;$B16,'IP1'!$A$37:$F$89,6,0),
VATrates,
IF(YEAR(M$1)=2013,5,6),0)</f>
        <v>0</v>
      </c>
      <c r="N16" s="24">
        <f>VLOOKUP($A16&amp;$B16,OH!$A$2:$AB$62,COLUMN(N16)+1,0)*
VLOOKUP(VLOOKUP($A16&amp;$B16,'IP1'!$A$37:$F$89,6,0),
VATrates,
IF(YEAR(N$1)=2013,5,6),0)</f>
        <v>0</v>
      </c>
      <c r="O16" s="24">
        <f>VLOOKUP($A16&amp;$B16,OH!$A$2:$AB$62,COLUMN(O16)+1,0)*
VLOOKUP(VLOOKUP($A16&amp;$B16,'IP1'!$A$37:$F$89,6,0),
VATrates,
IF(YEAR(O$1)=2013,5,6),0)</f>
        <v>287.5</v>
      </c>
      <c r="P16" s="17"/>
    </row>
    <row r="17" spans="1:16">
      <c r="A17" s="16" t="s">
        <v>10</v>
      </c>
      <c r="B17" s="16" t="s">
        <v>29</v>
      </c>
      <c r="C17" s="24"/>
      <c r="D17" s="24">
        <f>VLOOKUP($A17&amp;$B17,OH!$A$2:$AB$62,COLUMN(D17)+1,0)*
VLOOKUP(VLOOKUP($A17&amp;$B17,'IP1'!$A$37:$F$89,6,0),
VATrates,
IF(YEAR(D$1)=2013,5,6),0)</f>
        <v>287.5</v>
      </c>
      <c r="E17" s="24">
        <f>VLOOKUP($A17&amp;$B17,OH!$A$2:$AB$62,COLUMN(E17)+1,0)*
VLOOKUP(VLOOKUP($A17&amp;$B17,'IP1'!$A$37:$F$89,6,0),
VATrates,
IF(YEAR(E$1)=2013,5,6),0)</f>
        <v>0</v>
      </c>
      <c r="F17" s="24">
        <f>VLOOKUP($A17&amp;$B17,OH!$A$2:$AB$62,COLUMN(F17)+1,0)*
VLOOKUP(VLOOKUP($A17&amp;$B17,'IP1'!$A$37:$F$89,6,0),
VATrates,
IF(YEAR(F$1)=2013,5,6),0)</f>
        <v>0</v>
      </c>
      <c r="G17" s="24">
        <f>VLOOKUP($A17&amp;$B17,OH!$A$2:$AB$62,COLUMN(G17)+1,0)*
VLOOKUP(VLOOKUP($A17&amp;$B17,'IP1'!$A$37:$F$89,6,0),
VATrates,
IF(YEAR(G$1)=2013,5,6),0)</f>
        <v>287.5</v>
      </c>
      <c r="H17" s="24">
        <f>VLOOKUP($A17&amp;$B17,OH!$A$2:$AB$62,COLUMN(H17)+1,0)*
VLOOKUP(VLOOKUP($A17&amp;$B17,'IP1'!$A$37:$F$89,6,0),
VATrates,
IF(YEAR(H$1)=2013,5,6),0)</f>
        <v>0</v>
      </c>
      <c r="I17" s="24">
        <f>VLOOKUP($A17&amp;$B17,OH!$A$2:$AB$62,COLUMN(I17)+1,0)*
VLOOKUP(VLOOKUP($A17&amp;$B17,'IP1'!$A$37:$F$89,6,0),
VATrates,
IF(YEAR(I$1)=2013,5,6),0)</f>
        <v>0</v>
      </c>
      <c r="J17" s="24">
        <f>VLOOKUP($A17&amp;$B17,OH!$A$2:$AB$62,COLUMN(J17)+1,0)*
VLOOKUP(VLOOKUP($A17&amp;$B17,'IP1'!$A$37:$F$89,6,0),
VATrates,
IF(YEAR(J$1)=2013,5,6),0)</f>
        <v>287.5</v>
      </c>
      <c r="K17" s="24">
        <f>VLOOKUP($A17&amp;$B17,OH!$A$2:$AB$62,COLUMN(K17)+1,0)*
VLOOKUP(VLOOKUP($A17&amp;$B17,'IP1'!$A$37:$F$89,6,0),
VATrates,
IF(YEAR(K$1)=2013,5,6),0)</f>
        <v>0</v>
      </c>
      <c r="L17" s="24">
        <f>VLOOKUP($A17&amp;$B17,OH!$A$2:$AB$62,COLUMN(L17)+1,0)*
VLOOKUP(VLOOKUP($A17&amp;$B17,'IP1'!$A$37:$F$89,6,0),
VATrates,
IF(YEAR(L$1)=2013,5,6),0)</f>
        <v>0</v>
      </c>
      <c r="M17" s="24">
        <f>VLOOKUP($A17&amp;$B17,OH!$A$2:$AB$62,COLUMN(M17)+1,0)*
VLOOKUP(VLOOKUP($A17&amp;$B17,'IP1'!$A$37:$F$89,6,0),
VATrates,
IF(YEAR(M$1)=2013,5,6),0)</f>
        <v>287.5</v>
      </c>
      <c r="N17" s="24">
        <f>VLOOKUP($A17&amp;$B17,OH!$A$2:$AB$62,COLUMN(N17)+1,0)*
VLOOKUP(VLOOKUP($A17&amp;$B17,'IP1'!$A$37:$F$89,6,0),
VATrates,
IF(YEAR(N$1)=2013,5,6),0)</f>
        <v>0</v>
      </c>
      <c r="O17" s="24">
        <f>VLOOKUP($A17&amp;$B17,OH!$A$2:$AB$62,COLUMN(O17)+1,0)*
VLOOKUP(VLOOKUP($A17&amp;$B17,'IP1'!$A$37:$F$89,6,0),
VATrates,
IF(YEAR(O$1)=2013,5,6),0)</f>
        <v>0</v>
      </c>
      <c r="P17" s="17"/>
    </row>
    <row r="18" spans="1:16">
      <c r="A18" s="16" t="s">
        <v>10</v>
      </c>
      <c r="B18" s="16" t="s">
        <v>4</v>
      </c>
      <c r="C18" s="24"/>
      <c r="D18" s="24">
        <f>VLOOKUP($A18&amp;$B18,OH!$A$2:$AB$62,COLUMN(D18)+1,0)*
VLOOKUP(VLOOKUP($A18&amp;$B18,'IP1'!$A$37:$F$89,6,0),
VATrates,
IF(YEAR(D$1)=2013,5,6),0)</f>
        <v>0</v>
      </c>
      <c r="E18" s="24">
        <f>VLOOKUP($A18&amp;$B18,OH!$A$2:$AB$62,COLUMN(E18)+1,0)*
VLOOKUP(VLOOKUP($A18&amp;$B18,'IP1'!$A$37:$F$89,6,0),
VATrates,
IF(YEAR(E$1)=2013,5,6),0)</f>
        <v>287.5</v>
      </c>
      <c r="F18" s="24">
        <f>VLOOKUP($A18&amp;$B18,OH!$A$2:$AB$62,COLUMN(F18)+1,0)*
VLOOKUP(VLOOKUP($A18&amp;$B18,'IP1'!$A$37:$F$89,6,0),
VATrates,
IF(YEAR(F$1)=2013,5,6),0)</f>
        <v>0</v>
      </c>
      <c r="G18" s="24">
        <f>VLOOKUP($A18&amp;$B18,OH!$A$2:$AB$62,COLUMN(G18)+1,0)*
VLOOKUP(VLOOKUP($A18&amp;$B18,'IP1'!$A$37:$F$89,6,0),
VATrates,
IF(YEAR(G$1)=2013,5,6),0)</f>
        <v>0</v>
      </c>
      <c r="H18" s="24">
        <f>VLOOKUP($A18&amp;$B18,OH!$A$2:$AB$62,COLUMN(H18)+1,0)*
VLOOKUP(VLOOKUP($A18&amp;$B18,'IP1'!$A$37:$F$89,6,0),
VATrates,
IF(YEAR(H$1)=2013,5,6),0)</f>
        <v>287.5</v>
      </c>
      <c r="I18" s="24">
        <f>VLOOKUP($A18&amp;$B18,OH!$A$2:$AB$62,COLUMN(I18)+1,0)*
VLOOKUP(VLOOKUP($A18&amp;$B18,'IP1'!$A$37:$F$89,6,0),
VATrates,
IF(YEAR(I$1)=2013,5,6),0)</f>
        <v>0</v>
      </c>
      <c r="J18" s="24">
        <f>VLOOKUP($A18&amp;$B18,OH!$A$2:$AB$62,COLUMN(J18)+1,0)*
VLOOKUP(VLOOKUP($A18&amp;$B18,'IP1'!$A$37:$F$89,6,0),
VATrates,
IF(YEAR(J$1)=2013,5,6),0)</f>
        <v>0</v>
      </c>
      <c r="K18" s="24">
        <f>VLOOKUP($A18&amp;$B18,OH!$A$2:$AB$62,COLUMN(K18)+1,0)*
VLOOKUP(VLOOKUP($A18&amp;$B18,'IP1'!$A$37:$F$89,6,0),
VATrates,
IF(YEAR(K$1)=2013,5,6),0)</f>
        <v>287.5</v>
      </c>
      <c r="L18" s="24">
        <f>VLOOKUP($A18&amp;$B18,OH!$A$2:$AB$62,COLUMN(L18)+1,0)*
VLOOKUP(VLOOKUP($A18&amp;$B18,'IP1'!$A$37:$F$89,6,0),
VATrates,
IF(YEAR(L$1)=2013,5,6),0)</f>
        <v>0</v>
      </c>
      <c r="M18" s="24">
        <f>VLOOKUP($A18&amp;$B18,OH!$A$2:$AB$62,COLUMN(M18)+1,0)*
VLOOKUP(VLOOKUP($A18&amp;$B18,'IP1'!$A$37:$F$89,6,0),
VATrates,
IF(YEAR(M$1)=2013,5,6),0)</f>
        <v>0</v>
      </c>
      <c r="N18" s="24">
        <f>VLOOKUP($A18&amp;$B18,OH!$A$2:$AB$62,COLUMN(N18)+1,0)*
VLOOKUP(VLOOKUP($A18&amp;$B18,'IP1'!$A$37:$F$89,6,0),
VATrates,
IF(YEAR(N$1)=2013,5,6),0)</f>
        <v>287.5</v>
      </c>
      <c r="O18" s="24">
        <f>VLOOKUP($A18&amp;$B18,OH!$A$2:$AB$62,COLUMN(O18)+1,0)*
VLOOKUP(VLOOKUP($A18&amp;$B18,'IP1'!$A$37:$F$89,6,0),
VATrates,
IF(YEAR(O$1)=2013,5,6),0)</f>
        <v>0</v>
      </c>
      <c r="P18" s="17"/>
    </row>
    <row r="19" spans="1:16">
      <c r="A19" s="16" t="s">
        <v>155</v>
      </c>
      <c r="B19" s="16" t="s">
        <v>452</v>
      </c>
      <c r="C19" s="24"/>
      <c r="D19" s="24">
        <f>VLOOKUP($A19&amp;$B19,OH!$A$2:$AB$62,COLUMN(D19)+1,0)*
VLOOKUP(VLOOKUP($A19&amp;$B19,'IP1'!$A$37:$F$89,6,0),
VATrates,
IF(YEAR(D$1)=2013,5,6),0)</f>
        <v>57.5</v>
      </c>
      <c r="E19" s="24">
        <f>VLOOKUP($A19&amp;$B19,OH!$A$2:$AB$62,COLUMN(E19)+1,0)*
VLOOKUP(VLOOKUP($A19&amp;$B19,'IP1'!$A$37:$F$89,6,0),
VATrates,
IF(YEAR(E$1)=2013,5,6),0)</f>
        <v>0</v>
      </c>
      <c r="F19" s="24">
        <f>VLOOKUP($A19&amp;$B19,OH!$A$2:$AB$62,COLUMN(F19)+1,0)*
VLOOKUP(VLOOKUP($A19&amp;$B19,'IP1'!$A$37:$F$89,6,0),
VATrates,
IF(YEAR(F$1)=2013,5,6),0)</f>
        <v>0</v>
      </c>
      <c r="G19" s="24">
        <f>VLOOKUP($A19&amp;$B19,OH!$A$2:$AB$62,COLUMN(G19)+1,0)*
VLOOKUP(VLOOKUP($A19&amp;$B19,'IP1'!$A$37:$F$89,6,0),
VATrates,
IF(YEAR(G$1)=2013,5,6),0)</f>
        <v>57.5</v>
      </c>
      <c r="H19" s="24">
        <f>VLOOKUP($A19&amp;$B19,OH!$A$2:$AB$62,COLUMN(H19)+1,0)*
VLOOKUP(VLOOKUP($A19&amp;$B19,'IP1'!$A$37:$F$89,6,0),
VATrates,
IF(YEAR(H$1)=2013,5,6),0)</f>
        <v>0</v>
      </c>
      <c r="I19" s="24">
        <f>VLOOKUP($A19&amp;$B19,OH!$A$2:$AB$62,COLUMN(I19)+1,0)*
VLOOKUP(VLOOKUP($A19&amp;$B19,'IP1'!$A$37:$F$89,6,0),
VATrates,
IF(YEAR(I$1)=2013,5,6),0)</f>
        <v>0</v>
      </c>
      <c r="J19" s="24">
        <f>VLOOKUP($A19&amp;$B19,OH!$A$2:$AB$62,COLUMN(J19)+1,0)*
VLOOKUP(VLOOKUP($A19&amp;$B19,'IP1'!$A$37:$F$89,6,0),
VATrates,
IF(YEAR(J$1)=2013,5,6),0)</f>
        <v>57.5</v>
      </c>
      <c r="K19" s="24">
        <f>VLOOKUP($A19&amp;$B19,OH!$A$2:$AB$62,COLUMN(K19)+1,0)*
VLOOKUP(VLOOKUP($A19&amp;$B19,'IP1'!$A$37:$F$89,6,0),
VATrates,
IF(YEAR(K$1)=2013,5,6),0)</f>
        <v>0</v>
      </c>
      <c r="L19" s="24">
        <f>VLOOKUP($A19&amp;$B19,OH!$A$2:$AB$62,COLUMN(L19)+1,0)*
VLOOKUP(VLOOKUP($A19&amp;$B19,'IP1'!$A$37:$F$89,6,0),
VATrates,
IF(YEAR(L$1)=2013,5,6),0)</f>
        <v>0</v>
      </c>
      <c r="M19" s="24">
        <f>VLOOKUP($A19&amp;$B19,OH!$A$2:$AB$62,COLUMN(M19)+1,0)*
VLOOKUP(VLOOKUP($A19&amp;$B19,'IP1'!$A$37:$F$89,6,0),
VATrates,
IF(YEAR(M$1)=2013,5,6),0)</f>
        <v>57.5</v>
      </c>
      <c r="N19" s="24">
        <f>VLOOKUP($A19&amp;$B19,OH!$A$2:$AB$62,COLUMN(N19)+1,0)*
VLOOKUP(VLOOKUP($A19&amp;$B19,'IP1'!$A$37:$F$89,6,0),
VATrates,
IF(YEAR(N$1)=2013,5,6),0)</f>
        <v>0</v>
      </c>
      <c r="O19" s="24">
        <f>VLOOKUP($A19&amp;$B19,OH!$A$2:$AB$62,COLUMN(O19)+1,0)*
VLOOKUP(VLOOKUP($A19&amp;$B19,'IP1'!$A$37:$F$89,6,0),
VATrates,
IF(YEAR(O$1)=2013,5,6),0)</f>
        <v>0</v>
      </c>
      <c r="P19" s="17"/>
    </row>
    <row r="20" spans="1:16">
      <c r="A20" s="16" t="s">
        <v>155</v>
      </c>
      <c r="B20" s="16" t="s">
        <v>30</v>
      </c>
      <c r="C20" s="24"/>
      <c r="D20" s="24">
        <f>VLOOKUP($A20&amp;$B20,OH!$A$2:$AB$62,COLUMN(D20)+1,0)*
VLOOKUP(VLOOKUP($A20&amp;$B20,'IP1'!$A$37:$F$89,6,0),
VATrates,
IF(YEAR(D$1)=2013,5,6),0)</f>
        <v>34.254058125</v>
      </c>
      <c r="E20" s="24">
        <f>VLOOKUP($A20&amp;$B20,OH!$A$2:$AB$62,COLUMN(E20)+1,0)*
VLOOKUP(VLOOKUP($A20&amp;$B20,'IP1'!$A$37:$F$89,6,0),
VATrates,
IF(YEAR(E$1)=2013,5,6),0)</f>
        <v>34.254058125</v>
      </c>
      <c r="F20" s="24">
        <f>VLOOKUP($A20&amp;$B20,OH!$A$2:$AB$62,COLUMN(F20)+1,0)*
VLOOKUP(VLOOKUP($A20&amp;$B20,'IP1'!$A$37:$F$89,6,0),
VATrates,
IF(YEAR(F$1)=2013,5,6),0)</f>
        <v>102.762174375</v>
      </c>
      <c r="G20" s="24">
        <f>VLOOKUP($A20&amp;$B20,OH!$A$2:$AB$62,COLUMN(G20)+1,0)*
VLOOKUP(VLOOKUP($A20&amp;$B20,'IP1'!$A$37:$F$89,6,0),
VATrates,
IF(YEAR(G$1)=2013,5,6),0)</f>
        <v>102.762174375</v>
      </c>
      <c r="H20" s="24">
        <f>VLOOKUP($A20&amp;$B20,OH!$A$2:$AB$62,COLUMN(H20)+1,0)*
VLOOKUP(VLOOKUP($A20&amp;$B20,'IP1'!$A$37:$F$89,6,0),
VATrates,
IF(YEAR(H$1)=2013,5,6),0)</f>
        <v>205.52434875</v>
      </c>
      <c r="I20" s="24">
        <f>VLOOKUP($A20&amp;$B20,OH!$A$2:$AB$62,COLUMN(I20)+1,0)*
VLOOKUP(VLOOKUP($A20&amp;$B20,'IP1'!$A$37:$F$89,6,0),
VATrates,
IF(YEAR(I$1)=2013,5,6),0)</f>
        <v>205.52434875</v>
      </c>
      <c r="J20" s="24">
        <f>VLOOKUP($A20&amp;$B20,OH!$A$2:$AB$62,COLUMN(J20)+1,0)*
VLOOKUP(VLOOKUP($A20&amp;$B20,'IP1'!$A$37:$F$89,6,0),
VATrates,
IF(YEAR(J$1)=2013,5,6),0)</f>
        <v>205.52434875</v>
      </c>
      <c r="K20" s="24">
        <f>VLOOKUP($A20&amp;$B20,OH!$A$2:$AB$62,COLUMN(K20)+1,0)*
VLOOKUP(VLOOKUP($A20&amp;$B20,'IP1'!$A$37:$F$89,6,0),
VATrates,
IF(YEAR(K$1)=2013,5,6),0)</f>
        <v>205.52434875</v>
      </c>
      <c r="L20" s="24">
        <f>VLOOKUP($A20&amp;$B20,OH!$A$2:$AB$62,COLUMN(L20)+1,0)*
VLOOKUP(VLOOKUP($A20&amp;$B20,'IP1'!$A$37:$F$89,6,0),
VATrates,
IF(YEAR(L$1)=2013,5,6),0)</f>
        <v>205.52434875</v>
      </c>
      <c r="M20" s="24">
        <f>VLOOKUP($A20&amp;$B20,OH!$A$2:$AB$62,COLUMN(M20)+1,0)*
VLOOKUP(VLOOKUP($A20&amp;$B20,'IP1'!$A$37:$F$89,6,0),
VATrates,
IF(YEAR(M$1)=2013,5,6),0)</f>
        <v>205.52434875</v>
      </c>
      <c r="N20" s="24">
        <f>VLOOKUP($A20&amp;$B20,OH!$A$2:$AB$62,COLUMN(N20)+1,0)*
VLOOKUP(VLOOKUP($A20&amp;$B20,'IP1'!$A$37:$F$89,6,0),
VATrates,
IF(YEAR(N$1)=2013,5,6),0)</f>
        <v>34.254058125</v>
      </c>
      <c r="O20" s="24">
        <f>VLOOKUP($A20&amp;$B20,OH!$A$2:$AB$62,COLUMN(O20)+1,0)*
VLOOKUP(VLOOKUP($A20&amp;$B20,'IP1'!$A$37:$F$89,6,0),
VATrates,
IF(YEAR(O$1)=2013,5,6),0)</f>
        <v>171.27029062500003</v>
      </c>
      <c r="P20" s="17"/>
    </row>
    <row r="21" spans="1:16">
      <c r="A21" s="16" t="s">
        <v>155</v>
      </c>
      <c r="B21" s="16" t="s">
        <v>31</v>
      </c>
      <c r="C21" s="24"/>
      <c r="D21" s="24">
        <f>VLOOKUP($A21&amp;$B21,OH!$A$2:$AB$62,COLUMN(D21)+1,0)*
VLOOKUP(VLOOKUP($A21&amp;$B21,'IP1'!$A$37:$F$89,6,0),
VATrates,
IF(YEAR(D$1)=2013,5,6),0)</f>
        <v>958.33333333333348</v>
      </c>
      <c r="E21" s="24">
        <f>VLOOKUP($A21&amp;$B21,OH!$A$2:$AB$62,COLUMN(E21)+1,0)*
VLOOKUP(VLOOKUP($A21&amp;$B21,'IP1'!$A$37:$F$89,6,0),
VATrates,
IF(YEAR(E$1)=2013,5,6),0)</f>
        <v>958.33333333333348</v>
      </c>
      <c r="F21" s="24">
        <f>VLOOKUP($A21&amp;$B21,OH!$A$2:$AB$62,COLUMN(F21)+1,0)*
VLOOKUP(VLOOKUP($A21&amp;$B21,'IP1'!$A$37:$F$89,6,0),
VATrates,
IF(YEAR(F$1)=2013,5,6),0)</f>
        <v>958.33333333333348</v>
      </c>
      <c r="G21" s="24">
        <f>VLOOKUP($A21&amp;$B21,OH!$A$2:$AB$62,COLUMN(G21)+1,0)*
VLOOKUP(VLOOKUP($A21&amp;$B21,'IP1'!$A$37:$F$89,6,0),
VATrates,
IF(YEAR(G$1)=2013,5,6),0)</f>
        <v>958.33333333333348</v>
      </c>
      <c r="H21" s="24">
        <f>VLOOKUP($A21&amp;$B21,OH!$A$2:$AB$62,COLUMN(H21)+1,0)*
VLOOKUP(VLOOKUP($A21&amp;$B21,'IP1'!$A$37:$F$89,6,0),
VATrates,
IF(YEAR(H$1)=2013,5,6),0)</f>
        <v>958.33333333333348</v>
      </c>
      <c r="I21" s="24">
        <f>VLOOKUP($A21&amp;$B21,OH!$A$2:$AB$62,COLUMN(I21)+1,0)*
VLOOKUP(VLOOKUP($A21&amp;$B21,'IP1'!$A$37:$F$89,6,0),
VATrates,
IF(YEAR(I$1)=2013,5,6),0)</f>
        <v>958.33333333333348</v>
      </c>
      <c r="J21" s="24">
        <f>VLOOKUP($A21&amp;$B21,OH!$A$2:$AB$62,COLUMN(J21)+1,0)*
VLOOKUP(VLOOKUP($A21&amp;$B21,'IP1'!$A$37:$F$89,6,0),
VATrates,
IF(YEAR(J$1)=2013,5,6),0)</f>
        <v>958.33333333333348</v>
      </c>
      <c r="K21" s="24">
        <f>VLOOKUP($A21&amp;$B21,OH!$A$2:$AB$62,COLUMN(K21)+1,0)*
VLOOKUP(VLOOKUP($A21&amp;$B21,'IP1'!$A$37:$F$89,6,0),
VATrates,
IF(YEAR(K$1)=2013,5,6),0)</f>
        <v>958.33333333333348</v>
      </c>
      <c r="L21" s="24">
        <f>VLOOKUP($A21&amp;$B21,OH!$A$2:$AB$62,COLUMN(L21)+1,0)*
VLOOKUP(VLOOKUP($A21&amp;$B21,'IP1'!$A$37:$F$89,6,0),
VATrates,
IF(YEAR(L$1)=2013,5,6),0)</f>
        <v>958.33333333333348</v>
      </c>
      <c r="M21" s="24">
        <f>VLOOKUP($A21&amp;$B21,OH!$A$2:$AB$62,COLUMN(M21)+1,0)*
VLOOKUP(VLOOKUP($A21&amp;$B21,'IP1'!$A$37:$F$89,6,0),
VATrates,
IF(YEAR(M$1)=2013,5,6),0)</f>
        <v>958.33333333333348</v>
      </c>
      <c r="N21" s="24">
        <f>VLOOKUP($A21&amp;$B21,OH!$A$2:$AB$62,COLUMN(N21)+1,0)*
VLOOKUP(VLOOKUP($A21&amp;$B21,'IP1'!$A$37:$F$89,6,0),
VATrates,
IF(YEAR(N$1)=2013,5,6),0)</f>
        <v>958.33333333333348</v>
      </c>
      <c r="O21" s="24">
        <f>VLOOKUP($A21&amp;$B21,OH!$A$2:$AB$62,COLUMN(O21)+1,0)*
VLOOKUP(VLOOKUP($A21&amp;$B21,'IP1'!$A$37:$F$89,6,0),
VATrates,
IF(YEAR(O$1)=2013,5,6),0)</f>
        <v>958.33333333333348</v>
      </c>
      <c r="P21" s="17"/>
    </row>
    <row r="22" spans="1:16">
      <c r="A22" s="16" t="s">
        <v>155</v>
      </c>
      <c r="B22" s="16" t="s">
        <v>453</v>
      </c>
      <c r="C22" s="24"/>
      <c r="D22" s="24">
        <f>VLOOKUP($A22&amp;$B22,OH!$A$2:$AB$62,COLUMN(D22)+1,0)*
VLOOKUP(VLOOKUP($A22&amp;$B22,'IP1'!$A$37:$F$89,6,0),
VATrates,
IF(YEAR(D$1)=2013,5,6),0)</f>
        <v>92</v>
      </c>
      <c r="E22" s="24">
        <f>VLOOKUP($A22&amp;$B22,OH!$A$2:$AB$62,COLUMN(E22)+1,0)*
VLOOKUP(VLOOKUP($A22&amp;$B22,'IP1'!$A$37:$F$89,6,0),
VATrates,
IF(YEAR(E$1)=2013,5,6),0)</f>
        <v>92</v>
      </c>
      <c r="F22" s="24">
        <f>VLOOKUP($A22&amp;$B22,OH!$A$2:$AB$62,COLUMN(F22)+1,0)*
VLOOKUP(VLOOKUP($A22&amp;$B22,'IP1'!$A$37:$F$89,6,0),
VATrates,
IF(YEAR(F$1)=2013,5,6),0)</f>
        <v>276</v>
      </c>
      <c r="G22" s="24">
        <f>VLOOKUP($A22&amp;$B22,OH!$A$2:$AB$62,COLUMN(G22)+1,0)*
VLOOKUP(VLOOKUP($A22&amp;$B22,'IP1'!$A$37:$F$89,6,0),
VATrates,
IF(YEAR(G$1)=2013,5,6),0)</f>
        <v>276</v>
      </c>
      <c r="H22" s="24">
        <f>VLOOKUP($A22&amp;$B22,OH!$A$2:$AB$62,COLUMN(H22)+1,0)*
VLOOKUP(VLOOKUP($A22&amp;$B22,'IP1'!$A$37:$F$89,6,0),
VATrates,
IF(YEAR(H$1)=2013,5,6),0)</f>
        <v>552</v>
      </c>
      <c r="I22" s="24">
        <f>VLOOKUP($A22&amp;$B22,OH!$A$2:$AB$62,COLUMN(I22)+1,0)*
VLOOKUP(VLOOKUP($A22&amp;$B22,'IP1'!$A$37:$F$89,6,0),
VATrates,
IF(YEAR(I$1)=2013,5,6),0)</f>
        <v>552</v>
      </c>
      <c r="J22" s="24">
        <f>VLOOKUP($A22&amp;$B22,OH!$A$2:$AB$62,COLUMN(J22)+1,0)*
VLOOKUP(VLOOKUP($A22&amp;$B22,'IP1'!$A$37:$F$89,6,0),
VATrates,
IF(YEAR(J$1)=2013,5,6),0)</f>
        <v>552</v>
      </c>
      <c r="K22" s="24">
        <f>VLOOKUP($A22&amp;$B22,OH!$A$2:$AB$62,COLUMN(K22)+1,0)*
VLOOKUP(VLOOKUP($A22&amp;$B22,'IP1'!$A$37:$F$89,6,0),
VATrates,
IF(YEAR(K$1)=2013,5,6),0)</f>
        <v>552</v>
      </c>
      <c r="L22" s="24">
        <f>VLOOKUP($A22&amp;$B22,OH!$A$2:$AB$62,COLUMN(L22)+1,0)*
VLOOKUP(VLOOKUP($A22&amp;$B22,'IP1'!$A$37:$F$89,6,0),
VATrates,
IF(YEAR(L$1)=2013,5,6),0)</f>
        <v>552</v>
      </c>
      <c r="M22" s="24">
        <f>VLOOKUP($A22&amp;$B22,OH!$A$2:$AB$62,COLUMN(M22)+1,0)*
VLOOKUP(VLOOKUP($A22&amp;$B22,'IP1'!$A$37:$F$89,6,0),
VATrates,
IF(YEAR(M$1)=2013,5,6),0)</f>
        <v>552</v>
      </c>
      <c r="N22" s="24">
        <f>VLOOKUP($A22&amp;$B22,OH!$A$2:$AB$62,COLUMN(N22)+1,0)*
VLOOKUP(VLOOKUP($A22&amp;$B22,'IP1'!$A$37:$F$89,6,0),
VATrates,
IF(YEAR(N$1)=2013,5,6),0)</f>
        <v>92</v>
      </c>
      <c r="O22" s="24">
        <f>VLOOKUP($A22&amp;$B22,OH!$A$2:$AB$62,COLUMN(O22)+1,0)*
VLOOKUP(VLOOKUP($A22&amp;$B22,'IP1'!$A$37:$F$89,6,0),
VATrates,
IF(YEAR(O$1)=2013,5,6),0)</f>
        <v>460</v>
      </c>
      <c r="P22" s="17"/>
    </row>
    <row r="23" spans="1:16">
      <c r="A23" s="16" t="s">
        <v>155</v>
      </c>
      <c r="B23" s="16" t="s">
        <v>487</v>
      </c>
      <c r="C23" s="24"/>
      <c r="D23" s="24">
        <f>VLOOKUP($A23&amp;$B23,OH!$A$2:$AB$62,COLUMN(D23)+1,0)*
VLOOKUP(VLOOKUP($A23&amp;$B23,'IP1'!$A$37:$F$89,6,0),
VATrates,
IF(YEAR(D$1)=2013,5,6),0)</f>
        <v>248.4</v>
      </c>
      <c r="E23" s="24">
        <f>VLOOKUP($A23&amp;$B23,OH!$A$2:$AB$62,COLUMN(E23)+1,0)*
VLOOKUP(VLOOKUP($A23&amp;$B23,'IP1'!$A$37:$F$89,6,0),
VATrates,
IF(YEAR(E$1)=2013,5,6),0)</f>
        <v>248.4</v>
      </c>
      <c r="F23" s="24">
        <f>VLOOKUP($A23&amp;$B23,OH!$A$2:$AB$62,COLUMN(F23)+1,0)*
VLOOKUP(VLOOKUP($A23&amp;$B23,'IP1'!$A$37:$F$89,6,0),
VATrates,
IF(YEAR(F$1)=2013,5,6),0)</f>
        <v>414</v>
      </c>
      <c r="G23" s="24">
        <f>VLOOKUP($A23&amp;$B23,OH!$A$2:$AB$62,COLUMN(G23)+1,0)*
VLOOKUP(VLOOKUP($A23&amp;$B23,'IP1'!$A$37:$F$89,6,0),
VATrates,
IF(YEAR(G$1)=2013,5,6),0)</f>
        <v>745.2</v>
      </c>
      <c r="H23" s="24">
        <f>VLOOKUP($A23&amp;$B23,OH!$A$2:$AB$62,COLUMN(H23)+1,0)*
VLOOKUP(VLOOKUP($A23&amp;$B23,'IP1'!$A$37:$F$89,6,0),
VATrates,
IF(YEAR(H$1)=2013,5,6),0)</f>
        <v>828</v>
      </c>
      <c r="I23" s="24">
        <f>VLOOKUP($A23&amp;$B23,OH!$A$2:$AB$62,COLUMN(I23)+1,0)*
VLOOKUP(VLOOKUP($A23&amp;$B23,'IP1'!$A$37:$F$89,6,0),
VATrates,
IF(YEAR(I$1)=2013,5,6),0)</f>
        <v>828</v>
      </c>
      <c r="J23" s="24">
        <f>VLOOKUP($A23&amp;$B23,OH!$A$2:$AB$62,COLUMN(J23)+1,0)*
VLOOKUP(VLOOKUP($A23&amp;$B23,'IP1'!$A$37:$F$89,6,0),
VATrates,
IF(YEAR(J$1)=2013,5,6),0)</f>
        <v>1076.4000000000001</v>
      </c>
      <c r="K23" s="24">
        <f>VLOOKUP($A23&amp;$B23,OH!$A$2:$AB$62,COLUMN(K23)+1,0)*
VLOOKUP(VLOOKUP($A23&amp;$B23,'IP1'!$A$37:$F$89,6,0),
VATrates,
IF(YEAR(K$1)=2013,5,6),0)</f>
        <v>1076.4000000000001</v>
      </c>
      <c r="L23" s="24">
        <f>VLOOKUP($A23&amp;$B23,OH!$A$2:$AB$62,COLUMN(L23)+1,0)*
VLOOKUP(VLOOKUP($A23&amp;$B23,'IP1'!$A$37:$F$89,6,0),
VATrates,
IF(YEAR(L$1)=2013,5,6),0)</f>
        <v>828</v>
      </c>
      <c r="M23" s="24">
        <f>VLOOKUP($A23&amp;$B23,OH!$A$2:$AB$62,COLUMN(M23)+1,0)*
VLOOKUP(VLOOKUP($A23&amp;$B23,'IP1'!$A$37:$F$89,6,0),
VATrates,
IF(YEAR(M$1)=2013,5,6),0)</f>
        <v>745.2</v>
      </c>
      <c r="N23" s="24">
        <f>VLOOKUP($A23&amp;$B23,OH!$A$2:$AB$62,COLUMN(N23)+1,0)*
VLOOKUP(VLOOKUP($A23&amp;$B23,'IP1'!$A$37:$F$89,6,0),
VATrates,
IF(YEAR(N$1)=2013,5,6),0)</f>
        <v>248.4</v>
      </c>
      <c r="O23" s="24">
        <f>VLOOKUP($A23&amp;$B23,OH!$A$2:$AB$62,COLUMN(O23)+1,0)*
VLOOKUP(VLOOKUP($A23&amp;$B23,'IP1'!$A$37:$F$89,6,0),
VATrates,
IF(YEAR(O$1)=2013,5,6),0)</f>
        <v>993.6</v>
      </c>
      <c r="P23" s="17"/>
    </row>
    <row r="24" spans="1:16">
      <c r="A24" s="16" t="s">
        <v>155</v>
      </c>
      <c r="B24" s="16" t="s">
        <v>454</v>
      </c>
      <c r="C24" s="24"/>
      <c r="D24" s="24">
        <f>VLOOKUP($A24&amp;$B24,OH!$A$2:$AB$62,COLUMN(D24)+1,0)*
VLOOKUP(VLOOKUP($A24&amp;$B24,'IP1'!$A$37:$F$89,6,0),
VATrates,
IF(YEAR(D$1)=2013,5,6),0)</f>
        <v>0</v>
      </c>
      <c r="E24" s="24">
        <f>VLOOKUP($A24&amp;$B24,OH!$A$2:$AB$62,COLUMN(E24)+1,0)*
VLOOKUP(VLOOKUP($A24&amp;$B24,'IP1'!$A$37:$F$89,6,0),
VATrates,
IF(YEAR(E$1)=2013,5,6),0)</f>
        <v>57.5</v>
      </c>
      <c r="F24" s="24">
        <f>VLOOKUP($A24&amp;$B24,OH!$A$2:$AB$62,COLUMN(F24)+1,0)*
VLOOKUP(VLOOKUP($A24&amp;$B24,'IP1'!$A$37:$F$89,6,0),
VATrates,
IF(YEAR(F$1)=2013,5,6),0)</f>
        <v>0</v>
      </c>
      <c r="G24" s="24">
        <f>VLOOKUP($A24&amp;$B24,OH!$A$2:$AB$62,COLUMN(G24)+1,0)*
VLOOKUP(VLOOKUP($A24&amp;$B24,'IP1'!$A$37:$F$89,6,0),
VATrates,
IF(YEAR(G$1)=2013,5,6),0)</f>
        <v>0</v>
      </c>
      <c r="H24" s="24">
        <f>VLOOKUP($A24&amp;$B24,OH!$A$2:$AB$62,COLUMN(H24)+1,0)*
VLOOKUP(VLOOKUP($A24&amp;$B24,'IP1'!$A$37:$F$89,6,0),
VATrates,
IF(YEAR(H$1)=2013,5,6),0)</f>
        <v>57.5</v>
      </c>
      <c r="I24" s="24">
        <f>VLOOKUP($A24&amp;$B24,OH!$A$2:$AB$62,COLUMN(I24)+1,0)*
VLOOKUP(VLOOKUP($A24&amp;$B24,'IP1'!$A$37:$F$89,6,0),
VATrates,
IF(YEAR(I$1)=2013,5,6),0)</f>
        <v>0</v>
      </c>
      <c r="J24" s="24">
        <f>VLOOKUP($A24&amp;$B24,OH!$A$2:$AB$62,COLUMN(J24)+1,0)*
VLOOKUP(VLOOKUP($A24&amp;$B24,'IP1'!$A$37:$F$89,6,0),
VATrates,
IF(YEAR(J$1)=2013,5,6),0)</f>
        <v>0</v>
      </c>
      <c r="K24" s="24">
        <f>VLOOKUP($A24&amp;$B24,OH!$A$2:$AB$62,COLUMN(K24)+1,0)*
VLOOKUP(VLOOKUP($A24&amp;$B24,'IP1'!$A$37:$F$89,6,0),
VATrates,
IF(YEAR(K$1)=2013,5,6),0)</f>
        <v>57.5</v>
      </c>
      <c r="L24" s="24">
        <f>VLOOKUP($A24&amp;$B24,OH!$A$2:$AB$62,COLUMN(L24)+1,0)*
VLOOKUP(VLOOKUP($A24&amp;$B24,'IP1'!$A$37:$F$89,6,0),
VATrates,
IF(YEAR(L$1)=2013,5,6),0)</f>
        <v>0</v>
      </c>
      <c r="M24" s="24">
        <f>VLOOKUP($A24&amp;$B24,OH!$A$2:$AB$62,COLUMN(M24)+1,0)*
VLOOKUP(VLOOKUP($A24&amp;$B24,'IP1'!$A$37:$F$89,6,0),
VATrates,
IF(YEAR(M$1)=2013,5,6),0)</f>
        <v>0</v>
      </c>
      <c r="N24" s="24">
        <f>VLOOKUP($A24&amp;$B24,OH!$A$2:$AB$62,COLUMN(N24)+1,0)*
VLOOKUP(VLOOKUP($A24&amp;$B24,'IP1'!$A$37:$F$89,6,0),
VATrates,
IF(YEAR(N$1)=2013,5,6),0)</f>
        <v>57.5</v>
      </c>
      <c r="O24" s="24">
        <f>VLOOKUP($A24&amp;$B24,OH!$A$2:$AB$62,COLUMN(O24)+1,0)*
VLOOKUP(VLOOKUP($A24&amp;$B24,'IP1'!$A$37:$F$89,6,0),
VATrates,
IF(YEAR(O$1)=2013,5,6),0)</f>
        <v>0</v>
      </c>
      <c r="P24" s="17"/>
    </row>
    <row r="25" spans="1:16">
      <c r="A25" s="16" t="s">
        <v>155</v>
      </c>
      <c r="B25" s="16" t="s">
        <v>455</v>
      </c>
      <c r="C25" s="24"/>
      <c r="D25" s="24">
        <f>VLOOKUP($A25&amp;$B25,OH!$A$2:$AB$62,COLUMN(D25)+1,0)*
VLOOKUP(VLOOKUP($A25&amp;$B25,'IP1'!$A$37:$F$89,6,0),
VATrates,
IF(YEAR(D$1)=2013,5,6),0)</f>
        <v>191.66666666666669</v>
      </c>
      <c r="E25" s="24">
        <f>VLOOKUP($A25&amp;$B25,OH!$A$2:$AB$62,COLUMN(E25)+1,0)*
VLOOKUP(VLOOKUP($A25&amp;$B25,'IP1'!$A$37:$F$89,6,0),
VATrates,
IF(YEAR(E$1)=2013,5,6),0)</f>
        <v>191.66666666666669</v>
      </c>
      <c r="F25" s="24">
        <f>VLOOKUP($A25&amp;$B25,OH!$A$2:$AB$62,COLUMN(F25)+1,0)*
VLOOKUP(VLOOKUP($A25&amp;$B25,'IP1'!$A$37:$F$89,6,0),
VATrates,
IF(YEAR(F$1)=2013,5,6),0)</f>
        <v>191.66666666666669</v>
      </c>
      <c r="G25" s="24">
        <f>VLOOKUP($A25&amp;$B25,OH!$A$2:$AB$62,COLUMN(G25)+1,0)*
VLOOKUP(VLOOKUP($A25&amp;$B25,'IP1'!$A$37:$F$89,6,0),
VATrates,
IF(YEAR(G$1)=2013,5,6),0)</f>
        <v>191.66666666666669</v>
      </c>
      <c r="H25" s="24">
        <f>VLOOKUP($A25&amp;$B25,OH!$A$2:$AB$62,COLUMN(H25)+1,0)*
VLOOKUP(VLOOKUP($A25&amp;$B25,'IP1'!$A$37:$F$89,6,0),
VATrates,
IF(YEAR(H$1)=2013,5,6),0)</f>
        <v>191.66666666666669</v>
      </c>
      <c r="I25" s="24">
        <f>VLOOKUP($A25&amp;$B25,OH!$A$2:$AB$62,COLUMN(I25)+1,0)*
VLOOKUP(VLOOKUP($A25&amp;$B25,'IP1'!$A$37:$F$89,6,0),
VATrates,
IF(YEAR(I$1)=2013,5,6),0)</f>
        <v>191.66666666666669</v>
      </c>
      <c r="J25" s="24">
        <f>VLOOKUP($A25&amp;$B25,OH!$A$2:$AB$62,COLUMN(J25)+1,0)*
VLOOKUP(VLOOKUP($A25&amp;$B25,'IP1'!$A$37:$F$89,6,0),
VATrates,
IF(YEAR(J$1)=2013,5,6),0)</f>
        <v>191.66666666666669</v>
      </c>
      <c r="K25" s="24">
        <f>VLOOKUP($A25&amp;$B25,OH!$A$2:$AB$62,COLUMN(K25)+1,0)*
VLOOKUP(VLOOKUP($A25&amp;$B25,'IP1'!$A$37:$F$89,6,0),
VATrates,
IF(YEAR(K$1)=2013,5,6),0)</f>
        <v>191.66666666666669</v>
      </c>
      <c r="L25" s="24">
        <f>VLOOKUP($A25&amp;$B25,OH!$A$2:$AB$62,COLUMN(L25)+1,0)*
VLOOKUP(VLOOKUP($A25&amp;$B25,'IP1'!$A$37:$F$89,6,0),
VATrates,
IF(YEAR(L$1)=2013,5,6),0)</f>
        <v>191.66666666666669</v>
      </c>
      <c r="M25" s="24">
        <f>VLOOKUP($A25&amp;$B25,OH!$A$2:$AB$62,COLUMN(M25)+1,0)*
VLOOKUP(VLOOKUP($A25&amp;$B25,'IP1'!$A$37:$F$89,6,0),
VATrates,
IF(YEAR(M$1)=2013,5,6),0)</f>
        <v>191.66666666666669</v>
      </c>
      <c r="N25" s="24">
        <f>VLOOKUP($A25&amp;$B25,OH!$A$2:$AB$62,COLUMN(N25)+1,0)*
VLOOKUP(VLOOKUP($A25&amp;$B25,'IP1'!$A$37:$F$89,6,0),
VATrates,
IF(YEAR(N$1)=2013,5,6),0)</f>
        <v>191.66666666666669</v>
      </c>
      <c r="O25" s="24">
        <f>VLOOKUP($A25&amp;$B25,OH!$A$2:$AB$62,COLUMN(O25)+1,0)*
VLOOKUP(VLOOKUP($A25&amp;$B25,'IP1'!$A$37:$F$89,6,0),
VATrates,
IF(YEAR(O$1)=2013,5,6),0)</f>
        <v>191.66666666666669</v>
      </c>
      <c r="P25" s="17"/>
    </row>
    <row r="26" spans="1:16">
      <c r="A26" s="16" t="s">
        <v>155</v>
      </c>
      <c r="B26" s="16" t="s">
        <v>456</v>
      </c>
      <c r="C26" s="24"/>
      <c r="D26" s="24">
        <f>VLOOKUP($A26&amp;$B26,OH!$A$2:$AB$62,COLUMN(D26)+1,0)*
VLOOKUP(VLOOKUP($A26&amp;$B26,'IP1'!$A$37:$F$89,6,0),
VATrates,
IF(YEAR(D$1)=2013,5,6),0)</f>
        <v>0</v>
      </c>
      <c r="E26" s="24">
        <f>VLOOKUP($A26&amp;$B26,OH!$A$2:$AB$62,COLUMN(E26)+1,0)*
VLOOKUP(VLOOKUP($A26&amp;$B26,'IP1'!$A$37:$F$89,6,0),
VATrates,
IF(YEAR(E$1)=2013,5,6),0)</f>
        <v>287.5</v>
      </c>
      <c r="F26" s="24">
        <f>VLOOKUP($A26&amp;$B26,OH!$A$2:$AB$62,COLUMN(F26)+1,0)*
VLOOKUP(VLOOKUP($A26&amp;$B26,'IP1'!$A$37:$F$89,6,0),
VATrates,
IF(YEAR(F$1)=2013,5,6),0)</f>
        <v>0</v>
      </c>
      <c r="G26" s="24">
        <f>VLOOKUP($A26&amp;$B26,OH!$A$2:$AB$62,COLUMN(G26)+1,0)*
VLOOKUP(VLOOKUP($A26&amp;$B26,'IP1'!$A$37:$F$89,6,0),
VATrates,
IF(YEAR(G$1)=2013,5,6),0)</f>
        <v>0</v>
      </c>
      <c r="H26" s="24">
        <f>VLOOKUP($A26&amp;$B26,OH!$A$2:$AB$62,COLUMN(H26)+1,0)*
VLOOKUP(VLOOKUP($A26&amp;$B26,'IP1'!$A$37:$F$89,6,0),
VATrates,
IF(YEAR(H$1)=2013,5,6),0)</f>
        <v>287.5</v>
      </c>
      <c r="I26" s="24">
        <f>VLOOKUP($A26&amp;$B26,OH!$A$2:$AB$62,COLUMN(I26)+1,0)*
VLOOKUP(VLOOKUP($A26&amp;$B26,'IP1'!$A$37:$F$89,6,0),
VATrates,
IF(YEAR(I$1)=2013,5,6),0)</f>
        <v>0</v>
      </c>
      <c r="J26" s="24">
        <f>VLOOKUP($A26&amp;$B26,OH!$A$2:$AB$62,COLUMN(J26)+1,0)*
VLOOKUP(VLOOKUP($A26&amp;$B26,'IP1'!$A$37:$F$89,6,0),
VATrates,
IF(YEAR(J$1)=2013,5,6),0)</f>
        <v>0</v>
      </c>
      <c r="K26" s="24">
        <f>VLOOKUP($A26&amp;$B26,OH!$A$2:$AB$62,COLUMN(K26)+1,0)*
VLOOKUP(VLOOKUP($A26&amp;$B26,'IP1'!$A$37:$F$89,6,0),
VATrates,
IF(YEAR(K$1)=2013,5,6),0)</f>
        <v>287.5</v>
      </c>
      <c r="L26" s="24">
        <f>VLOOKUP($A26&amp;$B26,OH!$A$2:$AB$62,COLUMN(L26)+1,0)*
VLOOKUP(VLOOKUP($A26&amp;$B26,'IP1'!$A$37:$F$89,6,0),
VATrates,
IF(YEAR(L$1)=2013,5,6),0)</f>
        <v>0</v>
      </c>
      <c r="M26" s="24">
        <f>VLOOKUP($A26&amp;$B26,OH!$A$2:$AB$62,COLUMN(M26)+1,0)*
VLOOKUP(VLOOKUP($A26&amp;$B26,'IP1'!$A$37:$F$89,6,0),
VATrates,
IF(YEAR(M$1)=2013,5,6),0)</f>
        <v>0</v>
      </c>
      <c r="N26" s="24">
        <f>VLOOKUP($A26&amp;$B26,OH!$A$2:$AB$62,COLUMN(N26)+1,0)*
VLOOKUP(VLOOKUP($A26&amp;$B26,'IP1'!$A$37:$F$89,6,0),
VATrates,
IF(YEAR(N$1)=2013,5,6),0)</f>
        <v>287.5</v>
      </c>
      <c r="O26" s="24">
        <f>VLOOKUP($A26&amp;$B26,OH!$A$2:$AB$62,COLUMN(O26)+1,0)*
VLOOKUP(VLOOKUP($A26&amp;$B26,'IP1'!$A$37:$F$89,6,0),
VATrates,
IF(YEAR(O$1)=2013,5,6),0)</f>
        <v>0</v>
      </c>
      <c r="P26" s="17"/>
    </row>
    <row r="27" spans="1:16">
      <c r="A27" s="16" t="s">
        <v>155</v>
      </c>
      <c r="B27" s="16" t="s">
        <v>457</v>
      </c>
      <c r="C27" s="24"/>
      <c r="D27" s="24">
        <f>VLOOKUP($A27&amp;$B27,OH!$A$2:$AB$62,COLUMN(D27)+1,0)*
VLOOKUP(VLOOKUP($A27&amp;$B27,'IP1'!$A$37:$F$89,6,0),
VATrates,
IF(YEAR(D$1)=2013,5,6),0)</f>
        <v>17.25</v>
      </c>
      <c r="E27" s="24">
        <f>VLOOKUP($A27&amp;$B27,OH!$A$2:$AB$62,COLUMN(E27)+1,0)*
VLOOKUP(VLOOKUP($A27&amp;$B27,'IP1'!$A$37:$F$89,6,0),
VATrates,
IF(YEAR(E$1)=2013,5,6),0)</f>
        <v>17.25</v>
      </c>
      <c r="F27" s="24">
        <f>VLOOKUP($A27&amp;$B27,OH!$A$2:$AB$62,COLUMN(F27)+1,0)*
VLOOKUP(VLOOKUP($A27&amp;$B27,'IP1'!$A$37:$F$89,6,0),
VATrates,
IF(YEAR(F$1)=2013,5,6),0)</f>
        <v>28.75</v>
      </c>
      <c r="G27" s="24">
        <f>VLOOKUP($A27&amp;$B27,OH!$A$2:$AB$62,COLUMN(G27)+1,0)*
VLOOKUP(VLOOKUP($A27&amp;$B27,'IP1'!$A$37:$F$89,6,0),
VATrates,
IF(YEAR(G$1)=2013,5,6),0)</f>
        <v>51.75</v>
      </c>
      <c r="H27" s="24">
        <f>VLOOKUP($A27&amp;$B27,OH!$A$2:$AB$62,COLUMN(H27)+1,0)*
VLOOKUP(VLOOKUP($A27&amp;$B27,'IP1'!$A$37:$F$89,6,0),
VATrates,
IF(YEAR(H$1)=2013,5,6),0)</f>
        <v>57.5</v>
      </c>
      <c r="I27" s="24">
        <f>VLOOKUP($A27&amp;$B27,OH!$A$2:$AB$62,COLUMN(I27)+1,0)*
VLOOKUP(VLOOKUP($A27&amp;$B27,'IP1'!$A$37:$F$89,6,0),
VATrates,
IF(YEAR(I$1)=2013,5,6),0)</f>
        <v>57.5</v>
      </c>
      <c r="J27" s="24">
        <f>VLOOKUP($A27&amp;$B27,OH!$A$2:$AB$62,COLUMN(J27)+1,0)*
VLOOKUP(VLOOKUP($A27&amp;$B27,'IP1'!$A$37:$F$89,6,0),
VATrates,
IF(YEAR(J$1)=2013,5,6),0)</f>
        <v>74.75</v>
      </c>
      <c r="K27" s="24">
        <f>VLOOKUP($A27&amp;$B27,OH!$A$2:$AB$62,COLUMN(K27)+1,0)*
VLOOKUP(VLOOKUP($A27&amp;$B27,'IP1'!$A$37:$F$89,6,0),
VATrates,
IF(YEAR(K$1)=2013,5,6),0)</f>
        <v>74.75</v>
      </c>
      <c r="L27" s="24">
        <f>VLOOKUP($A27&amp;$B27,OH!$A$2:$AB$62,COLUMN(L27)+1,0)*
VLOOKUP(VLOOKUP($A27&amp;$B27,'IP1'!$A$37:$F$89,6,0),
VATrates,
IF(YEAR(L$1)=2013,5,6),0)</f>
        <v>57.5</v>
      </c>
      <c r="M27" s="24">
        <f>VLOOKUP($A27&amp;$B27,OH!$A$2:$AB$62,COLUMN(M27)+1,0)*
VLOOKUP(VLOOKUP($A27&amp;$B27,'IP1'!$A$37:$F$89,6,0),
VATrates,
IF(YEAR(M$1)=2013,5,6),0)</f>
        <v>51.75</v>
      </c>
      <c r="N27" s="24">
        <f>VLOOKUP($A27&amp;$B27,OH!$A$2:$AB$62,COLUMN(N27)+1,0)*
VLOOKUP(VLOOKUP($A27&amp;$B27,'IP1'!$A$37:$F$89,6,0),
VATrates,
IF(YEAR(N$1)=2013,5,6),0)</f>
        <v>17.25</v>
      </c>
      <c r="O27" s="24">
        <f>VLOOKUP($A27&amp;$B27,OH!$A$2:$AB$62,COLUMN(O27)+1,0)*
VLOOKUP(VLOOKUP($A27&amp;$B27,'IP1'!$A$37:$F$89,6,0),
VATrates,
IF(YEAR(O$1)=2013,5,6),0)</f>
        <v>69</v>
      </c>
      <c r="P27" s="17"/>
    </row>
    <row r="28" spans="1:16">
      <c r="A28" s="16" t="s">
        <v>155</v>
      </c>
      <c r="B28" s="16" t="s">
        <v>460</v>
      </c>
      <c r="C28" s="24"/>
      <c r="D28" s="24">
        <f>VLOOKUP($A28&amp;$B28,OH!$A$2:$AB$62,COLUMN(D28)+1,0)*
VLOOKUP(VLOOKUP($A28&amp;$B28,'IP1'!$A$37:$F$89,6,0),
VATrates,
IF(YEAR(D$1)=2013,5,6),0)</f>
        <v>95.833333333333343</v>
      </c>
      <c r="E28" s="24">
        <f>VLOOKUP($A28&amp;$B28,OH!$A$2:$AB$62,COLUMN(E28)+1,0)*
VLOOKUP(VLOOKUP($A28&amp;$B28,'IP1'!$A$37:$F$89,6,0),
VATrates,
IF(YEAR(E$1)=2013,5,6),0)</f>
        <v>95.833333333333343</v>
      </c>
      <c r="F28" s="24">
        <f>VLOOKUP($A28&amp;$B28,OH!$A$2:$AB$62,COLUMN(F28)+1,0)*
VLOOKUP(VLOOKUP($A28&amp;$B28,'IP1'!$A$37:$F$89,6,0),
VATrates,
IF(YEAR(F$1)=2013,5,6),0)</f>
        <v>95.833333333333343</v>
      </c>
      <c r="G28" s="24">
        <f>VLOOKUP($A28&amp;$B28,OH!$A$2:$AB$62,COLUMN(G28)+1,0)*
VLOOKUP(VLOOKUP($A28&amp;$B28,'IP1'!$A$37:$F$89,6,0),
VATrates,
IF(YEAR(G$1)=2013,5,6),0)</f>
        <v>95.833333333333343</v>
      </c>
      <c r="H28" s="24">
        <f>VLOOKUP($A28&amp;$B28,OH!$A$2:$AB$62,COLUMN(H28)+1,0)*
VLOOKUP(VLOOKUP($A28&amp;$B28,'IP1'!$A$37:$F$89,6,0),
VATrates,
IF(YEAR(H$1)=2013,5,6),0)</f>
        <v>95.833333333333343</v>
      </c>
      <c r="I28" s="24">
        <f>VLOOKUP($A28&amp;$B28,OH!$A$2:$AB$62,COLUMN(I28)+1,0)*
VLOOKUP(VLOOKUP($A28&amp;$B28,'IP1'!$A$37:$F$89,6,0),
VATrates,
IF(YEAR(I$1)=2013,5,6),0)</f>
        <v>95.833333333333343</v>
      </c>
      <c r="J28" s="24">
        <f>VLOOKUP($A28&amp;$B28,OH!$A$2:$AB$62,COLUMN(J28)+1,0)*
VLOOKUP(VLOOKUP($A28&amp;$B28,'IP1'!$A$37:$F$89,6,0),
VATrates,
IF(YEAR(J$1)=2013,5,6),0)</f>
        <v>95.833333333333343</v>
      </c>
      <c r="K28" s="24">
        <f>VLOOKUP($A28&amp;$B28,OH!$A$2:$AB$62,COLUMN(K28)+1,0)*
VLOOKUP(VLOOKUP($A28&amp;$B28,'IP1'!$A$37:$F$89,6,0),
VATrates,
IF(YEAR(K$1)=2013,5,6),0)</f>
        <v>95.833333333333343</v>
      </c>
      <c r="L28" s="24">
        <f>VLOOKUP($A28&amp;$B28,OH!$A$2:$AB$62,COLUMN(L28)+1,0)*
VLOOKUP(VLOOKUP($A28&amp;$B28,'IP1'!$A$37:$F$89,6,0),
VATrates,
IF(YEAR(L$1)=2013,5,6),0)</f>
        <v>95.833333333333343</v>
      </c>
      <c r="M28" s="24">
        <f>VLOOKUP($A28&amp;$B28,OH!$A$2:$AB$62,COLUMN(M28)+1,0)*
VLOOKUP(VLOOKUP($A28&amp;$B28,'IP1'!$A$37:$F$89,6,0),
VATrates,
IF(YEAR(M$1)=2013,5,6),0)</f>
        <v>95.833333333333343</v>
      </c>
      <c r="N28" s="24">
        <f>VLOOKUP($A28&amp;$B28,OH!$A$2:$AB$62,COLUMN(N28)+1,0)*
VLOOKUP(VLOOKUP($A28&amp;$B28,'IP1'!$A$37:$F$89,6,0),
VATrates,
IF(YEAR(N$1)=2013,5,6),0)</f>
        <v>95.833333333333343</v>
      </c>
      <c r="O28" s="24">
        <f>VLOOKUP($A28&amp;$B28,OH!$A$2:$AB$62,COLUMN(O28)+1,0)*
VLOOKUP(VLOOKUP($A28&amp;$B28,'IP1'!$A$37:$F$89,6,0),
VATrates,
IF(YEAR(O$1)=2013,5,6),0)</f>
        <v>95.833333333333343</v>
      </c>
      <c r="P28" s="17"/>
    </row>
    <row r="29" spans="1:16">
      <c r="A29" s="16" t="s">
        <v>155</v>
      </c>
      <c r="B29" s="16" t="s">
        <v>458</v>
      </c>
      <c r="C29" s="24"/>
      <c r="D29" s="24">
        <f>VLOOKUP($A29&amp;$B29,OH!$A$2:$AB$62,COLUMN(D29)+1,0)*
VLOOKUP(VLOOKUP($A29&amp;$B29,'IP1'!$A$37:$F$89,6,0),
VATrates,
IF(YEAR(D$1)=2013,5,6),0)</f>
        <v>9.5833333333333339</v>
      </c>
      <c r="E29" s="24">
        <f>VLOOKUP($A29&amp;$B29,OH!$A$2:$AB$62,COLUMN(E29)+1,0)*
VLOOKUP(VLOOKUP($A29&amp;$B29,'IP1'!$A$37:$F$89,6,0),
VATrates,
IF(YEAR(E$1)=2013,5,6),0)</f>
        <v>9.5833333333333339</v>
      </c>
      <c r="F29" s="24">
        <f>VLOOKUP($A29&amp;$B29,OH!$A$2:$AB$62,COLUMN(F29)+1,0)*
VLOOKUP(VLOOKUP($A29&amp;$B29,'IP1'!$A$37:$F$89,6,0),
VATrates,
IF(YEAR(F$1)=2013,5,6),0)</f>
        <v>9.5833333333333339</v>
      </c>
      <c r="G29" s="24">
        <f>VLOOKUP($A29&amp;$B29,OH!$A$2:$AB$62,COLUMN(G29)+1,0)*
VLOOKUP(VLOOKUP($A29&amp;$B29,'IP1'!$A$37:$F$89,6,0),
VATrates,
IF(YEAR(G$1)=2013,5,6),0)</f>
        <v>9.5833333333333339</v>
      </c>
      <c r="H29" s="24">
        <f>VLOOKUP($A29&amp;$B29,OH!$A$2:$AB$62,COLUMN(H29)+1,0)*
VLOOKUP(VLOOKUP($A29&amp;$B29,'IP1'!$A$37:$F$89,6,0),
VATrates,
IF(YEAR(H$1)=2013,5,6),0)</f>
        <v>9.5833333333333339</v>
      </c>
      <c r="I29" s="24">
        <f>VLOOKUP($A29&amp;$B29,OH!$A$2:$AB$62,COLUMN(I29)+1,0)*
VLOOKUP(VLOOKUP($A29&amp;$B29,'IP1'!$A$37:$F$89,6,0),
VATrates,
IF(YEAR(I$1)=2013,5,6),0)</f>
        <v>9.5833333333333339</v>
      </c>
      <c r="J29" s="24">
        <f>VLOOKUP($A29&amp;$B29,OH!$A$2:$AB$62,COLUMN(J29)+1,0)*
VLOOKUP(VLOOKUP($A29&amp;$B29,'IP1'!$A$37:$F$89,6,0),
VATrates,
IF(YEAR(J$1)=2013,5,6),0)</f>
        <v>9.5833333333333339</v>
      </c>
      <c r="K29" s="24">
        <f>VLOOKUP($A29&amp;$B29,OH!$A$2:$AB$62,COLUMN(K29)+1,0)*
VLOOKUP(VLOOKUP($A29&amp;$B29,'IP1'!$A$37:$F$89,6,0),
VATrates,
IF(YEAR(K$1)=2013,5,6),0)</f>
        <v>9.5833333333333339</v>
      </c>
      <c r="L29" s="24">
        <f>VLOOKUP($A29&amp;$B29,OH!$A$2:$AB$62,COLUMN(L29)+1,0)*
VLOOKUP(VLOOKUP($A29&amp;$B29,'IP1'!$A$37:$F$89,6,0),
VATrates,
IF(YEAR(L$1)=2013,5,6),0)</f>
        <v>9.5833333333333339</v>
      </c>
      <c r="M29" s="24">
        <f>VLOOKUP($A29&amp;$B29,OH!$A$2:$AB$62,COLUMN(M29)+1,0)*
VLOOKUP(VLOOKUP($A29&amp;$B29,'IP1'!$A$37:$F$89,6,0),
VATrates,
IF(YEAR(M$1)=2013,5,6),0)</f>
        <v>9.5833333333333339</v>
      </c>
      <c r="N29" s="24">
        <f>VLOOKUP($A29&amp;$B29,OH!$A$2:$AB$62,COLUMN(N29)+1,0)*
VLOOKUP(VLOOKUP($A29&amp;$B29,'IP1'!$A$37:$F$89,6,0),
VATrates,
IF(YEAR(N$1)=2013,5,6),0)</f>
        <v>9.5833333333333339</v>
      </c>
      <c r="O29" s="24">
        <f>VLOOKUP($A29&amp;$B29,OH!$A$2:$AB$62,COLUMN(O29)+1,0)*
VLOOKUP(VLOOKUP($A29&amp;$B29,'IP1'!$A$37:$F$89,6,0),
VATrates,
IF(YEAR(O$1)=2013,5,6),0)</f>
        <v>9.5833333333333339</v>
      </c>
      <c r="P29" s="17"/>
    </row>
    <row r="30" spans="1:16">
      <c r="A30" s="16" t="s">
        <v>155</v>
      </c>
      <c r="B30" s="16" t="s">
        <v>459</v>
      </c>
      <c r="C30" s="24"/>
      <c r="D30" s="24">
        <f>VLOOKUP($A30&amp;$B30,OH!$A$2:$AB$62,COLUMN(D30)+1,0)*
VLOOKUP(VLOOKUP($A30&amp;$B30,'IP1'!$A$37:$F$89,6,0),
VATrates,
IF(YEAR(D$1)=2013,5,6),0)</f>
        <v>47.916666666666671</v>
      </c>
      <c r="E30" s="24">
        <f>VLOOKUP($A30&amp;$B30,OH!$A$2:$AB$62,COLUMN(E30)+1,0)*
VLOOKUP(VLOOKUP($A30&amp;$B30,'IP1'!$A$37:$F$89,6,0),
VATrates,
IF(YEAR(E$1)=2013,5,6),0)</f>
        <v>47.916666666666671</v>
      </c>
      <c r="F30" s="24">
        <f>VLOOKUP($A30&amp;$B30,OH!$A$2:$AB$62,COLUMN(F30)+1,0)*
VLOOKUP(VLOOKUP($A30&amp;$B30,'IP1'!$A$37:$F$89,6,0),
VATrates,
IF(YEAR(F$1)=2013,5,6),0)</f>
        <v>47.916666666666671</v>
      </c>
      <c r="G30" s="24">
        <f>VLOOKUP($A30&amp;$B30,OH!$A$2:$AB$62,COLUMN(G30)+1,0)*
VLOOKUP(VLOOKUP($A30&amp;$B30,'IP1'!$A$37:$F$89,6,0),
VATrates,
IF(YEAR(G$1)=2013,5,6),0)</f>
        <v>47.916666666666671</v>
      </c>
      <c r="H30" s="24">
        <f>VLOOKUP($A30&amp;$B30,OH!$A$2:$AB$62,COLUMN(H30)+1,0)*
VLOOKUP(VLOOKUP($A30&amp;$B30,'IP1'!$A$37:$F$89,6,0),
VATrates,
IF(YEAR(H$1)=2013,5,6),0)</f>
        <v>47.916666666666671</v>
      </c>
      <c r="I30" s="24">
        <f>VLOOKUP($A30&amp;$B30,OH!$A$2:$AB$62,COLUMN(I30)+1,0)*
VLOOKUP(VLOOKUP($A30&amp;$B30,'IP1'!$A$37:$F$89,6,0),
VATrates,
IF(YEAR(I$1)=2013,5,6),0)</f>
        <v>47.916666666666671</v>
      </c>
      <c r="J30" s="24">
        <f>VLOOKUP($A30&amp;$B30,OH!$A$2:$AB$62,COLUMN(J30)+1,0)*
VLOOKUP(VLOOKUP($A30&amp;$B30,'IP1'!$A$37:$F$89,6,0),
VATrates,
IF(YEAR(J$1)=2013,5,6),0)</f>
        <v>47.916666666666671</v>
      </c>
      <c r="K30" s="24">
        <f>VLOOKUP($A30&amp;$B30,OH!$A$2:$AB$62,COLUMN(K30)+1,0)*
VLOOKUP(VLOOKUP($A30&amp;$B30,'IP1'!$A$37:$F$89,6,0),
VATrates,
IF(YEAR(K$1)=2013,5,6),0)</f>
        <v>47.916666666666671</v>
      </c>
      <c r="L30" s="24">
        <f>VLOOKUP($A30&amp;$B30,OH!$A$2:$AB$62,COLUMN(L30)+1,0)*
VLOOKUP(VLOOKUP($A30&amp;$B30,'IP1'!$A$37:$F$89,6,0),
VATrates,
IF(YEAR(L$1)=2013,5,6),0)</f>
        <v>47.916666666666671</v>
      </c>
      <c r="M30" s="24">
        <f>VLOOKUP($A30&amp;$B30,OH!$A$2:$AB$62,COLUMN(M30)+1,0)*
VLOOKUP(VLOOKUP($A30&amp;$B30,'IP1'!$A$37:$F$89,6,0),
VATrates,
IF(YEAR(M$1)=2013,5,6),0)</f>
        <v>47.916666666666671</v>
      </c>
      <c r="N30" s="24">
        <f>VLOOKUP($A30&amp;$B30,OH!$A$2:$AB$62,COLUMN(N30)+1,0)*
VLOOKUP(VLOOKUP($A30&amp;$B30,'IP1'!$A$37:$F$89,6,0),
VATrates,
IF(YEAR(N$1)=2013,5,6),0)</f>
        <v>47.916666666666671</v>
      </c>
      <c r="O30" s="24">
        <f>VLOOKUP($A30&amp;$B30,OH!$A$2:$AB$62,COLUMN(O30)+1,0)*
VLOOKUP(VLOOKUP($A30&amp;$B30,'IP1'!$A$37:$F$89,6,0),
VATrates,
IF(YEAR(O$1)=2013,5,6),0)</f>
        <v>47.916666666666671</v>
      </c>
      <c r="P30" s="17"/>
    </row>
    <row r="31" spans="1:16">
      <c r="A31" s="16" t="s">
        <v>155</v>
      </c>
      <c r="B31" s="16" t="s">
        <v>488</v>
      </c>
      <c r="C31" s="24"/>
      <c r="D31" s="24">
        <f>VLOOKUP($A31&amp;$B31,OH!$A$2:$AB$62,COLUMN(D31)+1,0)*
VLOOKUP(VLOOKUP($A31&amp;$B31,'IP1'!$A$37:$F$89,6,0),
VATrates,
IF(YEAR(D$1)=2013,5,6),0)</f>
        <v>143.75</v>
      </c>
      <c r="E31" s="24">
        <f>VLOOKUP($A31&amp;$B31,OH!$A$2:$AB$62,COLUMN(E31)+1,0)*
VLOOKUP(VLOOKUP($A31&amp;$B31,'IP1'!$A$37:$F$89,6,0),
VATrates,
IF(YEAR(E$1)=2013,5,6),0)</f>
        <v>143.75</v>
      </c>
      <c r="F31" s="24">
        <f>VLOOKUP($A31&amp;$B31,OH!$A$2:$AB$62,COLUMN(F31)+1,0)*
VLOOKUP(VLOOKUP($A31&amp;$B31,'IP1'!$A$37:$F$89,6,0),
VATrates,
IF(YEAR(F$1)=2013,5,6),0)</f>
        <v>143.75</v>
      </c>
      <c r="G31" s="24">
        <f>VLOOKUP($A31&amp;$B31,OH!$A$2:$AB$62,COLUMN(G31)+1,0)*
VLOOKUP(VLOOKUP($A31&amp;$B31,'IP1'!$A$37:$F$89,6,0),
VATrates,
IF(YEAR(G$1)=2013,5,6),0)</f>
        <v>143.75</v>
      </c>
      <c r="H31" s="24">
        <f>VLOOKUP($A31&amp;$B31,OH!$A$2:$AB$62,COLUMN(H31)+1,0)*
VLOOKUP(VLOOKUP($A31&amp;$B31,'IP1'!$A$37:$F$89,6,0),
VATrates,
IF(YEAR(H$1)=2013,5,6),0)</f>
        <v>143.75</v>
      </c>
      <c r="I31" s="24">
        <f>VLOOKUP($A31&amp;$B31,OH!$A$2:$AB$62,COLUMN(I31)+1,0)*
VLOOKUP(VLOOKUP($A31&amp;$B31,'IP1'!$A$37:$F$89,6,0),
VATrates,
IF(YEAR(I$1)=2013,5,6),0)</f>
        <v>143.75</v>
      </c>
      <c r="J31" s="24">
        <f>VLOOKUP($A31&amp;$B31,OH!$A$2:$AB$62,COLUMN(J31)+1,0)*
VLOOKUP(VLOOKUP($A31&amp;$B31,'IP1'!$A$37:$F$89,6,0),
VATrates,
IF(YEAR(J$1)=2013,5,6),0)</f>
        <v>143.75</v>
      </c>
      <c r="K31" s="24">
        <f>VLOOKUP($A31&amp;$B31,OH!$A$2:$AB$62,COLUMN(K31)+1,0)*
VLOOKUP(VLOOKUP($A31&amp;$B31,'IP1'!$A$37:$F$89,6,0),
VATrates,
IF(YEAR(K$1)=2013,5,6),0)</f>
        <v>143.75</v>
      </c>
      <c r="L31" s="24">
        <f>VLOOKUP($A31&amp;$B31,OH!$A$2:$AB$62,COLUMN(L31)+1,0)*
VLOOKUP(VLOOKUP($A31&amp;$B31,'IP1'!$A$37:$F$89,6,0),
VATrates,
IF(YEAR(L$1)=2013,5,6),0)</f>
        <v>143.75</v>
      </c>
      <c r="M31" s="24">
        <f>VLOOKUP($A31&amp;$B31,OH!$A$2:$AB$62,COLUMN(M31)+1,0)*
VLOOKUP(VLOOKUP($A31&amp;$B31,'IP1'!$A$37:$F$89,6,0),
VATrates,
IF(YEAR(M$1)=2013,5,6),0)</f>
        <v>143.75</v>
      </c>
      <c r="N31" s="24">
        <f>VLOOKUP($A31&amp;$B31,OH!$A$2:$AB$62,COLUMN(N31)+1,0)*
VLOOKUP(VLOOKUP($A31&amp;$B31,'IP1'!$A$37:$F$89,6,0),
VATrates,
IF(YEAR(N$1)=2013,5,6),0)</f>
        <v>143.75</v>
      </c>
      <c r="O31" s="24">
        <f>VLOOKUP($A31&amp;$B31,OH!$A$2:$AB$62,COLUMN(O31)+1,0)*
VLOOKUP(VLOOKUP($A31&amp;$B31,'IP1'!$A$37:$F$89,6,0),
VATrates,
IF(YEAR(O$1)=2013,5,6),0)</f>
        <v>143.75</v>
      </c>
      <c r="P31" s="17"/>
    </row>
    <row r="32" spans="1:16">
      <c r="A32" s="16" t="s">
        <v>155</v>
      </c>
      <c r="B32" s="16" t="s">
        <v>489</v>
      </c>
      <c r="C32" s="24"/>
      <c r="D32" s="24">
        <f>VLOOKUP($A32&amp;$B32,OH!$A$2:$AB$62,COLUMN(D32)+1,0)*
VLOOKUP(VLOOKUP($A32&amp;$B32,'IP1'!$A$37:$F$89,6,0),
VATrates,
IF(YEAR(D$1)=2013,5,6),0)</f>
        <v>191.66666666666669</v>
      </c>
      <c r="E32" s="24">
        <f>VLOOKUP($A32&amp;$B32,OH!$A$2:$AB$62,COLUMN(E32)+1,0)*
VLOOKUP(VLOOKUP($A32&amp;$B32,'IP1'!$A$37:$F$89,6,0),
VATrates,
IF(YEAR(E$1)=2013,5,6),0)</f>
        <v>191.66666666666669</v>
      </c>
      <c r="F32" s="24">
        <f>VLOOKUP($A32&amp;$B32,OH!$A$2:$AB$62,COLUMN(F32)+1,0)*
VLOOKUP(VLOOKUP($A32&amp;$B32,'IP1'!$A$37:$F$89,6,0),
VATrates,
IF(YEAR(F$1)=2013,5,6),0)</f>
        <v>191.66666666666669</v>
      </c>
      <c r="G32" s="24">
        <f>VLOOKUP($A32&amp;$B32,OH!$A$2:$AB$62,COLUMN(G32)+1,0)*
VLOOKUP(VLOOKUP($A32&amp;$B32,'IP1'!$A$37:$F$89,6,0),
VATrates,
IF(YEAR(G$1)=2013,5,6),0)</f>
        <v>191.66666666666669</v>
      </c>
      <c r="H32" s="24">
        <f>VLOOKUP($A32&amp;$B32,OH!$A$2:$AB$62,COLUMN(H32)+1,0)*
VLOOKUP(VLOOKUP($A32&amp;$B32,'IP1'!$A$37:$F$89,6,0),
VATrates,
IF(YEAR(H$1)=2013,5,6),0)</f>
        <v>191.66666666666669</v>
      </c>
      <c r="I32" s="24">
        <f>VLOOKUP($A32&amp;$B32,OH!$A$2:$AB$62,COLUMN(I32)+1,0)*
VLOOKUP(VLOOKUP($A32&amp;$B32,'IP1'!$A$37:$F$89,6,0),
VATrates,
IF(YEAR(I$1)=2013,5,6),0)</f>
        <v>191.66666666666669</v>
      </c>
      <c r="J32" s="24">
        <f>VLOOKUP($A32&amp;$B32,OH!$A$2:$AB$62,COLUMN(J32)+1,0)*
VLOOKUP(VLOOKUP($A32&amp;$B32,'IP1'!$A$37:$F$89,6,0),
VATrates,
IF(YEAR(J$1)=2013,5,6),0)</f>
        <v>191.66666666666669</v>
      </c>
      <c r="K32" s="24">
        <f>VLOOKUP($A32&amp;$B32,OH!$A$2:$AB$62,COLUMN(K32)+1,0)*
VLOOKUP(VLOOKUP($A32&amp;$B32,'IP1'!$A$37:$F$89,6,0),
VATrates,
IF(YEAR(K$1)=2013,5,6),0)</f>
        <v>191.66666666666669</v>
      </c>
      <c r="L32" s="24">
        <f>VLOOKUP($A32&amp;$B32,OH!$A$2:$AB$62,COLUMN(L32)+1,0)*
VLOOKUP(VLOOKUP($A32&amp;$B32,'IP1'!$A$37:$F$89,6,0),
VATrates,
IF(YEAR(L$1)=2013,5,6),0)</f>
        <v>191.66666666666669</v>
      </c>
      <c r="M32" s="24">
        <f>VLOOKUP($A32&amp;$B32,OH!$A$2:$AB$62,COLUMN(M32)+1,0)*
VLOOKUP(VLOOKUP($A32&amp;$B32,'IP1'!$A$37:$F$89,6,0),
VATrates,
IF(YEAR(M$1)=2013,5,6),0)</f>
        <v>191.66666666666669</v>
      </c>
      <c r="N32" s="24">
        <f>VLOOKUP($A32&amp;$B32,OH!$A$2:$AB$62,COLUMN(N32)+1,0)*
VLOOKUP(VLOOKUP($A32&amp;$B32,'IP1'!$A$37:$F$89,6,0),
VATrates,
IF(YEAR(N$1)=2013,5,6),0)</f>
        <v>191.66666666666669</v>
      </c>
      <c r="O32" s="24">
        <f>VLOOKUP($A32&amp;$B32,OH!$A$2:$AB$62,COLUMN(O32)+1,0)*
VLOOKUP(VLOOKUP($A32&amp;$B32,'IP1'!$A$37:$F$89,6,0),
VATrates,
IF(YEAR(O$1)=2013,5,6),0)</f>
        <v>191.66666666666669</v>
      </c>
      <c r="P32" s="17"/>
    </row>
    <row r="33" spans="1:16">
      <c r="A33" s="16" t="s">
        <v>155</v>
      </c>
      <c r="B33" s="16" t="s">
        <v>490</v>
      </c>
      <c r="C33" s="24"/>
      <c r="D33" s="24">
        <f>VLOOKUP($A33&amp;$B33,OH!$A$2:$AB$62,COLUMN(D33)+1,0)*
VLOOKUP(VLOOKUP($A33&amp;$B33,'IP1'!$A$37:$F$89,6,0),
VATrates,
IF(YEAR(D$1)=2013,5,6),0)</f>
        <v>95.833333333333343</v>
      </c>
      <c r="E33" s="24">
        <f>VLOOKUP($A33&amp;$B33,OH!$A$2:$AB$62,COLUMN(E33)+1,0)*
VLOOKUP(VLOOKUP($A33&amp;$B33,'IP1'!$A$37:$F$89,6,0),
VATrates,
IF(YEAR(E$1)=2013,5,6),0)</f>
        <v>95.833333333333343</v>
      </c>
      <c r="F33" s="24">
        <f>VLOOKUP($A33&amp;$B33,OH!$A$2:$AB$62,COLUMN(F33)+1,0)*
VLOOKUP(VLOOKUP($A33&amp;$B33,'IP1'!$A$37:$F$89,6,0),
VATrates,
IF(YEAR(F$1)=2013,5,6),0)</f>
        <v>95.833333333333343</v>
      </c>
      <c r="G33" s="24">
        <f>VLOOKUP($A33&amp;$B33,OH!$A$2:$AB$62,COLUMN(G33)+1,0)*
VLOOKUP(VLOOKUP($A33&amp;$B33,'IP1'!$A$37:$F$89,6,0),
VATrates,
IF(YEAR(G$1)=2013,5,6),0)</f>
        <v>95.833333333333343</v>
      </c>
      <c r="H33" s="24">
        <f>VLOOKUP($A33&amp;$B33,OH!$A$2:$AB$62,COLUMN(H33)+1,0)*
VLOOKUP(VLOOKUP($A33&amp;$B33,'IP1'!$A$37:$F$89,6,0),
VATrates,
IF(YEAR(H$1)=2013,5,6),0)</f>
        <v>95.833333333333343</v>
      </c>
      <c r="I33" s="24">
        <f>VLOOKUP($A33&amp;$B33,OH!$A$2:$AB$62,COLUMN(I33)+1,0)*
VLOOKUP(VLOOKUP($A33&amp;$B33,'IP1'!$A$37:$F$89,6,0),
VATrates,
IF(YEAR(I$1)=2013,5,6),0)</f>
        <v>95.833333333333343</v>
      </c>
      <c r="J33" s="24">
        <f>VLOOKUP($A33&amp;$B33,OH!$A$2:$AB$62,COLUMN(J33)+1,0)*
VLOOKUP(VLOOKUP($A33&amp;$B33,'IP1'!$A$37:$F$89,6,0),
VATrates,
IF(YEAR(J$1)=2013,5,6),0)</f>
        <v>95.833333333333343</v>
      </c>
      <c r="K33" s="24">
        <f>VLOOKUP($A33&amp;$B33,OH!$A$2:$AB$62,COLUMN(K33)+1,0)*
VLOOKUP(VLOOKUP($A33&amp;$B33,'IP1'!$A$37:$F$89,6,0),
VATrates,
IF(YEAR(K$1)=2013,5,6),0)</f>
        <v>95.833333333333343</v>
      </c>
      <c r="L33" s="24">
        <f>VLOOKUP($A33&amp;$B33,OH!$A$2:$AB$62,COLUMN(L33)+1,0)*
VLOOKUP(VLOOKUP($A33&amp;$B33,'IP1'!$A$37:$F$89,6,0),
VATrates,
IF(YEAR(L$1)=2013,5,6),0)</f>
        <v>95.833333333333343</v>
      </c>
      <c r="M33" s="24">
        <f>VLOOKUP($A33&amp;$B33,OH!$A$2:$AB$62,COLUMN(M33)+1,0)*
VLOOKUP(VLOOKUP($A33&amp;$B33,'IP1'!$A$37:$F$89,6,0),
VATrates,
IF(YEAR(M$1)=2013,5,6),0)</f>
        <v>95.833333333333343</v>
      </c>
      <c r="N33" s="24">
        <f>VLOOKUP($A33&amp;$B33,OH!$A$2:$AB$62,COLUMN(N33)+1,0)*
VLOOKUP(VLOOKUP($A33&amp;$B33,'IP1'!$A$37:$F$89,6,0),
VATrates,
IF(YEAR(N$1)=2013,5,6),0)</f>
        <v>95.833333333333343</v>
      </c>
      <c r="O33" s="24">
        <f>VLOOKUP($A33&amp;$B33,OH!$A$2:$AB$62,COLUMN(O33)+1,0)*
VLOOKUP(VLOOKUP($A33&amp;$B33,'IP1'!$A$37:$F$89,6,0),
VATrates,
IF(YEAR(O$1)=2013,5,6),0)</f>
        <v>95.833333333333343</v>
      </c>
      <c r="P33" s="17"/>
    </row>
    <row r="34" spans="1:16">
      <c r="A34" s="16" t="s">
        <v>155</v>
      </c>
      <c r="B34" s="16" t="s">
        <v>461</v>
      </c>
      <c r="C34" s="24"/>
      <c r="D34" s="24">
        <f>VLOOKUP($A34&amp;$B34,OH!$A$2:$AB$62,COLUMN(D34)+1,0)*
VLOOKUP(VLOOKUP($A34&amp;$B34,'IP1'!$A$37:$F$89,6,0),
VATrates,
IF(YEAR(D$1)=2013,5,6),0)</f>
        <v>191.66666666666669</v>
      </c>
      <c r="E34" s="24">
        <f>VLOOKUP($A34&amp;$B34,OH!$A$2:$AB$62,COLUMN(E34)+1,0)*
VLOOKUP(VLOOKUP($A34&amp;$B34,'IP1'!$A$37:$F$89,6,0),
VATrates,
IF(YEAR(E$1)=2013,5,6),0)</f>
        <v>191.66666666666669</v>
      </c>
      <c r="F34" s="24">
        <f>VLOOKUP($A34&amp;$B34,OH!$A$2:$AB$62,COLUMN(F34)+1,0)*
VLOOKUP(VLOOKUP($A34&amp;$B34,'IP1'!$A$37:$F$89,6,0),
VATrates,
IF(YEAR(F$1)=2013,5,6),0)</f>
        <v>191.66666666666669</v>
      </c>
      <c r="G34" s="24">
        <f>VLOOKUP($A34&amp;$B34,OH!$A$2:$AB$62,COLUMN(G34)+1,0)*
VLOOKUP(VLOOKUP($A34&amp;$B34,'IP1'!$A$37:$F$89,6,0),
VATrates,
IF(YEAR(G$1)=2013,5,6),0)</f>
        <v>191.66666666666669</v>
      </c>
      <c r="H34" s="24">
        <f>VLOOKUP($A34&amp;$B34,OH!$A$2:$AB$62,COLUMN(H34)+1,0)*
VLOOKUP(VLOOKUP($A34&amp;$B34,'IP1'!$A$37:$F$89,6,0),
VATrates,
IF(YEAR(H$1)=2013,5,6),0)</f>
        <v>191.66666666666669</v>
      </c>
      <c r="I34" s="24">
        <f>VLOOKUP($A34&amp;$B34,OH!$A$2:$AB$62,COLUMN(I34)+1,0)*
VLOOKUP(VLOOKUP($A34&amp;$B34,'IP1'!$A$37:$F$89,6,0),
VATrates,
IF(YEAR(I$1)=2013,5,6),0)</f>
        <v>191.66666666666669</v>
      </c>
      <c r="J34" s="24">
        <f>VLOOKUP($A34&amp;$B34,OH!$A$2:$AB$62,COLUMN(J34)+1,0)*
VLOOKUP(VLOOKUP($A34&amp;$B34,'IP1'!$A$37:$F$89,6,0),
VATrates,
IF(YEAR(J$1)=2013,5,6),0)</f>
        <v>191.66666666666669</v>
      </c>
      <c r="K34" s="24">
        <f>VLOOKUP($A34&amp;$B34,OH!$A$2:$AB$62,COLUMN(K34)+1,0)*
VLOOKUP(VLOOKUP($A34&amp;$B34,'IP1'!$A$37:$F$89,6,0),
VATrates,
IF(YEAR(K$1)=2013,5,6),0)</f>
        <v>191.66666666666669</v>
      </c>
      <c r="L34" s="24">
        <f>VLOOKUP($A34&amp;$B34,OH!$A$2:$AB$62,COLUMN(L34)+1,0)*
VLOOKUP(VLOOKUP($A34&amp;$B34,'IP1'!$A$37:$F$89,6,0),
VATrates,
IF(YEAR(L$1)=2013,5,6),0)</f>
        <v>191.66666666666669</v>
      </c>
      <c r="M34" s="24">
        <f>VLOOKUP($A34&amp;$B34,OH!$A$2:$AB$62,COLUMN(M34)+1,0)*
VLOOKUP(VLOOKUP($A34&amp;$B34,'IP1'!$A$37:$F$89,6,0),
VATrates,
IF(YEAR(M$1)=2013,5,6),0)</f>
        <v>191.66666666666669</v>
      </c>
      <c r="N34" s="24">
        <f>VLOOKUP($A34&amp;$B34,OH!$A$2:$AB$62,COLUMN(N34)+1,0)*
VLOOKUP(VLOOKUP($A34&amp;$B34,'IP1'!$A$37:$F$89,6,0),
VATrates,
IF(YEAR(N$1)=2013,5,6),0)</f>
        <v>191.66666666666669</v>
      </c>
      <c r="O34" s="24">
        <f>VLOOKUP($A34&amp;$B34,OH!$A$2:$AB$62,COLUMN(O34)+1,0)*
VLOOKUP(VLOOKUP($A34&amp;$B34,'IP1'!$A$37:$F$89,6,0),
VATrates,
IF(YEAR(O$1)=2013,5,6),0)</f>
        <v>191.66666666666669</v>
      </c>
      <c r="P34" s="17"/>
    </row>
    <row r="35" spans="1:16">
      <c r="A35" s="16" t="s">
        <v>155</v>
      </c>
      <c r="B35" s="16" t="s">
        <v>462</v>
      </c>
      <c r="C35" s="24"/>
      <c r="D35" s="24">
        <f>VLOOKUP($A35&amp;$B35,OH!$A$2:$AB$62,COLUMN(D35)+1,0)*
VLOOKUP(VLOOKUP($A35&amp;$B35,'IP1'!$A$37:$F$89,6,0),
VATrates,
IF(YEAR(D$1)=2013,5,6),0)</f>
        <v>95.833333333333343</v>
      </c>
      <c r="E35" s="24">
        <f>VLOOKUP($A35&amp;$B35,OH!$A$2:$AB$62,COLUMN(E35)+1,0)*
VLOOKUP(VLOOKUP($A35&amp;$B35,'IP1'!$A$37:$F$89,6,0),
VATrates,
IF(YEAR(E$1)=2013,5,6),0)</f>
        <v>95.833333333333343</v>
      </c>
      <c r="F35" s="24">
        <f>VLOOKUP($A35&amp;$B35,OH!$A$2:$AB$62,COLUMN(F35)+1,0)*
VLOOKUP(VLOOKUP($A35&amp;$B35,'IP1'!$A$37:$F$89,6,0),
VATrates,
IF(YEAR(F$1)=2013,5,6),0)</f>
        <v>95.833333333333343</v>
      </c>
      <c r="G35" s="24">
        <f>VLOOKUP($A35&amp;$B35,OH!$A$2:$AB$62,COLUMN(G35)+1,0)*
VLOOKUP(VLOOKUP($A35&amp;$B35,'IP1'!$A$37:$F$89,6,0),
VATrates,
IF(YEAR(G$1)=2013,5,6),0)</f>
        <v>95.833333333333343</v>
      </c>
      <c r="H35" s="24">
        <f>VLOOKUP($A35&amp;$B35,OH!$A$2:$AB$62,COLUMN(H35)+1,0)*
VLOOKUP(VLOOKUP($A35&amp;$B35,'IP1'!$A$37:$F$89,6,0),
VATrates,
IF(YEAR(H$1)=2013,5,6),0)</f>
        <v>95.833333333333343</v>
      </c>
      <c r="I35" s="24">
        <f>VLOOKUP($A35&amp;$B35,OH!$A$2:$AB$62,COLUMN(I35)+1,0)*
VLOOKUP(VLOOKUP($A35&amp;$B35,'IP1'!$A$37:$F$89,6,0),
VATrates,
IF(YEAR(I$1)=2013,5,6),0)</f>
        <v>95.833333333333343</v>
      </c>
      <c r="J35" s="24">
        <f>VLOOKUP($A35&amp;$B35,OH!$A$2:$AB$62,COLUMN(J35)+1,0)*
VLOOKUP(VLOOKUP($A35&amp;$B35,'IP1'!$A$37:$F$89,6,0),
VATrates,
IF(YEAR(J$1)=2013,5,6),0)</f>
        <v>95.833333333333343</v>
      </c>
      <c r="K35" s="24">
        <f>VLOOKUP($A35&amp;$B35,OH!$A$2:$AB$62,COLUMN(K35)+1,0)*
VLOOKUP(VLOOKUP($A35&amp;$B35,'IP1'!$A$37:$F$89,6,0),
VATrates,
IF(YEAR(K$1)=2013,5,6),0)</f>
        <v>95.833333333333343</v>
      </c>
      <c r="L35" s="24">
        <f>VLOOKUP($A35&amp;$B35,OH!$A$2:$AB$62,COLUMN(L35)+1,0)*
VLOOKUP(VLOOKUP($A35&amp;$B35,'IP1'!$A$37:$F$89,6,0),
VATrates,
IF(YEAR(L$1)=2013,5,6),0)</f>
        <v>95.833333333333343</v>
      </c>
      <c r="M35" s="24">
        <f>VLOOKUP($A35&amp;$B35,OH!$A$2:$AB$62,COLUMN(M35)+1,0)*
VLOOKUP(VLOOKUP($A35&amp;$B35,'IP1'!$A$37:$F$89,6,0),
VATrates,
IF(YEAR(M$1)=2013,5,6),0)</f>
        <v>95.833333333333343</v>
      </c>
      <c r="N35" s="24">
        <f>VLOOKUP($A35&amp;$B35,OH!$A$2:$AB$62,COLUMN(N35)+1,0)*
VLOOKUP(VLOOKUP($A35&amp;$B35,'IP1'!$A$37:$F$89,6,0),
VATrates,
IF(YEAR(N$1)=2013,5,6),0)</f>
        <v>95.833333333333343</v>
      </c>
      <c r="O35" s="24">
        <f>VLOOKUP($A35&amp;$B35,OH!$A$2:$AB$62,COLUMN(O35)+1,0)*
VLOOKUP(VLOOKUP($A35&amp;$B35,'IP1'!$A$37:$F$89,6,0),
VATrates,
IF(YEAR(O$1)=2013,5,6),0)</f>
        <v>95.833333333333343</v>
      </c>
      <c r="P35" s="17"/>
    </row>
    <row r="36" spans="1:16">
      <c r="A36" s="16" t="s">
        <v>155</v>
      </c>
      <c r="B36" s="16" t="s">
        <v>3</v>
      </c>
      <c r="C36" s="24"/>
      <c r="D36" s="24">
        <f>VLOOKUP($A36&amp;$B36,OH!$A$2:$AB$62,COLUMN(D36)+1,0)*
VLOOKUP(VLOOKUP($A36&amp;$B36,'IP1'!$A$37:$F$89,6,0),
VATrates,
IF(YEAR(D$1)=2013,5,6),0)</f>
        <v>1150</v>
      </c>
      <c r="E36" s="24">
        <f>VLOOKUP($A36&amp;$B36,OH!$A$2:$AB$62,COLUMN(E36)+1,0)*
VLOOKUP(VLOOKUP($A36&amp;$B36,'IP1'!$A$37:$F$89,6,0),
VATrates,
IF(YEAR(E$1)=2013,5,6),0)</f>
        <v>0</v>
      </c>
      <c r="F36" s="24">
        <f>VLOOKUP($A36&amp;$B36,OH!$A$2:$AB$62,COLUMN(F36)+1,0)*
VLOOKUP(VLOOKUP($A36&amp;$B36,'IP1'!$A$37:$F$89,6,0),
VATrates,
IF(YEAR(F$1)=2013,5,6),0)</f>
        <v>0</v>
      </c>
      <c r="G36" s="24">
        <f>VLOOKUP($A36&amp;$B36,OH!$A$2:$AB$62,COLUMN(G36)+1,0)*
VLOOKUP(VLOOKUP($A36&amp;$B36,'IP1'!$A$37:$F$89,6,0),
VATrates,
IF(YEAR(G$1)=2013,5,6),0)</f>
        <v>0</v>
      </c>
      <c r="H36" s="24">
        <f>VLOOKUP($A36&amp;$B36,OH!$A$2:$AB$62,COLUMN(H36)+1,0)*
VLOOKUP(VLOOKUP($A36&amp;$B36,'IP1'!$A$37:$F$89,6,0),
VATrates,
IF(YEAR(H$1)=2013,5,6),0)</f>
        <v>0</v>
      </c>
      <c r="I36" s="24">
        <f>VLOOKUP($A36&amp;$B36,OH!$A$2:$AB$62,COLUMN(I36)+1,0)*
VLOOKUP(VLOOKUP($A36&amp;$B36,'IP1'!$A$37:$F$89,6,0),
VATrates,
IF(YEAR(I$1)=2013,5,6),0)</f>
        <v>0</v>
      </c>
      <c r="J36" s="24">
        <f>VLOOKUP($A36&amp;$B36,OH!$A$2:$AB$62,COLUMN(J36)+1,0)*
VLOOKUP(VLOOKUP($A36&amp;$B36,'IP1'!$A$37:$F$89,6,0),
VATrates,
IF(YEAR(J$1)=2013,5,6),0)</f>
        <v>1150</v>
      </c>
      <c r="K36" s="24">
        <f>VLOOKUP($A36&amp;$B36,OH!$A$2:$AB$62,COLUMN(K36)+1,0)*
VLOOKUP(VLOOKUP($A36&amp;$B36,'IP1'!$A$37:$F$89,6,0),
VATrates,
IF(YEAR(K$1)=2013,5,6),0)</f>
        <v>0</v>
      </c>
      <c r="L36" s="24">
        <f>VLOOKUP($A36&amp;$B36,OH!$A$2:$AB$62,COLUMN(L36)+1,0)*
VLOOKUP(VLOOKUP($A36&amp;$B36,'IP1'!$A$37:$F$89,6,0),
VATrates,
IF(YEAR(L$1)=2013,5,6),0)</f>
        <v>0</v>
      </c>
      <c r="M36" s="24">
        <f>VLOOKUP($A36&amp;$B36,OH!$A$2:$AB$62,COLUMN(M36)+1,0)*
VLOOKUP(VLOOKUP($A36&amp;$B36,'IP1'!$A$37:$F$89,6,0),
VATrates,
IF(YEAR(M$1)=2013,5,6),0)</f>
        <v>0</v>
      </c>
      <c r="N36" s="24">
        <f>VLOOKUP($A36&amp;$B36,OH!$A$2:$AB$62,COLUMN(N36)+1,0)*
VLOOKUP(VLOOKUP($A36&amp;$B36,'IP1'!$A$37:$F$89,6,0),
VATrates,
IF(YEAR(N$1)=2013,5,6),0)</f>
        <v>0</v>
      </c>
      <c r="O36" s="24">
        <f>VLOOKUP($A36&amp;$B36,OH!$A$2:$AB$62,COLUMN(O36)+1,0)*
VLOOKUP(VLOOKUP($A36&amp;$B36,'IP1'!$A$37:$F$89,6,0),
VATrates,
IF(YEAR(O$1)=2013,5,6),0)</f>
        <v>0</v>
      </c>
      <c r="P36" s="17"/>
    </row>
    <row r="37" spans="1:16">
      <c r="A37" s="16" t="s">
        <v>155</v>
      </c>
      <c r="B37" s="16" t="s">
        <v>2</v>
      </c>
      <c r="C37" s="24"/>
      <c r="D37" s="24">
        <f>VLOOKUP($A37&amp;$B37,OH!$A$2:$AB$62,COLUMN(D37)+1,0)*
VLOOKUP(VLOOKUP($A37&amp;$B37,'IP1'!$A$37:$F$89,6,0),
VATrates,
IF(YEAR(D$1)=2013,5,6),0)</f>
        <v>19.166666666666668</v>
      </c>
      <c r="E37" s="24">
        <f>VLOOKUP($A37&amp;$B37,OH!$A$2:$AB$62,COLUMN(E37)+1,0)*
VLOOKUP(VLOOKUP($A37&amp;$B37,'IP1'!$A$37:$F$89,6,0),
VATrates,
IF(YEAR(E$1)=2013,5,6),0)</f>
        <v>19.166666666666668</v>
      </c>
      <c r="F37" s="24">
        <f>VLOOKUP($A37&amp;$B37,OH!$A$2:$AB$62,COLUMN(F37)+1,0)*
VLOOKUP(VLOOKUP($A37&amp;$B37,'IP1'!$A$37:$F$89,6,0),
VATrates,
IF(YEAR(F$1)=2013,5,6),0)</f>
        <v>19.166666666666668</v>
      </c>
      <c r="G37" s="24">
        <f>VLOOKUP($A37&amp;$B37,OH!$A$2:$AB$62,COLUMN(G37)+1,0)*
VLOOKUP(VLOOKUP($A37&amp;$B37,'IP1'!$A$37:$F$89,6,0),
VATrates,
IF(YEAR(G$1)=2013,5,6),0)</f>
        <v>19.166666666666668</v>
      </c>
      <c r="H37" s="24">
        <f>VLOOKUP($A37&amp;$B37,OH!$A$2:$AB$62,COLUMN(H37)+1,0)*
VLOOKUP(VLOOKUP($A37&amp;$B37,'IP1'!$A$37:$F$89,6,0),
VATrates,
IF(YEAR(H$1)=2013,5,6),0)</f>
        <v>19.166666666666668</v>
      </c>
      <c r="I37" s="24">
        <f>VLOOKUP($A37&amp;$B37,OH!$A$2:$AB$62,COLUMN(I37)+1,0)*
VLOOKUP(VLOOKUP($A37&amp;$B37,'IP1'!$A$37:$F$89,6,0),
VATrates,
IF(YEAR(I$1)=2013,5,6),0)</f>
        <v>19.166666666666668</v>
      </c>
      <c r="J37" s="24">
        <f>VLOOKUP($A37&amp;$B37,OH!$A$2:$AB$62,COLUMN(J37)+1,0)*
VLOOKUP(VLOOKUP($A37&amp;$B37,'IP1'!$A$37:$F$89,6,0),
VATrates,
IF(YEAR(J$1)=2013,5,6),0)</f>
        <v>19.166666666666668</v>
      </c>
      <c r="K37" s="24">
        <f>VLOOKUP($A37&amp;$B37,OH!$A$2:$AB$62,COLUMN(K37)+1,0)*
VLOOKUP(VLOOKUP($A37&amp;$B37,'IP1'!$A$37:$F$89,6,0),
VATrates,
IF(YEAR(K$1)=2013,5,6),0)</f>
        <v>19.166666666666668</v>
      </c>
      <c r="L37" s="24">
        <f>VLOOKUP($A37&amp;$B37,OH!$A$2:$AB$62,COLUMN(L37)+1,0)*
VLOOKUP(VLOOKUP($A37&amp;$B37,'IP1'!$A$37:$F$89,6,0),
VATrates,
IF(YEAR(L$1)=2013,5,6),0)</f>
        <v>19.166666666666668</v>
      </c>
      <c r="M37" s="24">
        <f>VLOOKUP($A37&amp;$B37,OH!$A$2:$AB$62,COLUMN(M37)+1,0)*
VLOOKUP(VLOOKUP($A37&amp;$B37,'IP1'!$A$37:$F$89,6,0),
VATrates,
IF(YEAR(M$1)=2013,5,6),0)</f>
        <v>19.166666666666668</v>
      </c>
      <c r="N37" s="24">
        <f>VLOOKUP($A37&amp;$B37,OH!$A$2:$AB$62,COLUMN(N37)+1,0)*
VLOOKUP(VLOOKUP($A37&amp;$B37,'IP1'!$A$37:$F$89,6,0),
VATrates,
IF(YEAR(N$1)=2013,5,6),0)</f>
        <v>19.166666666666668</v>
      </c>
      <c r="O37" s="24">
        <f>VLOOKUP($A37&amp;$B37,OH!$A$2:$AB$62,COLUMN(O37)+1,0)*
VLOOKUP(VLOOKUP($A37&amp;$B37,'IP1'!$A$37:$F$89,6,0),
VATrates,
IF(YEAR(O$1)=2013,5,6),0)</f>
        <v>19.166666666666668</v>
      </c>
      <c r="P37" s="17"/>
    </row>
    <row r="38" spans="1:16">
      <c r="A38" s="16" t="s">
        <v>443</v>
      </c>
      <c r="B38" s="16" t="s">
        <v>444</v>
      </c>
      <c r="C38" s="24"/>
      <c r="D38" s="24">
        <f>VLOOKUP($A38&amp;$B38,OH!$A$2:$AB$62,COLUMN(D38)+1,0)*
VLOOKUP(VLOOKUP($A38&amp;$B38,'IP1'!$A$37:$F$89,6,0),
VATrates,
IF(YEAR(D$1)=2013,5,6),0)</f>
        <v>2875</v>
      </c>
      <c r="E38" s="24">
        <f>VLOOKUP($A38&amp;$B38,OH!$A$2:$AB$62,COLUMN(E38)+1,0)*
VLOOKUP(VLOOKUP($A38&amp;$B38,'IP1'!$A$37:$F$89,6,0),
VATrates,
IF(YEAR(E$1)=2013,5,6),0)</f>
        <v>0</v>
      </c>
      <c r="F38" s="24">
        <f>VLOOKUP($A38&amp;$B38,OH!$A$2:$AB$62,COLUMN(F38)+1,0)*
VLOOKUP(VLOOKUP($A38&amp;$B38,'IP1'!$A$37:$F$89,6,0),
VATrates,
IF(YEAR(F$1)=2013,5,6),0)</f>
        <v>0</v>
      </c>
      <c r="G38" s="24">
        <f>VLOOKUP($A38&amp;$B38,OH!$A$2:$AB$62,COLUMN(G38)+1,0)*
VLOOKUP(VLOOKUP($A38&amp;$B38,'IP1'!$A$37:$F$89,6,0),
VATrates,
IF(YEAR(G$1)=2013,5,6),0)</f>
        <v>2875</v>
      </c>
      <c r="H38" s="24">
        <f>VLOOKUP($A38&amp;$B38,OH!$A$2:$AB$62,COLUMN(H38)+1,0)*
VLOOKUP(VLOOKUP($A38&amp;$B38,'IP1'!$A$37:$F$89,6,0),
VATrates,
IF(YEAR(H$1)=2013,5,6),0)</f>
        <v>0</v>
      </c>
      <c r="I38" s="24">
        <f>VLOOKUP($A38&amp;$B38,OH!$A$2:$AB$62,COLUMN(I38)+1,0)*
VLOOKUP(VLOOKUP($A38&amp;$B38,'IP1'!$A$37:$F$89,6,0),
VATrates,
IF(YEAR(I$1)=2013,5,6),0)</f>
        <v>0</v>
      </c>
      <c r="J38" s="24">
        <f>VLOOKUP($A38&amp;$B38,OH!$A$2:$AB$62,COLUMN(J38)+1,0)*
VLOOKUP(VLOOKUP($A38&amp;$B38,'IP1'!$A$37:$F$89,6,0),
VATrates,
IF(YEAR(J$1)=2013,5,6),0)</f>
        <v>2875</v>
      </c>
      <c r="K38" s="24">
        <f>VLOOKUP($A38&amp;$B38,OH!$A$2:$AB$62,COLUMN(K38)+1,0)*
VLOOKUP(VLOOKUP($A38&amp;$B38,'IP1'!$A$37:$F$89,6,0),
VATrates,
IF(YEAR(K$1)=2013,5,6),0)</f>
        <v>0</v>
      </c>
      <c r="L38" s="24">
        <f>VLOOKUP($A38&amp;$B38,OH!$A$2:$AB$62,COLUMN(L38)+1,0)*
VLOOKUP(VLOOKUP($A38&amp;$B38,'IP1'!$A$37:$F$89,6,0),
VATrates,
IF(YEAR(L$1)=2013,5,6),0)</f>
        <v>0</v>
      </c>
      <c r="M38" s="24">
        <f>VLOOKUP($A38&amp;$B38,OH!$A$2:$AB$62,COLUMN(M38)+1,0)*
VLOOKUP(VLOOKUP($A38&amp;$B38,'IP1'!$A$37:$F$89,6,0),
VATrates,
IF(YEAR(M$1)=2013,5,6),0)</f>
        <v>2875</v>
      </c>
      <c r="N38" s="24">
        <f>VLOOKUP($A38&amp;$B38,OH!$A$2:$AB$62,COLUMN(N38)+1,0)*
VLOOKUP(VLOOKUP($A38&amp;$B38,'IP1'!$A$37:$F$89,6,0),
VATrates,
IF(YEAR(N$1)=2013,5,6),0)</f>
        <v>0</v>
      </c>
      <c r="O38" s="24">
        <f>VLOOKUP($A38&amp;$B38,OH!$A$2:$AB$62,COLUMN(O38)+1,0)*
VLOOKUP(VLOOKUP($A38&amp;$B38,'IP1'!$A$37:$F$89,6,0),
VATrates,
IF(YEAR(O$1)=2013,5,6),0)</f>
        <v>0</v>
      </c>
      <c r="P38" s="17"/>
    </row>
    <row r="39" spans="1:16">
      <c r="A39" s="16" t="s">
        <v>443</v>
      </c>
      <c r="B39" s="16" t="s">
        <v>445</v>
      </c>
      <c r="C39" s="24"/>
      <c r="D39" s="24">
        <f>VLOOKUP($A39&amp;$B39,OH!$A$2:$AB$62,COLUMN(D39)+1,0)*
VLOOKUP(VLOOKUP($A39&amp;$B39,'IP1'!$A$37:$F$89,6,0),
VATrates,
IF(YEAR(D$1)=2013,5,6),0)</f>
        <v>2875</v>
      </c>
      <c r="E39" s="24">
        <f>VLOOKUP($A39&amp;$B39,OH!$A$2:$AB$62,COLUMN(E39)+1,0)*
VLOOKUP(VLOOKUP($A39&amp;$B39,'IP1'!$A$37:$F$89,6,0),
VATrates,
IF(YEAR(E$1)=2013,5,6),0)</f>
        <v>0</v>
      </c>
      <c r="F39" s="24">
        <f>VLOOKUP($A39&amp;$B39,OH!$A$2:$AB$62,COLUMN(F39)+1,0)*
VLOOKUP(VLOOKUP($A39&amp;$B39,'IP1'!$A$37:$F$89,6,0),
VATrates,
IF(YEAR(F$1)=2013,5,6),0)</f>
        <v>0</v>
      </c>
      <c r="G39" s="24">
        <f>VLOOKUP($A39&amp;$B39,OH!$A$2:$AB$62,COLUMN(G39)+1,0)*
VLOOKUP(VLOOKUP($A39&amp;$B39,'IP1'!$A$37:$F$89,6,0),
VATrates,
IF(YEAR(G$1)=2013,5,6),0)</f>
        <v>2875</v>
      </c>
      <c r="H39" s="24">
        <f>VLOOKUP($A39&amp;$B39,OH!$A$2:$AB$62,COLUMN(H39)+1,0)*
VLOOKUP(VLOOKUP($A39&amp;$B39,'IP1'!$A$37:$F$89,6,0),
VATrates,
IF(YEAR(H$1)=2013,5,6),0)</f>
        <v>0</v>
      </c>
      <c r="I39" s="24">
        <f>VLOOKUP($A39&amp;$B39,OH!$A$2:$AB$62,COLUMN(I39)+1,0)*
VLOOKUP(VLOOKUP($A39&amp;$B39,'IP1'!$A$37:$F$89,6,0),
VATrates,
IF(YEAR(I$1)=2013,5,6),0)</f>
        <v>0</v>
      </c>
      <c r="J39" s="24">
        <f>VLOOKUP($A39&amp;$B39,OH!$A$2:$AB$62,COLUMN(J39)+1,0)*
VLOOKUP(VLOOKUP($A39&amp;$B39,'IP1'!$A$37:$F$89,6,0),
VATrates,
IF(YEAR(J$1)=2013,5,6),0)</f>
        <v>2875</v>
      </c>
      <c r="K39" s="24">
        <f>VLOOKUP($A39&amp;$B39,OH!$A$2:$AB$62,COLUMN(K39)+1,0)*
VLOOKUP(VLOOKUP($A39&amp;$B39,'IP1'!$A$37:$F$89,6,0),
VATrates,
IF(YEAR(K$1)=2013,5,6),0)</f>
        <v>0</v>
      </c>
      <c r="L39" s="24">
        <f>VLOOKUP($A39&amp;$B39,OH!$A$2:$AB$62,COLUMN(L39)+1,0)*
VLOOKUP(VLOOKUP($A39&amp;$B39,'IP1'!$A$37:$F$89,6,0),
VATrates,
IF(YEAR(L$1)=2013,5,6),0)</f>
        <v>0</v>
      </c>
      <c r="M39" s="24">
        <f>VLOOKUP($A39&amp;$B39,OH!$A$2:$AB$62,COLUMN(M39)+1,0)*
VLOOKUP(VLOOKUP($A39&amp;$B39,'IP1'!$A$37:$F$89,6,0),
VATrates,
IF(YEAR(M$1)=2013,5,6),0)</f>
        <v>2875</v>
      </c>
      <c r="N39" s="24">
        <f>VLOOKUP($A39&amp;$B39,OH!$A$2:$AB$62,COLUMN(N39)+1,0)*
VLOOKUP(VLOOKUP($A39&amp;$B39,'IP1'!$A$37:$F$89,6,0),
VATrates,
IF(YEAR(N$1)=2013,5,6),0)</f>
        <v>0</v>
      </c>
      <c r="O39" s="24">
        <f>VLOOKUP($A39&amp;$B39,OH!$A$2:$AB$62,COLUMN(O39)+1,0)*
VLOOKUP(VLOOKUP($A39&amp;$B39,'IP1'!$A$37:$F$89,6,0),
VATrates,
IF(YEAR(O$1)=2013,5,6),0)</f>
        <v>0</v>
      </c>
      <c r="P39" s="17"/>
    </row>
    <row r="40" spans="1:16">
      <c r="A40" s="16" t="s">
        <v>443</v>
      </c>
      <c r="B40" s="16" t="s">
        <v>446</v>
      </c>
      <c r="C40" s="24"/>
      <c r="D40" s="24">
        <f>VLOOKUP($A40&amp;$B40,OH!$A$2:$AB$62,COLUMN(D40)+1,0)*
VLOOKUP(VLOOKUP($A40&amp;$B40,'IP1'!$A$37:$F$89,6,0),
VATrates,
IF(YEAR(D$1)=2013,5,6),0)</f>
        <v>0</v>
      </c>
      <c r="E40" s="24">
        <f>VLOOKUP($A40&amp;$B40,OH!$A$2:$AB$62,COLUMN(E40)+1,0)*
VLOOKUP(VLOOKUP($A40&amp;$B40,'IP1'!$A$37:$F$89,6,0),
VATrates,
IF(YEAR(E$1)=2013,5,6),0)</f>
        <v>0</v>
      </c>
      <c r="F40" s="24">
        <f>VLOOKUP($A40&amp;$B40,OH!$A$2:$AB$62,COLUMN(F40)+1,0)*
VLOOKUP(VLOOKUP($A40&amp;$B40,'IP1'!$A$37:$F$89,6,0),
VATrates,
IF(YEAR(F$1)=2013,5,6),0)</f>
        <v>0</v>
      </c>
      <c r="G40" s="24">
        <f>VLOOKUP($A40&amp;$B40,OH!$A$2:$AB$62,COLUMN(G40)+1,0)*
VLOOKUP(VLOOKUP($A40&amp;$B40,'IP1'!$A$37:$F$89,6,0),
VATrates,
IF(YEAR(G$1)=2013,5,6),0)</f>
        <v>0</v>
      </c>
      <c r="H40" s="24">
        <f>VLOOKUP($A40&amp;$B40,OH!$A$2:$AB$62,COLUMN(H40)+1,0)*
VLOOKUP(VLOOKUP($A40&amp;$B40,'IP1'!$A$37:$F$89,6,0),
VATrates,
IF(YEAR(H$1)=2013,5,6),0)</f>
        <v>0</v>
      </c>
      <c r="I40" s="24">
        <f>VLOOKUP($A40&amp;$B40,OH!$A$2:$AB$62,COLUMN(I40)+1,0)*
VLOOKUP(VLOOKUP($A40&amp;$B40,'IP1'!$A$37:$F$89,6,0),
VATrates,
IF(YEAR(I$1)=2013,5,6),0)</f>
        <v>0</v>
      </c>
      <c r="J40" s="24">
        <f>VLOOKUP($A40&amp;$B40,OH!$A$2:$AB$62,COLUMN(J40)+1,0)*
VLOOKUP(VLOOKUP($A40&amp;$B40,'IP1'!$A$37:$F$89,6,0),
VATrates,
IF(YEAR(J$1)=2013,5,6),0)</f>
        <v>0</v>
      </c>
      <c r="K40" s="24">
        <f>VLOOKUP($A40&amp;$B40,OH!$A$2:$AB$62,COLUMN(K40)+1,0)*
VLOOKUP(VLOOKUP($A40&amp;$B40,'IP1'!$A$37:$F$89,6,0),
VATrates,
IF(YEAR(K$1)=2013,5,6),0)</f>
        <v>0</v>
      </c>
      <c r="L40" s="24">
        <f>VLOOKUP($A40&amp;$B40,OH!$A$2:$AB$62,COLUMN(L40)+1,0)*
VLOOKUP(VLOOKUP($A40&amp;$B40,'IP1'!$A$37:$F$89,6,0),
VATrates,
IF(YEAR(L$1)=2013,5,6),0)</f>
        <v>0</v>
      </c>
      <c r="M40" s="24">
        <f>VLOOKUP($A40&amp;$B40,OH!$A$2:$AB$62,COLUMN(M40)+1,0)*
VLOOKUP(VLOOKUP($A40&amp;$B40,'IP1'!$A$37:$F$89,6,0),
VATrates,
IF(YEAR(M$1)=2013,5,6),0)</f>
        <v>0</v>
      </c>
      <c r="N40" s="24">
        <f>VLOOKUP($A40&amp;$B40,OH!$A$2:$AB$62,COLUMN(N40)+1,0)*
VLOOKUP(VLOOKUP($A40&amp;$B40,'IP1'!$A$37:$F$89,6,0),
VATrates,
IF(YEAR(N$1)=2013,5,6),0)</f>
        <v>0</v>
      </c>
      <c r="O40" s="24">
        <f>VLOOKUP($A40&amp;$B40,OH!$A$2:$AB$62,COLUMN(O40)+1,0)*
VLOOKUP(VLOOKUP($A40&amp;$B40,'IP1'!$A$37:$F$89,6,0),
VATrates,
IF(YEAR(O$1)=2013,5,6),0)</f>
        <v>0</v>
      </c>
      <c r="P40" s="17"/>
    </row>
    <row r="41" spans="1:16">
      <c r="A41" s="16" t="s">
        <v>443</v>
      </c>
      <c r="B41" s="16" t="s">
        <v>447</v>
      </c>
      <c r="C41" s="24"/>
      <c r="D41" s="24">
        <f>VLOOKUP($A41&amp;$B41,OH!$A$2:$AB$62,COLUMN(D41)+1,0)*
VLOOKUP(VLOOKUP($A41&amp;$B41,'IP1'!$A$37:$F$89,6,0),
VATrates,
IF(YEAR(D$1)=2013,5,6),0)</f>
        <v>95.833333333333343</v>
      </c>
      <c r="E41" s="24">
        <f>VLOOKUP($A41&amp;$B41,OH!$A$2:$AB$62,COLUMN(E41)+1,0)*
VLOOKUP(VLOOKUP($A41&amp;$B41,'IP1'!$A$37:$F$89,6,0),
VATrates,
IF(YEAR(E$1)=2013,5,6),0)</f>
        <v>95.833333333333343</v>
      </c>
      <c r="F41" s="24">
        <f>VLOOKUP($A41&amp;$B41,OH!$A$2:$AB$62,COLUMN(F41)+1,0)*
VLOOKUP(VLOOKUP($A41&amp;$B41,'IP1'!$A$37:$F$89,6,0),
VATrates,
IF(YEAR(F$1)=2013,5,6),0)</f>
        <v>95.833333333333343</v>
      </c>
      <c r="G41" s="24">
        <f>VLOOKUP($A41&amp;$B41,OH!$A$2:$AB$62,COLUMN(G41)+1,0)*
VLOOKUP(VLOOKUP($A41&amp;$B41,'IP1'!$A$37:$F$89,6,0),
VATrates,
IF(YEAR(G$1)=2013,5,6),0)</f>
        <v>95.833333333333343</v>
      </c>
      <c r="H41" s="24">
        <f>VLOOKUP($A41&amp;$B41,OH!$A$2:$AB$62,COLUMN(H41)+1,0)*
VLOOKUP(VLOOKUP($A41&amp;$B41,'IP1'!$A$37:$F$89,6,0),
VATrates,
IF(YEAR(H$1)=2013,5,6),0)</f>
        <v>95.833333333333343</v>
      </c>
      <c r="I41" s="24">
        <f>VLOOKUP($A41&amp;$B41,OH!$A$2:$AB$62,COLUMN(I41)+1,0)*
VLOOKUP(VLOOKUP($A41&amp;$B41,'IP1'!$A$37:$F$89,6,0),
VATrates,
IF(YEAR(I$1)=2013,5,6),0)</f>
        <v>95.833333333333343</v>
      </c>
      <c r="J41" s="24">
        <f>VLOOKUP($A41&amp;$B41,OH!$A$2:$AB$62,COLUMN(J41)+1,0)*
VLOOKUP(VLOOKUP($A41&amp;$B41,'IP1'!$A$37:$F$89,6,0),
VATrates,
IF(YEAR(J$1)=2013,5,6),0)</f>
        <v>95.833333333333343</v>
      </c>
      <c r="K41" s="24">
        <f>VLOOKUP($A41&amp;$B41,OH!$A$2:$AB$62,COLUMN(K41)+1,0)*
VLOOKUP(VLOOKUP($A41&amp;$B41,'IP1'!$A$37:$F$89,6,0),
VATrates,
IF(YEAR(K$1)=2013,5,6),0)</f>
        <v>95.833333333333343</v>
      </c>
      <c r="L41" s="24">
        <f>VLOOKUP($A41&amp;$B41,OH!$A$2:$AB$62,COLUMN(L41)+1,0)*
VLOOKUP(VLOOKUP($A41&amp;$B41,'IP1'!$A$37:$F$89,6,0),
VATrates,
IF(YEAR(L$1)=2013,5,6),0)</f>
        <v>95.833333333333343</v>
      </c>
      <c r="M41" s="24">
        <f>VLOOKUP($A41&amp;$B41,OH!$A$2:$AB$62,COLUMN(M41)+1,0)*
VLOOKUP(VLOOKUP($A41&amp;$B41,'IP1'!$A$37:$F$89,6,0),
VATrates,
IF(YEAR(M$1)=2013,5,6),0)</f>
        <v>95.833333333333343</v>
      </c>
      <c r="N41" s="24">
        <f>VLOOKUP($A41&amp;$B41,OH!$A$2:$AB$62,COLUMN(N41)+1,0)*
VLOOKUP(VLOOKUP($A41&amp;$B41,'IP1'!$A$37:$F$89,6,0),
VATrates,
IF(YEAR(N$1)=2013,5,6),0)</f>
        <v>95.833333333333343</v>
      </c>
      <c r="O41" s="24">
        <f>VLOOKUP($A41&amp;$B41,OH!$A$2:$AB$62,COLUMN(O41)+1,0)*
VLOOKUP(VLOOKUP($A41&amp;$B41,'IP1'!$A$37:$F$89,6,0),
VATrates,
IF(YEAR(O$1)=2013,5,6),0)</f>
        <v>95.833333333333343</v>
      </c>
      <c r="P41" s="17"/>
    </row>
    <row r="42" spans="1:16">
      <c r="A42" s="16" t="s">
        <v>448</v>
      </c>
      <c r="B42" s="16" t="s">
        <v>449</v>
      </c>
      <c r="C42" s="24"/>
      <c r="D42" s="24">
        <f>VLOOKUP($A42&amp;$B42,OH!$A$2:$AB$62,COLUMN(D42)+1,0)*
VLOOKUP(VLOOKUP($A42&amp;$B42,'IP1'!$A$37:$F$89,6,0),
VATrates,
IF(YEAR(D$1)=2013,5,6),0)</f>
        <v>0</v>
      </c>
      <c r="E42" s="24">
        <f>VLOOKUP($A42&amp;$B42,OH!$A$2:$AB$62,COLUMN(E42)+1,0)*
VLOOKUP(VLOOKUP($A42&amp;$B42,'IP1'!$A$37:$F$89,6,0),
VATrates,
IF(YEAR(E$1)=2013,5,6),0)</f>
        <v>0</v>
      </c>
      <c r="F42" s="24">
        <f>VLOOKUP($A42&amp;$B42,OH!$A$2:$AB$62,COLUMN(F42)+1,0)*
VLOOKUP(VLOOKUP($A42&amp;$B42,'IP1'!$A$37:$F$89,6,0),
VATrates,
IF(YEAR(F$1)=2013,5,6),0)</f>
        <v>0</v>
      </c>
      <c r="G42" s="24">
        <f>VLOOKUP($A42&amp;$B42,OH!$A$2:$AB$62,COLUMN(G42)+1,0)*
VLOOKUP(VLOOKUP($A42&amp;$B42,'IP1'!$A$37:$F$89,6,0),
VATrates,
IF(YEAR(G$1)=2013,5,6),0)</f>
        <v>0</v>
      </c>
      <c r="H42" s="24">
        <f>VLOOKUP($A42&amp;$B42,OH!$A$2:$AB$62,COLUMN(H42)+1,0)*
VLOOKUP(VLOOKUP($A42&amp;$B42,'IP1'!$A$37:$F$89,6,0),
VATrates,
IF(YEAR(H$1)=2013,5,6),0)</f>
        <v>0</v>
      </c>
      <c r="I42" s="24">
        <f>VLOOKUP($A42&amp;$B42,OH!$A$2:$AB$62,COLUMN(I42)+1,0)*
VLOOKUP(VLOOKUP($A42&amp;$B42,'IP1'!$A$37:$F$89,6,0),
VATrates,
IF(YEAR(I$1)=2013,5,6),0)</f>
        <v>0</v>
      </c>
      <c r="J42" s="24">
        <f>VLOOKUP($A42&amp;$B42,OH!$A$2:$AB$62,COLUMN(J42)+1,0)*
VLOOKUP(VLOOKUP($A42&amp;$B42,'IP1'!$A$37:$F$89,6,0),
VATrates,
IF(YEAR(J$1)=2013,5,6),0)</f>
        <v>0</v>
      </c>
      <c r="K42" s="24">
        <f>VLOOKUP($A42&amp;$B42,OH!$A$2:$AB$62,COLUMN(K42)+1,0)*
VLOOKUP(VLOOKUP($A42&amp;$B42,'IP1'!$A$37:$F$89,6,0),
VATrates,
IF(YEAR(K$1)=2013,5,6),0)</f>
        <v>0</v>
      </c>
      <c r="L42" s="24">
        <f>VLOOKUP($A42&amp;$B42,OH!$A$2:$AB$62,COLUMN(L42)+1,0)*
VLOOKUP(VLOOKUP($A42&amp;$B42,'IP1'!$A$37:$F$89,6,0),
VATrates,
IF(YEAR(L$1)=2013,5,6),0)</f>
        <v>0</v>
      </c>
      <c r="M42" s="24">
        <f>VLOOKUP($A42&amp;$B42,OH!$A$2:$AB$62,COLUMN(M42)+1,0)*
VLOOKUP(VLOOKUP($A42&amp;$B42,'IP1'!$A$37:$F$89,6,0),
VATrates,
IF(YEAR(M$1)=2013,5,6),0)</f>
        <v>0</v>
      </c>
      <c r="N42" s="24">
        <f>VLOOKUP($A42&amp;$B42,OH!$A$2:$AB$62,COLUMN(N42)+1,0)*
VLOOKUP(VLOOKUP($A42&amp;$B42,'IP1'!$A$37:$F$89,6,0),
VATrates,
IF(YEAR(N$1)=2013,5,6),0)</f>
        <v>0</v>
      </c>
      <c r="O42" s="24">
        <f>VLOOKUP($A42&amp;$B42,OH!$A$2:$AB$62,COLUMN(O42)+1,0)*
VLOOKUP(VLOOKUP($A42&amp;$B42,'IP1'!$A$37:$F$89,6,0),
VATrates,
IF(YEAR(O$1)=2013,5,6),0)</f>
        <v>0</v>
      </c>
      <c r="P42" s="17"/>
    </row>
    <row r="43" spans="1:16">
      <c r="A43" s="16" t="s">
        <v>448</v>
      </c>
      <c r="B43" s="16" t="s">
        <v>450</v>
      </c>
      <c r="C43" s="24"/>
      <c r="D43" s="24">
        <f>VLOOKUP($A43&amp;$B43,OH!$A$2:$AB$62,COLUMN(D43)+1,0)*
VLOOKUP(VLOOKUP($A43&amp;$B43,'IP1'!$A$37:$F$89,6,0),
VATrates,
IF(YEAR(D$1)=2013,5,6),0)</f>
        <v>1725</v>
      </c>
      <c r="E43" s="24">
        <f>VLOOKUP($A43&amp;$B43,OH!$A$2:$AB$62,COLUMN(E43)+1,0)*
VLOOKUP(VLOOKUP($A43&amp;$B43,'IP1'!$A$37:$F$89,6,0),
VATrates,
IF(YEAR(E$1)=2013,5,6),0)</f>
        <v>0</v>
      </c>
      <c r="F43" s="24">
        <f>VLOOKUP($A43&amp;$B43,OH!$A$2:$AB$62,COLUMN(F43)+1,0)*
VLOOKUP(VLOOKUP($A43&amp;$B43,'IP1'!$A$37:$F$89,6,0),
VATrates,
IF(YEAR(F$1)=2013,5,6),0)</f>
        <v>0</v>
      </c>
      <c r="G43" s="24">
        <f>VLOOKUP($A43&amp;$B43,OH!$A$2:$AB$62,COLUMN(G43)+1,0)*
VLOOKUP(VLOOKUP($A43&amp;$B43,'IP1'!$A$37:$F$89,6,0),
VATrates,
IF(YEAR(G$1)=2013,5,6),0)</f>
        <v>0</v>
      </c>
      <c r="H43" s="24">
        <f>VLOOKUP($A43&amp;$B43,OH!$A$2:$AB$62,COLUMN(H43)+1,0)*
VLOOKUP(VLOOKUP($A43&amp;$B43,'IP1'!$A$37:$F$89,6,0),
VATrates,
IF(YEAR(H$1)=2013,5,6),0)</f>
        <v>0</v>
      </c>
      <c r="I43" s="24">
        <f>VLOOKUP($A43&amp;$B43,OH!$A$2:$AB$62,COLUMN(I43)+1,0)*
VLOOKUP(VLOOKUP($A43&amp;$B43,'IP1'!$A$37:$F$89,6,0),
VATrates,
IF(YEAR(I$1)=2013,5,6),0)</f>
        <v>0</v>
      </c>
      <c r="J43" s="24">
        <f>VLOOKUP($A43&amp;$B43,OH!$A$2:$AB$62,COLUMN(J43)+1,0)*
VLOOKUP(VLOOKUP($A43&amp;$B43,'IP1'!$A$37:$F$89,6,0),
VATrates,
IF(YEAR(J$1)=2013,5,6),0)</f>
        <v>0</v>
      </c>
      <c r="K43" s="24">
        <f>VLOOKUP($A43&amp;$B43,OH!$A$2:$AB$62,COLUMN(K43)+1,0)*
VLOOKUP(VLOOKUP($A43&amp;$B43,'IP1'!$A$37:$F$89,6,0),
VATrates,
IF(YEAR(K$1)=2013,5,6),0)</f>
        <v>0</v>
      </c>
      <c r="L43" s="24">
        <f>VLOOKUP($A43&amp;$B43,OH!$A$2:$AB$62,COLUMN(L43)+1,0)*
VLOOKUP(VLOOKUP($A43&amp;$B43,'IP1'!$A$37:$F$89,6,0),
VATrates,
IF(YEAR(L$1)=2013,5,6),0)</f>
        <v>0</v>
      </c>
      <c r="M43" s="24">
        <f>VLOOKUP($A43&amp;$B43,OH!$A$2:$AB$62,COLUMN(M43)+1,0)*
VLOOKUP(VLOOKUP($A43&amp;$B43,'IP1'!$A$37:$F$89,6,0),
VATrates,
IF(YEAR(M$1)=2013,5,6),0)</f>
        <v>0</v>
      </c>
      <c r="N43" s="24">
        <f>VLOOKUP($A43&amp;$B43,OH!$A$2:$AB$62,COLUMN(N43)+1,0)*
VLOOKUP(VLOOKUP($A43&amp;$B43,'IP1'!$A$37:$F$89,6,0),
VATrates,
IF(YEAR(N$1)=2013,5,6),0)</f>
        <v>0</v>
      </c>
      <c r="O43" s="24">
        <f>VLOOKUP($A43&amp;$B43,OH!$A$2:$AB$62,COLUMN(O43)+1,0)*
VLOOKUP(VLOOKUP($A43&amp;$B43,'IP1'!$A$37:$F$89,6,0),
VATrates,
IF(YEAR(O$1)=2013,5,6),0)</f>
        <v>0</v>
      </c>
      <c r="P43" s="17"/>
    </row>
    <row r="44" spans="1:16">
      <c r="A44" s="16" t="s">
        <v>448</v>
      </c>
      <c r="B44" s="16" t="s">
        <v>451</v>
      </c>
      <c r="C44" s="24"/>
      <c r="D44" s="24">
        <f>VLOOKUP($A44&amp;$B44,OH!$A$2:$AB$62,COLUMN(D44)+1,0)*
VLOOKUP(VLOOKUP($A44&amp;$B44,'IP1'!$A$37:$F$89,6,0),
VATrates,
IF(YEAR(D$1)=2013,5,6),0)</f>
        <v>2645</v>
      </c>
      <c r="E44" s="24">
        <f>VLOOKUP($A44&amp;$B44,OH!$A$2:$AB$62,COLUMN(E44)+1,0)*
VLOOKUP(VLOOKUP($A44&amp;$B44,'IP1'!$A$37:$F$89,6,0),
VATrates,
IF(YEAR(E$1)=2013,5,6),0)</f>
        <v>0</v>
      </c>
      <c r="F44" s="24">
        <f>VLOOKUP($A44&amp;$B44,OH!$A$2:$AB$62,COLUMN(F44)+1,0)*
VLOOKUP(VLOOKUP($A44&amp;$B44,'IP1'!$A$37:$F$89,6,0),
VATrates,
IF(YEAR(F$1)=2013,5,6),0)</f>
        <v>0</v>
      </c>
      <c r="G44" s="24">
        <f>VLOOKUP($A44&amp;$B44,OH!$A$2:$AB$62,COLUMN(G44)+1,0)*
VLOOKUP(VLOOKUP($A44&amp;$B44,'IP1'!$A$37:$F$89,6,0),
VATrates,
IF(YEAR(G$1)=2013,5,6),0)</f>
        <v>0</v>
      </c>
      <c r="H44" s="24">
        <f>VLOOKUP($A44&amp;$B44,OH!$A$2:$AB$62,COLUMN(H44)+1,0)*
VLOOKUP(VLOOKUP($A44&amp;$B44,'IP1'!$A$37:$F$89,6,0),
VATrates,
IF(YEAR(H$1)=2013,5,6),0)</f>
        <v>0</v>
      </c>
      <c r="I44" s="24">
        <f>VLOOKUP($A44&amp;$B44,OH!$A$2:$AB$62,COLUMN(I44)+1,0)*
VLOOKUP(VLOOKUP($A44&amp;$B44,'IP1'!$A$37:$F$89,6,0),
VATrates,
IF(YEAR(I$1)=2013,5,6),0)</f>
        <v>0</v>
      </c>
      <c r="J44" s="24">
        <f>VLOOKUP($A44&amp;$B44,OH!$A$2:$AB$62,COLUMN(J44)+1,0)*
VLOOKUP(VLOOKUP($A44&amp;$B44,'IP1'!$A$37:$F$89,6,0),
VATrates,
IF(YEAR(J$1)=2013,5,6),0)</f>
        <v>0</v>
      </c>
      <c r="K44" s="24">
        <f>VLOOKUP($A44&amp;$B44,OH!$A$2:$AB$62,COLUMN(K44)+1,0)*
VLOOKUP(VLOOKUP($A44&amp;$B44,'IP1'!$A$37:$F$89,6,0),
VATrates,
IF(YEAR(K$1)=2013,5,6),0)</f>
        <v>0</v>
      </c>
      <c r="L44" s="24">
        <f>VLOOKUP($A44&amp;$B44,OH!$A$2:$AB$62,COLUMN(L44)+1,0)*
VLOOKUP(VLOOKUP($A44&amp;$B44,'IP1'!$A$37:$F$89,6,0),
VATrates,
IF(YEAR(L$1)=2013,5,6),0)</f>
        <v>0</v>
      </c>
      <c r="M44" s="24">
        <f>VLOOKUP($A44&amp;$B44,OH!$A$2:$AB$62,COLUMN(M44)+1,0)*
VLOOKUP(VLOOKUP($A44&amp;$B44,'IP1'!$A$37:$F$89,6,0),
VATrates,
IF(YEAR(M$1)=2013,5,6),0)</f>
        <v>0</v>
      </c>
      <c r="N44" s="24">
        <f>VLOOKUP($A44&amp;$B44,OH!$A$2:$AB$62,COLUMN(N44)+1,0)*
VLOOKUP(VLOOKUP($A44&amp;$B44,'IP1'!$A$37:$F$89,6,0),
VATrates,
IF(YEAR(N$1)=2013,5,6),0)</f>
        <v>0</v>
      </c>
      <c r="O44" s="24">
        <f>VLOOKUP($A44&amp;$B44,OH!$A$2:$AB$62,COLUMN(O44)+1,0)*
VLOOKUP(VLOOKUP($A44&amp;$B44,'IP1'!$A$37:$F$89,6,0),
VATrates,
IF(YEAR(O$1)=2013,5,6),0)</f>
        <v>0</v>
      </c>
      <c r="P44" s="17"/>
    </row>
    <row r="45" spans="1:16">
      <c r="A45" s="16" t="s">
        <v>463</v>
      </c>
      <c r="B45" s="16" t="s">
        <v>464</v>
      </c>
      <c r="C45" s="24"/>
      <c r="D45" s="24">
        <f>VLOOKUP($A45&amp;$B45,OH!$A$2:$AB$62,COLUMN(D45)+1,0)*
VLOOKUP(VLOOKUP($A45&amp;$B45,'IP1'!$A$37:$F$89,6,0),
VATrates,
IF(YEAR(D$1)=2013,5,6),0)</f>
        <v>46</v>
      </c>
      <c r="E45" s="24">
        <f>VLOOKUP($A45&amp;$B45,OH!$A$2:$AB$62,COLUMN(E45)+1,0)*
VLOOKUP(VLOOKUP($A45&amp;$B45,'IP1'!$A$37:$F$89,6,0),
VATrates,
IF(YEAR(E$1)=2013,5,6),0)</f>
        <v>46</v>
      </c>
      <c r="F45" s="24">
        <f>VLOOKUP($A45&amp;$B45,OH!$A$2:$AB$62,COLUMN(F45)+1,0)*
VLOOKUP(VLOOKUP($A45&amp;$B45,'IP1'!$A$37:$F$89,6,0),
VATrates,
IF(YEAR(F$1)=2013,5,6),0)</f>
        <v>46</v>
      </c>
      <c r="G45" s="24">
        <f>VLOOKUP($A45&amp;$B45,OH!$A$2:$AB$62,COLUMN(G45)+1,0)*
VLOOKUP(VLOOKUP($A45&amp;$B45,'IP1'!$A$37:$F$89,6,0),
VATrates,
IF(YEAR(G$1)=2013,5,6),0)</f>
        <v>46</v>
      </c>
      <c r="H45" s="24">
        <f>VLOOKUP($A45&amp;$B45,OH!$A$2:$AB$62,COLUMN(H45)+1,0)*
VLOOKUP(VLOOKUP($A45&amp;$B45,'IP1'!$A$37:$F$89,6,0),
VATrates,
IF(YEAR(H$1)=2013,5,6),0)</f>
        <v>46</v>
      </c>
      <c r="I45" s="24">
        <f>VLOOKUP($A45&amp;$B45,OH!$A$2:$AB$62,COLUMN(I45)+1,0)*
VLOOKUP(VLOOKUP($A45&amp;$B45,'IP1'!$A$37:$F$89,6,0),
VATrates,
IF(YEAR(I$1)=2013,5,6),0)</f>
        <v>46</v>
      </c>
      <c r="J45" s="24">
        <f>VLOOKUP($A45&amp;$B45,OH!$A$2:$AB$62,COLUMN(J45)+1,0)*
VLOOKUP(VLOOKUP($A45&amp;$B45,'IP1'!$A$37:$F$89,6,0),
VATrates,
IF(YEAR(J$1)=2013,5,6),0)</f>
        <v>46</v>
      </c>
      <c r="K45" s="24">
        <f>VLOOKUP($A45&amp;$B45,OH!$A$2:$AB$62,COLUMN(K45)+1,0)*
VLOOKUP(VLOOKUP($A45&amp;$B45,'IP1'!$A$37:$F$89,6,0),
VATrates,
IF(YEAR(K$1)=2013,5,6),0)</f>
        <v>46</v>
      </c>
      <c r="L45" s="24">
        <f>VLOOKUP($A45&amp;$B45,OH!$A$2:$AB$62,COLUMN(L45)+1,0)*
VLOOKUP(VLOOKUP($A45&amp;$B45,'IP1'!$A$37:$F$89,6,0),
VATrates,
IF(YEAR(L$1)=2013,5,6),0)</f>
        <v>46</v>
      </c>
      <c r="M45" s="24">
        <f>VLOOKUP($A45&amp;$B45,OH!$A$2:$AB$62,COLUMN(M45)+1,0)*
VLOOKUP(VLOOKUP($A45&amp;$B45,'IP1'!$A$37:$F$89,6,0),
VATrates,
IF(YEAR(M$1)=2013,5,6),0)</f>
        <v>46</v>
      </c>
      <c r="N45" s="24">
        <f>VLOOKUP($A45&amp;$B45,OH!$A$2:$AB$62,COLUMN(N45)+1,0)*
VLOOKUP(VLOOKUP($A45&amp;$B45,'IP1'!$A$37:$F$89,6,0),
VATrates,
IF(YEAR(N$1)=2013,5,6),0)</f>
        <v>46</v>
      </c>
      <c r="O45" s="24">
        <f>VLOOKUP($A45&amp;$B45,OH!$A$2:$AB$62,COLUMN(O45)+1,0)*
VLOOKUP(VLOOKUP($A45&amp;$B45,'IP1'!$A$37:$F$89,6,0),
VATrates,
IF(YEAR(O$1)=2013,5,6),0)</f>
        <v>46</v>
      </c>
      <c r="P45" s="17"/>
    </row>
    <row r="46" spans="1:16">
      <c r="A46" s="16" t="s">
        <v>463</v>
      </c>
      <c r="B46" s="16" t="s">
        <v>477</v>
      </c>
      <c r="C46" s="24"/>
      <c r="D46" s="24">
        <f>VLOOKUP($A46&amp;$B46,OH!$A$2:$AB$62,COLUMN(D46)+1,0)*
VLOOKUP(VLOOKUP($A46&amp;$B46,'IP1'!$A$37:$F$89,6,0),
VATrates,
IF(YEAR(D$1)=2013,5,6),0)</f>
        <v>143.75</v>
      </c>
      <c r="E46" s="24">
        <f>VLOOKUP($A46&amp;$B46,OH!$A$2:$AB$62,COLUMN(E46)+1,0)*
VLOOKUP(VLOOKUP($A46&amp;$B46,'IP1'!$A$37:$F$89,6,0),
VATrates,
IF(YEAR(E$1)=2013,5,6),0)</f>
        <v>143.75</v>
      </c>
      <c r="F46" s="24">
        <f>VLOOKUP($A46&amp;$B46,OH!$A$2:$AB$62,COLUMN(F46)+1,0)*
VLOOKUP(VLOOKUP($A46&amp;$B46,'IP1'!$A$37:$F$89,6,0),
VATrates,
IF(YEAR(F$1)=2013,5,6),0)</f>
        <v>143.75</v>
      </c>
      <c r="G46" s="24">
        <f>VLOOKUP($A46&amp;$B46,OH!$A$2:$AB$62,COLUMN(G46)+1,0)*
VLOOKUP(VLOOKUP($A46&amp;$B46,'IP1'!$A$37:$F$89,6,0),
VATrates,
IF(YEAR(G$1)=2013,5,6),0)</f>
        <v>143.75</v>
      </c>
      <c r="H46" s="24">
        <f>VLOOKUP($A46&amp;$B46,OH!$A$2:$AB$62,COLUMN(H46)+1,0)*
VLOOKUP(VLOOKUP($A46&amp;$B46,'IP1'!$A$37:$F$89,6,0),
VATrates,
IF(YEAR(H$1)=2013,5,6),0)</f>
        <v>143.75</v>
      </c>
      <c r="I46" s="24">
        <f>VLOOKUP($A46&amp;$B46,OH!$A$2:$AB$62,COLUMN(I46)+1,0)*
VLOOKUP(VLOOKUP($A46&amp;$B46,'IP1'!$A$37:$F$89,6,0),
VATrates,
IF(YEAR(I$1)=2013,5,6),0)</f>
        <v>143.75</v>
      </c>
      <c r="J46" s="24">
        <f>VLOOKUP($A46&amp;$B46,OH!$A$2:$AB$62,COLUMN(J46)+1,0)*
VLOOKUP(VLOOKUP($A46&amp;$B46,'IP1'!$A$37:$F$89,6,0),
VATrates,
IF(YEAR(J$1)=2013,5,6),0)</f>
        <v>143.75</v>
      </c>
      <c r="K46" s="24">
        <f>VLOOKUP($A46&amp;$B46,OH!$A$2:$AB$62,COLUMN(K46)+1,0)*
VLOOKUP(VLOOKUP($A46&amp;$B46,'IP1'!$A$37:$F$89,6,0),
VATrates,
IF(YEAR(K$1)=2013,5,6),0)</f>
        <v>143.75</v>
      </c>
      <c r="L46" s="24">
        <f>VLOOKUP($A46&amp;$B46,OH!$A$2:$AB$62,COLUMN(L46)+1,0)*
VLOOKUP(VLOOKUP($A46&amp;$B46,'IP1'!$A$37:$F$89,6,0),
VATrates,
IF(YEAR(L$1)=2013,5,6),0)</f>
        <v>143.75</v>
      </c>
      <c r="M46" s="24">
        <f>VLOOKUP($A46&amp;$B46,OH!$A$2:$AB$62,COLUMN(M46)+1,0)*
VLOOKUP(VLOOKUP($A46&amp;$B46,'IP1'!$A$37:$F$89,6,0),
VATrates,
IF(YEAR(M$1)=2013,5,6),0)</f>
        <v>143.75</v>
      </c>
      <c r="N46" s="24">
        <f>VLOOKUP($A46&amp;$B46,OH!$A$2:$AB$62,COLUMN(N46)+1,0)*
VLOOKUP(VLOOKUP($A46&amp;$B46,'IP1'!$A$37:$F$89,6,0),
VATrates,
IF(YEAR(N$1)=2013,5,6),0)</f>
        <v>143.75</v>
      </c>
      <c r="O46" s="24">
        <f>VLOOKUP($A46&amp;$B46,OH!$A$2:$AB$62,COLUMN(O46)+1,0)*
VLOOKUP(VLOOKUP($A46&amp;$B46,'IP1'!$A$37:$F$89,6,0),
VATrates,
IF(YEAR(O$1)=2013,5,6),0)</f>
        <v>143.75</v>
      </c>
      <c r="P46" s="17"/>
    </row>
    <row r="47" spans="1:16">
      <c r="A47" s="16" t="s">
        <v>463</v>
      </c>
      <c r="B47" s="16" t="s">
        <v>465</v>
      </c>
      <c r="C47" s="24"/>
      <c r="D47" s="24">
        <f>VLOOKUP($A47&amp;$B47,OH!$A$2:$AB$62,COLUMN(D47)+1,0)*
VLOOKUP(VLOOKUP($A47&amp;$B47,'IP1'!$A$37:$F$89,6,0),
VATrates,
IF(YEAR(D$1)=2013,5,6),0)</f>
        <v>124.58333333333333</v>
      </c>
      <c r="E47" s="24">
        <f>VLOOKUP($A47&amp;$B47,OH!$A$2:$AB$62,COLUMN(E47)+1,0)*
VLOOKUP(VLOOKUP($A47&amp;$B47,'IP1'!$A$37:$F$89,6,0),
VATrates,
IF(YEAR(E$1)=2013,5,6),0)</f>
        <v>124.58333333333333</v>
      </c>
      <c r="F47" s="24">
        <f>VLOOKUP($A47&amp;$B47,OH!$A$2:$AB$62,COLUMN(F47)+1,0)*
VLOOKUP(VLOOKUP($A47&amp;$B47,'IP1'!$A$37:$F$89,6,0),
VATrates,
IF(YEAR(F$1)=2013,5,6),0)</f>
        <v>124.58333333333333</v>
      </c>
      <c r="G47" s="24">
        <f>VLOOKUP($A47&amp;$B47,OH!$A$2:$AB$62,COLUMN(G47)+1,0)*
VLOOKUP(VLOOKUP($A47&amp;$B47,'IP1'!$A$37:$F$89,6,0),
VATrates,
IF(YEAR(G$1)=2013,5,6),0)</f>
        <v>124.58333333333333</v>
      </c>
      <c r="H47" s="24">
        <f>VLOOKUP($A47&amp;$B47,OH!$A$2:$AB$62,COLUMN(H47)+1,0)*
VLOOKUP(VLOOKUP($A47&amp;$B47,'IP1'!$A$37:$F$89,6,0),
VATrates,
IF(YEAR(H$1)=2013,5,6),0)</f>
        <v>124.58333333333333</v>
      </c>
      <c r="I47" s="24">
        <f>VLOOKUP($A47&amp;$B47,OH!$A$2:$AB$62,COLUMN(I47)+1,0)*
VLOOKUP(VLOOKUP($A47&amp;$B47,'IP1'!$A$37:$F$89,6,0),
VATrates,
IF(YEAR(I$1)=2013,5,6),0)</f>
        <v>124.58333333333333</v>
      </c>
      <c r="J47" s="24">
        <f>VLOOKUP($A47&amp;$B47,OH!$A$2:$AB$62,COLUMN(J47)+1,0)*
VLOOKUP(VLOOKUP($A47&amp;$B47,'IP1'!$A$37:$F$89,6,0),
VATrates,
IF(YEAR(J$1)=2013,5,6),0)</f>
        <v>124.58333333333333</v>
      </c>
      <c r="K47" s="24">
        <f>VLOOKUP($A47&amp;$B47,OH!$A$2:$AB$62,COLUMN(K47)+1,0)*
VLOOKUP(VLOOKUP($A47&amp;$B47,'IP1'!$A$37:$F$89,6,0),
VATrates,
IF(YEAR(K$1)=2013,5,6),0)</f>
        <v>124.58333333333333</v>
      </c>
      <c r="L47" s="24">
        <f>VLOOKUP($A47&amp;$B47,OH!$A$2:$AB$62,COLUMN(L47)+1,0)*
VLOOKUP(VLOOKUP($A47&amp;$B47,'IP1'!$A$37:$F$89,6,0),
VATrates,
IF(YEAR(L$1)=2013,5,6),0)</f>
        <v>124.58333333333333</v>
      </c>
      <c r="M47" s="24">
        <f>VLOOKUP($A47&amp;$B47,OH!$A$2:$AB$62,COLUMN(M47)+1,0)*
VLOOKUP(VLOOKUP($A47&amp;$B47,'IP1'!$A$37:$F$89,6,0),
VATrates,
IF(YEAR(M$1)=2013,5,6),0)</f>
        <v>124.58333333333333</v>
      </c>
      <c r="N47" s="24">
        <f>VLOOKUP($A47&amp;$B47,OH!$A$2:$AB$62,COLUMN(N47)+1,0)*
VLOOKUP(VLOOKUP($A47&amp;$B47,'IP1'!$A$37:$F$89,6,0),
VATrates,
IF(YEAR(N$1)=2013,5,6),0)</f>
        <v>124.58333333333333</v>
      </c>
      <c r="O47" s="24">
        <f>VLOOKUP($A47&amp;$B47,OH!$A$2:$AB$62,COLUMN(O47)+1,0)*
VLOOKUP(VLOOKUP($A47&amp;$B47,'IP1'!$A$37:$F$89,6,0),
VATrates,
IF(YEAR(O$1)=2013,5,6),0)</f>
        <v>124.58333333333333</v>
      </c>
      <c r="P47" s="17"/>
    </row>
    <row r="48" spans="1:16">
      <c r="A48" s="16" t="s">
        <v>463</v>
      </c>
      <c r="B48" s="16" t="s">
        <v>466</v>
      </c>
      <c r="C48" s="24"/>
      <c r="D48" s="24">
        <f>VLOOKUP($A48&amp;$B48,OH!$A$2:$AB$62,COLUMN(D48)+1,0)*
VLOOKUP(VLOOKUP($A48&amp;$B48,'IP1'!$A$37:$F$89,6,0),
VATrates,
IF(YEAR(D$1)=2013,5,6),0)</f>
        <v>0</v>
      </c>
      <c r="E48" s="24">
        <f>VLOOKUP($A48&amp;$B48,OH!$A$2:$AB$62,COLUMN(E48)+1,0)*
VLOOKUP(VLOOKUP($A48&amp;$B48,'IP1'!$A$37:$F$89,6,0),
VATrates,
IF(YEAR(E$1)=2013,5,6),0)</f>
        <v>575</v>
      </c>
      <c r="F48" s="24">
        <f>VLOOKUP($A48&amp;$B48,OH!$A$2:$AB$62,COLUMN(F48)+1,0)*
VLOOKUP(VLOOKUP($A48&amp;$B48,'IP1'!$A$37:$F$89,6,0),
VATrates,
IF(YEAR(F$1)=2013,5,6),0)</f>
        <v>0</v>
      </c>
      <c r="G48" s="24">
        <f>VLOOKUP($A48&amp;$B48,OH!$A$2:$AB$62,COLUMN(G48)+1,0)*
VLOOKUP(VLOOKUP($A48&amp;$B48,'IP1'!$A$37:$F$89,6,0),
VATrates,
IF(YEAR(G$1)=2013,5,6),0)</f>
        <v>0</v>
      </c>
      <c r="H48" s="24">
        <f>VLOOKUP($A48&amp;$B48,OH!$A$2:$AB$62,COLUMN(H48)+1,0)*
VLOOKUP(VLOOKUP($A48&amp;$B48,'IP1'!$A$37:$F$89,6,0),
VATrates,
IF(YEAR(H$1)=2013,5,6),0)</f>
        <v>0</v>
      </c>
      <c r="I48" s="24">
        <f>VLOOKUP($A48&amp;$B48,OH!$A$2:$AB$62,COLUMN(I48)+1,0)*
VLOOKUP(VLOOKUP($A48&amp;$B48,'IP1'!$A$37:$F$89,6,0),
VATrates,
IF(YEAR(I$1)=2013,5,6),0)</f>
        <v>0</v>
      </c>
      <c r="J48" s="24">
        <f>VLOOKUP($A48&amp;$B48,OH!$A$2:$AB$62,COLUMN(J48)+1,0)*
VLOOKUP(VLOOKUP($A48&amp;$B48,'IP1'!$A$37:$F$89,6,0),
VATrates,
IF(YEAR(J$1)=2013,5,6),0)</f>
        <v>0</v>
      </c>
      <c r="K48" s="24">
        <f>VLOOKUP($A48&amp;$B48,OH!$A$2:$AB$62,COLUMN(K48)+1,0)*
VLOOKUP(VLOOKUP($A48&amp;$B48,'IP1'!$A$37:$F$89,6,0),
VATrates,
IF(YEAR(K$1)=2013,5,6),0)</f>
        <v>0</v>
      </c>
      <c r="L48" s="24">
        <f>VLOOKUP($A48&amp;$B48,OH!$A$2:$AB$62,COLUMN(L48)+1,0)*
VLOOKUP(VLOOKUP($A48&amp;$B48,'IP1'!$A$37:$F$89,6,0),
VATrates,
IF(YEAR(L$1)=2013,5,6),0)</f>
        <v>0</v>
      </c>
      <c r="M48" s="24">
        <f>VLOOKUP($A48&amp;$B48,OH!$A$2:$AB$62,COLUMN(M48)+1,0)*
VLOOKUP(VLOOKUP($A48&amp;$B48,'IP1'!$A$37:$F$89,6,0),
VATrates,
IF(YEAR(M$1)=2013,5,6),0)</f>
        <v>0</v>
      </c>
      <c r="N48" s="24">
        <f>VLOOKUP($A48&amp;$B48,OH!$A$2:$AB$62,COLUMN(N48)+1,0)*
VLOOKUP(VLOOKUP($A48&amp;$B48,'IP1'!$A$37:$F$89,6,0),
VATrates,
IF(YEAR(N$1)=2013,5,6),0)</f>
        <v>0</v>
      </c>
      <c r="O48" s="24">
        <f>VLOOKUP($A48&amp;$B48,OH!$A$2:$AB$62,COLUMN(O48)+1,0)*
VLOOKUP(VLOOKUP($A48&amp;$B48,'IP1'!$A$37:$F$89,6,0),
VATrates,
IF(YEAR(O$1)=2013,5,6),0)</f>
        <v>0</v>
      </c>
      <c r="P48" s="17"/>
    </row>
    <row r="49" spans="1:16">
      <c r="A49" s="16" t="s">
        <v>463</v>
      </c>
      <c r="B49" s="16" t="s">
        <v>467</v>
      </c>
      <c r="C49" s="24"/>
      <c r="D49" s="24">
        <f>VLOOKUP($A49&amp;$B49,OH!$A$2:$AB$62,COLUMN(D49)+1,0)*
VLOOKUP(VLOOKUP($A49&amp;$B49,'IP1'!$A$37:$F$89,6,0),
VATrates,
IF(YEAR(D$1)=2013,5,6),0)</f>
        <v>335.41666666666669</v>
      </c>
      <c r="E49" s="24">
        <f>VLOOKUP($A49&amp;$B49,OH!$A$2:$AB$62,COLUMN(E49)+1,0)*
VLOOKUP(VLOOKUP($A49&amp;$B49,'IP1'!$A$37:$F$89,6,0),
VATrates,
IF(YEAR(E$1)=2013,5,6),0)</f>
        <v>335.41666666666669</v>
      </c>
      <c r="F49" s="24">
        <f>VLOOKUP($A49&amp;$B49,OH!$A$2:$AB$62,COLUMN(F49)+1,0)*
VLOOKUP(VLOOKUP($A49&amp;$B49,'IP1'!$A$37:$F$89,6,0),
VATrates,
IF(YEAR(F$1)=2013,5,6),0)</f>
        <v>335.41666666666669</v>
      </c>
      <c r="G49" s="24">
        <f>VLOOKUP($A49&amp;$B49,OH!$A$2:$AB$62,COLUMN(G49)+1,0)*
VLOOKUP(VLOOKUP($A49&amp;$B49,'IP1'!$A$37:$F$89,6,0),
VATrates,
IF(YEAR(G$1)=2013,5,6),0)</f>
        <v>335.41666666666669</v>
      </c>
      <c r="H49" s="24">
        <f>VLOOKUP($A49&amp;$B49,OH!$A$2:$AB$62,COLUMN(H49)+1,0)*
VLOOKUP(VLOOKUP($A49&amp;$B49,'IP1'!$A$37:$F$89,6,0),
VATrates,
IF(YEAR(H$1)=2013,5,6),0)</f>
        <v>335.41666666666669</v>
      </c>
      <c r="I49" s="24">
        <f>VLOOKUP($A49&amp;$B49,OH!$A$2:$AB$62,COLUMN(I49)+1,0)*
VLOOKUP(VLOOKUP($A49&amp;$B49,'IP1'!$A$37:$F$89,6,0),
VATrates,
IF(YEAR(I$1)=2013,5,6),0)</f>
        <v>335.41666666666669</v>
      </c>
      <c r="J49" s="24">
        <f>VLOOKUP($A49&amp;$B49,OH!$A$2:$AB$62,COLUMN(J49)+1,0)*
VLOOKUP(VLOOKUP($A49&amp;$B49,'IP1'!$A$37:$F$89,6,0),
VATrates,
IF(YEAR(J$1)=2013,5,6),0)</f>
        <v>335.41666666666669</v>
      </c>
      <c r="K49" s="24">
        <f>VLOOKUP($A49&amp;$B49,OH!$A$2:$AB$62,COLUMN(K49)+1,0)*
VLOOKUP(VLOOKUP($A49&amp;$B49,'IP1'!$A$37:$F$89,6,0),
VATrates,
IF(YEAR(K$1)=2013,5,6),0)</f>
        <v>335.41666666666669</v>
      </c>
      <c r="L49" s="24">
        <f>VLOOKUP($A49&amp;$B49,OH!$A$2:$AB$62,COLUMN(L49)+1,0)*
VLOOKUP(VLOOKUP($A49&amp;$B49,'IP1'!$A$37:$F$89,6,0),
VATrates,
IF(YEAR(L$1)=2013,5,6),0)</f>
        <v>335.41666666666669</v>
      </c>
      <c r="M49" s="24">
        <f>VLOOKUP($A49&amp;$B49,OH!$A$2:$AB$62,COLUMN(M49)+1,0)*
VLOOKUP(VLOOKUP($A49&amp;$B49,'IP1'!$A$37:$F$89,6,0),
VATrates,
IF(YEAR(M$1)=2013,5,6),0)</f>
        <v>335.41666666666669</v>
      </c>
      <c r="N49" s="24">
        <f>VLOOKUP($A49&amp;$B49,OH!$A$2:$AB$62,COLUMN(N49)+1,0)*
VLOOKUP(VLOOKUP($A49&amp;$B49,'IP1'!$A$37:$F$89,6,0),
VATrates,
IF(YEAR(N$1)=2013,5,6),0)</f>
        <v>335.41666666666669</v>
      </c>
      <c r="O49" s="24">
        <f>VLOOKUP($A49&amp;$B49,OH!$A$2:$AB$62,COLUMN(O49)+1,0)*
VLOOKUP(VLOOKUP($A49&amp;$B49,'IP1'!$A$37:$F$89,6,0),
VATrates,
IF(YEAR(O$1)=2013,5,6),0)</f>
        <v>335.41666666666669</v>
      </c>
      <c r="P49" s="17"/>
    </row>
    <row r="50" spans="1:16">
      <c r="A50" s="16" t="s">
        <v>463</v>
      </c>
      <c r="B50" s="16" t="s">
        <v>478</v>
      </c>
      <c r="C50" s="24"/>
      <c r="D50" s="24">
        <f>VLOOKUP($A50&amp;$B50,OH!$A$2:$AB$62,COLUMN(D50)+1,0)*
VLOOKUP(VLOOKUP($A50&amp;$B50,'IP1'!$A$37:$F$89,6,0),
VATrates,
IF(YEAR(D$1)=2013,5,6),0)</f>
        <v>479.16666666666674</v>
      </c>
      <c r="E50" s="24">
        <f>VLOOKUP($A50&amp;$B50,OH!$A$2:$AB$62,COLUMN(E50)+1,0)*
VLOOKUP(VLOOKUP($A50&amp;$B50,'IP1'!$A$37:$F$89,6,0),
VATrates,
IF(YEAR(E$1)=2013,5,6),0)</f>
        <v>479.16666666666674</v>
      </c>
      <c r="F50" s="24">
        <f>VLOOKUP($A50&amp;$B50,OH!$A$2:$AB$62,COLUMN(F50)+1,0)*
VLOOKUP(VLOOKUP($A50&amp;$B50,'IP1'!$A$37:$F$89,6,0),
VATrates,
IF(YEAR(F$1)=2013,5,6),0)</f>
        <v>479.16666666666674</v>
      </c>
      <c r="G50" s="24">
        <f>VLOOKUP($A50&amp;$B50,OH!$A$2:$AB$62,COLUMN(G50)+1,0)*
VLOOKUP(VLOOKUP($A50&amp;$B50,'IP1'!$A$37:$F$89,6,0),
VATrates,
IF(YEAR(G$1)=2013,5,6),0)</f>
        <v>479.16666666666674</v>
      </c>
      <c r="H50" s="24">
        <f>VLOOKUP($A50&amp;$B50,OH!$A$2:$AB$62,COLUMN(H50)+1,0)*
VLOOKUP(VLOOKUP($A50&amp;$B50,'IP1'!$A$37:$F$89,6,0),
VATrates,
IF(YEAR(H$1)=2013,5,6),0)</f>
        <v>479.16666666666674</v>
      </c>
      <c r="I50" s="24">
        <f>VLOOKUP($A50&amp;$B50,OH!$A$2:$AB$62,COLUMN(I50)+1,0)*
VLOOKUP(VLOOKUP($A50&amp;$B50,'IP1'!$A$37:$F$89,6,0),
VATrates,
IF(YEAR(I$1)=2013,5,6),0)</f>
        <v>479.16666666666674</v>
      </c>
      <c r="J50" s="24">
        <f>VLOOKUP($A50&amp;$B50,OH!$A$2:$AB$62,COLUMN(J50)+1,0)*
VLOOKUP(VLOOKUP($A50&amp;$B50,'IP1'!$A$37:$F$89,6,0),
VATrates,
IF(YEAR(J$1)=2013,5,6),0)</f>
        <v>479.16666666666674</v>
      </c>
      <c r="K50" s="24">
        <f>VLOOKUP($A50&amp;$B50,OH!$A$2:$AB$62,COLUMN(K50)+1,0)*
VLOOKUP(VLOOKUP($A50&amp;$B50,'IP1'!$A$37:$F$89,6,0),
VATrates,
IF(YEAR(K$1)=2013,5,6),0)</f>
        <v>479.16666666666674</v>
      </c>
      <c r="L50" s="24">
        <f>VLOOKUP($A50&amp;$B50,OH!$A$2:$AB$62,COLUMN(L50)+1,0)*
VLOOKUP(VLOOKUP($A50&amp;$B50,'IP1'!$A$37:$F$89,6,0),
VATrates,
IF(YEAR(L$1)=2013,5,6),0)</f>
        <v>479.16666666666674</v>
      </c>
      <c r="M50" s="24">
        <f>VLOOKUP($A50&amp;$B50,OH!$A$2:$AB$62,COLUMN(M50)+1,0)*
VLOOKUP(VLOOKUP($A50&amp;$B50,'IP1'!$A$37:$F$89,6,0),
VATrates,
IF(YEAR(M$1)=2013,5,6),0)</f>
        <v>479.16666666666674</v>
      </c>
      <c r="N50" s="24">
        <f>VLOOKUP($A50&amp;$B50,OH!$A$2:$AB$62,COLUMN(N50)+1,0)*
VLOOKUP(VLOOKUP($A50&amp;$B50,'IP1'!$A$37:$F$89,6,0),
VATrates,
IF(YEAR(N$1)=2013,5,6),0)</f>
        <v>479.16666666666674</v>
      </c>
      <c r="O50" s="24">
        <f>VLOOKUP($A50&amp;$B50,OH!$A$2:$AB$62,COLUMN(O50)+1,0)*
VLOOKUP(VLOOKUP($A50&amp;$B50,'IP1'!$A$37:$F$89,6,0),
VATrates,
IF(YEAR(O$1)=2013,5,6),0)</f>
        <v>479.16666666666674</v>
      </c>
      <c r="P50" s="17"/>
    </row>
    <row r="51" spans="1:16">
      <c r="A51" s="16" t="s">
        <v>463</v>
      </c>
      <c r="B51" s="16" t="s">
        <v>468</v>
      </c>
      <c r="C51" s="24"/>
      <c r="D51" s="24">
        <f>VLOOKUP($A51&amp;$B51,OH!$A$2:$AB$62,COLUMN(D51)+1,0)*
VLOOKUP(VLOOKUP($A51&amp;$B51,'IP1'!$A$37:$F$89,6,0),
VATrates,
IF(YEAR(D$1)=2013,5,6),0)</f>
        <v>95.833333333333343</v>
      </c>
      <c r="E51" s="24">
        <f>VLOOKUP($A51&amp;$B51,OH!$A$2:$AB$62,COLUMN(E51)+1,0)*
VLOOKUP(VLOOKUP($A51&amp;$B51,'IP1'!$A$37:$F$89,6,0),
VATrates,
IF(YEAR(E$1)=2013,5,6),0)</f>
        <v>95.833333333333343</v>
      </c>
      <c r="F51" s="24">
        <f>VLOOKUP($A51&amp;$B51,OH!$A$2:$AB$62,COLUMN(F51)+1,0)*
VLOOKUP(VLOOKUP($A51&amp;$B51,'IP1'!$A$37:$F$89,6,0),
VATrates,
IF(YEAR(F$1)=2013,5,6),0)</f>
        <v>95.833333333333343</v>
      </c>
      <c r="G51" s="24">
        <f>VLOOKUP($A51&amp;$B51,OH!$A$2:$AB$62,COLUMN(G51)+1,0)*
VLOOKUP(VLOOKUP($A51&amp;$B51,'IP1'!$A$37:$F$89,6,0),
VATrates,
IF(YEAR(G$1)=2013,5,6),0)</f>
        <v>95.833333333333343</v>
      </c>
      <c r="H51" s="24">
        <f>VLOOKUP($A51&amp;$B51,OH!$A$2:$AB$62,COLUMN(H51)+1,0)*
VLOOKUP(VLOOKUP($A51&amp;$B51,'IP1'!$A$37:$F$89,6,0),
VATrates,
IF(YEAR(H$1)=2013,5,6),0)</f>
        <v>95.833333333333343</v>
      </c>
      <c r="I51" s="24">
        <f>VLOOKUP($A51&amp;$B51,OH!$A$2:$AB$62,COLUMN(I51)+1,0)*
VLOOKUP(VLOOKUP($A51&amp;$B51,'IP1'!$A$37:$F$89,6,0),
VATrates,
IF(YEAR(I$1)=2013,5,6),0)</f>
        <v>95.833333333333343</v>
      </c>
      <c r="J51" s="24">
        <f>VLOOKUP($A51&amp;$B51,OH!$A$2:$AB$62,COLUMN(J51)+1,0)*
VLOOKUP(VLOOKUP($A51&amp;$B51,'IP1'!$A$37:$F$89,6,0),
VATrates,
IF(YEAR(J$1)=2013,5,6),0)</f>
        <v>95.833333333333343</v>
      </c>
      <c r="K51" s="24">
        <f>VLOOKUP($A51&amp;$B51,OH!$A$2:$AB$62,COLUMN(K51)+1,0)*
VLOOKUP(VLOOKUP($A51&amp;$B51,'IP1'!$A$37:$F$89,6,0),
VATrates,
IF(YEAR(K$1)=2013,5,6),0)</f>
        <v>95.833333333333343</v>
      </c>
      <c r="L51" s="24">
        <f>VLOOKUP($A51&amp;$B51,OH!$A$2:$AB$62,COLUMN(L51)+1,0)*
VLOOKUP(VLOOKUP($A51&amp;$B51,'IP1'!$A$37:$F$89,6,0),
VATrates,
IF(YEAR(L$1)=2013,5,6),0)</f>
        <v>95.833333333333343</v>
      </c>
      <c r="M51" s="24">
        <f>VLOOKUP($A51&amp;$B51,OH!$A$2:$AB$62,COLUMN(M51)+1,0)*
VLOOKUP(VLOOKUP($A51&amp;$B51,'IP1'!$A$37:$F$89,6,0),
VATrates,
IF(YEAR(M$1)=2013,5,6),0)</f>
        <v>95.833333333333343</v>
      </c>
      <c r="N51" s="24">
        <f>VLOOKUP($A51&amp;$B51,OH!$A$2:$AB$62,COLUMN(N51)+1,0)*
VLOOKUP(VLOOKUP($A51&amp;$B51,'IP1'!$A$37:$F$89,6,0),
VATrates,
IF(YEAR(N$1)=2013,5,6),0)</f>
        <v>95.833333333333343</v>
      </c>
      <c r="O51" s="24">
        <f>VLOOKUP($A51&amp;$B51,OH!$A$2:$AB$62,COLUMN(O51)+1,0)*
VLOOKUP(VLOOKUP($A51&amp;$B51,'IP1'!$A$37:$F$89,6,0),
VATrates,
IF(YEAR(O$1)=2013,5,6),0)</f>
        <v>95.833333333333343</v>
      </c>
      <c r="P51" s="17"/>
    </row>
    <row r="52" spans="1:16">
      <c r="A52" s="16" t="s">
        <v>463</v>
      </c>
      <c r="B52" s="16" t="s">
        <v>469</v>
      </c>
      <c r="C52" s="24"/>
      <c r="D52" s="24">
        <f>VLOOKUP($A52&amp;$B52,OH!$A$2:$AB$62,COLUMN(D52)+1,0)*
VLOOKUP(VLOOKUP($A52&amp;$B52,'IP1'!$A$37:$F$89,6,0),
VATrates,
IF(YEAR(D$1)=2013,5,6),0)</f>
        <v>95.833333333333343</v>
      </c>
      <c r="E52" s="24">
        <f>VLOOKUP($A52&amp;$B52,OH!$A$2:$AB$62,COLUMN(E52)+1,0)*
VLOOKUP(VLOOKUP($A52&amp;$B52,'IP1'!$A$37:$F$89,6,0),
VATrates,
IF(YEAR(E$1)=2013,5,6),0)</f>
        <v>95.833333333333343</v>
      </c>
      <c r="F52" s="24">
        <f>VLOOKUP($A52&amp;$B52,OH!$A$2:$AB$62,COLUMN(F52)+1,0)*
VLOOKUP(VLOOKUP($A52&amp;$B52,'IP1'!$A$37:$F$89,6,0),
VATrates,
IF(YEAR(F$1)=2013,5,6),0)</f>
        <v>95.833333333333343</v>
      </c>
      <c r="G52" s="24">
        <f>VLOOKUP($A52&amp;$B52,OH!$A$2:$AB$62,COLUMN(G52)+1,0)*
VLOOKUP(VLOOKUP($A52&amp;$B52,'IP1'!$A$37:$F$89,6,0),
VATrates,
IF(YEAR(G$1)=2013,5,6),0)</f>
        <v>95.833333333333343</v>
      </c>
      <c r="H52" s="24">
        <f>VLOOKUP($A52&amp;$B52,OH!$A$2:$AB$62,COLUMN(H52)+1,0)*
VLOOKUP(VLOOKUP($A52&amp;$B52,'IP1'!$A$37:$F$89,6,0),
VATrates,
IF(YEAR(H$1)=2013,5,6),0)</f>
        <v>95.833333333333343</v>
      </c>
      <c r="I52" s="24">
        <f>VLOOKUP($A52&amp;$B52,OH!$A$2:$AB$62,COLUMN(I52)+1,0)*
VLOOKUP(VLOOKUP($A52&amp;$B52,'IP1'!$A$37:$F$89,6,0),
VATrates,
IF(YEAR(I$1)=2013,5,6),0)</f>
        <v>95.833333333333343</v>
      </c>
      <c r="J52" s="24">
        <f>VLOOKUP($A52&amp;$B52,OH!$A$2:$AB$62,COLUMN(J52)+1,0)*
VLOOKUP(VLOOKUP($A52&amp;$B52,'IP1'!$A$37:$F$89,6,0),
VATrates,
IF(YEAR(J$1)=2013,5,6),0)</f>
        <v>95.833333333333343</v>
      </c>
      <c r="K52" s="24">
        <f>VLOOKUP($A52&amp;$B52,OH!$A$2:$AB$62,COLUMN(K52)+1,0)*
VLOOKUP(VLOOKUP($A52&amp;$B52,'IP1'!$A$37:$F$89,6,0),
VATrates,
IF(YEAR(K$1)=2013,5,6),0)</f>
        <v>95.833333333333343</v>
      </c>
      <c r="L52" s="24">
        <f>VLOOKUP($A52&amp;$B52,OH!$A$2:$AB$62,COLUMN(L52)+1,0)*
VLOOKUP(VLOOKUP($A52&amp;$B52,'IP1'!$A$37:$F$89,6,0),
VATrates,
IF(YEAR(L$1)=2013,5,6),0)</f>
        <v>95.833333333333343</v>
      </c>
      <c r="M52" s="24">
        <f>VLOOKUP($A52&amp;$B52,OH!$A$2:$AB$62,COLUMN(M52)+1,0)*
VLOOKUP(VLOOKUP($A52&amp;$B52,'IP1'!$A$37:$F$89,6,0),
VATrates,
IF(YEAR(M$1)=2013,5,6),0)</f>
        <v>95.833333333333343</v>
      </c>
      <c r="N52" s="24">
        <f>VLOOKUP($A52&amp;$B52,OH!$A$2:$AB$62,COLUMN(N52)+1,0)*
VLOOKUP(VLOOKUP($A52&amp;$B52,'IP1'!$A$37:$F$89,6,0),
VATrates,
IF(YEAR(N$1)=2013,5,6),0)</f>
        <v>95.833333333333343</v>
      </c>
      <c r="O52" s="24">
        <f>VLOOKUP($A52&amp;$B52,OH!$A$2:$AB$62,COLUMN(O52)+1,0)*
VLOOKUP(VLOOKUP($A52&amp;$B52,'IP1'!$A$37:$F$89,6,0),
VATrates,
IF(YEAR(O$1)=2013,5,6),0)</f>
        <v>95.833333333333343</v>
      </c>
      <c r="P52" s="17"/>
    </row>
    <row r="53" spans="1:16">
      <c r="A53" s="16" t="s">
        <v>463</v>
      </c>
      <c r="B53" s="16" t="s">
        <v>470</v>
      </c>
      <c r="C53" s="24"/>
      <c r="D53" s="24">
        <f>VLOOKUP($A53&amp;$B53,OH!$A$2:$AB$62,COLUMN(D53)+1,0)*
VLOOKUP(VLOOKUP($A53&amp;$B53,'IP1'!$A$37:$F$89,6,0),
VATrates,
IF(YEAR(D$1)=2013,5,6),0)</f>
        <v>143.75</v>
      </c>
      <c r="E53" s="24">
        <f>VLOOKUP($A53&amp;$B53,OH!$A$2:$AB$62,COLUMN(E53)+1,0)*
VLOOKUP(VLOOKUP($A53&amp;$B53,'IP1'!$A$37:$F$89,6,0),
VATrates,
IF(YEAR(E$1)=2013,5,6),0)</f>
        <v>143.75</v>
      </c>
      <c r="F53" s="24">
        <f>VLOOKUP($A53&amp;$B53,OH!$A$2:$AB$62,COLUMN(F53)+1,0)*
VLOOKUP(VLOOKUP($A53&amp;$B53,'IP1'!$A$37:$F$89,6,0),
VATrates,
IF(YEAR(F$1)=2013,5,6),0)</f>
        <v>143.75</v>
      </c>
      <c r="G53" s="24">
        <f>VLOOKUP($A53&amp;$B53,OH!$A$2:$AB$62,COLUMN(G53)+1,0)*
VLOOKUP(VLOOKUP($A53&amp;$B53,'IP1'!$A$37:$F$89,6,0),
VATrates,
IF(YEAR(G$1)=2013,5,6),0)</f>
        <v>143.75</v>
      </c>
      <c r="H53" s="24">
        <f>VLOOKUP($A53&amp;$B53,OH!$A$2:$AB$62,COLUMN(H53)+1,0)*
VLOOKUP(VLOOKUP($A53&amp;$B53,'IP1'!$A$37:$F$89,6,0),
VATrates,
IF(YEAR(H$1)=2013,5,6),0)</f>
        <v>143.75</v>
      </c>
      <c r="I53" s="24">
        <f>VLOOKUP($A53&amp;$B53,OH!$A$2:$AB$62,COLUMN(I53)+1,0)*
VLOOKUP(VLOOKUP($A53&amp;$B53,'IP1'!$A$37:$F$89,6,0),
VATrates,
IF(YEAR(I$1)=2013,5,6),0)</f>
        <v>143.75</v>
      </c>
      <c r="J53" s="24">
        <f>VLOOKUP($A53&amp;$B53,OH!$A$2:$AB$62,COLUMN(J53)+1,0)*
VLOOKUP(VLOOKUP($A53&amp;$B53,'IP1'!$A$37:$F$89,6,0),
VATrates,
IF(YEAR(J$1)=2013,5,6),0)</f>
        <v>143.75</v>
      </c>
      <c r="K53" s="24">
        <f>VLOOKUP($A53&amp;$B53,OH!$A$2:$AB$62,COLUMN(K53)+1,0)*
VLOOKUP(VLOOKUP($A53&amp;$B53,'IP1'!$A$37:$F$89,6,0),
VATrates,
IF(YEAR(K$1)=2013,5,6),0)</f>
        <v>143.75</v>
      </c>
      <c r="L53" s="24">
        <f>VLOOKUP($A53&amp;$B53,OH!$A$2:$AB$62,COLUMN(L53)+1,0)*
VLOOKUP(VLOOKUP($A53&amp;$B53,'IP1'!$A$37:$F$89,6,0),
VATrates,
IF(YEAR(L$1)=2013,5,6),0)</f>
        <v>143.75</v>
      </c>
      <c r="M53" s="24">
        <f>VLOOKUP($A53&amp;$B53,OH!$A$2:$AB$62,COLUMN(M53)+1,0)*
VLOOKUP(VLOOKUP($A53&amp;$B53,'IP1'!$A$37:$F$89,6,0),
VATrates,
IF(YEAR(M$1)=2013,5,6),0)</f>
        <v>143.75</v>
      </c>
      <c r="N53" s="24">
        <f>VLOOKUP($A53&amp;$B53,OH!$A$2:$AB$62,COLUMN(N53)+1,0)*
VLOOKUP(VLOOKUP($A53&amp;$B53,'IP1'!$A$37:$F$89,6,0),
VATrates,
IF(YEAR(N$1)=2013,5,6),0)</f>
        <v>143.75</v>
      </c>
      <c r="O53" s="24">
        <f>VLOOKUP($A53&amp;$B53,OH!$A$2:$AB$62,COLUMN(O53)+1,0)*
VLOOKUP(VLOOKUP($A53&amp;$B53,'IP1'!$A$37:$F$89,6,0),
VATrates,
IF(YEAR(O$1)=2013,5,6),0)</f>
        <v>143.75</v>
      </c>
      <c r="P53" s="17"/>
    </row>
    <row r="54" spans="1:16">
      <c r="A54" s="16" t="s">
        <v>463</v>
      </c>
      <c r="B54" s="16" t="s">
        <v>471</v>
      </c>
      <c r="C54" s="24"/>
      <c r="D54" s="24">
        <f>VLOOKUP($A54&amp;$B54,OH!$A$2:$AB$62,COLUMN(D54)+1,0)*
VLOOKUP(VLOOKUP($A54&amp;$B54,'IP1'!$A$37:$F$89,6,0),
VATrates,
IF(YEAR(D$1)=2013,5,6),0)</f>
        <v>191.66666666666669</v>
      </c>
      <c r="E54" s="24">
        <f>VLOOKUP($A54&amp;$B54,OH!$A$2:$AB$62,COLUMN(E54)+1,0)*
VLOOKUP(VLOOKUP($A54&amp;$B54,'IP1'!$A$37:$F$89,6,0),
VATrates,
IF(YEAR(E$1)=2013,5,6),0)</f>
        <v>191.66666666666669</v>
      </c>
      <c r="F54" s="24">
        <f>VLOOKUP($A54&amp;$B54,OH!$A$2:$AB$62,COLUMN(F54)+1,0)*
VLOOKUP(VLOOKUP($A54&amp;$B54,'IP1'!$A$37:$F$89,6,0),
VATrates,
IF(YEAR(F$1)=2013,5,6),0)</f>
        <v>191.66666666666669</v>
      </c>
      <c r="G54" s="24">
        <f>VLOOKUP($A54&amp;$B54,OH!$A$2:$AB$62,COLUMN(G54)+1,0)*
VLOOKUP(VLOOKUP($A54&amp;$B54,'IP1'!$A$37:$F$89,6,0),
VATrates,
IF(YEAR(G$1)=2013,5,6),0)</f>
        <v>191.66666666666669</v>
      </c>
      <c r="H54" s="24">
        <f>VLOOKUP($A54&amp;$B54,OH!$A$2:$AB$62,COLUMN(H54)+1,0)*
VLOOKUP(VLOOKUP($A54&amp;$B54,'IP1'!$A$37:$F$89,6,0),
VATrates,
IF(YEAR(H$1)=2013,5,6),0)</f>
        <v>191.66666666666669</v>
      </c>
      <c r="I54" s="24">
        <f>VLOOKUP($A54&amp;$B54,OH!$A$2:$AB$62,COLUMN(I54)+1,0)*
VLOOKUP(VLOOKUP($A54&amp;$B54,'IP1'!$A$37:$F$89,6,0),
VATrates,
IF(YEAR(I$1)=2013,5,6),0)</f>
        <v>191.66666666666669</v>
      </c>
      <c r="J54" s="24">
        <f>VLOOKUP($A54&amp;$B54,OH!$A$2:$AB$62,COLUMN(J54)+1,0)*
VLOOKUP(VLOOKUP($A54&amp;$B54,'IP1'!$A$37:$F$89,6,0),
VATrates,
IF(YEAR(J$1)=2013,5,6),0)</f>
        <v>191.66666666666669</v>
      </c>
      <c r="K54" s="24">
        <f>VLOOKUP($A54&amp;$B54,OH!$A$2:$AB$62,COLUMN(K54)+1,0)*
VLOOKUP(VLOOKUP($A54&amp;$B54,'IP1'!$A$37:$F$89,6,0),
VATrates,
IF(YEAR(K$1)=2013,5,6),0)</f>
        <v>191.66666666666669</v>
      </c>
      <c r="L54" s="24">
        <f>VLOOKUP($A54&amp;$B54,OH!$A$2:$AB$62,COLUMN(L54)+1,0)*
VLOOKUP(VLOOKUP($A54&amp;$B54,'IP1'!$A$37:$F$89,6,0),
VATrates,
IF(YEAR(L$1)=2013,5,6),0)</f>
        <v>191.66666666666669</v>
      </c>
      <c r="M54" s="24">
        <f>VLOOKUP($A54&amp;$B54,OH!$A$2:$AB$62,COLUMN(M54)+1,0)*
VLOOKUP(VLOOKUP($A54&amp;$B54,'IP1'!$A$37:$F$89,6,0),
VATrates,
IF(YEAR(M$1)=2013,5,6),0)</f>
        <v>191.66666666666669</v>
      </c>
      <c r="N54" s="24">
        <f>VLOOKUP($A54&amp;$B54,OH!$A$2:$AB$62,COLUMN(N54)+1,0)*
VLOOKUP(VLOOKUP($A54&amp;$B54,'IP1'!$A$37:$F$89,6,0),
VATrates,
IF(YEAR(N$1)=2013,5,6),0)</f>
        <v>191.66666666666669</v>
      </c>
      <c r="O54" s="24">
        <f>VLOOKUP($A54&amp;$B54,OH!$A$2:$AB$62,COLUMN(O54)+1,0)*
VLOOKUP(VLOOKUP($A54&amp;$B54,'IP1'!$A$37:$F$89,6,0),
VATrates,
IF(YEAR(O$1)=2013,5,6),0)</f>
        <v>191.66666666666669</v>
      </c>
      <c r="P54" s="17"/>
    </row>
    <row r="55" spans="1:16">
      <c r="A55" s="16" t="s">
        <v>463</v>
      </c>
      <c r="B55" s="16" t="s">
        <v>472</v>
      </c>
      <c r="C55" s="24"/>
      <c r="D55" s="24">
        <f>VLOOKUP($A55&amp;$B55,OH!$A$2:$AB$62,COLUMN(D55)+1,0)*
VLOOKUP(VLOOKUP($A55&amp;$B55,'IP1'!$A$37:$F$89,6,0),
VATrates,
IF(YEAR(D$1)=2013,5,6),0)</f>
        <v>47.916666666666671</v>
      </c>
      <c r="E55" s="24">
        <f>VLOOKUP($A55&amp;$B55,OH!$A$2:$AB$62,COLUMN(E55)+1,0)*
VLOOKUP(VLOOKUP($A55&amp;$B55,'IP1'!$A$37:$F$89,6,0),
VATrates,
IF(YEAR(E$1)=2013,5,6),0)</f>
        <v>47.916666666666671</v>
      </c>
      <c r="F55" s="24">
        <f>VLOOKUP($A55&amp;$B55,OH!$A$2:$AB$62,COLUMN(F55)+1,0)*
VLOOKUP(VLOOKUP($A55&amp;$B55,'IP1'!$A$37:$F$89,6,0),
VATrates,
IF(YEAR(F$1)=2013,5,6),0)</f>
        <v>47.916666666666671</v>
      </c>
      <c r="G55" s="24">
        <f>VLOOKUP($A55&amp;$B55,OH!$A$2:$AB$62,COLUMN(G55)+1,0)*
VLOOKUP(VLOOKUP($A55&amp;$B55,'IP1'!$A$37:$F$89,6,0),
VATrates,
IF(YEAR(G$1)=2013,5,6),0)</f>
        <v>47.916666666666671</v>
      </c>
      <c r="H55" s="24">
        <f>VLOOKUP($A55&amp;$B55,OH!$A$2:$AB$62,COLUMN(H55)+1,0)*
VLOOKUP(VLOOKUP($A55&amp;$B55,'IP1'!$A$37:$F$89,6,0),
VATrates,
IF(YEAR(H$1)=2013,5,6),0)</f>
        <v>47.916666666666671</v>
      </c>
      <c r="I55" s="24">
        <f>VLOOKUP($A55&amp;$B55,OH!$A$2:$AB$62,COLUMN(I55)+1,0)*
VLOOKUP(VLOOKUP($A55&amp;$B55,'IP1'!$A$37:$F$89,6,0),
VATrates,
IF(YEAR(I$1)=2013,5,6),0)</f>
        <v>47.916666666666671</v>
      </c>
      <c r="J55" s="24">
        <f>VLOOKUP($A55&amp;$B55,OH!$A$2:$AB$62,COLUMN(J55)+1,0)*
VLOOKUP(VLOOKUP($A55&amp;$B55,'IP1'!$A$37:$F$89,6,0),
VATrates,
IF(YEAR(J$1)=2013,5,6),0)</f>
        <v>47.916666666666671</v>
      </c>
      <c r="K55" s="24">
        <f>VLOOKUP($A55&amp;$B55,OH!$A$2:$AB$62,COLUMN(K55)+1,0)*
VLOOKUP(VLOOKUP($A55&amp;$B55,'IP1'!$A$37:$F$89,6,0),
VATrates,
IF(YEAR(K$1)=2013,5,6),0)</f>
        <v>47.916666666666671</v>
      </c>
      <c r="L55" s="24">
        <f>VLOOKUP($A55&amp;$B55,OH!$A$2:$AB$62,COLUMN(L55)+1,0)*
VLOOKUP(VLOOKUP($A55&amp;$B55,'IP1'!$A$37:$F$89,6,0),
VATrates,
IF(YEAR(L$1)=2013,5,6),0)</f>
        <v>47.916666666666671</v>
      </c>
      <c r="M55" s="24">
        <f>VLOOKUP($A55&amp;$B55,OH!$A$2:$AB$62,COLUMN(M55)+1,0)*
VLOOKUP(VLOOKUP($A55&amp;$B55,'IP1'!$A$37:$F$89,6,0),
VATrates,
IF(YEAR(M$1)=2013,5,6),0)</f>
        <v>47.916666666666671</v>
      </c>
      <c r="N55" s="24">
        <f>VLOOKUP($A55&amp;$B55,OH!$A$2:$AB$62,COLUMN(N55)+1,0)*
VLOOKUP(VLOOKUP($A55&amp;$B55,'IP1'!$A$37:$F$89,6,0),
VATrates,
IF(YEAR(N$1)=2013,5,6),0)</f>
        <v>47.916666666666671</v>
      </c>
      <c r="O55" s="24">
        <f>VLOOKUP($A55&amp;$B55,OH!$A$2:$AB$62,COLUMN(O55)+1,0)*
VLOOKUP(VLOOKUP($A55&amp;$B55,'IP1'!$A$37:$F$89,6,0),
VATrates,
IF(YEAR(O$1)=2013,5,6),0)</f>
        <v>47.916666666666671</v>
      </c>
      <c r="P55" s="17"/>
    </row>
    <row r="56" spans="1:16">
      <c r="A56" s="16" t="s">
        <v>463</v>
      </c>
      <c r="B56" s="16" t="s">
        <v>473</v>
      </c>
      <c r="C56" s="24"/>
      <c r="D56" s="24">
        <f>VLOOKUP($A56&amp;$B56,OH!$A$2:$AB$62,COLUMN(D56)+1,0)*
VLOOKUP(VLOOKUP($A56&amp;$B56,'IP1'!$A$37:$F$89,6,0),
VATrates,
IF(YEAR(D$1)=2013,5,6),0)</f>
        <v>95.833333333333343</v>
      </c>
      <c r="E56" s="24">
        <f>VLOOKUP($A56&amp;$B56,OH!$A$2:$AB$62,COLUMN(E56)+1,0)*
VLOOKUP(VLOOKUP($A56&amp;$B56,'IP1'!$A$37:$F$89,6,0),
VATrates,
IF(YEAR(E$1)=2013,5,6),0)</f>
        <v>95.833333333333343</v>
      </c>
      <c r="F56" s="24">
        <f>VLOOKUP($A56&amp;$B56,OH!$A$2:$AB$62,COLUMN(F56)+1,0)*
VLOOKUP(VLOOKUP($A56&amp;$B56,'IP1'!$A$37:$F$89,6,0),
VATrates,
IF(YEAR(F$1)=2013,5,6),0)</f>
        <v>95.833333333333343</v>
      </c>
      <c r="G56" s="24">
        <f>VLOOKUP($A56&amp;$B56,OH!$A$2:$AB$62,COLUMN(G56)+1,0)*
VLOOKUP(VLOOKUP($A56&amp;$B56,'IP1'!$A$37:$F$89,6,0),
VATrates,
IF(YEAR(G$1)=2013,5,6),0)</f>
        <v>95.833333333333343</v>
      </c>
      <c r="H56" s="24">
        <f>VLOOKUP($A56&amp;$B56,OH!$A$2:$AB$62,COLUMN(H56)+1,0)*
VLOOKUP(VLOOKUP($A56&amp;$B56,'IP1'!$A$37:$F$89,6,0),
VATrates,
IF(YEAR(H$1)=2013,5,6),0)</f>
        <v>95.833333333333343</v>
      </c>
      <c r="I56" s="24">
        <f>VLOOKUP($A56&amp;$B56,OH!$A$2:$AB$62,COLUMN(I56)+1,0)*
VLOOKUP(VLOOKUP($A56&amp;$B56,'IP1'!$A$37:$F$89,6,0),
VATrates,
IF(YEAR(I$1)=2013,5,6),0)</f>
        <v>95.833333333333343</v>
      </c>
      <c r="J56" s="24">
        <f>VLOOKUP($A56&amp;$B56,OH!$A$2:$AB$62,COLUMN(J56)+1,0)*
VLOOKUP(VLOOKUP($A56&amp;$B56,'IP1'!$A$37:$F$89,6,0),
VATrates,
IF(YEAR(J$1)=2013,5,6),0)</f>
        <v>95.833333333333343</v>
      </c>
      <c r="K56" s="24">
        <f>VLOOKUP($A56&amp;$B56,OH!$A$2:$AB$62,COLUMN(K56)+1,0)*
VLOOKUP(VLOOKUP($A56&amp;$B56,'IP1'!$A$37:$F$89,6,0),
VATrates,
IF(YEAR(K$1)=2013,5,6),0)</f>
        <v>95.833333333333343</v>
      </c>
      <c r="L56" s="24">
        <f>VLOOKUP($A56&amp;$B56,OH!$A$2:$AB$62,COLUMN(L56)+1,0)*
VLOOKUP(VLOOKUP($A56&amp;$B56,'IP1'!$A$37:$F$89,6,0),
VATrates,
IF(YEAR(L$1)=2013,5,6),0)</f>
        <v>95.833333333333343</v>
      </c>
      <c r="M56" s="24">
        <f>VLOOKUP($A56&amp;$B56,OH!$A$2:$AB$62,COLUMN(M56)+1,0)*
VLOOKUP(VLOOKUP($A56&amp;$B56,'IP1'!$A$37:$F$89,6,0),
VATrates,
IF(YEAR(M$1)=2013,5,6),0)</f>
        <v>95.833333333333343</v>
      </c>
      <c r="N56" s="24">
        <f>VLOOKUP($A56&amp;$B56,OH!$A$2:$AB$62,COLUMN(N56)+1,0)*
VLOOKUP(VLOOKUP($A56&amp;$B56,'IP1'!$A$37:$F$89,6,0),
VATrates,
IF(YEAR(N$1)=2013,5,6),0)</f>
        <v>95.833333333333343</v>
      </c>
      <c r="O56" s="24">
        <f>VLOOKUP($A56&amp;$B56,OH!$A$2:$AB$62,COLUMN(O56)+1,0)*
VLOOKUP(VLOOKUP($A56&amp;$B56,'IP1'!$A$37:$F$89,6,0),
VATrates,
IF(YEAR(O$1)=2013,5,6),0)</f>
        <v>95.833333333333343</v>
      </c>
      <c r="P56" s="17"/>
    </row>
    <row r="57" spans="1:16">
      <c r="A57" s="16" t="s">
        <v>463</v>
      </c>
      <c r="B57" s="16" t="s">
        <v>479</v>
      </c>
      <c r="C57" s="24"/>
      <c r="D57" s="24">
        <f>VLOOKUP($A57&amp;$B57,OH!$A$2:$AB$62,COLUMN(D57)+1,0)*
VLOOKUP(VLOOKUP($A57&amp;$B57,'IP1'!$A$37:$F$89,6,0),
VATrates,
IF(YEAR(D$1)=2013,5,6),0)</f>
        <v>124.58333333333333</v>
      </c>
      <c r="E57" s="24">
        <f>VLOOKUP($A57&amp;$B57,OH!$A$2:$AB$62,COLUMN(E57)+1,0)*
VLOOKUP(VLOOKUP($A57&amp;$B57,'IP1'!$A$37:$F$89,6,0),
VATrates,
IF(YEAR(E$1)=2013,5,6),0)</f>
        <v>124.58333333333333</v>
      </c>
      <c r="F57" s="24">
        <f>VLOOKUP($A57&amp;$B57,OH!$A$2:$AB$62,COLUMN(F57)+1,0)*
VLOOKUP(VLOOKUP($A57&amp;$B57,'IP1'!$A$37:$F$89,6,0),
VATrates,
IF(YEAR(F$1)=2013,5,6),0)</f>
        <v>124.58333333333333</v>
      </c>
      <c r="G57" s="24">
        <f>VLOOKUP($A57&amp;$B57,OH!$A$2:$AB$62,COLUMN(G57)+1,0)*
VLOOKUP(VLOOKUP($A57&amp;$B57,'IP1'!$A$37:$F$89,6,0),
VATrates,
IF(YEAR(G$1)=2013,5,6),0)</f>
        <v>124.58333333333333</v>
      </c>
      <c r="H57" s="24">
        <f>VLOOKUP($A57&amp;$B57,OH!$A$2:$AB$62,COLUMN(H57)+1,0)*
VLOOKUP(VLOOKUP($A57&amp;$B57,'IP1'!$A$37:$F$89,6,0),
VATrates,
IF(YEAR(H$1)=2013,5,6),0)</f>
        <v>124.58333333333333</v>
      </c>
      <c r="I57" s="24">
        <f>VLOOKUP($A57&amp;$B57,OH!$A$2:$AB$62,COLUMN(I57)+1,0)*
VLOOKUP(VLOOKUP($A57&amp;$B57,'IP1'!$A$37:$F$89,6,0),
VATrates,
IF(YEAR(I$1)=2013,5,6),0)</f>
        <v>124.58333333333333</v>
      </c>
      <c r="J57" s="24">
        <f>VLOOKUP($A57&amp;$B57,OH!$A$2:$AB$62,COLUMN(J57)+1,0)*
VLOOKUP(VLOOKUP($A57&amp;$B57,'IP1'!$A$37:$F$89,6,0),
VATrates,
IF(YEAR(J$1)=2013,5,6),0)</f>
        <v>124.58333333333333</v>
      </c>
      <c r="K57" s="24">
        <f>VLOOKUP($A57&amp;$B57,OH!$A$2:$AB$62,COLUMN(K57)+1,0)*
VLOOKUP(VLOOKUP($A57&amp;$B57,'IP1'!$A$37:$F$89,6,0),
VATrates,
IF(YEAR(K$1)=2013,5,6),0)</f>
        <v>124.58333333333333</v>
      </c>
      <c r="L57" s="24">
        <f>VLOOKUP($A57&amp;$B57,OH!$A$2:$AB$62,COLUMN(L57)+1,0)*
VLOOKUP(VLOOKUP($A57&amp;$B57,'IP1'!$A$37:$F$89,6,0),
VATrates,
IF(YEAR(L$1)=2013,5,6),0)</f>
        <v>124.58333333333333</v>
      </c>
      <c r="M57" s="24">
        <f>VLOOKUP($A57&amp;$B57,OH!$A$2:$AB$62,COLUMN(M57)+1,0)*
VLOOKUP(VLOOKUP($A57&amp;$B57,'IP1'!$A$37:$F$89,6,0),
VATrates,
IF(YEAR(M$1)=2013,5,6),0)</f>
        <v>124.58333333333333</v>
      </c>
      <c r="N57" s="24">
        <f>VLOOKUP($A57&amp;$B57,OH!$A$2:$AB$62,COLUMN(N57)+1,0)*
VLOOKUP(VLOOKUP($A57&amp;$B57,'IP1'!$A$37:$F$89,6,0),
VATrates,
IF(YEAR(N$1)=2013,5,6),0)</f>
        <v>124.58333333333333</v>
      </c>
      <c r="O57" s="24">
        <f>VLOOKUP($A57&amp;$B57,OH!$A$2:$AB$62,COLUMN(O57)+1,0)*
VLOOKUP(VLOOKUP($A57&amp;$B57,'IP1'!$A$37:$F$89,6,0),
VATrates,
IF(YEAR(O$1)=2013,5,6),0)</f>
        <v>124.58333333333333</v>
      </c>
      <c r="P57" s="17"/>
    </row>
    <row r="58" spans="1:16">
      <c r="A58" s="16" t="s">
        <v>463</v>
      </c>
      <c r="B58" s="16" t="s">
        <v>474</v>
      </c>
      <c r="C58" s="24"/>
      <c r="D58" s="24">
        <f>VLOOKUP($A58&amp;$B58,OH!$A$2:$AB$62,COLUMN(D58)+1,0)*
VLOOKUP(VLOOKUP($A58&amp;$B58,'IP1'!$A$37:$F$89,6,0),
VATrates,
IF(YEAR(D$1)=2013,5,6),0)</f>
        <v>958.33333333333348</v>
      </c>
      <c r="E58" s="24">
        <f>VLOOKUP($A58&amp;$B58,OH!$A$2:$AB$62,COLUMN(E58)+1,0)*
VLOOKUP(VLOOKUP($A58&amp;$B58,'IP1'!$A$37:$F$89,6,0),
VATrates,
IF(YEAR(E$1)=2013,5,6),0)</f>
        <v>958.33333333333348</v>
      </c>
      <c r="F58" s="24">
        <f>VLOOKUP($A58&amp;$B58,OH!$A$2:$AB$62,COLUMN(F58)+1,0)*
VLOOKUP(VLOOKUP($A58&amp;$B58,'IP1'!$A$37:$F$89,6,0),
VATrates,
IF(YEAR(F$1)=2013,5,6),0)</f>
        <v>958.33333333333348</v>
      </c>
      <c r="G58" s="24">
        <f>VLOOKUP($A58&amp;$B58,OH!$A$2:$AB$62,COLUMN(G58)+1,0)*
VLOOKUP(VLOOKUP($A58&amp;$B58,'IP1'!$A$37:$F$89,6,0),
VATrates,
IF(YEAR(G$1)=2013,5,6),0)</f>
        <v>958.33333333333348</v>
      </c>
      <c r="H58" s="24">
        <f>VLOOKUP($A58&amp;$B58,OH!$A$2:$AB$62,COLUMN(H58)+1,0)*
VLOOKUP(VLOOKUP($A58&amp;$B58,'IP1'!$A$37:$F$89,6,0),
VATrates,
IF(YEAR(H$1)=2013,5,6),0)</f>
        <v>958.33333333333348</v>
      </c>
      <c r="I58" s="24">
        <f>VLOOKUP($A58&amp;$B58,OH!$A$2:$AB$62,COLUMN(I58)+1,0)*
VLOOKUP(VLOOKUP($A58&amp;$B58,'IP1'!$A$37:$F$89,6,0),
VATrates,
IF(YEAR(I$1)=2013,5,6),0)</f>
        <v>958.33333333333348</v>
      </c>
      <c r="J58" s="24">
        <f>VLOOKUP($A58&amp;$B58,OH!$A$2:$AB$62,COLUMN(J58)+1,0)*
VLOOKUP(VLOOKUP($A58&amp;$B58,'IP1'!$A$37:$F$89,6,0),
VATrates,
IF(YEAR(J$1)=2013,5,6),0)</f>
        <v>958.33333333333348</v>
      </c>
      <c r="K58" s="24">
        <f>VLOOKUP($A58&amp;$B58,OH!$A$2:$AB$62,COLUMN(K58)+1,0)*
VLOOKUP(VLOOKUP($A58&amp;$B58,'IP1'!$A$37:$F$89,6,0),
VATrates,
IF(YEAR(K$1)=2013,5,6),0)</f>
        <v>958.33333333333348</v>
      </c>
      <c r="L58" s="24">
        <f>VLOOKUP($A58&amp;$B58,OH!$A$2:$AB$62,COLUMN(L58)+1,0)*
VLOOKUP(VLOOKUP($A58&amp;$B58,'IP1'!$A$37:$F$89,6,0),
VATrates,
IF(YEAR(L$1)=2013,5,6),0)</f>
        <v>958.33333333333348</v>
      </c>
      <c r="M58" s="24">
        <f>VLOOKUP($A58&amp;$B58,OH!$A$2:$AB$62,COLUMN(M58)+1,0)*
VLOOKUP(VLOOKUP($A58&amp;$B58,'IP1'!$A$37:$F$89,6,0),
VATrates,
IF(YEAR(M$1)=2013,5,6),0)</f>
        <v>958.33333333333348</v>
      </c>
      <c r="N58" s="24">
        <f>VLOOKUP($A58&amp;$B58,OH!$A$2:$AB$62,COLUMN(N58)+1,0)*
VLOOKUP(VLOOKUP($A58&amp;$B58,'IP1'!$A$37:$F$89,6,0),
VATrates,
IF(YEAR(N$1)=2013,5,6),0)</f>
        <v>958.33333333333348</v>
      </c>
      <c r="O58" s="24">
        <f>VLOOKUP($A58&amp;$B58,OH!$A$2:$AB$62,COLUMN(O58)+1,0)*
VLOOKUP(VLOOKUP($A58&amp;$B58,'IP1'!$A$37:$F$89,6,0),
VATrates,
IF(YEAR(O$1)=2013,5,6),0)</f>
        <v>958.33333333333348</v>
      </c>
      <c r="P58" s="17"/>
    </row>
    <row r="59" spans="1:16">
      <c r="A59" s="16" t="s">
        <v>463</v>
      </c>
      <c r="B59" s="16" t="s">
        <v>475</v>
      </c>
      <c r="C59" s="24"/>
      <c r="D59" s="24">
        <f>VLOOKUP($A59&amp;$B59,OH!$A$2:$AB$62,COLUMN(D59)+1,0)*
VLOOKUP(VLOOKUP($A59&amp;$B59,'IP1'!$A$37:$F$89,6,0),
VATrates,
IF(YEAR(D$1)=2013,5,6),0)</f>
        <v>239.58333333333337</v>
      </c>
      <c r="E59" s="24">
        <f>VLOOKUP($A59&amp;$B59,OH!$A$2:$AB$62,COLUMN(E59)+1,0)*
VLOOKUP(VLOOKUP($A59&amp;$B59,'IP1'!$A$37:$F$89,6,0),
VATrates,
IF(YEAR(E$1)=2013,5,6),0)</f>
        <v>239.58333333333337</v>
      </c>
      <c r="F59" s="24">
        <f>VLOOKUP($A59&amp;$B59,OH!$A$2:$AB$62,COLUMN(F59)+1,0)*
VLOOKUP(VLOOKUP($A59&amp;$B59,'IP1'!$A$37:$F$89,6,0),
VATrates,
IF(YEAR(F$1)=2013,5,6),0)</f>
        <v>239.58333333333337</v>
      </c>
      <c r="G59" s="24">
        <f>VLOOKUP($A59&amp;$B59,OH!$A$2:$AB$62,COLUMN(G59)+1,0)*
VLOOKUP(VLOOKUP($A59&amp;$B59,'IP1'!$A$37:$F$89,6,0),
VATrates,
IF(YEAR(G$1)=2013,5,6),0)</f>
        <v>239.58333333333337</v>
      </c>
      <c r="H59" s="24">
        <f>VLOOKUP($A59&amp;$B59,OH!$A$2:$AB$62,COLUMN(H59)+1,0)*
VLOOKUP(VLOOKUP($A59&amp;$B59,'IP1'!$A$37:$F$89,6,0),
VATrates,
IF(YEAR(H$1)=2013,5,6),0)</f>
        <v>239.58333333333337</v>
      </c>
      <c r="I59" s="24">
        <f>VLOOKUP($A59&amp;$B59,OH!$A$2:$AB$62,COLUMN(I59)+1,0)*
VLOOKUP(VLOOKUP($A59&amp;$B59,'IP1'!$A$37:$F$89,6,0),
VATrates,
IF(YEAR(I$1)=2013,5,6),0)</f>
        <v>239.58333333333337</v>
      </c>
      <c r="J59" s="24">
        <f>VLOOKUP($A59&amp;$B59,OH!$A$2:$AB$62,COLUMN(J59)+1,0)*
VLOOKUP(VLOOKUP($A59&amp;$B59,'IP1'!$A$37:$F$89,6,0),
VATrates,
IF(YEAR(J$1)=2013,5,6),0)</f>
        <v>239.58333333333337</v>
      </c>
      <c r="K59" s="24">
        <f>VLOOKUP($A59&amp;$B59,OH!$A$2:$AB$62,COLUMN(K59)+1,0)*
VLOOKUP(VLOOKUP($A59&amp;$B59,'IP1'!$A$37:$F$89,6,0),
VATrates,
IF(YEAR(K$1)=2013,5,6),0)</f>
        <v>239.58333333333337</v>
      </c>
      <c r="L59" s="24">
        <f>VLOOKUP($A59&amp;$B59,OH!$A$2:$AB$62,COLUMN(L59)+1,0)*
VLOOKUP(VLOOKUP($A59&amp;$B59,'IP1'!$A$37:$F$89,6,0),
VATrates,
IF(YEAR(L$1)=2013,5,6),0)</f>
        <v>239.58333333333337</v>
      </c>
      <c r="M59" s="24">
        <f>VLOOKUP($A59&amp;$B59,OH!$A$2:$AB$62,COLUMN(M59)+1,0)*
VLOOKUP(VLOOKUP($A59&amp;$B59,'IP1'!$A$37:$F$89,6,0),
VATrates,
IF(YEAR(M$1)=2013,5,6),0)</f>
        <v>239.58333333333337</v>
      </c>
      <c r="N59" s="24">
        <f>VLOOKUP($A59&amp;$B59,OH!$A$2:$AB$62,COLUMN(N59)+1,0)*
VLOOKUP(VLOOKUP($A59&amp;$B59,'IP1'!$A$37:$F$89,6,0),
VATrates,
IF(YEAR(N$1)=2013,5,6),0)</f>
        <v>239.58333333333337</v>
      </c>
      <c r="O59" s="24">
        <f>VLOOKUP($A59&amp;$B59,OH!$A$2:$AB$62,COLUMN(O59)+1,0)*
VLOOKUP(VLOOKUP($A59&amp;$B59,'IP1'!$A$37:$F$89,6,0),
VATrates,
IF(YEAR(O$1)=2013,5,6),0)</f>
        <v>239.58333333333337</v>
      </c>
      <c r="P59" s="17"/>
    </row>
    <row r="60" spans="1:16">
      <c r="A60" s="16" t="s">
        <v>463</v>
      </c>
      <c r="B60" s="16" t="s">
        <v>476</v>
      </c>
      <c r="C60" s="24"/>
      <c r="D60" s="24">
        <f>VLOOKUP($A60&amp;$B60,OH!$A$2:$AB$62,COLUMN(D60)+1,0)*
VLOOKUP(VLOOKUP($A60&amp;$B60,'IP1'!$A$37:$F$89,6,0),
VATrates,
IF(YEAR(D$1)=2013,5,6),0)</f>
        <v>57.5</v>
      </c>
      <c r="E60" s="24">
        <f>VLOOKUP($A60&amp;$B60,OH!$A$2:$AB$62,COLUMN(E60)+1,0)*
VLOOKUP(VLOOKUP($A60&amp;$B60,'IP1'!$A$37:$F$89,6,0),
VATrates,
IF(YEAR(E$1)=2013,5,6),0)</f>
        <v>57.5</v>
      </c>
      <c r="F60" s="24">
        <f>VLOOKUP($A60&amp;$B60,OH!$A$2:$AB$62,COLUMN(F60)+1,0)*
VLOOKUP(VLOOKUP($A60&amp;$B60,'IP1'!$A$37:$F$89,6,0),
VATrates,
IF(YEAR(F$1)=2013,5,6),0)</f>
        <v>57.5</v>
      </c>
      <c r="G60" s="24">
        <f>VLOOKUP($A60&amp;$B60,OH!$A$2:$AB$62,COLUMN(G60)+1,0)*
VLOOKUP(VLOOKUP($A60&amp;$B60,'IP1'!$A$37:$F$89,6,0),
VATrates,
IF(YEAR(G$1)=2013,5,6),0)</f>
        <v>57.5</v>
      </c>
      <c r="H60" s="24">
        <f>VLOOKUP($A60&amp;$B60,OH!$A$2:$AB$62,COLUMN(H60)+1,0)*
VLOOKUP(VLOOKUP($A60&amp;$B60,'IP1'!$A$37:$F$89,6,0),
VATrates,
IF(YEAR(H$1)=2013,5,6),0)</f>
        <v>57.5</v>
      </c>
      <c r="I60" s="24">
        <f>VLOOKUP($A60&amp;$B60,OH!$A$2:$AB$62,COLUMN(I60)+1,0)*
VLOOKUP(VLOOKUP($A60&amp;$B60,'IP1'!$A$37:$F$89,6,0),
VATrates,
IF(YEAR(I$1)=2013,5,6),0)</f>
        <v>57.5</v>
      </c>
      <c r="J60" s="24">
        <f>VLOOKUP($A60&amp;$B60,OH!$A$2:$AB$62,COLUMN(J60)+1,0)*
VLOOKUP(VLOOKUP($A60&amp;$B60,'IP1'!$A$37:$F$89,6,0),
VATrates,
IF(YEAR(J$1)=2013,5,6),0)</f>
        <v>57.5</v>
      </c>
      <c r="K60" s="24">
        <f>VLOOKUP($A60&amp;$B60,OH!$A$2:$AB$62,COLUMN(K60)+1,0)*
VLOOKUP(VLOOKUP($A60&amp;$B60,'IP1'!$A$37:$F$89,6,0),
VATrates,
IF(YEAR(K$1)=2013,5,6),0)</f>
        <v>57.5</v>
      </c>
      <c r="L60" s="24">
        <f>VLOOKUP($A60&amp;$B60,OH!$A$2:$AB$62,COLUMN(L60)+1,0)*
VLOOKUP(VLOOKUP($A60&amp;$B60,'IP1'!$A$37:$F$89,6,0),
VATrates,
IF(YEAR(L$1)=2013,5,6),0)</f>
        <v>57.5</v>
      </c>
      <c r="M60" s="24">
        <f>VLOOKUP($A60&amp;$B60,OH!$A$2:$AB$62,COLUMN(M60)+1,0)*
VLOOKUP(VLOOKUP($A60&amp;$B60,'IP1'!$A$37:$F$89,6,0),
VATrates,
IF(YEAR(M$1)=2013,5,6),0)</f>
        <v>57.5</v>
      </c>
      <c r="N60" s="24">
        <f>VLOOKUP($A60&amp;$B60,OH!$A$2:$AB$62,COLUMN(N60)+1,0)*
VLOOKUP(VLOOKUP($A60&amp;$B60,'IP1'!$A$37:$F$89,6,0),
VATrates,
IF(YEAR(N$1)=2013,5,6),0)</f>
        <v>57.5</v>
      </c>
      <c r="O60" s="24">
        <f>VLOOKUP($A60&amp;$B60,OH!$A$2:$AB$62,COLUMN(O60)+1,0)*
VLOOKUP(VLOOKUP($A60&amp;$B60,'IP1'!$A$37:$F$89,6,0),
VATrates,
IF(YEAR(O$1)=2013,5,6),0)</f>
        <v>57.5</v>
      </c>
      <c r="P60" s="17"/>
    </row>
    <row r="61" spans="1:16">
      <c r="A61" s="16" t="s">
        <v>480</v>
      </c>
      <c r="B61" s="16" t="s">
        <v>481</v>
      </c>
      <c r="C61" s="24"/>
      <c r="D61" s="24">
        <f>VLOOKUP($A61&amp;$B61,OH!$A$2:$AB$62,COLUMN(D61)+1,0)*
VLOOKUP(VLOOKUP($A61&amp;$B61,'IP1'!$A$37:$F$89,6,0),
VATrates,
IF(YEAR(D$1)=2013,5,6),0)</f>
        <v>383.33333333333337</v>
      </c>
      <c r="E61" s="24">
        <f>VLOOKUP($A61&amp;$B61,OH!$A$2:$AB$62,COLUMN(E61)+1,0)*
VLOOKUP(VLOOKUP($A61&amp;$B61,'IP1'!$A$37:$F$89,6,0),
VATrates,
IF(YEAR(E$1)=2013,5,6),0)</f>
        <v>383.33333333333337</v>
      </c>
      <c r="F61" s="24">
        <f>VLOOKUP($A61&amp;$B61,OH!$A$2:$AB$62,COLUMN(F61)+1,0)*
VLOOKUP(VLOOKUP($A61&amp;$B61,'IP1'!$A$37:$F$89,6,0),
VATrates,
IF(YEAR(F$1)=2013,5,6),0)</f>
        <v>383.33333333333337</v>
      </c>
      <c r="G61" s="24">
        <f>VLOOKUP($A61&amp;$B61,OH!$A$2:$AB$62,COLUMN(G61)+1,0)*
VLOOKUP(VLOOKUP($A61&amp;$B61,'IP1'!$A$37:$F$89,6,0),
VATrates,
IF(YEAR(G$1)=2013,5,6),0)</f>
        <v>383.33333333333337</v>
      </c>
      <c r="H61" s="24">
        <f>VLOOKUP($A61&amp;$B61,OH!$A$2:$AB$62,COLUMN(H61)+1,0)*
VLOOKUP(VLOOKUP($A61&amp;$B61,'IP1'!$A$37:$F$89,6,0),
VATrates,
IF(YEAR(H$1)=2013,5,6),0)</f>
        <v>383.33333333333337</v>
      </c>
      <c r="I61" s="24">
        <f>VLOOKUP($A61&amp;$B61,OH!$A$2:$AB$62,COLUMN(I61)+1,0)*
VLOOKUP(VLOOKUP($A61&amp;$B61,'IP1'!$A$37:$F$89,6,0),
VATrates,
IF(YEAR(I$1)=2013,5,6),0)</f>
        <v>383.33333333333337</v>
      </c>
      <c r="J61" s="24">
        <f>VLOOKUP($A61&amp;$B61,OH!$A$2:$AB$62,COLUMN(J61)+1,0)*
VLOOKUP(VLOOKUP($A61&amp;$B61,'IP1'!$A$37:$F$89,6,0),
VATrates,
IF(YEAR(J$1)=2013,5,6),0)</f>
        <v>383.33333333333337</v>
      </c>
      <c r="K61" s="24">
        <f>VLOOKUP($A61&amp;$B61,OH!$A$2:$AB$62,COLUMN(K61)+1,0)*
VLOOKUP(VLOOKUP($A61&amp;$B61,'IP1'!$A$37:$F$89,6,0),
VATrates,
IF(YEAR(K$1)=2013,5,6),0)</f>
        <v>383.33333333333337</v>
      </c>
      <c r="L61" s="24">
        <f>VLOOKUP($A61&amp;$B61,OH!$A$2:$AB$62,COLUMN(L61)+1,0)*
VLOOKUP(VLOOKUP($A61&amp;$B61,'IP1'!$A$37:$F$89,6,0),
VATrates,
IF(YEAR(L$1)=2013,5,6),0)</f>
        <v>383.33333333333337</v>
      </c>
      <c r="M61" s="24">
        <f>VLOOKUP($A61&amp;$B61,OH!$A$2:$AB$62,COLUMN(M61)+1,0)*
VLOOKUP(VLOOKUP($A61&amp;$B61,'IP1'!$A$37:$F$89,6,0),
VATrates,
IF(YEAR(M$1)=2013,5,6),0)</f>
        <v>383.33333333333337</v>
      </c>
      <c r="N61" s="24">
        <f>VLOOKUP($A61&amp;$B61,OH!$A$2:$AB$62,COLUMN(N61)+1,0)*
VLOOKUP(VLOOKUP($A61&amp;$B61,'IP1'!$A$37:$F$89,6,0),
VATrates,
IF(YEAR(N$1)=2013,5,6),0)</f>
        <v>383.33333333333337</v>
      </c>
      <c r="O61" s="24">
        <f>VLOOKUP($A61&amp;$B61,OH!$A$2:$AB$62,COLUMN(O61)+1,0)*
VLOOKUP(VLOOKUP($A61&amp;$B61,'IP1'!$A$37:$F$89,6,0),
VATrates,
IF(YEAR(O$1)=2013,5,6),0)</f>
        <v>383.33333333333337</v>
      </c>
      <c r="P61" s="17"/>
    </row>
    <row r="62" spans="1:16">
      <c r="A62" s="16" t="s">
        <v>480</v>
      </c>
      <c r="B62" s="16" t="s">
        <v>486</v>
      </c>
      <c r="C62" s="24"/>
      <c r="D62" s="24">
        <f>VLOOKUP($A62&amp;$B62,OH!$A$2:$AB$62,COLUMN(D62)+1,0)*
VLOOKUP(VLOOKUP($A62&amp;$B62,'IP1'!$A$37:$F$89,6,0),
VATrates,
IF(YEAR(D$1)=2013,5,6),0)</f>
        <v>92</v>
      </c>
      <c r="E62" s="24">
        <f>VLOOKUP($A62&amp;$B62,OH!$A$2:$AB$62,COLUMN(E62)+1,0)*
VLOOKUP(VLOOKUP($A62&amp;$B62,'IP1'!$A$37:$F$89,6,0),
VATrates,
IF(YEAR(E$1)=2013,5,6),0)</f>
        <v>92</v>
      </c>
      <c r="F62" s="24">
        <f>VLOOKUP($A62&amp;$B62,OH!$A$2:$AB$62,COLUMN(F62)+1,0)*
VLOOKUP(VLOOKUP($A62&amp;$B62,'IP1'!$A$37:$F$89,6,0),
VATrates,
IF(YEAR(F$1)=2013,5,6),0)</f>
        <v>276</v>
      </c>
      <c r="G62" s="24">
        <f>VLOOKUP($A62&amp;$B62,OH!$A$2:$AB$62,COLUMN(G62)+1,0)*
VLOOKUP(VLOOKUP($A62&amp;$B62,'IP1'!$A$37:$F$89,6,0),
VATrates,
IF(YEAR(G$1)=2013,5,6),0)</f>
        <v>276</v>
      </c>
      <c r="H62" s="24">
        <f>VLOOKUP($A62&amp;$B62,OH!$A$2:$AB$62,COLUMN(H62)+1,0)*
VLOOKUP(VLOOKUP($A62&amp;$B62,'IP1'!$A$37:$F$89,6,0),
VATrates,
IF(YEAR(H$1)=2013,5,6),0)</f>
        <v>552</v>
      </c>
      <c r="I62" s="24">
        <f>VLOOKUP($A62&amp;$B62,OH!$A$2:$AB$62,COLUMN(I62)+1,0)*
VLOOKUP(VLOOKUP($A62&amp;$B62,'IP1'!$A$37:$F$89,6,0),
VATrates,
IF(YEAR(I$1)=2013,5,6),0)</f>
        <v>552</v>
      </c>
      <c r="J62" s="24">
        <f>VLOOKUP($A62&amp;$B62,OH!$A$2:$AB$62,COLUMN(J62)+1,0)*
VLOOKUP(VLOOKUP($A62&amp;$B62,'IP1'!$A$37:$F$89,6,0),
VATrates,
IF(YEAR(J$1)=2013,5,6),0)</f>
        <v>552</v>
      </c>
      <c r="K62" s="24">
        <f>VLOOKUP($A62&amp;$B62,OH!$A$2:$AB$62,COLUMN(K62)+1,0)*
VLOOKUP(VLOOKUP($A62&amp;$B62,'IP1'!$A$37:$F$89,6,0),
VATrates,
IF(YEAR(K$1)=2013,5,6),0)</f>
        <v>552</v>
      </c>
      <c r="L62" s="24">
        <f>VLOOKUP($A62&amp;$B62,OH!$A$2:$AB$62,COLUMN(L62)+1,0)*
VLOOKUP(VLOOKUP($A62&amp;$B62,'IP1'!$A$37:$F$89,6,0),
VATrates,
IF(YEAR(L$1)=2013,5,6),0)</f>
        <v>552</v>
      </c>
      <c r="M62" s="24">
        <f>VLOOKUP($A62&amp;$B62,OH!$A$2:$AB$62,COLUMN(M62)+1,0)*
VLOOKUP(VLOOKUP($A62&amp;$B62,'IP1'!$A$37:$F$89,6,0),
VATrates,
IF(YEAR(M$1)=2013,5,6),0)</f>
        <v>552</v>
      </c>
      <c r="N62" s="24">
        <f>VLOOKUP($A62&amp;$B62,OH!$A$2:$AB$62,COLUMN(N62)+1,0)*
VLOOKUP(VLOOKUP($A62&amp;$B62,'IP1'!$A$37:$F$89,6,0),
VATrates,
IF(YEAR(N$1)=2013,5,6),0)</f>
        <v>92</v>
      </c>
      <c r="O62" s="24">
        <f>VLOOKUP($A62&amp;$B62,OH!$A$2:$AB$62,COLUMN(O62)+1,0)*
VLOOKUP(VLOOKUP($A62&amp;$B62,'IP1'!$A$37:$F$89,6,0),
VATrates,
IF(YEAR(O$1)=2013,5,6),0)</f>
        <v>460</v>
      </c>
      <c r="P62" s="17"/>
    </row>
    <row r="63" spans="1:16">
      <c r="A63" s="16" t="s">
        <v>480</v>
      </c>
      <c r="B63" s="16" t="s">
        <v>482</v>
      </c>
      <c r="C63" s="24"/>
      <c r="D63" s="24">
        <f>VLOOKUP($A63&amp;$B63,OH!$A$2:$AB$62,COLUMN(D63)+1,0)*
VLOOKUP(VLOOKUP($A63&amp;$B63,'IP1'!$A$37:$F$89,6,0),
VATrates,
IF(YEAR(D$1)=2013,5,6),0)</f>
        <v>46</v>
      </c>
      <c r="E63" s="24">
        <f>VLOOKUP($A63&amp;$B63,OH!$A$2:$AB$62,COLUMN(E63)+1,0)*
VLOOKUP(VLOOKUP($A63&amp;$B63,'IP1'!$A$37:$F$89,6,0),
VATrates,
IF(YEAR(E$1)=2013,5,6),0)</f>
        <v>46</v>
      </c>
      <c r="F63" s="24">
        <f>VLOOKUP($A63&amp;$B63,OH!$A$2:$AB$62,COLUMN(F63)+1,0)*
VLOOKUP(VLOOKUP($A63&amp;$B63,'IP1'!$A$37:$F$89,6,0),
VATrates,
IF(YEAR(F$1)=2013,5,6),0)</f>
        <v>138</v>
      </c>
      <c r="G63" s="24">
        <f>VLOOKUP($A63&amp;$B63,OH!$A$2:$AB$62,COLUMN(G63)+1,0)*
VLOOKUP(VLOOKUP($A63&amp;$B63,'IP1'!$A$37:$F$89,6,0),
VATrates,
IF(YEAR(G$1)=2013,5,6),0)</f>
        <v>138</v>
      </c>
      <c r="H63" s="24">
        <f>VLOOKUP($A63&amp;$B63,OH!$A$2:$AB$62,COLUMN(H63)+1,0)*
VLOOKUP(VLOOKUP($A63&amp;$B63,'IP1'!$A$37:$F$89,6,0),
VATrates,
IF(YEAR(H$1)=2013,5,6),0)</f>
        <v>276</v>
      </c>
      <c r="I63" s="24">
        <f>VLOOKUP($A63&amp;$B63,OH!$A$2:$AB$62,COLUMN(I63)+1,0)*
VLOOKUP(VLOOKUP($A63&amp;$B63,'IP1'!$A$37:$F$89,6,0),
VATrates,
IF(YEAR(I$1)=2013,5,6),0)</f>
        <v>276</v>
      </c>
      <c r="J63" s="24">
        <f>VLOOKUP($A63&amp;$B63,OH!$A$2:$AB$62,COLUMN(J63)+1,0)*
VLOOKUP(VLOOKUP($A63&amp;$B63,'IP1'!$A$37:$F$89,6,0),
VATrates,
IF(YEAR(J$1)=2013,5,6),0)</f>
        <v>276</v>
      </c>
      <c r="K63" s="24">
        <f>VLOOKUP($A63&amp;$B63,OH!$A$2:$AB$62,COLUMN(K63)+1,0)*
VLOOKUP(VLOOKUP($A63&amp;$B63,'IP1'!$A$37:$F$89,6,0),
VATrates,
IF(YEAR(K$1)=2013,5,6),0)</f>
        <v>276</v>
      </c>
      <c r="L63" s="24">
        <f>VLOOKUP($A63&amp;$B63,OH!$A$2:$AB$62,COLUMN(L63)+1,0)*
VLOOKUP(VLOOKUP($A63&amp;$B63,'IP1'!$A$37:$F$89,6,0),
VATrates,
IF(YEAR(L$1)=2013,5,6),0)</f>
        <v>276</v>
      </c>
      <c r="M63" s="24">
        <f>VLOOKUP($A63&amp;$B63,OH!$A$2:$AB$62,COLUMN(M63)+1,0)*
VLOOKUP(VLOOKUP($A63&amp;$B63,'IP1'!$A$37:$F$89,6,0),
VATrates,
IF(YEAR(M$1)=2013,5,6),0)</f>
        <v>276</v>
      </c>
      <c r="N63" s="24">
        <f>VLOOKUP($A63&amp;$B63,OH!$A$2:$AB$62,COLUMN(N63)+1,0)*
VLOOKUP(VLOOKUP($A63&amp;$B63,'IP1'!$A$37:$F$89,6,0),
VATrates,
IF(YEAR(N$1)=2013,5,6),0)</f>
        <v>46</v>
      </c>
      <c r="O63" s="24">
        <f>VLOOKUP($A63&amp;$B63,OH!$A$2:$AB$62,COLUMN(O63)+1,0)*
VLOOKUP(VLOOKUP($A63&amp;$B63,'IP1'!$A$37:$F$89,6,0),
VATrates,
IF(YEAR(O$1)=2013,5,6),0)</f>
        <v>230</v>
      </c>
      <c r="P63" s="17"/>
    </row>
    <row r="64" spans="1:16">
      <c r="A64" s="16" t="s">
        <v>480</v>
      </c>
      <c r="B64" s="16" t="s">
        <v>483</v>
      </c>
      <c r="C64" s="24"/>
      <c r="D64" s="24">
        <f>VLOOKUP($A64&amp;$B64,OH!$A$2:$AB$62,COLUMN(D64)+1,0)*
VLOOKUP(VLOOKUP($A64&amp;$B64,'IP1'!$A$37:$F$89,6,0),
VATrates,
IF(YEAR(D$1)=2013,5,6),0)</f>
        <v>4.6000000000000005</v>
      </c>
      <c r="E64" s="24">
        <f>VLOOKUP($A64&amp;$B64,OH!$A$2:$AB$62,COLUMN(E64)+1,0)*
VLOOKUP(VLOOKUP($A64&amp;$B64,'IP1'!$A$37:$F$89,6,0),
VATrates,
IF(YEAR(E$1)=2013,5,6),0)</f>
        <v>4.6000000000000005</v>
      </c>
      <c r="F64" s="24">
        <f>VLOOKUP($A64&amp;$B64,OH!$A$2:$AB$62,COLUMN(F64)+1,0)*
VLOOKUP(VLOOKUP($A64&amp;$B64,'IP1'!$A$37:$F$89,6,0),
VATrates,
IF(YEAR(F$1)=2013,5,6),0)</f>
        <v>13.8</v>
      </c>
      <c r="G64" s="24">
        <f>VLOOKUP($A64&amp;$B64,OH!$A$2:$AB$62,COLUMN(G64)+1,0)*
VLOOKUP(VLOOKUP($A64&amp;$B64,'IP1'!$A$37:$F$89,6,0),
VATrates,
IF(YEAR(G$1)=2013,5,6),0)</f>
        <v>13.8</v>
      </c>
      <c r="H64" s="24">
        <f>VLOOKUP($A64&amp;$B64,OH!$A$2:$AB$62,COLUMN(H64)+1,0)*
VLOOKUP(VLOOKUP($A64&amp;$B64,'IP1'!$A$37:$F$89,6,0),
VATrates,
IF(YEAR(H$1)=2013,5,6),0)</f>
        <v>27.6</v>
      </c>
      <c r="I64" s="24">
        <f>VLOOKUP($A64&amp;$B64,OH!$A$2:$AB$62,COLUMN(I64)+1,0)*
VLOOKUP(VLOOKUP($A64&amp;$B64,'IP1'!$A$37:$F$89,6,0),
VATrates,
IF(YEAR(I$1)=2013,5,6),0)</f>
        <v>27.6</v>
      </c>
      <c r="J64" s="24">
        <f>VLOOKUP($A64&amp;$B64,OH!$A$2:$AB$62,COLUMN(J64)+1,0)*
VLOOKUP(VLOOKUP($A64&amp;$B64,'IP1'!$A$37:$F$89,6,0),
VATrates,
IF(YEAR(J$1)=2013,5,6),0)</f>
        <v>27.6</v>
      </c>
      <c r="K64" s="24">
        <f>VLOOKUP($A64&amp;$B64,OH!$A$2:$AB$62,COLUMN(K64)+1,0)*
VLOOKUP(VLOOKUP($A64&amp;$B64,'IP1'!$A$37:$F$89,6,0),
VATrates,
IF(YEAR(K$1)=2013,5,6),0)</f>
        <v>27.6</v>
      </c>
      <c r="L64" s="24">
        <f>VLOOKUP($A64&amp;$B64,OH!$A$2:$AB$62,COLUMN(L64)+1,0)*
VLOOKUP(VLOOKUP($A64&amp;$B64,'IP1'!$A$37:$F$89,6,0),
VATrates,
IF(YEAR(L$1)=2013,5,6),0)</f>
        <v>27.6</v>
      </c>
      <c r="M64" s="24">
        <f>VLOOKUP($A64&amp;$B64,OH!$A$2:$AB$62,COLUMN(M64)+1,0)*
VLOOKUP(VLOOKUP($A64&amp;$B64,'IP1'!$A$37:$F$89,6,0),
VATrates,
IF(YEAR(M$1)=2013,5,6),0)</f>
        <v>27.6</v>
      </c>
      <c r="N64" s="24">
        <f>VLOOKUP($A64&amp;$B64,OH!$A$2:$AB$62,COLUMN(N64)+1,0)*
VLOOKUP(VLOOKUP($A64&amp;$B64,'IP1'!$A$37:$F$89,6,0),
VATrates,
IF(YEAR(N$1)=2013,5,6),0)</f>
        <v>4.6000000000000005</v>
      </c>
      <c r="O64" s="24">
        <f>VLOOKUP($A64&amp;$B64,OH!$A$2:$AB$62,COLUMN(O64)+1,0)*
VLOOKUP(VLOOKUP($A64&amp;$B64,'IP1'!$A$37:$F$89,6,0),
VATrates,
IF(YEAR(O$1)=2013,5,6),0)</f>
        <v>23</v>
      </c>
      <c r="P64" s="17"/>
    </row>
    <row r="65" spans="1:40">
      <c r="A65" s="16" t="s">
        <v>480</v>
      </c>
      <c r="B65" s="16" t="s">
        <v>484</v>
      </c>
      <c r="C65" s="24"/>
      <c r="D65" s="24">
        <f>VLOOKUP($A65&amp;$B65,OH!$A$2:$AB$62,COLUMN(D65)+1,0)*
VLOOKUP(VLOOKUP($A65&amp;$B65,'IP1'!$A$37:$F$89,6,0),
VATrates,
IF(YEAR(D$1)=2013,5,6),0)</f>
        <v>23</v>
      </c>
      <c r="E65" s="24">
        <f>VLOOKUP($A65&amp;$B65,OH!$A$2:$AB$62,COLUMN(E65)+1,0)*
VLOOKUP(VLOOKUP($A65&amp;$B65,'IP1'!$A$37:$F$89,6,0),
VATrates,
IF(YEAR(E$1)=2013,5,6),0)</f>
        <v>23</v>
      </c>
      <c r="F65" s="24">
        <f>VLOOKUP($A65&amp;$B65,OH!$A$2:$AB$62,COLUMN(F65)+1,0)*
VLOOKUP(VLOOKUP($A65&amp;$B65,'IP1'!$A$37:$F$89,6,0),
VATrates,
IF(YEAR(F$1)=2013,5,6),0)</f>
        <v>69</v>
      </c>
      <c r="G65" s="24">
        <f>VLOOKUP($A65&amp;$B65,OH!$A$2:$AB$62,COLUMN(G65)+1,0)*
VLOOKUP(VLOOKUP($A65&amp;$B65,'IP1'!$A$37:$F$89,6,0),
VATrates,
IF(YEAR(G$1)=2013,5,6),0)</f>
        <v>69</v>
      </c>
      <c r="H65" s="24">
        <f>VLOOKUP($A65&amp;$B65,OH!$A$2:$AB$62,COLUMN(H65)+1,0)*
VLOOKUP(VLOOKUP($A65&amp;$B65,'IP1'!$A$37:$F$89,6,0),
VATrates,
IF(YEAR(H$1)=2013,5,6),0)</f>
        <v>138</v>
      </c>
      <c r="I65" s="24">
        <f>VLOOKUP($A65&amp;$B65,OH!$A$2:$AB$62,COLUMN(I65)+1,0)*
VLOOKUP(VLOOKUP($A65&amp;$B65,'IP1'!$A$37:$F$89,6,0),
VATrates,
IF(YEAR(I$1)=2013,5,6),0)</f>
        <v>138</v>
      </c>
      <c r="J65" s="24">
        <f>VLOOKUP($A65&amp;$B65,OH!$A$2:$AB$62,COLUMN(J65)+1,0)*
VLOOKUP(VLOOKUP($A65&amp;$B65,'IP1'!$A$37:$F$89,6,0),
VATrates,
IF(YEAR(J$1)=2013,5,6),0)</f>
        <v>138</v>
      </c>
      <c r="K65" s="24">
        <f>VLOOKUP($A65&amp;$B65,OH!$A$2:$AB$62,COLUMN(K65)+1,0)*
VLOOKUP(VLOOKUP($A65&amp;$B65,'IP1'!$A$37:$F$89,6,0),
VATrates,
IF(YEAR(K$1)=2013,5,6),0)</f>
        <v>138</v>
      </c>
      <c r="L65" s="24">
        <f>VLOOKUP($A65&amp;$B65,OH!$A$2:$AB$62,COLUMN(L65)+1,0)*
VLOOKUP(VLOOKUP($A65&amp;$B65,'IP1'!$A$37:$F$89,6,0),
VATrates,
IF(YEAR(L$1)=2013,5,6),0)</f>
        <v>138</v>
      </c>
      <c r="M65" s="24">
        <f>VLOOKUP($A65&amp;$B65,OH!$A$2:$AB$62,COLUMN(M65)+1,0)*
VLOOKUP(VLOOKUP($A65&amp;$B65,'IP1'!$A$37:$F$89,6,0),
VATrates,
IF(YEAR(M$1)=2013,5,6),0)</f>
        <v>138</v>
      </c>
      <c r="N65" s="24">
        <f>VLOOKUP($A65&amp;$B65,OH!$A$2:$AB$62,COLUMN(N65)+1,0)*
VLOOKUP(VLOOKUP($A65&amp;$B65,'IP1'!$A$37:$F$89,6,0),
VATrates,
IF(YEAR(N$1)=2013,5,6),0)</f>
        <v>23</v>
      </c>
      <c r="O65" s="24">
        <f>VLOOKUP($A65&amp;$B65,OH!$A$2:$AB$62,COLUMN(O65)+1,0)*
VLOOKUP(VLOOKUP($A65&amp;$B65,'IP1'!$A$37:$F$89,6,0),
VATrates,
IF(YEAR(O$1)=2013,5,6),0)</f>
        <v>115</v>
      </c>
      <c r="P65" s="17"/>
    </row>
    <row r="66" spans="1:40">
      <c r="A66" s="16" t="s">
        <v>480</v>
      </c>
      <c r="B66" s="16" t="s">
        <v>485</v>
      </c>
      <c r="C66" s="24"/>
      <c r="D66" s="24">
        <f>VLOOKUP($A66&amp;$B66,OH!$A$2:$AB$62,COLUMN(D66)+1,0)*
VLOOKUP(VLOOKUP($A66&amp;$B66,'IP1'!$A$37:$F$89,6,0),
VATrates,
IF(YEAR(D$1)=2013,5,6),0)</f>
        <v>80.5</v>
      </c>
      <c r="E66" s="24">
        <f>VLOOKUP($A66&amp;$B66,OH!$A$2:$AB$62,COLUMN(E66)+1,0)*
VLOOKUP(VLOOKUP($A66&amp;$B66,'IP1'!$A$37:$F$89,6,0),
VATrates,
IF(YEAR(E$1)=2013,5,6),0)</f>
        <v>80.5</v>
      </c>
      <c r="F66" s="24">
        <f>VLOOKUP($A66&amp;$B66,OH!$A$2:$AB$62,COLUMN(F66)+1,0)*
VLOOKUP(VLOOKUP($A66&amp;$B66,'IP1'!$A$37:$F$89,6,0),
VATrates,
IF(YEAR(F$1)=2013,5,6),0)</f>
        <v>241.5</v>
      </c>
      <c r="G66" s="24">
        <f>VLOOKUP($A66&amp;$B66,OH!$A$2:$AB$62,COLUMN(G66)+1,0)*
VLOOKUP(VLOOKUP($A66&amp;$B66,'IP1'!$A$37:$F$89,6,0),
VATrates,
IF(YEAR(G$1)=2013,5,6),0)</f>
        <v>241.5</v>
      </c>
      <c r="H66" s="24">
        <f>VLOOKUP($A66&amp;$B66,OH!$A$2:$AB$62,COLUMN(H66)+1,0)*
VLOOKUP(VLOOKUP($A66&amp;$B66,'IP1'!$A$37:$F$89,6,0),
VATrates,
IF(YEAR(H$1)=2013,5,6),0)</f>
        <v>483</v>
      </c>
      <c r="I66" s="24">
        <f>VLOOKUP($A66&amp;$B66,OH!$A$2:$AB$62,COLUMN(I66)+1,0)*
VLOOKUP(VLOOKUP($A66&amp;$B66,'IP1'!$A$37:$F$89,6,0),
VATrates,
IF(YEAR(I$1)=2013,5,6),0)</f>
        <v>483</v>
      </c>
      <c r="J66" s="24">
        <f>VLOOKUP($A66&amp;$B66,OH!$A$2:$AB$62,COLUMN(J66)+1,0)*
VLOOKUP(VLOOKUP($A66&amp;$B66,'IP1'!$A$37:$F$89,6,0),
VATrates,
IF(YEAR(J$1)=2013,5,6),0)</f>
        <v>483</v>
      </c>
      <c r="K66" s="24">
        <f>VLOOKUP($A66&amp;$B66,OH!$A$2:$AB$62,COLUMN(K66)+1,0)*
VLOOKUP(VLOOKUP($A66&amp;$B66,'IP1'!$A$37:$F$89,6,0),
VATrates,
IF(YEAR(K$1)=2013,5,6),0)</f>
        <v>483</v>
      </c>
      <c r="L66" s="24">
        <f>VLOOKUP($A66&amp;$B66,OH!$A$2:$AB$62,COLUMN(L66)+1,0)*
VLOOKUP(VLOOKUP($A66&amp;$B66,'IP1'!$A$37:$F$89,6,0),
VATrates,
IF(YEAR(L$1)=2013,5,6),0)</f>
        <v>483</v>
      </c>
      <c r="M66" s="24">
        <f>VLOOKUP($A66&amp;$B66,OH!$A$2:$AB$62,COLUMN(M66)+1,0)*
VLOOKUP(VLOOKUP($A66&amp;$B66,'IP1'!$A$37:$F$89,6,0),
VATrates,
IF(YEAR(M$1)=2013,5,6),0)</f>
        <v>483</v>
      </c>
      <c r="N66" s="24">
        <f>VLOOKUP($A66&amp;$B66,OH!$A$2:$AB$62,COLUMN(N66)+1,0)*
VLOOKUP(VLOOKUP($A66&amp;$B66,'IP1'!$A$37:$F$89,6,0),
VATrates,
IF(YEAR(N$1)=2013,5,6),0)</f>
        <v>80.5</v>
      </c>
      <c r="O66" s="24">
        <f>VLOOKUP($A66&amp;$B66,OH!$A$2:$AB$62,COLUMN(O66)+1,0)*
VLOOKUP(VLOOKUP($A66&amp;$B66,'IP1'!$A$37:$F$89,6,0),
VATrates,
IF(YEAR(O$1)=2013,5,6),0)</f>
        <v>402.5</v>
      </c>
      <c r="P66" s="17"/>
    </row>
    <row r="67" spans="1:40" s="7" customFormat="1">
      <c r="C67" s="24"/>
      <c r="D67" s="21">
        <f t="shared" ref="D67:O67" si="3">SUM(D14:D66)</f>
        <v>18528.17072479166</v>
      </c>
      <c r="E67" s="21">
        <f t="shared" si="3"/>
        <v>7545.6707247916675</v>
      </c>
      <c r="F67" s="21">
        <f t="shared" si="3"/>
        <v>7547.4788410416668</v>
      </c>
      <c r="G67" s="21">
        <f t="shared" si="3"/>
        <v>14284.178841041668</v>
      </c>
      <c r="H67" s="21">
        <f t="shared" si="3"/>
        <v>9452.2910154166657</v>
      </c>
      <c r="I67" s="21">
        <f t="shared" si="3"/>
        <v>9107.2910154166657</v>
      </c>
      <c r="J67" s="21">
        <f t="shared" si="3"/>
        <v>16905.441015416669</v>
      </c>
      <c r="K67" s="21">
        <f t="shared" si="3"/>
        <v>9717.9410154166671</v>
      </c>
      <c r="L67" s="21">
        <f t="shared" si="3"/>
        <v>9107.2910154166657</v>
      </c>
      <c r="M67" s="21">
        <f t="shared" si="3"/>
        <v>15401.24101541667</v>
      </c>
      <c r="N67" s="21">
        <f t="shared" si="3"/>
        <v>6970.6707247916656</v>
      </c>
      <c r="O67" s="21">
        <f t="shared" si="3"/>
        <v>8912.0369572916661</v>
      </c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3"/>
    </row>
    <row r="68" spans="1:40">
      <c r="C68" s="24"/>
      <c r="D68" s="1"/>
      <c r="E68" s="1"/>
      <c r="F68" s="1"/>
      <c r="G68" s="1"/>
      <c r="H68" s="1"/>
      <c r="I68" s="1"/>
    </row>
    <row r="69" spans="1:40">
      <c r="A69" s="7" t="s">
        <v>210</v>
      </c>
      <c r="B69" s="7"/>
      <c r="C69" s="24"/>
      <c r="D69" s="21">
        <f t="shared" ref="D69:O69" si="4">D6-D12-D67</f>
        <v>-15531.187706041659</v>
      </c>
      <c r="E69" s="21">
        <f t="shared" si="4"/>
        <v>-4548.6877060416664</v>
      </c>
      <c r="F69" s="21">
        <f t="shared" si="4"/>
        <v>-2201.0725526488104</v>
      </c>
      <c r="G69" s="21">
        <f t="shared" si="4"/>
        <v>-5293.2297847916689</v>
      </c>
      <c r="H69" s="21">
        <f t="shared" si="4"/>
        <v>1240.521561369047</v>
      </c>
      <c r="I69" s="21">
        <f t="shared" si="4"/>
        <v>1585.521561369047</v>
      </c>
      <c r="J69" s="21">
        <f t="shared" si="4"/>
        <v>-3479.2213627380988</v>
      </c>
      <c r="K69" s="21">
        <f t="shared" si="4"/>
        <v>3708.278637261903</v>
      </c>
      <c r="L69" s="21">
        <f t="shared" si="4"/>
        <v>1585.521561369047</v>
      </c>
      <c r="M69" s="21">
        <f t="shared" si="4"/>
        <v>-5619.5641305952431</v>
      </c>
      <c r="N69" s="21">
        <f t="shared" si="4"/>
        <v>-3973.6877060416646</v>
      </c>
      <c r="O69" s="21">
        <f t="shared" si="4"/>
        <v>3339.4710605654818</v>
      </c>
    </row>
    <row r="70" spans="1:40">
      <c r="D70" s="1"/>
      <c r="E70" s="1"/>
      <c r="F70" s="1"/>
      <c r="G70" s="1"/>
      <c r="H70" s="1"/>
      <c r="I70" s="1"/>
    </row>
    <row r="72" spans="1:40">
      <c r="A72" s="92" t="s">
        <v>209</v>
      </c>
      <c r="B72" s="92"/>
      <c r="C72" s="92"/>
      <c r="D72" s="13">
        <f>DATEVALUE(1&amp;"/"&amp;'IP1'!$B$3&amp;"/"&amp;('IP1'!$B$4+1))</f>
        <v>41640</v>
      </c>
      <c r="E72" s="13">
        <f>DATE(YEAR(D72),MONTH(D72)+1,1)</f>
        <v>41671</v>
      </c>
      <c r="F72" s="13">
        <f t="shared" ref="F72:O72" si="5">DATE(YEAR(E72),MONTH(E72)+1,1)</f>
        <v>41699</v>
      </c>
      <c r="G72" s="13">
        <f t="shared" si="5"/>
        <v>41730</v>
      </c>
      <c r="H72" s="13">
        <f t="shared" si="5"/>
        <v>41760</v>
      </c>
      <c r="I72" s="13">
        <f t="shared" si="5"/>
        <v>41791</v>
      </c>
      <c r="J72" s="13">
        <f t="shared" si="5"/>
        <v>41821</v>
      </c>
      <c r="K72" s="13">
        <f t="shared" si="5"/>
        <v>41852</v>
      </c>
      <c r="L72" s="13">
        <f t="shared" si="5"/>
        <v>41883</v>
      </c>
      <c r="M72" s="13">
        <f t="shared" si="5"/>
        <v>41913</v>
      </c>
      <c r="N72" s="13">
        <f t="shared" si="5"/>
        <v>41944</v>
      </c>
      <c r="O72" s="13">
        <f t="shared" si="5"/>
        <v>41974</v>
      </c>
    </row>
    <row r="73" spans="1:40">
      <c r="A73" s="78" t="str">
        <f>A2</f>
        <v>Rooms</v>
      </c>
      <c r="B73" s="16"/>
      <c r="C73" s="16"/>
      <c r="D73" s="24">
        <f>((PRODUCT('IP1'!$D$8:$F$8)*4)+(PRODUCT('IP1'!$D$9:$F$9)*2)+PRODUCT('IP1'!$D$10:$F$10))
*(365.25/7)
*(VLOOKUP('IP1'!$C$11,Pattern,COLUMN(B2)+1,0))/(VLOOKUP('IP1'!$C$11,Pattern,2,0))*
VLOOKUP('IP1'!$G$8,VATrates,IF(YEAR(D$72)=2013,5,6),0)*
(1+'IP1'!$C$12)</f>
        <v>6058.3723995535729</v>
      </c>
      <c r="E73" s="24">
        <f>((PRODUCT('IP1'!$D$8:$F$8)*4)+(PRODUCT('IP1'!$D$9:$F$9)*2)+PRODUCT('IP1'!$D$10:$F$10))
*(365.25/7)
*(VLOOKUP('IP1'!$C$11,Pattern,COLUMN(C2)+1,0))/(VLOOKUP('IP1'!$C$11,Pattern,2,0))*
VLOOKUP('IP1'!$G$8,VATrates,IF(YEAR(E$72)=2013,5,6),0)*
(1+'IP1'!$C$12)</f>
        <v>6058.3723995535729</v>
      </c>
      <c r="F73" s="24">
        <f>((PRODUCT('IP1'!$D$8:$F$8)*4)+(PRODUCT('IP1'!$D$9:$F$9)*2)+PRODUCT('IP1'!$D$10:$F$10))
*(365.25/7)
*(VLOOKUP('IP1'!$C$11,Pattern,COLUMN(D2)+1,0))/(VLOOKUP('IP1'!$C$11,Pattern,2,0))*
VLOOKUP('IP1'!$G$8,VATrates,IF(YEAR(F$72)=2013,5,6),0)*
(1+'IP1'!$C$12)</f>
        <v>10097.287332589289</v>
      </c>
      <c r="G73" s="24">
        <f>((PRODUCT('IP1'!$D$8:$F$8)*4)+(PRODUCT('IP1'!$D$9:$F$9)*2)+PRODUCT('IP1'!$D$10:$F$10))
*(365.25/7)
*(VLOOKUP('IP1'!$C$11,Pattern,COLUMN(E2)+1,0))/(VLOOKUP('IP1'!$C$11,Pattern,2,0))*
VLOOKUP('IP1'!$G$8,VATrates,IF(YEAR(G$72)=2013,5,6),0)*
(1+'IP1'!$C$12)</f>
        <v>18175.117198660715</v>
      </c>
      <c r="H73" s="24">
        <f>((PRODUCT('IP1'!$D$8:$F$8)*4)+(PRODUCT('IP1'!$D$9:$F$9)*2)+PRODUCT('IP1'!$D$10:$F$10))
*(365.25/7)
*(VLOOKUP('IP1'!$C$11,Pattern,COLUMN(F2)+1,0))/(VLOOKUP('IP1'!$C$11,Pattern,2,0))*
VLOOKUP('IP1'!$G$8,VATrates,IF(YEAR(H$72)=2013,5,6),0)*
(1+'IP1'!$C$12)</f>
        <v>20194.574665178578</v>
      </c>
      <c r="I73" s="24">
        <f>((PRODUCT('IP1'!$D$8:$F$8)*4)+(PRODUCT('IP1'!$D$9:$F$9)*2)+PRODUCT('IP1'!$D$10:$F$10))
*(365.25/7)
*(VLOOKUP('IP1'!$C$11,Pattern,COLUMN(G2)+1,0))/(VLOOKUP('IP1'!$C$11,Pattern,2,0))*
VLOOKUP('IP1'!$G$8,VATrates,IF(YEAR(I$72)=2013,5,6),0)*
(1+'IP1'!$C$12)</f>
        <v>20194.574665178578</v>
      </c>
      <c r="J73" s="24">
        <f>((PRODUCT('IP1'!$D$8:$F$8)*4)+(PRODUCT('IP1'!$D$9:$F$9)*2)+PRODUCT('IP1'!$D$10:$F$10))
*(365.25/7)
*(VLOOKUP('IP1'!$C$11,Pattern,COLUMN(H2)+1,0))/(VLOOKUP('IP1'!$C$11,Pattern,2,0))*
VLOOKUP('IP1'!$G$8,VATrates,IF(YEAR(J$72)=2013,5,6),0)*
(1+'IP1'!$C$12)</f>
        <v>26252.947064732147</v>
      </c>
      <c r="K73" s="24">
        <f>((PRODUCT('IP1'!$D$8:$F$8)*4)+(PRODUCT('IP1'!$D$9:$F$9)*2)+PRODUCT('IP1'!$D$10:$F$10))
*(365.25/7)
*(VLOOKUP('IP1'!$C$11,Pattern,COLUMN(I2)+1,0))/(VLOOKUP('IP1'!$C$11,Pattern,2,0))*
VLOOKUP('IP1'!$G$8,VATrates,IF(YEAR(K$72)=2013,5,6),0)*
(1+'IP1'!$C$12)</f>
        <v>26252.947064732147</v>
      </c>
      <c r="L73" s="24">
        <f>((PRODUCT('IP1'!$D$8:$F$8)*4)+(PRODUCT('IP1'!$D$9:$F$9)*2)+PRODUCT('IP1'!$D$10:$F$10))
*(365.25/7)
*(VLOOKUP('IP1'!$C$11,Pattern,COLUMN(J2)+1,0))/(VLOOKUP('IP1'!$C$11,Pattern,2,0))*
VLOOKUP('IP1'!$G$8,VATrates,IF(YEAR(L$72)=2013,5,6),0)*
(1+'IP1'!$C$12)</f>
        <v>20194.574665178578</v>
      </c>
      <c r="M73" s="24">
        <f>((PRODUCT('IP1'!$D$8:$F$8)*4)+(PRODUCT('IP1'!$D$9:$F$9)*2)+PRODUCT('IP1'!$D$10:$F$10))
*(365.25/7)
*(VLOOKUP('IP1'!$C$11,Pattern,COLUMN(K2)+1,0))/(VLOOKUP('IP1'!$C$11,Pattern,2,0))*
VLOOKUP('IP1'!$G$8,VATrates,IF(YEAR(M$72)=2013,5,6),0)*
(1+'IP1'!$C$12)</f>
        <v>18175.117198660715</v>
      </c>
      <c r="N73" s="24">
        <f>((PRODUCT('IP1'!$D$8:$F$8)*4)+(PRODUCT('IP1'!$D$9:$F$9)*2)+PRODUCT('IP1'!$D$10:$F$10))
*(365.25/7)
*(VLOOKUP('IP1'!$C$11,Pattern,COLUMN(L2)+1,0))/(VLOOKUP('IP1'!$C$11,Pattern,2,0))*
VLOOKUP('IP1'!$G$8,VATrates,IF(YEAR(N$72)=2013,5,6),0)*
(1+'IP1'!$C$12)</f>
        <v>6058.3723995535729</v>
      </c>
      <c r="O73" s="24">
        <f>((PRODUCT('IP1'!$D$8:$F$8)*4)+(PRODUCT('IP1'!$D$9:$F$9)*2)+PRODUCT('IP1'!$D$10:$F$10))
*(365.25/7)
*(VLOOKUP('IP1'!$C$11,Pattern,COLUMN(M2)+1,0))/(VLOOKUP('IP1'!$C$11,Pattern,2,0))*
VLOOKUP('IP1'!$G$8,VATrates,IF(YEAR(O$72)=2013,5,6),0)*
(1+'IP1'!$C$12)</f>
        <v>24233.489598214292</v>
      </c>
    </row>
    <row r="74" spans="1:40">
      <c r="A74" s="78" t="str">
        <f>A3</f>
        <v>Events</v>
      </c>
      <c r="B74" s="16"/>
      <c r="C74" s="16"/>
      <c r="D74" s="24">
        <f>(((PRODUCT('IP1'!$D$15:$F$15)+PRODUCT('IP1'!$D$16:$F$16)+PRODUCT('IP1'!$D$17:$F$17))
*(365.25/7)
*(VLOOKUP('IP1'!$C$18,Pattern,COLUMN(B3)+1,0))/(VLOOKUP('IP1'!$C$18,Pattern,2,0))))*
VLOOKUP('IP1'!$G$15,VATrates,IF(YEAR(D$72)=2013,5,6),0)*
(1+'IP1'!$C$19)</f>
        <v>654.77845714285718</v>
      </c>
      <c r="E74" s="24">
        <f>(((PRODUCT('IP1'!$D$15:$F$15)+PRODUCT('IP1'!$D$16:$F$16)+PRODUCT('IP1'!$D$17:$F$17))
*(365.25/7)
*(VLOOKUP('IP1'!$C$18,Pattern,COLUMN(C3)+1,0))/(VLOOKUP('IP1'!$C$18,Pattern,2,0))))*
VLOOKUP('IP1'!$G$15,VATrates,IF(YEAR(E$72)=2013,5,6),0)*
(1+'IP1'!$C$19)</f>
        <v>654.77845714285718</v>
      </c>
      <c r="F74" s="24">
        <f>(((PRODUCT('IP1'!$D$15:$F$15)+PRODUCT('IP1'!$D$16:$F$16)+PRODUCT('IP1'!$D$17:$F$17))
*(365.25/7)
*(VLOOKUP('IP1'!$C$18,Pattern,COLUMN(D3)+1,0))/(VLOOKUP('IP1'!$C$18,Pattern,2,0))))*
VLOOKUP('IP1'!$G$15,VATrates,IF(YEAR(F$72)=2013,5,6),0)*
(1+'IP1'!$C$19)</f>
        <v>1964.3353714285718</v>
      </c>
      <c r="G74" s="24">
        <f>(((PRODUCT('IP1'!$D$15:$F$15)+PRODUCT('IP1'!$D$16:$F$16)+PRODUCT('IP1'!$D$17:$F$17))
*(365.25/7)
*(VLOOKUP('IP1'!$C$18,Pattern,COLUMN(E3)+1,0))/(VLOOKUP('IP1'!$C$18,Pattern,2,0))))*
VLOOKUP('IP1'!$G$15,VATrates,IF(YEAR(G$72)=2013,5,6),0)*
(1+'IP1'!$C$19)</f>
        <v>1964.3353714285718</v>
      </c>
      <c r="H74" s="24">
        <f>(((PRODUCT('IP1'!$D$15:$F$15)+PRODUCT('IP1'!$D$16:$F$16)+PRODUCT('IP1'!$D$17:$F$17))
*(365.25/7)
*(VLOOKUP('IP1'!$C$18,Pattern,COLUMN(F3)+1,0))/(VLOOKUP('IP1'!$C$18,Pattern,2,0))))*
VLOOKUP('IP1'!$G$15,VATrates,IF(YEAR(H$72)=2013,5,6),0)*
(1+'IP1'!$C$19)</f>
        <v>3928.6707428571435</v>
      </c>
      <c r="I74" s="24">
        <f>(((PRODUCT('IP1'!$D$15:$F$15)+PRODUCT('IP1'!$D$16:$F$16)+PRODUCT('IP1'!$D$17:$F$17))
*(365.25/7)
*(VLOOKUP('IP1'!$C$18,Pattern,COLUMN(G3)+1,0))/(VLOOKUP('IP1'!$C$18,Pattern,2,0))))*
VLOOKUP('IP1'!$G$15,VATrates,IF(YEAR(I$72)=2013,5,6),0)*
(1+'IP1'!$C$19)</f>
        <v>3928.6707428571435</v>
      </c>
      <c r="J74" s="24">
        <f>(((PRODUCT('IP1'!$D$15:$F$15)+PRODUCT('IP1'!$D$16:$F$16)+PRODUCT('IP1'!$D$17:$F$17))
*(365.25/7)
*(VLOOKUP('IP1'!$C$18,Pattern,COLUMN(H3)+1,0))/(VLOOKUP('IP1'!$C$18,Pattern,2,0))))*
VLOOKUP('IP1'!$G$15,VATrates,IF(YEAR(J$72)=2013,5,6),0)*
(1+'IP1'!$C$19)</f>
        <v>3928.6707428571435</v>
      </c>
      <c r="K74" s="24">
        <f>(((PRODUCT('IP1'!$D$15:$F$15)+PRODUCT('IP1'!$D$16:$F$16)+PRODUCT('IP1'!$D$17:$F$17))
*(365.25/7)
*(VLOOKUP('IP1'!$C$18,Pattern,COLUMN(I3)+1,0))/(VLOOKUP('IP1'!$C$18,Pattern,2,0))))*
VLOOKUP('IP1'!$G$15,VATrates,IF(YEAR(K$72)=2013,5,6),0)*
(1+'IP1'!$C$19)</f>
        <v>3928.6707428571435</v>
      </c>
      <c r="L74" s="24">
        <f>(((PRODUCT('IP1'!$D$15:$F$15)+PRODUCT('IP1'!$D$16:$F$16)+PRODUCT('IP1'!$D$17:$F$17))
*(365.25/7)
*(VLOOKUP('IP1'!$C$18,Pattern,COLUMN(J3)+1,0))/(VLOOKUP('IP1'!$C$18,Pattern,2,0))))*
VLOOKUP('IP1'!$G$15,VATrates,IF(YEAR(L$72)=2013,5,6),0)*
(1+'IP1'!$C$19)</f>
        <v>3928.6707428571435</v>
      </c>
      <c r="M74" s="24">
        <f>(((PRODUCT('IP1'!$D$15:$F$15)+PRODUCT('IP1'!$D$16:$F$16)+PRODUCT('IP1'!$D$17:$F$17))
*(365.25/7)
*(VLOOKUP('IP1'!$C$18,Pattern,COLUMN(K3)+1,0))/(VLOOKUP('IP1'!$C$18,Pattern,2,0))))*
VLOOKUP('IP1'!$G$15,VATrates,IF(YEAR(M$72)=2013,5,6),0)*
(1+'IP1'!$C$19)</f>
        <v>3928.6707428571435</v>
      </c>
      <c r="N74" s="24">
        <f>(((PRODUCT('IP1'!$D$15:$F$15)+PRODUCT('IP1'!$D$16:$F$16)+PRODUCT('IP1'!$D$17:$F$17))
*(365.25/7)
*(VLOOKUP('IP1'!$C$18,Pattern,COLUMN(L3)+1,0))/(VLOOKUP('IP1'!$C$18,Pattern,2,0))))*
VLOOKUP('IP1'!$G$15,VATrates,IF(YEAR(N$72)=2013,5,6),0)*
(1+'IP1'!$C$19)</f>
        <v>654.77845714285718</v>
      </c>
      <c r="O74" s="24">
        <f>(((PRODUCT('IP1'!$D$15:$F$15)+PRODUCT('IP1'!$D$16:$F$16)+PRODUCT('IP1'!$D$17:$F$17))
*(365.25/7)
*(VLOOKUP('IP1'!$C$18,Pattern,COLUMN(M3)+1,0))/(VLOOKUP('IP1'!$C$18,Pattern,2,0))))*
VLOOKUP('IP1'!$G$15,VATrates,IF(YEAR(O$72)=2013,5,6),0)*
(1+'IP1'!$C$19)</f>
        <v>3273.8922857142866</v>
      </c>
    </row>
    <row r="75" spans="1:40">
      <c r="A75" s="78" t="str">
        <f>A4</f>
        <v>Bar</v>
      </c>
      <c r="B75" s="16"/>
      <c r="C75" s="16"/>
      <c r="D75" s="24">
        <f>VLOOKUP($A75,'IP1'!$B$23:$G$24,6,0)
*(VLOOKUP('IP1'!$C$18,Pattern,COLUMN(B17)+1,0))/(VLOOKUP('IP1'!$C$18,Pattern,2,0))*
VLOOKUP(VLOOKUP($A75,'IP1'!$B$23:$D$24,3,0),VATrates,IF(YEAR(D$72)=2013,5,6),0)</f>
        <v>2530</v>
      </c>
      <c r="E75" s="24">
        <f>VLOOKUP($A75,'IP1'!$B$23:$G$24,6,0)
*(VLOOKUP('IP1'!$C$18,Pattern,COLUMN(C17)+1,0))/(VLOOKUP('IP1'!$C$18,Pattern,2,0))*
VLOOKUP(VLOOKUP($A75,'IP1'!$B$23:$D$24,3,0),VATrates,IF(YEAR(E$72)=2013,5,6),0)</f>
        <v>2530</v>
      </c>
      <c r="F75" s="24">
        <f>VLOOKUP($A75,'IP1'!$B$23:$G$24,6,0)
*(VLOOKUP('IP1'!$C$18,Pattern,COLUMN(D17)+1,0))/(VLOOKUP('IP1'!$C$18,Pattern,2,0))*
VLOOKUP(VLOOKUP($A75,'IP1'!$B$23:$D$24,3,0),VATrates,IF(YEAR(F$72)=2013,5,6),0)</f>
        <v>7590</v>
      </c>
      <c r="G75" s="24">
        <f>VLOOKUP($A75,'IP1'!$B$23:$G$24,6,0)
*(VLOOKUP('IP1'!$C$18,Pattern,COLUMN(E17)+1,0))/(VLOOKUP('IP1'!$C$18,Pattern,2,0))*
VLOOKUP(VLOOKUP($A75,'IP1'!$B$23:$D$24,3,0),VATrates,IF(YEAR(G$72)=2013,5,6),0)</f>
        <v>7590</v>
      </c>
      <c r="H75" s="24">
        <f>VLOOKUP($A75,'IP1'!$B$23:$G$24,6,0)
*(VLOOKUP('IP1'!$C$18,Pattern,COLUMN(F17)+1,0))/(VLOOKUP('IP1'!$C$18,Pattern,2,0))*
VLOOKUP(VLOOKUP($A75,'IP1'!$B$23:$D$24,3,0),VATrates,IF(YEAR(H$72)=2013,5,6),0)</f>
        <v>15180</v>
      </c>
      <c r="I75" s="24">
        <f>VLOOKUP($A75,'IP1'!$B$23:$G$24,6,0)
*(VLOOKUP('IP1'!$C$18,Pattern,COLUMN(G17)+1,0))/(VLOOKUP('IP1'!$C$18,Pattern,2,0))*
VLOOKUP(VLOOKUP($A75,'IP1'!$B$23:$D$24,3,0),VATrates,IF(YEAR(I$72)=2013,5,6),0)</f>
        <v>15180</v>
      </c>
      <c r="J75" s="24">
        <f>VLOOKUP($A75,'IP1'!$B$23:$G$24,6,0)
*(VLOOKUP('IP1'!$C$18,Pattern,COLUMN(H17)+1,0))/(VLOOKUP('IP1'!$C$18,Pattern,2,0))*
VLOOKUP(VLOOKUP($A75,'IP1'!$B$23:$D$24,3,0),VATrates,IF(YEAR(J$72)=2013,5,6),0)</f>
        <v>15180</v>
      </c>
      <c r="K75" s="24">
        <f>VLOOKUP($A75,'IP1'!$B$23:$G$24,6,0)
*(VLOOKUP('IP1'!$C$18,Pattern,COLUMN(I17)+1,0))/(VLOOKUP('IP1'!$C$18,Pattern,2,0))*
VLOOKUP(VLOOKUP($A75,'IP1'!$B$23:$D$24,3,0),VATrates,IF(YEAR(K$72)=2013,5,6),0)</f>
        <v>15180</v>
      </c>
      <c r="L75" s="24">
        <f>VLOOKUP($A75,'IP1'!$B$23:$G$24,6,0)
*(VLOOKUP('IP1'!$C$18,Pattern,COLUMN(J17)+1,0))/(VLOOKUP('IP1'!$C$18,Pattern,2,0))*
VLOOKUP(VLOOKUP($A75,'IP1'!$B$23:$D$24,3,0),VATrates,IF(YEAR(L$72)=2013,5,6),0)</f>
        <v>15180</v>
      </c>
      <c r="M75" s="24">
        <f>VLOOKUP($A75,'IP1'!$B$23:$G$24,6,0)
*(VLOOKUP('IP1'!$C$18,Pattern,COLUMN(K17)+1,0))/(VLOOKUP('IP1'!$C$18,Pattern,2,0))*
VLOOKUP(VLOOKUP($A75,'IP1'!$B$23:$D$24,3,0),VATrates,IF(YEAR(M$72)=2013,5,6),0)</f>
        <v>15180</v>
      </c>
      <c r="N75" s="24">
        <f>VLOOKUP($A75,'IP1'!$B$23:$G$24,6,0)
*(VLOOKUP('IP1'!$C$18,Pattern,COLUMN(L17)+1,0))/(VLOOKUP('IP1'!$C$18,Pattern,2,0))*
VLOOKUP(VLOOKUP($A75,'IP1'!$B$23:$D$24,3,0),VATrates,IF(YEAR(N$72)=2013,5,6),0)</f>
        <v>2530</v>
      </c>
      <c r="O75" s="24">
        <f>VLOOKUP($A75,'IP1'!$B$23:$G$24,6,0)
*(VLOOKUP('IP1'!$C$18,Pattern,COLUMN(M17)+1,0))/(VLOOKUP('IP1'!$C$18,Pattern,2,0))*
VLOOKUP(VLOOKUP($A75,'IP1'!$B$23:$D$24,3,0),VATrates,IF(YEAR(O$72)=2013,5,6),0)</f>
        <v>12650</v>
      </c>
    </row>
    <row r="76" spans="1:40">
      <c r="A76" s="78" t="str">
        <f>A5</f>
        <v>Restaurant</v>
      </c>
      <c r="B76" s="16"/>
      <c r="C76" s="16"/>
      <c r="D76" s="24">
        <f>VLOOKUP($A76,'IP1'!$B$23:$G$24,6,0)
*(VLOOKUP('IP1'!$C$18,Pattern,COLUMN(B18)+1,0))/(VLOOKUP('IP1'!$C$18,Pattern,2,0))*
VLOOKUP(VLOOKUP($A76,'IP1'!$B$23:$D$24,3,0),VATrates,IF(YEAR(D$72)=2013,5,6),0)</f>
        <v>2025.0000000000002</v>
      </c>
      <c r="E76" s="24">
        <f>VLOOKUP($A76,'IP1'!$B$23:$G$24,6,0)
*(VLOOKUP('IP1'!$C$18,Pattern,COLUMN(C18)+1,0))/(VLOOKUP('IP1'!$C$18,Pattern,2,0))*
VLOOKUP(VLOOKUP($A76,'IP1'!$B$23:$D$24,3,0),VATrates,IF(YEAR(E$72)=2013,5,6),0)</f>
        <v>2025.0000000000002</v>
      </c>
      <c r="F76" s="24">
        <f>VLOOKUP($A76,'IP1'!$B$23:$G$24,6,0)
*(VLOOKUP('IP1'!$C$18,Pattern,COLUMN(D18)+1,0))/(VLOOKUP('IP1'!$C$18,Pattern,2,0))*
VLOOKUP(VLOOKUP($A76,'IP1'!$B$23:$D$24,3,0),VATrates,IF(YEAR(F$72)=2013,5,6),0)</f>
        <v>6075</v>
      </c>
      <c r="G76" s="24">
        <f>VLOOKUP($A76,'IP1'!$B$23:$G$24,6,0)
*(VLOOKUP('IP1'!$C$18,Pattern,COLUMN(E18)+1,0))/(VLOOKUP('IP1'!$C$18,Pattern,2,0))*
VLOOKUP(VLOOKUP($A76,'IP1'!$B$23:$D$24,3,0),VATrates,IF(YEAR(G$72)=2013,5,6),0)</f>
        <v>6075</v>
      </c>
      <c r="H76" s="24">
        <f>VLOOKUP($A76,'IP1'!$B$23:$G$24,6,0)
*(VLOOKUP('IP1'!$C$18,Pattern,COLUMN(F18)+1,0))/(VLOOKUP('IP1'!$C$18,Pattern,2,0))*
VLOOKUP(VLOOKUP($A76,'IP1'!$B$23:$D$24,3,0),VATrates,IF(YEAR(H$72)=2013,5,6),0)</f>
        <v>12150</v>
      </c>
      <c r="I76" s="24">
        <f>VLOOKUP($A76,'IP1'!$B$23:$G$24,6,0)
*(VLOOKUP('IP1'!$C$18,Pattern,COLUMN(G18)+1,0))/(VLOOKUP('IP1'!$C$18,Pattern,2,0))*
VLOOKUP(VLOOKUP($A76,'IP1'!$B$23:$D$24,3,0),VATrates,IF(YEAR(I$72)=2013,5,6),0)</f>
        <v>12150</v>
      </c>
      <c r="J76" s="24">
        <f>VLOOKUP($A76,'IP1'!$B$23:$G$24,6,0)
*(VLOOKUP('IP1'!$C$18,Pattern,COLUMN(H18)+1,0))/(VLOOKUP('IP1'!$C$18,Pattern,2,0))*
VLOOKUP(VLOOKUP($A76,'IP1'!$B$23:$D$24,3,0),VATrates,IF(YEAR(J$72)=2013,5,6),0)</f>
        <v>12150</v>
      </c>
      <c r="K76" s="24">
        <f>VLOOKUP($A76,'IP1'!$B$23:$G$24,6,0)
*(VLOOKUP('IP1'!$C$18,Pattern,COLUMN(I18)+1,0))/(VLOOKUP('IP1'!$C$18,Pattern,2,0))*
VLOOKUP(VLOOKUP($A76,'IP1'!$B$23:$D$24,3,0),VATrates,IF(YEAR(K$72)=2013,5,6),0)</f>
        <v>12150</v>
      </c>
      <c r="L76" s="24">
        <f>VLOOKUP($A76,'IP1'!$B$23:$G$24,6,0)
*(VLOOKUP('IP1'!$C$18,Pattern,COLUMN(J18)+1,0))/(VLOOKUP('IP1'!$C$18,Pattern,2,0))*
VLOOKUP(VLOOKUP($A76,'IP1'!$B$23:$D$24,3,0),VATrates,IF(YEAR(L$72)=2013,5,6),0)</f>
        <v>12150</v>
      </c>
      <c r="M76" s="24">
        <f>VLOOKUP($A76,'IP1'!$B$23:$G$24,6,0)
*(VLOOKUP('IP1'!$C$18,Pattern,COLUMN(K18)+1,0))/(VLOOKUP('IP1'!$C$18,Pattern,2,0))*
VLOOKUP(VLOOKUP($A76,'IP1'!$B$23:$D$24,3,0),VATrates,IF(YEAR(M$72)=2013,5,6),0)</f>
        <v>12150</v>
      </c>
      <c r="N76" s="24">
        <f>VLOOKUP($A76,'IP1'!$B$23:$G$24,6,0)
*(VLOOKUP('IP1'!$C$18,Pattern,COLUMN(L18)+1,0))/(VLOOKUP('IP1'!$C$18,Pattern,2,0))*
VLOOKUP(VLOOKUP($A76,'IP1'!$B$23:$D$24,3,0),VATrates,IF(YEAR(N$72)=2013,5,6),0)</f>
        <v>2025.0000000000002</v>
      </c>
      <c r="O76" s="24">
        <f>VLOOKUP($A76,'IP1'!$B$23:$G$24,6,0)
*(VLOOKUP('IP1'!$C$18,Pattern,COLUMN(M18)+1,0))/(VLOOKUP('IP1'!$C$18,Pattern,2,0))*
VLOOKUP(VLOOKUP($A76,'IP1'!$B$23:$D$24,3,0),VATrates,IF(YEAR(O$72)=2013,5,6),0)</f>
        <v>10125</v>
      </c>
    </row>
    <row r="77" spans="1:40">
      <c r="A77" s="7"/>
      <c r="B77" s="7"/>
      <c r="C77" s="7"/>
      <c r="D77" s="21">
        <f>SUM(D73:D76)</f>
        <v>11268.150856696429</v>
      </c>
      <c r="E77" s="21">
        <f t="shared" ref="E77:O77" si="6">SUM(E73:E76)</f>
        <v>11268.150856696429</v>
      </c>
      <c r="F77" s="21">
        <f t="shared" si="6"/>
        <v>25726.62270401786</v>
      </c>
      <c r="G77" s="21">
        <f t="shared" si="6"/>
        <v>33804.452570089285</v>
      </c>
      <c r="H77" s="21">
        <f t="shared" si="6"/>
        <v>51453.24540803572</v>
      </c>
      <c r="I77" s="21">
        <f t="shared" si="6"/>
        <v>51453.24540803572</v>
      </c>
      <c r="J77" s="21">
        <f t="shared" si="6"/>
        <v>57511.617807589289</v>
      </c>
      <c r="K77" s="21">
        <f t="shared" si="6"/>
        <v>57511.617807589289</v>
      </c>
      <c r="L77" s="21">
        <f t="shared" si="6"/>
        <v>51453.24540803572</v>
      </c>
      <c r="M77" s="21">
        <f t="shared" si="6"/>
        <v>49433.787941517861</v>
      </c>
      <c r="N77" s="21">
        <f t="shared" si="6"/>
        <v>11268.150856696429</v>
      </c>
      <c r="O77" s="21">
        <f t="shared" si="6"/>
        <v>50282.381883928581</v>
      </c>
    </row>
    <row r="78" spans="1:40">
      <c r="A78" s="92" t="s">
        <v>211</v>
      </c>
      <c r="B78" s="92"/>
      <c r="C78" s="92"/>
      <c r="J78" s="6"/>
    </row>
    <row r="79" spans="1:40">
      <c r="A79" s="78" t="str">
        <f>A73</f>
        <v>Rooms</v>
      </c>
      <c r="B79" s="16"/>
      <c r="C79" s="16"/>
      <c r="D79" s="24">
        <f>VLOOKUP($A79,'IP1'!$B$29:$F$32,5,0)
*VLOOKUP($A79,Sales!$A$15:$M$18,COLUMN()-2,0)*
VLOOKUP(VLOOKUP($A79,'IP1'!$B$29:$D$32,3,0),VATrates,IF(YEAR(D$72)=2013,5,6),0)</f>
        <v>1032.1671495535716</v>
      </c>
      <c r="E79" s="24">
        <f>VLOOKUP($A79,'IP1'!$B$29:$F$32,5,0)
*VLOOKUP($A79,Sales!$A$15:$M$18,COLUMN()-2,0)*
VLOOKUP(VLOOKUP($A79,'IP1'!$B$29:$D$32,3,0),VATrates,IF(YEAR(E$72)=2013,5,6),0)</f>
        <v>1032.1671495535716</v>
      </c>
      <c r="F79" s="24">
        <f>VLOOKUP($A79,'IP1'!$B$29:$F$32,5,0)
*VLOOKUP($A79,Sales!$A$15:$M$18,COLUMN()-2,0)*
VLOOKUP(VLOOKUP($A79,'IP1'!$B$29:$D$32,3,0),VATrates,IF(YEAR(F$72)=2013,5,6),0)</f>
        <v>1720.2785825892861</v>
      </c>
      <c r="G79" s="24">
        <f>VLOOKUP($A79,'IP1'!$B$29:$F$32,5,0)
*VLOOKUP($A79,Sales!$A$15:$M$18,COLUMN()-2,0)*
VLOOKUP(VLOOKUP($A79,'IP1'!$B$29:$D$32,3,0),VATrates,IF(YEAR(G$72)=2013,5,6),0)</f>
        <v>3096.5014486607147</v>
      </c>
      <c r="H79" s="24">
        <f>VLOOKUP($A79,'IP1'!$B$29:$F$32,5,0)
*VLOOKUP($A79,Sales!$A$15:$M$18,COLUMN()-2,0)*
VLOOKUP(VLOOKUP($A79,'IP1'!$B$29:$D$32,3,0),VATrates,IF(YEAR(H$72)=2013,5,6),0)</f>
        <v>3440.5571651785722</v>
      </c>
      <c r="I79" s="24">
        <f>VLOOKUP($A79,'IP1'!$B$29:$F$32,5,0)
*VLOOKUP($A79,Sales!$A$15:$M$18,COLUMN()-2,0)*
VLOOKUP(VLOOKUP($A79,'IP1'!$B$29:$D$32,3,0),VATrates,IF(YEAR(I$72)=2013,5,6),0)</f>
        <v>3440.5571651785722</v>
      </c>
      <c r="J79" s="24">
        <f>VLOOKUP($A79,'IP1'!$B$29:$F$32,5,0)
*VLOOKUP($A79,Sales!$A$15:$M$18,COLUMN()-2,0)*
VLOOKUP(VLOOKUP($A79,'IP1'!$B$29:$D$32,3,0),VATrates,IF(YEAR(J$72)=2013,5,6),0)</f>
        <v>4472.7243147321433</v>
      </c>
      <c r="K79" s="24">
        <f>VLOOKUP($A79,'IP1'!$B$29:$F$32,5,0)
*VLOOKUP($A79,Sales!$A$15:$M$18,COLUMN()-2,0)*
VLOOKUP(VLOOKUP($A79,'IP1'!$B$29:$D$32,3,0),VATrates,IF(YEAR(K$72)=2013,5,6),0)</f>
        <v>4472.7243147321433</v>
      </c>
      <c r="L79" s="24">
        <f>VLOOKUP($A79,'IP1'!$B$29:$F$32,5,0)
*VLOOKUP($A79,Sales!$A$15:$M$18,COLUMN()-2,0)*
VLOOKUP(VLOOKUP($A79,'IP1'!$B$29:$D$32,3,0),VATrates,IF(YEAR(L$72)=2013,5,6),0)</f>
        <v>3440.5571651785722</v>
      </c>
      <c r="M79" s="24">
        <f>VLOOKUP($A79,'IP1'!$B$29:$F$32,5,0)
*VLOOKUP($A79,Sales!$A$15:$M$18,COLUMN()-2,0)*
VLOOKUP(VLOOKUP($A79,'IP1'!$B$29:$D$32,3,0),VATrates,IF(YEAR(M$72)=2013,5,6),0)</f>
        <v>3096.5014486607147</v>
      </c>
      <c r="N79" s="24">
        <f>VLOOKUP($A79,'IP1'!$B$29:$F$32,5,0)
*VLOOKUP($A79,Sales!$A$15:$M$18,COLUMN()-2,0)*
VLOOKUP(VLOOKUP($A79,'IP1'!$B$29:$D$32,3,0),VATrates,IF(YEAR(N$72)=2013,5,6),0)</f>
        <v>1032.1671495535716</v>
      </c>
      <c r="O79" s="24">
        <f>VLOOKUP($A79,'IP1'!$B$29:$F$32,5,0)
*VLOOKUP($A79,Sales!$A$15:$M$18,COLUMN()-2,0)*
VLOOKUP(VLOOKUP($A79,'IP1'!$B$29:$D$32,3,0),VATrates,IF(YEAR(O$72)=2013,5,6),0)</f>
        <v>4128.6685982142862</v>
      </c>
    </row>
    <row r="80" spans="1:40">
      <c r="A80" s="78" t="str">
        <f>A74</f>
        <v>Events</v>
      </c>
      <c r="B80" s="16"/>
      <c r="C80" s="16"/>
      <c r="D80" s="24">
        <f>VLOOKUP($A80,'IP1'!$B$29:$F$32,5,0)
*VLOOKUP($A80,Sales!$A$15:$M$18,COLUMN()-2,0)*
VLOOKUP(VLOOKUP($A80,'IP1'!$B$29:$D$32,3,0),VATrates,IF(YEAR(D$72)=2013,5,6),0)</f>
        <v>458.34492000000006</v>
      </c>
      <c r="E80" s="24">
        <f>VLOOKUP($A80,'IP1'!$B$29:$F$32,5,0)
*VLOOKUP($A80,Sales!$A$15:$M$18,COLUMN()-2,0)*
VLOOKUP(VLOOKUP($A80,'IP1'!$B$29:$D$32,3,0),VATrates,IF(YEAR(E$72)=2013,5,6),0)</f>
        <v>458.34492000000006</v>
      </c>
      <c r="F80" s="24">
        <f>VLOOKUP($A80,'IP1'!$B$29:$F$32,5,0)
*VLOOKUP($A80,Sales!$A$15:$M$18,COLUMN()-2,0)*
VLOOKUP(VLOOKUP($A80,'IP1'!$B$29:$D$32,3,0),VATrates,IF(YEAR(F$72)=2013,5,6),0)</f>
        <v>1375.0347600000002</v>
      </c>
      <c r="G80" s="24">
        <f>VLOOKUP($A80,'IP1'!$B$29:$F$32,5,0)
*VLOOKUP($A80,Sales!$A$15:$M$18,COLUMN()-2,0)*
VLOOKUP(VLOOKUP($A80,'IP1'!$B$29:$D$32,3,0),VATrates,IF(YEAR(G$72)=2013,5,6),0)</f>
        <v>1375.0347600000002</v>
      </c>
      <c r="H80" s="24">
        <f>VLOOKUP($A80,'IP1'!$B$29:$F$32,5,0)
*VLOOKUP($A80,Sales!$A$15:$M$18,COLUMN()-2,0)*
VLOOKUP(VLOOKUP($A80,'IP1'!$B$29:$D$32,3,0),VATrates,IF(YEAR(H$72)=2013,5,6),0)</f>
        <v>2750.0695200000005</v>
      </c>
      <c r="I80" s="24">
        <f>VLOOKUP($A80,'IP1'!$B$29:$F$32,5,0)
*VLOOKUP($A80,Sales!$A$15:$M$18,COLUMN()-2,0)*
VLOOKUP(VLOOKUP($A80,'IP1'!$B$29:$D$32,3,0),VATrates,IF(YEAR(I$72)=2013,5,6),0)</f>
        <v>2750.0695200000005</v>
      </c>
      <c r="J80" s="24">
        <f>VLOOKUP($A80,'IP1'!$B$29:$F$32,5,0)
*VLOOKUP($A80,Sales!$A$15:$M$18,COLUMN()-2,0)*
VLOOKUP(VLOOKUP($A80,'IP1'!$B$29:$D$32,3,0),VATrates,IF(YEAR(J$72)=2013,5,6),0)</f>
        <v>2750.0695200000005</v>
      </c>
      <c r="K80" s="24">
        <f>VLOOKUP($A80,'IP1'!$B$29:$F$32,5,0)
*VLOOKUP($A80,Sales!$A$15:$M$18,COLUMN()-2,0)*
VLOOKUP(VLOOKUP($A80,'IP1'!$B$29:$D$32,3,0),VATrates,IF(YEAR(K$72)=2013,5,6),0)</f>
        <v>2750.0695200000005</v>
      </c>
      <c r="L80" s="24">
        <f>VLOOKUP($A80,'IP1'!$B$29:$F$32,5,0)
*VLOOKUP($A80,Sales!$A$15:$M$18,COLUMN()-2,0)*
VLOOKUP(VLOOKUP($A80,'IP1'!$B$29:$D$32,3,0),VATrates,IF(YEAR(L$72)=2013,5,6),0)</f>
        <v>2750.0695200000005</v>
      </c>
      <c r="M80" s="24">
        <f>VLOOKUP($A80,'IP1'!$B$29:$F$32,5,0)
*VLOOKUP($A80,Sales!$A$15:$M$18,COLUMN()-2,0)*
VLOOKUP(VLOOKUP($A80,'IP1'!$B$29:$D$32,3,0),VATrates,IF(YEAR(M$72)=2013,5,6),0)</f>
        <v>2750.0695200000005</v>
      </c>
      <c r="N80" s="24">
        <f>VLOOKUP($A80,'IP1'!$B$29:$F$32,5,0)
*VLOOKUP($A80,Sales!$A$15:$M$18,COLUMN()-2,0)*
VLOOKUP(VLOOKUP($A80,'IP1'!$B$29:$D$32,3,0),VATrates,IF(YEAR(N$72)=2013,5,6),0)</f>
        <v>458.34492000000006</v>
      </c>
      <c r="O80" s="24">
        <f>VLOOKUP($A80,'IP1'!$B$29:$F$32,5,0)
*VLOOKUP($A80,Sales!$A$15:$M$18,COLUMN()-2,0)*
VLOOKUP(VLOOKUP($A80,'IP1'!$B$29:$D$32,3,0),VATrates,IF(YEAR(O$72)=2013,5,6),0)</f>
        <v>2291.7246</v>
      </c>
    </row>
    <row r="81" spans="1:15">
      <c r="A81" s="78" t="str">
        <f>A75</f>
        <v>Bar</v>
      </c>
      <c r="B81" s="16"/>
      <c r="C81" s="16"/>
      <c r="D81" s="24">
        <f>VLOOKUP($A81,'IP1'!$B$29:$F$32,5,0)
*VLOOKUP($A81,Sales!$A$15:$M$18,COLUMN()-2,0)*
VLOOKUP(VLOOKUP($A81,'IP1'!$B$29:$D$32,3,0),VATrates,IF(YEAR(D$72)=2013,5,6),0)</f>
        <v>1644.5</v>
      </c>
      <c r="E81" s="24">
        <f>VLOOKUP($A81,'IP1'!$B$29:$F$32,5,0)
*VLOOKUP($A81,Sales!$A$15:$M$18,COLUMN()-2,0)*
VLOOKUP(VLOOKUP($A81,'IP1'!$B$29:$D$32,3,0),VATrates,IF(YEAR(E$72)=2013,5,6),0)</f>
        <v>1644.5</v>
      </c>
      <c r="F81" s="24">
        <f>VLOOKUP($A81,'IP1'!$B$29:$F$32,5,0)
*VLOOKUP($A81,Sales!$A$15:$M$18,COLUMN()-2,0)*
VLOOKUP(VLOOKUP($A81,'IP1'!$B$29:$D$32,3,0),VATrates,IF(YEAR(F$72)=2013,5,6),0)</f>
        <v>4933.5</v>
      </c>
      <c r="G81" s="24">
        <f>VLOOKUP($A81,'IP1'!$B$29:$F$32,5,0)
*VLOOKUP($A81,Sales!$A$15:$M$18,COLUMN()-2,0)*
VLOOKUP(VLOOKUP($A81,'IP1'!$B$29:$D$32,3,0),VATrates,IF(YEAR(G$72)=2013,5,6),0)</f>
        <v>4933.5</v>
      </c>
      <c r="H81" s="24">
        <f>VLOOKUP($A81,'IP1'!$B$29:$F$32,5,0)
*VLOOKUP($A81,Sales!$A$15:$M$18,COLUMN()-2,0)*
VLOOKUP(VLOOKUP($A81,'IP1'!$B$29:$D$32,3,0),VATrates,IF(YEAR(H$72)=2013,5,6),0)</f>
        <v>9867</v>
      </c>
      <c r="I81" s="24">
        <f>VLOOKUP($A81,'IP1'!$B$29:$F$32,5,0)
*VLOOKUP($A81,Sales!$A$15:$M$18,COLUMN()-2,0)*
VLOOKUP(VLOOKUP($A81,'IP1'!$B$29:$D$32,3,0),VATrates,IF(YEAR(I$72)=2013,5,6),0)</f>
        <v>9867</v>
      </c>
      <c r="J81" s="24">
        <f>VLOOKUP($A81,'IP1'!$B$29:$F$32,5,0)
*VLOOKUP($A81,Sales!$A$15:$M$18,COLUMN()-2,0)*
VLOOKUP(VLOOKUP($A81,'IP1'!$B$29:$D$32,3,0),VATrates,IF(YEAR(J$72)=2013,5,6),0)</f>
        <v>9867</v>
      </c>
      <c r="K81" s="24">
        <f>VLOOKUP($A81,'IP1'!$B$29:$F$32,5,0)
*VLOOKUP($A81,Sales!$A$15:$M$18,COLUMN()-2,0)*
VLOOKUP(VLOOKUP($A81,'IP1'!$B$29:$D$32,3,0),VATrates,IF(YEAR(K$72)=2013,5,6),0)</f>
        <v>9867</v>
      </c>
      <c r="L81" s="24">
        <f>VLOOKUP($A81,'IP1'!$B$29:$F$32,5,0)
*VLOOKUP($A81,Sales!$A$15:$M$18,COLUMN()-2,0)*
VLOOKUP(VLOOKUP($A81,'IP1'!$B$29:$D$32,3,0),VATrates,IF(YEAR(L$72)=2013,5,6),0)</f>
        <v>9867</v>
      </c>
      <c r="M81" s="24">
        <f>VLOOKUP($A81,'IP1'!$B$29:$F$32,5,0)
*VLOOKUP($A81,Sales!$A$15:$M$18,COLUMN()-2,0)*
VLOOKUP(VLOOKUP($A81,'IP1'!$B$29:$D$32,3,0),VATrates,IF(YEAR(M$72)=2013,5,6),0)</f>
        <v>9867</v>
      </c>
      <c r="N81" s="24">
        <f>VLOOKUP($A81,'IP1'!$B$29:$F$32,5,0)
*VLOOKUP($A81,Sales!$A$15:$M$18,COLUMN()-2,0)*
VLOOKUP(VLOOKUP($A81,'IP1'!$B$29:$D$32,3,0),VATrates,IF(YEAR(N$72)=2013,5,6),0)</f>
        <v>1644.5</v>
      </c>
      <c r="O81" s="24">
        <f>VLOOKUP($A81,'IP1'!$B$29:$F$32,5,0)
*VLOOKUP($A81,Sales!$A$15:$M$18,COLUMN()-2,0)*
VLOOKUP(VLOOKUP($A81,'IP1'!$B$29:$D$32,3,0),VATrates,IF(YEAR(O$72)=2013,5,6),0)</f>
        <v>8222.5</v>
      </c>
    </row>
    <row r="82" spans="1:15">
      <c r="A82" s="78" t="str">
        <f>A76</f>
        <v>Restaurant</v>
      </c>
      <c r="B82" s="16"/>
      <c r="C82" s="16"/>
      <c r="D82" s="24">
        <f>VLOOKUP($A82,'IP1'!$B$29:$F$32,5,0)
*VLOOKUP($A82,Sales!$A$15:$M$18,COLUMN()-2,0)*
VLOOKUP(VLOOKUP($A82,'IP1'!$B$29:$D$32,3,0),VATrates,IF(YEAR(D$72)=2013,5,6),0)</f>
        <v>2070</v>
      </c>
      <c r="E82" s="24">
        <f>VLOOKUP($A82,'IP1'!$B$29:$F$32,5,0)
*VLOOKUP($A82,Sales!$A$15:$M$18,COLUMN()-2,0)*
VLOOKUP(VLOOKUP($A82,'IP1'!$B$29:$D$32,3,0),VATrates,IF(YEAR(E$72)=2013,5,6),0)</f>
        <v>2070</v>
      </c>
      <c r="F82" s="24">
        <f>VLOOKUP($A82,'IP1'!$B$29:$F$32,5,0)
*VLOOKUP($A82,Sales!$A$15:$M$18,COLUMN()-2,0)*
VLOOKUP(VLOOKUP($A82,'IP1'!$B$29:$D$32,3,0),VATrates,IF(YEAR(F$72)=2013,5,6),0)</f>
        <v>6210</v>
      </c>
      <c r="G82" s="24">
        <f>VLOOKUP($A82,'IP1'!$B$29:$F$32,5,0)
*VLOOKUP($A82,Sales!$A$15:$M$18,COLUMN()-2,0)*
VLOOKUP(VLOOKUP($A82,'IP1'!$B$29:$D$32,3,0),VATrates,IF(YEAR(G$72)=2013,5,6),0)</f>
        <v>6210</v>
      </c>
      <c r="H82" s="24">
        <f>VLOOKUP($A82,'IP1'!$B$29:$F$32,5,0)
*VLOOKUP($A82,Sales!$A$15:$M$18,COLUMN()-2,0)*
VLOOKUP(VLOOKUP($A82,'IP1'!$B$29:$D$32,3,0),VATrates,IF(YEAR(H$72)=2013,5,6),0)</f>
        <v>12420</v>
      </c>
      <c r="I82" s="24">
        <f>VLOOKUP($A82,'IP1'!$B$29:$F$32,5,0)
*VLOOKUP($A82,Sales!$A$15:$M$18,COLUMN()-2,0)*
VLOOKUP(VLOOKUP($A82,'IP1'!$B$29:$D$32,3,0),VATrates,IF(YEAR(I$72)=2013,5,6),0)</f>
        <v>12420</v>
      </c>
      <c r="J82" s="24">
        <f>VLOOKUP($A82,'IP1'!$B$29:$F$32,5,0)
*VLOOKUP($A82,Sales!$A$15:$M$18,COLUMN()-2,0)*
VLOOKUP(VLOOKUP($A82,'IP1'!$B$29:$D$32,3,0),VATrates,IF(YEAR(J$72)=2013,5,6),0)</f>
        <v>12420</v>
      </c>
      <c r="K82" s="24">
        <f>VLOOKUP($A82,'IP1'!$B$29:$F$32,5,0)
*VLOOKUP($A82,Sales!$A$15:$M$18,COLUMN()-2,0)*
VLOOKUP(VLOOKUP($A82,'IP1'!$B$29:$D$32,3,0),VATrates,IF(YEAR(K$72)=2013,5,6),0)</f>
        <v>12420</v>
      </c>
      <c r="L82" s="24">
        <f>VLOOKUP($A82,'IP1'!$B$29:$F$32,5,0)
*VLOOKUP($A82,Sales!$A$15:$M$18,COLUMN()-2,0)*
VLOOKUP(VLOOKUP($A82,'IP1'!$B$29:$D$32,3,0),VATrates,IF(YEAR(L$72)=2013,5,6),0)</f>
        <v>12420</v>
      </c>
      <c r="M82" s="24">
        <f>VLOOKUP($A82,'IP1'!$B$29:$F$32,5,0)
*VLOOKUP($A82,Sales!$A$15:$M$18,COLUMN()-2,0)*
VLOOKUP(VLOOKUP($A82,'IP1'!$B$29:$D$32,3,0),VATrates,IF(YEAR(M$72)=2013,5,6),0)</f>
        <v>12420</v>
      </c>
      <c r="N82" s="24">
        <f>VLOOKUP($A82,'IP1'!$B$29:$F$32,5,0)
*VLOOKUP($A82,Sales!$A$15:$M$18,COLUMN()-2,0)*
VLOOKUP(VLOOKUP($A82,'IP1'!$B$29:$D$32,3,0),VATrates,IF(YEAR(N$72)=2013,5,6),0)</f>
        <v>2070</v>
      </c>
      <c r="O82" s="24">
        <f>VLOOKUP($A82,'IP1'!$B$29:$F$32,5,0)
*VLOOKUP($A82,Sales!$A$15:$M$18,COLUMN()-2,0)*
VLOOKUP(VLOOKUP($A82,'IP1'!$B$29:$D$32,3,0),VATrates,IF(YEAR(O$72)=2013,5,6),0)</f>
        <v>10350</v>
      </c>
    </row>
    <row r="83" spans="1:15">
      <c r="A83" s="7"/>
      <c r="B83" s="7"/>
      <c r="C83" s="7"/>
      <c r="D83" s="21">
        <f t="shared" ref="D83:O83" si="7">SUM(D79:D82)</f>
        <v>5205.0120695535716</v>
      </c>
      <c r="E83" s="21">
        <f t="shared" si="7"/>
        <v>5205.0120695535716</v>
      </c>
      <c r="F83" s="21">
        <f t="shared" si="7"/>
        <v>14238.813342589287</v>
      </c>
      <c r="G83" s="21">
        <f t="shared" si="7"/>
        <v>15615.036208660715</v>
      </c>
      <c r="H83" s="21">
        <f t="shared" si="7"/>
        <v>28477.626685178573</v>
      </c>
      <c r="I83" s="21">
        <f t="shared" si="7"/>
        <v>28477.626685178573</v>
      </c>
      <c r="J83" s="21">
        <f t="shared" si="7"/>
        <v>29509.793834732143</v>
      </c>
      <c r="K83" s="21">
        <f t="shared" si="7"/>
        <v>29509.793834732143</v>
      </c>
      <c r="L83" s="21">
        <f t="shared" si="7"/>
        <v>28477.626685178573</v>
      </c>
      <c r="M83" s="21">
        <f t="shared" si="7"/>
        <v>28133.570968660715</v>
      </c>
      <c r="N83" s="21">
        <f t="shared" si="7"/>
        <v>5205.0120695535716</v>
      </c>
      <c r="O83" s="21">
        <f t="shared" si="7"/>
        <v>24992.893198214286</v>
      </c>
    </row>
    <row r="84" spans="1:15">
      <c r="A84" s="92" t="s">
        <v>212</v>
      </c>
      <c r="B84" s="92"/>
      <c r="C84" s="9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6" t="s">
        <v>10</v>
      </c>
      <c r="B85" s="16" t="s">
        <v>440</v>
      </c>
      <c r="C85" s="16"/>
      <c r="D85" s="24">
        <f>VLOOKUP($A85&amp;$B85,OH!$A$2:$AB$62,COLUMN(D85)+13,0)*
VLOOKUP(VLOOKUP($A85&amp;$B85,'IP1'!$A$37:$F$89,6,0),
VATrates,
IF(YEAR(D$72)=2013,5,6),0)</f>
        <v>287.5</v>
      </c>
      <c r="E85" s="24">
        <f>VLOOKUP($A85&amp;$B85,OH!$A$2:$AB$62,COLUMN(E85)+13,0)*
VLOOKUP(VLOOKUP($A85&amp;$B85,'IP1'!$A$37:$F$89,6,0),
VATrates,
IF(YEAR(E$72)=2013,5,6),0)</f>
        <v>0</v>
      </c>
      <c r="F85" s="24">
        <f>VLOOKUP($A85&amp;$B85,OH!$A$2:$AB$62,COLUMN(F85)+13,0)*
VLOOKUP(VLOOKUP($A85&amp;$B85,'IP1'!$A$37:$F$89,6,0),
VATrates,
IF(YEAR(F$72)=2013,5,6),0)</f>
        <v>0</v>
      </c>
      <c r="G85" s="24">
        <f>VLOOKUP($A85&amp;$B85,OH!$A$2:$AB$62,COLUMN(G85)+13,0)*
VLOOKUP(VLOOKUP($A85&amp;$B85,'IP1'!$A$37:$F$89,6,0),
VATrates,
IF(YEAR(G$72)=2013,5,6),0)</f>
        <v>287.5</v>
      </c>
      <c r="H85" s="24">
        <f>VLOOKUP($A85&amp;$B85,OH!$A$2:$AB$62,COLUMN(H85)+13,0)*
VLOOKUP(VLOOKUP($A85&amp;$B85,'IP1'!$A$37:$F$89,6,0),
VATrates,
IF(YEAR(H$72)=2013,5,6),0)</f>
        <v>0</v>
      </c>
      <c r="I85" s="24">
        <f>VLOOKUP($A85&amp;$B85,OH!$A$2:$AB$62,COLUMN(I85)+13,0)*
VLOOKUP(VLOOKUP($A85&amp;$B85,'IP1'!$A$37:$F$89,6,0),
VATrates,
IF(YEAR(I$72)=2013,5,6),0)</f>
        <v>0</v>
      </c>
      <c r="J85" s="24">
        <f>VLOOKUP($A85&amp;$B85,OH!$A$2:$AB$62,COLUMN(J85)+13,0)*
VLOOKUP(VLOOKUP($A85&amp;$B85,'IP1'!$A$37:$F$89,6,0),
VATrates,
IF(YEAR(J$72)=2013,5,6),0)</f>
        <v>287.5</v>
      </c>
      <c r="K85" s="24">
        <f>VLOOKUP($A85&amp;$B85,OH!$A$2:$AB$62,COLUMN(K85)+13,0)*
VLOOKUP(VLOOKUP($A85&amp;$B85,'IP1'!$A$37:$F$89,6,0),
VATrates,
IF(YEAR(K$72)=2013,5,6),0)</f>
        <v>0</v>
      </c>
      <c r="L85" s="24">
        <f>VLOOKUP($A85&amp;$B85,OH!$A$2:$AB$62,COLUMN(L85)+13,0)*
VLOOKUP(VLOOKUP($A85&amp;$B85,'IP1'!$A$37:$F$89,6,0),
VATrates,
IF(YEAR(L$72)=2013,5,6),0)</f>
        <v>0</v>
      </c>
      <c r="M85" s="24">
        <f>VLOOKUP($A85&amp;$B85,OH!$A$2:$AB$62,COLUMN(M85)+13,0)*
VLOOKUP(VLOOKUP($A85&amp;$B85,'IP1'!$A$37:$F$89,6,0),
VATrates,
IF(YEAR(M$72)=2013,5,6),0)</f>
        <v>287.5</v>
      </c>
      <c r="N85" s="24">
        <f>VLOOKUP($A85&amp;$B85,OH!$A$2:$AB$62,COLUMN(N85)+13,0)*
VLOOKUP(VLOOKUP($A85&amp;$B85,'IP1'!$A$37:$F$89,6,0),
VATrates,
IF(YEAR(N$72)=2013,5,6),0)</f>
        <v>0</v>
      </c>
      <c r="O85" s="24">
        <f>VLOOKUP($A85&amp;$B85,OH!$A$2:$AB$62,COLUMN(O85)+13,0)*
VLOOKUP(VLOOKUP($A85&amp;$B85,'IP1'!$A$37:$F$89,6,0),
VATrates,
IF(YEAR(O$72)=2013,5,6),0)</f>
        <v>0</v>
      </c>
    </row>
    <row r="86" spans="1:15">
      <c r="A86" s="16" t="s">
        <v>10</v>
      </c>
      <c r="B86" s="16" t="s">
        <v>441</v>
      </c>
      <c r="C86" s="16"/>
      <c r="D86" s="24">
        <f>VLOOKUP($A86&amp;$B86,OH!$A$2:$AB$62,COLUMN(D86)+13,0)*
VLOOKUP(VLOOKUP($A86&amp;$B86,'IP1'!$A$37:$F$89,6,0),
VATrates,
IF(YEAR(D$72)=2013,5,6),0)</f>
        <v>287.5</v>
      </c>
      <c r="E86" s="24">
        <f>VLOOKUP($A86&amp;$B86,OH!$A$2:$AB$62,COLUMN(E86)+13,0)*
VLOOKUP(VLOOKUP($A86&amp;$B86,'IP1'!$A$37:$F$89,6,0),
VATrates,
IF(YEAR(E$72)=2013,5,6),0)</f>
        <v>0</v>
      </c>
      <c r="F86" s="24">
        <f>VLOOKUP($A86&amp;$B86,OH!$A$2:$AB$62,COLUMN(F86)+13,0)*
VLOOKUP(VLOOKUP($A86&amp;$B86,'IP1'!$A$37:$F$89,6,0),
VATrates,
IF(YEAR(F$72)=2013,5,6),0)</f>
        <v>0</v>
      </c>
      <c r="G86" s="24">
        <f>VLOOKUP($A86&amp;$B86,OH!$A$2:$AB$62,COLUMN(G86)+13,0)*
VLOOKUP(VLOOKUP($A86&amp;$B86,'IP1'!$A$37:$F$89,6,0),
VATrates,
IF(YEAR(G$72)=2013,5,6),0)</f>
        <v>287.5</v>
      </c>
      <c r="H86" s="24">
        <f>VLOOKUP($A86&amp;$B86,OH!$A$2:$AB$62,COLUMN(H86)+13,0)*
VLOOKUP(VLOOKUP($A86&amp;$B86,'IP1'!$A$37:$F$89,6,0),
VATrates,
IF(YEAR(H$72)=2013,5,6),0)</f>
        <v>0</v>
      </c>
      <c r="I86" s="24">
        <f>VLOOKUP($A86&amp;$B86,OH!$A$2:$AB$62,COLUMN(I86)+13,0)*
VLOOKUP(VLOOKUP($A86&amp;$B86,'IP1'!$A$37:$F$89,6,0),
VATrates,
IF(YEAR(I$72)=2013,5,6),0)</f>
        <v>0</v>
      </c>
      <c r="J86" s="24">
        <f>VLOOKUP($A86&amp;$B86,OH!$A$2:$AB$62,COLUMN(J86)+13,0)*
VLOOKUP(VLOOKUP($A86&amp;$B86,'IP1'!$A$37:$F$89,6,0),
VATrates,
IF(YEAR(J$72)=2013,5,6),0)</f>
        <v>287.5</v>
      </c>
      <c r="K86" s="24">
        <f>VLOOKUP($A86&amp;$B86,OH!$A$2:$AB$62,COLUMN(K86)+13,0)*
VLOOKUP(VLOOKUP($A86&amp;$B86,'IP1'!$A$37:$F$89,6,0),
VATrates,
IF(YEAR(K$72)=2013,5,6),0)</f>
        <v>0</v>
      </c>
      <c r="L86" s="24">
        <f>VLOOKUP($A86&amp;$B86,OH!$A$2:$AB$62,COLUMN(L86)+13,0)*
VLOOKUP(VLOOKUP($A86&amp;$B86,'IP1'!$A$37:$F$89,6,0),
VATrates,
IF(YEAR(L$72)=2013,5,6),0)</f>
        <v>0</v>
      </c>
      <c r="M86" s="24">
        <f>VLOOKUP($A86&amp;$B86,OH!$A$2:$AB$62,COLUMN(M86)+13,0)*
VLOOKUP(VLOOKUP($A86&amp;$B86,'IP1'!$A$37:$F$89,6,0),
VATrates,
IF(YEAR(M$72)=2013,5,6),0)</f>
        <v>287.5</v>
      </c>
      <c r="N86" s="24">
        <f>VLOOKUP($A86&amp;$B86,OH!$A$2:$AB$62,COLUMN(N86)+13,0)*
VLOOKUP(VLOOKUP($A86&amp;$B86,'IP1'!$A$37:$F$89,6,0),
VATrates,
IF(YEAR(N$72)=2013,5,6),0)</f>
        <v>0</v>
      </c>
      <c r="O86" s="24">
        <f>VLOOKUP($A86&amp;$B86,OH!$A$2:$AB$62,COLUMN(O86)+13,0)*
VLOOKUP(VLOOKUP($A86&amp;$B86,'IP1'!$A$37:$F$89,6,0),
VATrates,
IF(YEAR(O$72)=2013,5,6),0)</f>
        <v>0</v>
      </c>
    </row>
    <row r="87" spans="1:15">
      <c r="A87" s="16" t="s">
        <v>10</v>
      </c>
      <c r="B87" s="16" t="s">
        <v>442</v>
      </c>
      <c r="C87" s="16"/>
      <c r="D87" s="24">
        <f>VLOOKUP($A87&amp;$B87,OH!$A$2:$AB$62,COLUMN(D87)+13,0)*
VLOOKUP(VLOOKUP($A87&amp;$B87,'IP1'!$A$37:$F$89,6,0),
VATrates,
IF(YEAR(D$72)=2013,5,6),0)</f>
        <v>0</v>
      </c>
      <c r="E87" s="24">
        <f>VLOOKUP($A87&amp;$B87,OH!$A$2:$AB$62,COLUMN(E87)+13,0)*
VLOOKUP(VLOOKUP($A87&amp;$B87,'IP1'!$A$37:$F$89,6,0),
VATrates,
IF(YEAR(E$72)=2013,5,6),0)</f>
        <v>0</v>
      </c>
      <c r="F87" s="24">
        <f>VLOOKUP($A87&amp;$B87,OH!$A$2:$AB$62,COLUMN(F87)+13,0)*
VLOOKUP(VLOOKUP($A87&amp;$B87,'IP1'!$A$37:$F$89,6,0),
VATrates,
IF(YEAR(F$72)=2013,5,6),0)</f>
        <v>287.5</v>
      </c>
      <c r="G87" s="24">
        <f>VLOOKUP($A87&amp;$B87,OH!$A$2:$AB$62,COLUMN(G87)+13,0)*
VLOOKUP(VLOOKUP($A87&amp;$B87,'IP1'!$A$37:$F$89,6,0),
VATrates,
IF(YEAR(G$72)=2013,5,6),0)</f>
        <v>0</v>
      </c>
      <c r="H87" s="24">
        <f>VLOOKUP($A87&amp;$B87,OH!$A$2:$AB$62,COLUMN(H87)+13,0)*
VLOOKUP(VLOOKUP($A87&amp;$B87,'IP1'!$A$37:$F$89,6,0),
VATrates,
IF(YEAR(H$72)=2013,5,6),0)</f>
        <v>0</v>
      </c>
      <c r="I87" s="24">
        <f>VLOOKUP($A87&amp;$B87,OH!$A$2:$AB$62,COLUMN(I87)+13,0)*
VLOOKUP(VLOOKUP($A87&amp;$B87,'IP1'!$A$37:$F$89,6,0),
VATrates,
IF(YEAR(I$72)=2013,5,6),0)</f>
        <v>287.5</v>
      </c>
      <c r="J87" s="24">
        <f>VLOOKUP($A87&amp;$B87,OH!$A$2:$AB$62,COLUMN(J87)+13,0)*
VLOOKUP(VLOOKUP($A87&amp;$B87,'IP1'!$A$37:$F$89,6,0),
VATrates,
IF(YEAR(J$72)=2013,5,6),0)</f>
        <v>0</v>
      </c>
      <c r="K87" s="24">
        <f>VLOOKUP($A87&amp;$B87,OH!$A$2:$AB$62,COLUMN(K87)+13,0)*
VLOOKUP(VLOOKUP($A87&amp;$B87,'IP1'!$A$37:$F$89,6,0),
VATrates,
IF(YEAR(K$72)=2013,5,6),0)</f>
        <v>0</v>
      </c>
      <c r="L87" s="24">
        <f>VLOOKUP($A87&amp;$B87,OH!$A$2:$AB$62,COLUMN(L87)+13,0)*
VLOOKUP(VLOOKUP($A87&amp;$B87,'IP1'!$A$37:$F$89,6,0),
VATrates,
IF(YEAR(L$72)=2013,5,6),0)</f>
        <v>287.5</v>
      </c>
      <c r="M87" s="24">
        <f>VLOOKUP($A87&amp;$B87,OH!$A$2:$AB$62,COLUMN(M87)+13,0)*
VLOOKUP(VLOOKUP($A87&amp;$B87,'IP1'!$A$37:$F$89,6,0),
VATrates,
IF(YEAR(M$72)=2013,5,6),0)</f>
        <v>0</v>
      </c>
      <c r="N87" s="24">
        <f>VLOOKUP($A87&amp;$B87,OH!$A$2:$AB$62,COLUMN(N87)+13,0)*
VLOOKUP(VLOOKUP($A87&amp;$B87,'IP1'!$A$37:$F$89,6,0),
VATrates,
IF(YEAR(N$72)=2013,5,6),0)</f>
        <v>0</v>
      </c>
      <c r="O87" s="24">
        <f>VLOOKUP($A87&amp;$B87,OH!$A$2:$AB$62,COLUMN(O87)+13,0)*
VLOOKUP(VLOOKUP($A87&amp;$B87,'IP1'!$A$37:$F$89,6,0),
VATrates,
IF(YEAR(O$72)=2013,5,6),0)</f>
        <v>287.5</v>
      </c>
    </row>
    <row r="88" spans="1:15">
      <c r="A88" s="16" t="s">
        <v>10</v>
      </c>
      <c r="B88" s="16" t="s">
        <v>29</v>
      </c>
      <c r="C88" s="16"/>
      <c r="D88" s="24">
        <f>VLOOKUP($A88&amp;$B88,OH!$A$2:$AB$62,COLUMN(D88)+13,0)*
VLOOKUP(VLOOKUP($A88&amp;$B88,'IP1'!$A$37:$F$89,6,0),
VATrates,
IF(YEAR(D$72)=2013,5,6),0)</f>
        <v>287.5</v>
      </c>
      <c r="E88" s="24">
        <f>VLOOKUP($A88&amp;$B88,OH!$A$2:$AB$62,COLUMN(E88)+13,0)*
VLOOKUP(VLOOKUP($A88&amp;$B88,'IP1'!$A$37:$F$89,6,0),
VATrates,
IF(YEAR(E$72)=2013,5,6),0)</f>
        <v>0</v>
      </c>
      <c r="F88" s="24">
        <f>VLOOKUP($A88&amp;$B88,OH!$A$2:$AB$62,COLUMN(F88)+13,0)*
VLOOKUP(VLOOKUP($A88&amp;$B88,'IP1'!$A$37:$F$89,6,0),
VATrates,
IF(YEAR(F$72)=2013,5,6),0)</f>
        <v>0</v>
      </c>
      <c r="G88" s="24">
        <f>VLOOKUP($A88&amp;$B88,OH!$A$2:$AB$62,COLUMN(G88)+13,0)*
VLOOKUP(VLOOKUP($A88&amp;$B88,'IP1'!$A$37:$F$89,6,0),
VATrates,
IF(YEAR(G$72)=2013,5,6),0)</f>
        <v>287.5</v>
      </c>
      <c r="H88" s="24">
        <f>VLOOKUP($A88&amp;$B88,OH!$A$2:$AB$62,COLUMN(H88)+13,0)*
VLOOKUP(VLOOKUP($A88&amp;$B88,'IP1'!$A$37:$F$89,6,0),
VATrates,
IF(YEAR(H$72)=2013,5,6),0)</f>
        <v>0</v>
      </c>
      <c r="I88" s="24">
        <f>VLOOKUP($A88&amp;$B88,OH!$A$2:$AB$62,COLUMN(I88)+13,0)*
VLOOKUP(VLOOKUP($A88&amp;$B88,'IP1'!$A$37:$F$89,6,0),
VATrates,
IF(YEAR(I$72)=2013,5,6),0)</f>
        <v>0</v>
      </c>
      <c r="J88" s="24">
        <f>VLOOKUP($A88&amp;$B88,OH!$A$2:$AB$62,COLUMN(J88)+13,0)*
VLOOKUP(VLOOKUP($A88&amp;$B88,'IP1'!$A$37:$F$89,6,0),
VATrates,
IF(YEAR(J$72)=2013,5,6),0)</f>
        <v>287.5</v>
      </c>
      <c r="K88" s="24">
        <f>VLOOKUP($A88&amp;$B88,OH!$A$2:$AB$62,COLUMN(K88)+13,0)*
VLOOKUP(VLOOKUP($A88&amp;$B88,'IP1'!$A$37:$F$89,6,0),
VATrates,
IF(YEAR(K$72)=2013,5,6),0)</f>
        <v>0</v>
      </c>
      <c r="L88" s="24">
        <f>VLOOKUP($A88&amp;$B88,OH!$A$2:$AB$62,COLUMN(L88)+13,0)*
VLOOKUP(VLOOKUP($A88&amp;$B88,'IP1'!$A$37:$F$89,6,0),
VATrates,
IF(YEAR(L$72)=2013,5,6),0)</f>
        <v>0</v>
      </c>
      <c r="M88" s="24">
        <f>VLOOKUP($A88&amp;$B88,OH!$A$2:$AB$62,COLUMN(M88)+13,0)*
VLOOKUP(VLOOKUP($A88&amp;$B88,'IP1'!$A$37:$F$89,6,0),
VATrates,
IF(YEAR(M$72)=2013,5,6),0)</f>
        <v>287.5</v>
      </c>
      <c r="N88" s="24">
        <f>VLOOKUP($A88&amp;$B88,OH!$A$2:$AB$62,COLUMN(N88)+13,0)*
VLOOKUP(VLOOKUP($A88&amp;$B88,'IP1'!$A$37:$F$89,6,0),
VATrates,
IF(YEAR(N$72)=2013,5,6),0)</f>
        <v>0</v>
      </c>
      <c r="O88" s="24">
        <f>VLOOKUP($A88&amp;$B88,OH!$A$2:$AB$62,COLUMN(O88)+13,0)*
VLOOKUP(VLOOKUP($A88&amp;$B88,'IP1'!$A$37:$F$89,6,0),
VATrates,
IF(YEAR(O$72)=2013,5,6),0)</f>
        <v>0</v>
      </c>
    </row>
    <row r="89" spans="1:15">
      <c r="A89" s="16" t="s">
        <v>10</v>
      </c>
      <c r="B89" s="16" t="s">
        <v>4</v>
      </c>
      <c r="C89" s="16"/>
      <c r="D89" s="24">
        <f>VLOOKUP($A89&amp;$B89,OH!$A$2:$AB$62,COLUMN(D89)+13,0)*
VLOOKUP(VLOOKUP($A89&amp;$B89,'IP1'!$A$37:$F$89,6,0),
VATrates,
IF(YEAR(D$72)=2013,5,6),0)</f>
        <v>0</v>
      </c>
      <c r="E89" s="24">
        <f>VLOOKUP($A89&amp;$B89,OH!$A$2:$AB$62,COLUMN(E89)+13,0)*
VLOOKUP(VLOOKUP($A89&amp;$B89,'IP1'!$A$37:$F$89,6,0),
VATrates,
IF(YEAR(E$72)=2013,5,6),0)</f>
        <v>287.5</v>
      </c>
      <c r="F89" s="24">
        <f>VLOOKUP($A89&amp;$B89,OH!$A$2:$AB$62,COLUMN(F89)+13,0)*
VLOOKUP(VLOOKUP($A89&amp;$B89,'IP1'!$A$37:$F$89,6,0),
VATrates,
IF(YEAR(F$72)=2013,5,6),0)</f>
        <v>0</v>
      </c>
      <c r="G89" s="24">
        <f>VLOOKUP($A89&amp;$B89,OH!$A$2:$AB$62,COLUMN(G89)+13,0)*
VLOOKUP(VLOOKUP($A89&amp;$B89,'IP1'!$A$37:$F$89,6,0),
VATrates,
IF(YEAR(G$72)=2013,5,6),0)</f>
        <v>0</v>
      </c>
      <c r="H89" s="24">
        <f>VLOOKUP($A89&amp;$B89,OH!$A$2:$AB$62,COLUMN(H89)+13,0)*
VLOOKUP(VLOOKUP($A89&amp;$B89,'IP1'!$A$37:$F$89,6,0),
VATrates,
IF(YEAR(H$72)=2013,5,6),0)</f>
        <v>287.5</v>
      </c>
      <c r="I89" s="24">
        <f>VLOOKUP($A89&amp;$B89,OH!$A$2:$AB$62,COLUMN(I89)+13,0)*
VLOOKUP(VLOOKUP($A89&amp;$B89,'IP1'!$A$37:$F$89,6,0),
VATrates,
IF(YEAR(I$72)=2013,5,6),0)</f>
        <v>0</v>
      </c>
      <c r="J89" s="24">
        <f>VLOOKUP($A89&amp;$B89,OH!$A$2:$AB$62,COLUMN(J89)+13,0)*
VLOOKUP(VLOOKUP($A89&amp;$B89,'IP1'!$A$37:$F$89,6,0),
VATrates,
IF(YEAR(J$72)=2013,5,6),0)</f>
        <v>0</v>
      </c>
      <c r="K89" s="24">
        <f>VLOOKUP($A89&amp;$B89,OH!$A$2:$AB$62,COLUMN(K89)+13,0)*
VLOOKUP(VLOOKUP($A89&amp;$B89,'IP1'!$A$37:$F$89,6,0),
VATrates,
IF(YEAR(K$72)=2013,5,6),0)</f>
        <v>287.5</v>
      </c>
      <c r="L89" s="24">
        <f>VLOOKUP($A89&amp;$B89,OH!$A$2:$AB$62,COLUMN(L89)+13,0)*
VLOOKUP(VLOOKUP($A89&amp;$B89,'IP1'!$A$37:$F$89,6,0),
VATrates,
IF(YEAR(L$72)=2013,5,6),0)</f>
        <v>0</v>
      </c>
      <c r="M89" s="24">
        <f>VLOOKUP($A89&amp;$B89,OH!$A$2:$AB$62,COLUMN(M89)+13,0)*
VLOOKUP(VLOOKUP($A89&amp;$B89,'IP1'!$A$37:$F$89,6,0),
VATrates,
IF(YEAR(M$72)=2013,5,6),0)</f>
        <v>0</v>
      </c>
      <c r="N89" s="24">
        <f>VLOOKUP($A89&amp;$B89,OH!$A$2:$AB$62,COLUMN(N89)+13,0)*
VLOOKUP(VLOOKUP($A89&amp;$B89,'IP1'!$A$37:$F$89,6,0),
VATrates,
IF(YEAR(N$72)=2013,5,6),0)</f>
        <v>287.5</v>
      </c>
      <c r="O89" s="24">
        <f>VLOOKUP($A89&amp;$B89,OH!$A$2:$AB$62,COLUMN(O89)+13,0)*
VLOOKUP(VLOOKUP($A89&amp;$B89,'IP1'!$A$37:$F$89,6,0),
VATrates,
IF(YEAR(O$72)=2013,5,6),0)</f>
        <v>0</v>
      </c>
    </row>
    <row r="90" spans="1:15">
      <c r="A90" s="16" t="s">
        <v>155</v>
      </c>
      <c r="B90" s="16" t="s">
        <v>452</v>
      </c>
      <c r="C90" s="16"/>
      <c r="D90" s="24">
        <f>VLOOKUP($A90&amp;$B90,OH!$A$2:$AB$62,COLUMN(D90)+13,0)*
VLOOKUP(VLOOKUP($A90&amp;$B90,'IP1'!$A$37:$F$89,6,0),
VATrates,
IF(YEAR(D$72)=2013,5,6),0)</f>
        <v>57.5</v>
      </c>
      <c r="E90" s="24">
        <f>VLOOKUP($A90&amp;$B90,OH!$A$2:$AB$62,COLUMN(E90)+13,0)*
VLOOKUP(VLOOKUP($A90&amp;$B90,'IP1'!$A$37:$F$89,6,0),
VATrates,
IF(YEAR(E$72)=2013,5,6),0)</f>
        <v>0</v>
      </c>
      <c r="F90" s="24">
        <f>VLOOKUP($A90&amp;$B90,OH!$A$2:$AB$62,COLUMN(F90)+13,0)*
VLOOKUP(VLOOKUP($A90&amp;$B90,'IP1'!$A$37:$F$89,6,0),
VATrates,
IF(YEAR(F$72)=2013,5,6),0)</f>
        <v>0</v>
      </c>
      <c r="G90" s="24">
        <f>VLOOKUP($A90&amp;$B90,OH!$A$2:$AB$62,COLUMN(G90)+13,0)*
VLOOKUP(VLOOKUP($A90&amp;$B90,'IP1'!$A$37:$F$89,6,0),
VATrates,
IF(YEAR(G$72)=2013,5,6),0)</f>
        <v>57.5</v>
      </c>
      <c r="H90" s="24">
        <f>VLOOKUP($A90&amp;$B90,OH!$A$2:$AB$62,COLUMN(H90)+13,0)*
VLOOKUP(VLOOKUP($A90&amp;$B90,'IP1'!$A$37:$F$89,6,0),
VATrates,
IF(YEAR(H$72)=2013,5,6),0)</f>
        <v>0</v>
      </c>
      <c r="I90" s="24">
        <f>VLOOKUP($A90&amp;$B90,OH!$A$2:$AB$62,COLUMN(I90)+13,0)*
VLOOKUP(VLOOKUP($A90&amp;$B90,'IP1'!$A$37:$F$89,6,0),
VATrates,
IF(YEAR(I$72)=2013,5,6),0)</f>
        <v>0</v>
      </c>
      <c r="J90" s="24">
        <f>VLOOKUP($A90&amp;$B90,OH!$A$2:$AB$62,COLUMN(J90)+13,0)*
VLOOKUP(VLOOKUP($A90&amp;$B90,'IP1'!$A$37:$F$89,6,0),
VATrates,
IF(YEAR(J$72)=2013,5,6),0)</f>
        <v>57.5</v>
      </c>
      <c r="K90" s="24">
        <f>VLOOKUP($A90&amp;$B90,OH!$A$2:$AB$62,COLUMN(K90)+13,0)*
VLOOKUP(VLOOKUP($A90&amp;$B90,'IP1'!$A$37:$F$89,6,0),
VATrates,
IF(YEAR(K$72)=2013,5,6),0)</f>
        <v>0</v>
      </c>
      <c r="L90" s="24">
        <f>VLOOKUP($A90&amp;$B90,OH!$A$2:$AB$62,COLUMN(L90)+13,0)*
VLOOKUP(VLOOKUP($A90&amp;$B90,'IP1'!$A$37:$F$89,6,0),
VATrates,
IF(YEAR(L$72)=2013,5,6),0)</f>
        <v>0</v>
      </c>
      <c r="M90" s="24">
        <f>VLOOKUP($A90&amp;$B90,OH!$A$2:$AB$62,COLUMN(M90)+13,0)*
VLOOKUP(VLOOKUP($A90&amp;$B90,'IP1'!$A$37:$F$89,6,0),
VATrates,
IF(YEAR(M$72)=2013,5,6),0)</f>
        <v>57.5</v>
      </c>
      <c r="N90" s="24">
        <f>VLOOKUP($A90&amp;$B90,OH!$A$2:$AB$62,COLUMN(N90)+13,0)*
VLOOKUP(VLOOKUP($A90&amp;$B90,'IP1'!$A$37:$F$89,6,0),
VATrates,
IF(YEAR(N$72)=2013,5,6),0)</f>
        <v>0</v>
      </c>
      <c r="O90" s="24">
        <f>VLOOKUP($A90&amp;$B90,OH!$A$2:$AB$62,COLUMN(O90)+13,0)*
VLOOKUP(VLOOKUP($A90&amp;$B90,'IP1'!$A$37:$F$89,6,0),
VATrates,
IF(YEAR(O$72)=2013,5,6),0)</f>
        <v>0</v>
      </c>
    </row>
    <row r="91" spans="1:15">
      <c r="A91" s="16" t="s">
        <v>155</v>
      </c>
      <c r="B91" s="16" t="s">
        <v>30</v>
      </c>
      <c r="C91" s="16"/>
      <c r="D91" s="24">
        <f>VLOOKUP($A91&amp;$B91,OH!$A$2:$AB$62,COLUMN(D91)+13,0)*
VLOOKUP(VLOOKUP($A91&amp;$B91,'IP1'!$A$37:$F$89,6,0),
VATrates,
IF(YEAR(D$72)=2013,5,6),0)</f>
        <v>37.67946393750001</v>
      </c>
      <c r="E91" s="24">
        <f>VLOOKUP($A91&amp;$B91,OH!$A$2:$AB$62,COLUMN(E91)+13,0)*
VLOOKUP(VLOOKUP($A91&amp;$B91,'IP1'!$A$37:$F$89,6,0),
VATrates,
IF(YEAR(E$72)=2013,5,6),0)</f>
        <v>37.67946393750001</v>
      </c>
      <c r="F91" s="24">
        <f>VLOOKUP($A91&amp;$B91,OH!$A$2:$AB$62,COLUMN(F91)+13,0)*
VLOOKUP(VLOOKUP($A91&amp;$B91,'IP1'!$A$37:$F$89,6,0),
VATrates,
IF(YEAR(F$72)=2013,5,6),0)</f>
        <v>113.03839181250001</v>
      </c>
      <c r="G91" s="24">
        <f>VLOOKUP($A91&amp;$B91,OH!$A$2:$AB$62,COLUMN(G91)+13,0)*
VLOOKUP(VLOOKUP($A91&amp;$B91,'IP1'!$A$37:$F$89,6,0),
VATrates,
IF(YEAR(G$72)=2013,5,6),0)</f>
        <v>113.03839181250001</v>
      </c>
      <c r="H91" s="24">
        <f>VLOOKUP($A91&amp;$B91,OH!$A$2:$AB$62,COLUMN(H91)+13,0)*
VLOOKUP(VLOOKUP($A91&amp;$B91,'IP1'!$A$37:$F$89,6,0),
VATrates,
IF(YEAR(H$72)=2013,5,6),0)</f>
        <v>226.07678362500002</v>
      </c>
      <c r="I91" s="24">
        <f>VLOOKUP($A91&amp;$B91,OH!$A$2:$AB$62,COLUMN(I91)+13,0)*
VLOOKUP(VLOOKUP($A91&amp;$B91,'IP1'!$A$37:$F$89,6,0),
VATrates,
IF(YEAR(I$72)=2013,5,6),0)</f>
        <v>226.07678362500002</v>
      </c>
      <c r="J91" s="24">
        <f>VLOOKUP($A91&amp;$B91,OH!$A$2:$AB$62,COLUMN(J91)+13,0)*
VLOOKUP(VLOOKUP($A91&amp;$B91,'IP1'!$A$37:$F$89,6,0),
VATrates,
IF(YEAR(J$72)=2013,5,6),0)</f>
        <v>226.07678362500002</v>
      </c>
      <c r="K91" s="24">
        <f>VLOOKUP($A91&amp;$B91,OH!$A$2:$AB$62,COLUMN(K91)+13,0)*
VLOOKUP(VLOOKUP($A91&amp;$B91,'IP1'!$A$37:$F$89,6,0),
VATrates,
IF(YEAR(K$72)=2013,5,6),0)</f>
        <v>226.07678362500002</v>
      </c>
      <c r="L91" s="24">
        <f>VLOOKUP($A91&amp;$B91,OH!$A$2:$AB$62,COLUMN(L91)+13,0)*
VLOOKUP(VLOOKUP($A91&amp;$B91,'IP1'!$A$37:$F$89,6,0),
VATrates,
IF(YEAR(L$72)=2013,5,6),0)</f>
        <v>226.07678362500002</v>
      </c>
      <c r="M91" s="24">
        <f>VLOOKUP($A91&amp;$B91,OH!$A$2:$AB$62,COLUMN(M91)+13,0)*
VLOOKUP(VLOOKUP($A91&amp;$B91,'IP1'!$A$37:$F$89,6,0),
VATrates,
IF(YEAR(M$72)=2013,5,6),0)</f>
        <v>226.07678362500002</v>
      </c>
      <c r="N91" s="24">
        <f>VLOOKUP($A91&amp;$B91,OH!$A$2:$AB$62,COLUMN(N91)+13,0)*
VLOOKUP(VLOOKUP($A91&amp;$B91,'IP1'!$A$37:$F$89,6,0),
VATrates,
IF(YEAR(N$72)=2013,5,6),0)</f>
        <v>37.67946393750001</v>
      </c>
      <c r="O91" s="24">
        <f>VLOOKUP($A91&amp;$B91,OH!$A$2:$AB$62,COLUMN(O91)+13,0)*
VLOOKUP(VLOOKUP($A91&amp;$B91,'IP1'!$A$37:$F$89,6,0),
VATrates,
IF(YEAR(O$72)=2013,5,6),0)</f>
        <v>188.39731968750004</v>
      </c>
    </row>
    <row r="92" spans="1:15">
      <c r="A92" s="16" t="s">
        <v>155</v>
      </c>
      <c r="B92" s="16" t="s">
        <v>31</v>
      </c>
      <c r="C92" s="16"/>
      <c r="D92" s="24">
        <f>VLOOKUP($A92&amp;$B92,OH!$A$2:$AB$62,COLUMN(D92)+13,0)*
VLOOKUP(VLOOKUP($A92&amp;$B92,'IP1'!$A$37:$F$89,6,0),
VATrates,
IF(YEAR(D$72)=2013,5,6),0)</f>
        <v>1054.1666666666667</v>
      </c>
      <c r="E92" s="24">
        <f>VLOOKUP($A92&amp;$B92,OH!$A$2:$AB$62,COLUMN(E92)+13,0)*
VLOOKUP(VLOOKUP($A92&amp;$B92,'IP1'!$A$37:$F$89,6,0),
VATrates,
IF(YEAR(E$72)=2013,5,6),0)</f>
        <v>1054.1666666666667</v>
      </c>
      <c r="F92" s="24">
        <f>VLOOKUP($A92&amp;$B92,OH!$A$2:$AB$62,COLUMN(F92)+13,0)*
VLOOKUP(VLOOKUP($A92&amp;$B92,'IP1'!$A$37:$F$89,6,0),
VATrates,
IF(YEAR(F$72)=2013,5,6),0)</f>
        <v>1054.1666666666667</v>
      </c>
      <c r="G92" s="24">
        <f>VLOOKUP($A92&amp;$B92,OH!$A$2:$AB$62,COLUMN(G92)+13,0)*
VLOOKUP(VLOOKUP($A92&amp;$B92,'IP1'!$A$37:$F$89,6,0),
VATrates,
IF(YEAR(G$72)=2013,5,6),0)</f>
        <v>1054.1666666666667</v>
      </c>
      <c r="H92" s="24">
        <f>VLOOKUP($A92&amp;$B92,OH!$A$2:$AB$62,COLUMN(H92)+13,0)*
VLOOKUP(VLOOKUP($A92&amp;$B92,'IP1'!$A$37:$F$89,6,0),
VATrates,
IF(YEAR(H$72)=2013,5,6),0)</f>
        <v>1054.1666666666667</v>
      </c>
      <c r="I92" s="24">
        <f>VLOOKUP($A92&amp;$B92,OH!$A$2:$AB$62,COLUMN(I92)+13,0)*
VLOOKUP(VLOOKUP($A92&amp;$B92,'IP1'!$A$37:$F$89,6,0),
VATrates,
IF(YEAR(I$72)=2013,5,6),0)</f>
        <v>1054.1666666666667</v>
      </c>
      <c r="J92" s="24">
        <f>VLOOKUP($A92&amp;$B92,OH!$A$2:$AB$62,COLUMN(J92)+13,0)*
VLOOKUP(VLOOKUP($A92&amp;$B92,'IP1'!$A$37:$F$89,6,0),
VATrates,
IF(YEAR(J$72)=2013,5,6),0)</f>
        <v>1054.1666666666667</v>
      </c>
      <c r="K92" s="24">
        <f>VLOOKUP($A92&amp;$B92,OH!$A$2:$AB$62,COLUMN(K92)+13,0)*
VLOOKUP(VLOOKUP($A92&amp;$B92,'IP1'!$A$37:$F$89,6,0),
VATrates,
IF(YEAR(K$72)=2013,5,6),0)</f>
        <v>1054.1666666666667</v>
      </c>
      <c r="L92" s="24">
        <f>VLOOKUP($A92&amp;$B92,OH!$A$2:$AB$62,COLUMN(L92)+13,0)*
VLOOKUP(VLOOKUP($A92&amp;$B92,'IP1'!$A$37:$F$89,6,0),
VATrates,
IF(YEAR(L$72)=2013,5,6),0)</f>
        <v>1054.1666666666667</v>
      </c>
      <c r="M92" s="24">
        <f>VLOOKUP($A92&amp;$B92,OH!$A$2:$AB$62,COLUMN(M92)+13,0)*
VLOOKUP(VLOOKUP($A92&amp;$B92,'IP1'!$A$37:$F$89,6,0),
VATrates,
IF(YEAR(M$72)=2013,5,6),0)</f>
        <v>1054.1666666666667</v>
      </c>
      <c r="N92" s="24">
        <f>VLOOKUP($A92&amp;$B92,OH!$A$2:$AB$62,COLUMN(N92)+13,0)*
VLOOKUP(VLOOKUP($A92&amp;$B92,'IP1'!$A$37:$F$89,6,0),
VATrates,
IF(YEAR(N$72)=2013,5,6),0)</f>
        <v>1054.1666666666667</v>
      </c>
      <c r="O92" s="24">
        <f>VLOOKUP($A92&amp;$B92,OH!$A$2:$AB$62,COLUMN(O92)+13,0)*
VLOOKUP(VLOOKUP($A92&amp;$B92,'IP1'!$A$37:$F$89,6,0),
VATrates,
IF(YEAR(O$72)=2013,5,6),0)</f>
        <v>1054.1666666666667</v>
      </c>
    </row>
    <row r="93" spans="1:15">
      <c r="A93" s="16" t="s">
        <v>155</v>
      </c>
      <c r="B93" s="16" t="s">
        <v>453</v>
      </c>
      <c r="C93" s="16"/>
      <c r="D93" s="24">
        <f>VLOOKUP($A93&amp;$B93,OH!$A$2:$AB$62,COLUMN(D93)+13,0)*
VLOOKUP(VLOOKUP($A93&amp;$B93,'IP1'!$A$37:$F$89,6,0),
VATrates,
IF(YEAR(D$72)=2013,5,6),0)</f>
        <v>92</v>
      </c>
      <c r="E93" s="24">
        <f>VLOOKUP($A93&amp;$B93,OH!$A$2:$AB$62,COLUMN(E93)+13,0)*
VLOOKUP(VLOOKUP($A93&amp;$B93,'IP1'!$A$37:$F$89,6,0),
VATrates,
IF(YEAR(E$72)=2013,5,6),0)</f>
        <v>92</v>
      </c>
      <c r="F93" s="24">
        <f>VLOOKUP($A93&amp;$B93,OH!$A$2:$AB$62,COLUMN(F93)+13,0)*
VLOOKUP(VLOOKUP($A93&amp;$B93,'IP1'!$A$37:$F$89,6,0),
VATrates,
IF(YEAR(F$72)=2013,5,6),0)</f>
        <v>276</v>
      </c>
      <c r="G93" s="24">
        <f>VLOOKUP($A93&amp;$B93,OH!$A$2:$AB$62,COLUMN(G93)+13,0)*
VLOOKUP(VLOOKUP($A93&amp;$B93,'IP1'!$A$37:$F$89,6,0),
VATrates,
IF(YEAR(G$72)=2013,5,6),0)</f>
        <v>276</v>
      </c>
      <c r="H93" s="24">
        <f>VLOOKUP($A93&amp;$B93,OH!$A$2:$AB$62,COLUMN(H93)+13,0)*
VLOOKUP(VLOOKUP($A93&amp;$B93,'IP1'!$A$37:$F$89,6,0),
VATrates,
IF(YEAR(H$72)=2013,5,6),0)</f>
        <v>552</v>
      </c>
      <c r="I93" s="24">
        <f>VLOOKUP($A93&amp;$B93,OH!$A$2:$AB$62,COLUMN(I93)+13,0)*
VLOOKUP(VLOOKUP($A93&amp;$B93,'IP1'!$A$37:$F$89,6,0),
VATrates,
IF(YEAR(I$72)=2013,5,6),0)</f>
        <v>552</v>
      </c>
      <c r="J93" s="24">
        <f>VLOOKUP($A93&amp;$B93,OH!$A$2:$AB$62,COLUMN(J93)+13,0)*
VLOOKUP(VLOOKUP($A93&amp;$B93,'IP1'!$A$37:$F$89,6,0),
VATrates,
IF(YEAR(J$72)=2013,5,6),0)</f>
        <v>552</v>
      </c>
      <c r="K93" s="24">
        <f>VLOOKUP($A93&amp;$B93,OH!$A$2:$AB$62,COLUMN(K93)+13,0)*
VLOOKUP(VLOOKUP($A93&amp;$B93,'IP1'!$A$37:$F$89,6,0),
VATrates,
IF(YEAR(K$72)=2013,5,6),0)</f>
        <v>552</v>
      </c>
      <c r="L93" s="24">
        <f>VLOOKUP($A93&amp;$B93,OH!$A$2:$AB$62,COLUMN(L93)+13,0)*
VLOOKUP(VLOOKUP($A93&amp;$B93,'IP1'!$A$37:$F$89,6,0),
VATrates,
IF(YEAR(L$72)=2013,5,6),0)</f>
        <v>552</v>
      </c>
      <c r="M93" s="24">
        <f>VLOOKUP($A93&amp;$B93,OH!$A$2:$AB$62,COLUMN(M93)+13,0)*
VLOOKUP(VLOOKUP($A93&amp;$B93,'IP1'!$A$37:$F$89,6,0),
VATrates,
IF(YEAR(M$72)=2013,5,6),0)</f>
        <v>552</v>
      </c>
      <c r="N93" s="24">
        <f>VLOOKUP($A93&amp;$B93,OH!$A$2:$AB$62,COLUMN(N93)+13,0)*
VLOOKUP(VLOOKUP($A93&amp;$B93,'IP1'!$A$37:$F$89,6,0),
VATrates,
IF(YEAR(N$72)=2013,5,6),0)</f>
        <v>92</v>
      </c>
      <c r="O93" s="24">
        <f>VLOOKUP($A93&amp;$B93,OH!$A$2:$AB$62,COLUMN(O93)+13,0)*
VLOOKUP(VLOOKUP($A93&amp;$B93,'IP1'!$A$37:$F$89,6,0),
VATrates,
IF(YEAR(O$72)=2013,5,6),0)</f>
        <v>460</v>
      </c>
    </row>
    <row r="94" spans="1:15">
      <c r="A94" s="16" t="s">
        <v>155</v>
      </c>
      <c r="B94" s="16" t="s">
        <v>487</v>
      </c>
      <c r="C94" s="16"/>
      <c r="D94" s="24">
        <f>VLOOKUP($A94&amp;$B94,OH!$A$2:$AB$62,COLUMN(D94)+13,0)*
VLOOKUP(VLOOKUP($A94&amp;$B94,'IP1'!$A$37:$F$89,6,0),
VATrates,
IF(YEAR(D$72)=2013,5,6),0)</f>
        <v>276</v>
      </c>
      <c r="E94" s="24">
        <f>VLOOKUP($A94&amp;$B94,OH!$A$2:$AB$62,COLUMN(E94)+13,0)*
VLOOKUP(VLOOKUP($A94&amp;$B94,'IP1'!$A$37:$F$89,6,0),
VATrates,
IF(YEAR(E$72)=2013,5,6),0)</f>
        <v>276</v>
      </c>
      <c r="F94" s="24">
        <f>VLOOKUP($A94&amp;$B94,OH!$A$2:$AB$62,COLUMN(F94)+13,0)*
VLOOKUP(VLOOKUP($A94&amp;$B94,'IP1'!$A$37:$F$89,6,0),
VATrates,
IF(YEAR(F$72)=2013,5,6),0)</f>
        <v>460</v>
      </c>
      <c r="G94" s="24">
        <f>VLOOKUP($A94&amp;$B94,OH!$A$2:$AB$62,COLUMN(G94)+13,0)*
VLOOKUP(VLOOKUP($A94&amp;$B94,'IP1'!$A$37:$F$89,6,0),
VATrates,
IF(YEAR(G$72)=2013,5,6),0)</f>
        <v>828</v>
      </c>
      <c r="H94" s="24">
        <f>VLOOKUP($A94&amp;$B94,OH!$A$2:$AB$62,COLUMN(H94)+13,0)*
VLOOKUP(VLOOKUP($A94&amp;$B94,'IP1'!$A$37:$F$89,6,0),
VATrates,
IF(YEAR(H$72)=2013,5,6),0)</f>
        <v>920</v>
      </c>
      <c r="I94" s="24">
        <f>VLOOKUP($A94&amp;$B94,OH!$A$2:$AB$62,COLUMN(I94)+13,0)*
VLOOKUP(VLOOKUP($A94&amp;$B94,'IP1'!$A$37:$F$89,6,0),
VATrates,
IF(YEAR(I$72)=2013,5,6),0)</f>
        <v>920</v>
      </c>
      <c r="J94" s="24">
        <f>VLOOKUP($A94&amp;$B94,OH!$A$2:$AB$62,COLUMN(J94)+13,0)*
VLOOKUP(VLOOKUP($A94&amp;$B94,'IP1'!$A$37:$F$89,6,0),
VATrates,
IF(YEAR(J$72)=2013,5,6),0)</f>
        <v>1196</v>
      </c>
      <c r="K94" s="24">
        <f>VLOOKUP($A94&amp;$B94,OH!$A$2:$AB$62,COLUMN(K94)+13,0)*
VLOOKUP(VLOOKUP($A94&amp;$B94,'IP1'!$A$37:$F$89,6,0),
VATrates,
IF(YEAR(K$72)=2013,5,6),0)</f>
        <v>1196</v>
      </c>
      <c r="L94" s="24">
        <f>VLOOKUP($A94&amp;$B94,OH!$A$2:$AB$62,COLUMN(L94)+13,0)*
VLOOKUP(VLOOKUP($A94&amp;$B94,'IP1'!$A$37:$F$89,6,0),
VATrates,
IF(YEAR(L$72)=2013,5,6),0)</f>
        <v>920</v>
      </c>
      <c r="M94" s="24">
        <f>VLOOKUP($A94&amp;$B94,OH!$A$2:$AB$62,COLUMN(M94)+13,0)*
VLOOKUP(VLOOKUP($A94&amp;$B94,'IP1'!$A$37:$F$89,6,0),
VATrates,
IF(YEAR(M$72)=2013,5,6),0)</f>
        <v>828</v>
      </c>
      <c r="N94" s="24">
        <f>VLOOKUP($A94&amp;$B94,OH!$A$2:$AB$62,COLUMN(N94)+13,0)*
VLOOKUP(VLOOKUP($A94&amp;$B94,'IP1'!$A$37:$F$89,6,0),
VATrates,
IF(YEAR(N$72)=2013,5,6),0)</f>
        <v>276</v>
      </c>
      <c r="O94" s="24">
        <f>VLOOKUP($A94&amp;$B94,OH!$A$2:$AB$62,COLUMN(O94)+13,0)*
VLOOKUP(VLOOKUP($A94&amp;$B94,'IP1'!$A$37:$F$89,6,0),
VATrates,
IF(YEAR(O$72)=2013,5,6),0)</f>
        <v>1104</v>
      </c>
    </row>
    <row r="95" spans="1:15">
      <c r="A95" s="16" t="s">
        <v>155</v>
      </c>
      <c r="B95" s="16" t="s">
        <v>454</v>
      </c>
      <c r="C95" s="16"/>
      <c r="D95" s="24">
        <f>VLOOKUP($A95&amp;$B95,OH!$A$2:$AB$62,COLUMN(D95)+13,0)*
VLOOKUP(VLOOKUP($A95&amp;$B95,'IP1'!$A$37:$F$89,6,0),
VATrates,
IF(YEAR(D$72)=2013,5,6),0)</f>
        <v>0</v>
      </c>
      <c r="E95" s="24">
        <f>VLOOKUP($A95&amp;$B95,OH!$A$2:$AB$62,COLUMN(E95)+13,0)*
VLOOKUP(VLOOKUP($A95&amp;$B95,'IP1'!$A$37:$F$89,6,0),
VATrates,
IF(YEAR(E$72)=2013,5,6),0)</f>
        <v>86.25</v>
      </c>
      <c r="F95" s="24">
        <f>VLOOKUP($A95&amp;$B95,OH!$A$2:$AB$62,COLUMN(F95)+13,0)*
VLOOKUP(VLOOKUP($A95&amp;$B95,'IP1'!$A$37:$F$89,6,0),
VATrates,
IF(YEAR(F$72)=2013,5,6),0)</f>
        <v>0</v>
      </c>
      <c r="G95" s="24">
        <f>VLOOKUP($A95&amp;$B95,OH!$A$2:$AB$62,COLUMN(G95)+13,0)*
VLOOKUP(VLOOKUP($A95&amp;$B95,'IP1'!$A$37:$F$89,6,0),
VATrates,
IF(YEAR(G$72)=2013,5,6),0)</f>
        <v>0</v>
      </c>
      <c r="H95" s="24">
        <f>VLOOKUP($A95&amp;$B95,OH!$A$2:$AB$62,COLUMN(H95)+13,0)*
VLOOKUP(VLOOKUP($A95&amp;$B95,'IP1'!$A$37:$F$89,6,0),
VATrates,
IF(YEAR(H$72)=2013,5,6),0)</f>
        <v>86.25</v>
      </c>
      <c r="I95" s="24">
        <f>VLOOKUP($A95&amp;$B95,OH!$A$2:$AB$62,COLUMN(I95)+13,0)*
VLOOKUP(VLOOKUP($A95&amp;$B95,'IP1'!$A$37:$F$89,6,0),
VATrates,
IF(YEAR(I$72)=2013,5,6),0)</f>
        <v>0</v>
      </c>
      <c r="J95" s="24">
        <f>VLOOKUP($A95&amp;$B95,OH!$A$2:$AB$62,COLUMN(J95)+13,0)*
VLOOKUP(VLOOKUP($A95&amp;$B95,'IP1'!$A$37:$F$89,6,0),
VATrates,
IF(YEAR(J$72)=2013,5,6),0)</f>
        <v>0</v>
      </c>
      <c r="K95" s="24">
        <f>VLOOKUP($A95&amp;$B95,OH!$A$2:$AB$62,COLUMN(K95)+13,0)*
VLOOKUP(VLOOKUP($A95&amp;$B95,'IP1'!$A$37:$F$89,6,0),
VATrates,
IF(YEAR(K$72)=2013,5,6),0)</f>
        <v>86.25</v>
      </c>
      <c r="L95" s="24">
        <f>VLOOKUP($A95&amp;$B95,OH!$A$2:$AB$62,COLUMN(L95)+13,0)*
VLOOKUP(VLOOKUP($A95&amp;$B95,'IP1'!$A$37:$F$89,6,0),
VATrates,
IF(YEAR(L$72)=2013,5,6),0)</f>
        <v>0</v>
      </c>
      <c r="M95" s="24">
        <f>VLOOKUP($A95&amp;$B95,OH!$A$2:$AB$62,COLUMN(M95)+13,0)*
VLOOKUP(VLOOKUP($A95&amp;$B95,'IP1'!$A$37:$F$89,6,0),
VATrates,
IF(YEAR(M$72)=2013,5,6),0)</f>
        <v>0</v>
      </c>
      <c r="N95" s="24">
        <f>VLOOKUP($A95&amp;$B95,OH!$A$2:$AB$62,COLUMN(N95)+13,0)*
VLOOKUP(VLOOKUP($A95&amp;$B95,'IP1'!$A$37:$F$89,6,0),
VATrates,
IF(YEAR(N$72)=2013,5,6),0)</f>
        <v>86.25</v>
      </c>
      <c r="O95" s="24">
        <f>VLOOKUP($A95&amp;$B95,OH!$A$2:$AB$62,COLUMN(O95)+13,0)*
VLOOKUP(VLOOKUP($A95&amp;$B95,'IP1'!$A$37:$F$89,6,0),
VATrates,
IF(YEAR(O$72)=2013,5,6),0)</f>
        <v>0</v>
      </c>
    </row>
    <row r="96" spans="1:15">
      <c r="A96" s="16" t="s">
        <v>155</v>
      </c>
      <c r="B96" s="16" t="s">
        <v>455</v>
      </c>
      <c r="C96" s="16"/>
      <c r="D96" s="24">
        <f>VLOOKUP($A96&amp;$B96,OH!$A$2:$AB$62,COLUMN(D96)+13,0)*
VLOOKUP(VLOOKUP($A96&amp;$B96,'IP1'!$A$37:$F$89,6,0),
VATrates,
IF(YEAR(D$72)=2013,5,6),0)</f>
        <v>191.66666666666669</v>
      </c>
      <c r="E96" s="24">
        <f>VLOOKUP($A96&amp;$B96,OH!$A$2:$AB$62,COLUMN(E96)+13,0)*
VLOOKUP(VLOOKUP($A96&amp;$B96,'IP1'!$A$37:$F$89,6,0),
VATrates,
IF(YEAR(E$72)=2013,5,6),0)</f>
        <v>191.66666666666669</v>
      </c>
      <c r="F96" s="24">
        <f>VLOOKUP($A96&amp;$B96,OH!$A$2:$AB$62,COLUMN(F96)+13,0)*
VLOOKUP(VLOOKUP($A96&amp;$B96,'IP1'!$A$37:$F$89,6,0),
VATrates,
IF(YEAR(F$72)=2013,5,6),0)</f>
        <v>191.66666666666669</v>
      </c>
      <c r="G96" s="24">
        <f>VLOOKUP($A96&amp;$B96,OH!$A$2:$AB$62,COLUMN(G96)+13,0)*
VLOOKUP(VLOOKUP($A96&amp;$B96,'IP1'!$A$37:$F$89,6,0),
VATrates,
IF(YEAR(G$72)=2013,5,6),0)</f>
        <v>191.66666666666669</v>
      </c>
      <c r="H96" s="24">
        <f>VLOOKUP($A96&amp;$B96,OH!$A$2:$AB$62,COLUMN(H96)+13,0)*
VLOOKUP(VLOOKUP($A96&amp;$B96,'IP1'!$A$37:$F$89,6,0),
VATrates,
IF(YEAR(H$72)=2013,5,6),0)</f>
        <v>191.66666666666669</v>
      </c>
      <c r="I96" s="24">
        <f>VLOOKUP($A96&amp;$B96,OH!$A$2:$AB$62,COLUMN(I96)+13,0)*
VLOOKUP(VLOOKUP($A96&amp;$B96,'IP1'!$A$37:$F$89,6,0),
VATrates,
IF(YEAR(I$72)=2013,5,6),0)</f>
        <v>191.66666666666669</v>
      </c>
      <c r="J96" s="24">
        <f>VLOOKUP($A96&amp;$B96,OH!$A$2:$AB$62,COLUMN(J96)+13,0)*
VLOOKUP(VLOOKUP($A96&amp;$B96,'IP1'!$A$37:$F$89,6,0),
VATrates,
IF(YEAR(J$72)=2013,5,6),0)</f>
        <v>191.66666666666669</v>
      </c>
      <c r="K96" s="24">
        <f>VLOOKUP($A96&amp;$B96,OH!$A$2:$AB$62,COLUMN(K96)+13,0)*
VLOOKUP(VLOOKUP($A96&amp;$B96,'IP1'!$A$37:$F$89,6,0),
VATrates,
IF(YEAR(K$72)=2013,5,6),0)</f>
        <v>191.66666666666669</v>
      </c>
      <c r="L96" s="24">
        <f>VLOOKUP($A96&amp;$B96,OH!$A$2:$AB$62,COLUMN(L96)+13,0)*
VLOOKUP(VLOOKUP($A96&amp;$B96,'IP1'!$A$37:$F$89,6,0),
VATrates,
IF(YEAR(L$72)=2013,5,6),0)</f>
        <v>191.66666666666669</v>
      </c>
      <c r="M96" s="24">
        <f>VLOOKUP($A96&amp;$B96,OH!$A$2:$AB$62,COLUMN(M96)+13,0)*
VLOOKUP(VLOOKUP($A96&amp;$B96,'IP1'!$A$37:$F$89,6,0),
VATrates,
IF(YEAR(M$72)=2013,5,6),0)</f>
        <v>191.66666666666669</v>
      </c>
      <c r="N96" s="24">
        <f>VLOOKUP($A96&amp;$B96,OH!$A$2:$AB$62,COLUMN(N96)+13,0)*
VLOOKUP(VLOOKUP($A96&amp;$B96,'IP1'!$A$37:$F$89,6,0),
VATrates,
IF(YEAR(N$72)=2013,5,6),0)</f>
        <v>191.66666666666669</v>
      </c>
      <c r="O96" s="24">
        <f>VLOOKUP($A96&amp;$B96,OH!$A$2:$AB$62,COLUMN(O96)+13,0)*
VLOOKUP(VLOOKUP($A96&amp;$B96,'IP1'!$A$37:$F$89,6,0),
VATrates,
IF(YEAR(O$72)=2013,5,6),0)</f>
        <v>191.66666666666669</v>
      </c>
    </row>
    <row r="97" spans="1:15">
      <c r="A97" s="16" t="s">
        <v>155</v>
      </c>
      <c r="B97" s="16" t="s">
        <v>456</v>
      </c>
      <c r="C97" s="16"/>
      <c r="D97" s="24">
        <f>VLOOKUP($A97&amp;$B97,OH!$A$2:$AB$62,COLUMN(D97)+13,0)*
VLOOKUP(VLOOKUP($A97&amp;$B97,'IP1'!$A$37:$F$89,6,0),
VATrates,
IF(YEAR(D$72)=2013,5,6),0)</f>
        <v>0</v>
      </c>
      <c r="E97" s="24">
        <f>VLOOKUP($A97&amp;$B97,OH!$A$2:$AB$62,COLUMN(E97)+13,0)*
VLOOKUP(VLOOKUP($A97&amp;$B97,'IP1'!$A$37:$F$89,6,0),
VATrates,
IF(YEAR(E$72)=2013,5,6),0)</f>
        <v>287.5</v>
      </c>
      <c r="F97" s="24">
        <f>VLOOKUP($A97&amp;$B97,OH!$A$2:$AB$62,COLUMN(F97)+13,0)*
VLOOKUP(VLOOKUP($A97&amp;$B97,'IP1'!$A$37:$F$89,6,0),
VATrates,
IF(YEAR(F$72)=2013,5,6),0)</f>
        <v>0</v>
      </c>
      <c r="G97" s="24">
        <f>VLOOKUP($A97&amp;$B97,OH!$A$2:$AB$62,COLUMN(G97)+13,0)*
VLOOKUP(VLOOKUP($A97&amp;$B97,'IP1'!$A$37:$F$89,6,0),
VATrates,
IF(YEAR(G$72)=2013,5,6),0)</f>
        <v>0</v>
      </c>
      <c r="H97" s="24">
        <f>VLOOKUP($A97&amp;$B97,OH!$A$2:$AB$62,COLUMN(H97)+13,0)*
VLOOKUP(VLOOKUP($A97&amp;$B97,'IP1'!$A$37:$F$89,6,0),
VATrates,
IF(YEAR(H$72)=2013,5,6),0)</f>
        <v>287.5</v>
      </c>
      <c r="I97" s="24">
        <f>VLOOKUP($A97&amp;$B97,OH!$A$2:$AB$62,COLUMN(I97)+13,0)*
VLOOKUP(VLOOKUP($A97&amp;$B97,'IP1'!$A$37:$F$89,6,0),
VATrates,
IF(YEAR(I$72)=2013,5,6),0)</f>
        <v>0</v>
      </c>
      <c r="J97" s="24">
        <f>VLOOKUP($A97&amp;$B97,OH!$A$2:$AB$62,COLUMN(J97)+13,0)*
VLOOKUP(VLOOKUP($A97&amp;$B97,'IP1'!$A$37:$F$89,6,0),
VATrates,
IF(YEAR(J$72)=2013,5,6),0)</f>
        <v>0</v>
      </c>
      <c r="K97" s="24">
        <f>VLOOKUP($A97&amp;$B97,OH!$A$2:$AB$62,COLUMN(K97)+13,0)*
VLOOKUP(VLOOKUP($A97&amp;$B97,'IP1'!$A$37:$F$89,6,0),
VATrates,
IF(YEAR(K$72)=2013,5,6),0)</f>
        <v>287.5</v>
      </c>
      <c r="L97" s="24">
        <f>VLOOKUP($A97&amp;$B97,OH!$A$2:$AB$62,COLUMN(L97)+13,0)*
VLOOKUP(VLOOKUP($A97&amp;$B97,'IP1'!$A$37:$F$89,6,0),
VATrates,
IF(YEAR(L$72)=2013,5,6),0)</f>
        <v>0</v>
      </c>
      <c r="M97" s="24">
        <f>VLOOKUP($A97&amp;$B97,OH!$A$2:$AB$62,COLUMN(M97)+13,0)*
VLOOKUP(VLOOKUP($A97&amp;$B97,'IP1'!$A$37:$F$89,6,0),
VATrates,
IF(YEAR(M$72)=2013,5,6),0)</f>
        <v>0</v>
      </c>
      <c r="N97" s="24">
        <f>VLOOKUP($A97&amp;$B97,OH!$A$2:$AB$62,COLUMN(N97)+13,0)*
VLOOKUP(VLOOKUP($A97&amp;$B97,'IP1'!$A$37:$F$89,6,0),
VATrates,
IF(YEAR(N$72)=2013,5,6),0)</f>
        <v>287.5</v>
      </c>
      <c r="O97" s="24">
        <f>VLOOKUP($A97&amp;$B97,OH!$A$2:$AB$62,COLUMN(O97)+13,0)*
VLOOKUP(VLOOKUP($A97&amp;$B97,'IP1'!$A$37:$F$89,6,0),
VATrates,
IF(YEAR(O$72)=2013,5,6),0)</f>
        <v>0</v>
      </c>
    </row>
    <row r="98" spans="1:15">
      <c r="A98" s="16" t="s">
        <v>155</v>
      </c>
      <c r="B98" s="16" t="s">
        <v>457</v>
      </c>
      <c r="C98" s="16"/>
      <c r="D98" s="24">
        <f>VLOOKUP($A98&amp;$B98,OH!$A$2:$AB$62,COLUMN(D98)+13,0)*
VLOOKUP(VLOOKUP($A98&amp;$B98,'IP1'!$A$37:$F$89,6,0),
VATrates,
IF(YEAR(D$72)=2013,5,6),0)</f>
        <v>34.5</v>
      </c>
      <c r="E98" s="24">
        <f>VLOOKUP($A98&amp;$B98,OH!$A$2:$AB$62,COLUMN(E98)+13,0)*
VLOOKUP(VLOOKUP($A98&amp;$B98,'IP1'!$A$37:$F$89,6,0),
VATrates,
IF(YEAR(E$72)=2013,5,6),0)</f>
        <v>34.5</v>
      </c>
      <c r="F98" s="24">
        <f>VLOOKUP($A98&amp;$B98,OH!$A$2:$AB$62,COLUMN(F98)+13,0)*
VLOOKUP(VLOOKUP($A98&amp;$B98,'IP1'!$A$37:$F$89,6,0),
VATrates,
IF(YEAR(F$72)=2013,5,6),0)</f>
        <v>57.5</v>
      </c>
      <c r="G98" s="24">
        <f>VLOOKUP($A98&amp;$B98,OH!$A$2:$AB$62,COLUMN(G98)+13,0)*
VLOOKUP(VLOOKUP($A98&amp;$B98,'IP1'!$A$37:$F$89,6,0),
VATrates,
IF(YEAR(G$72)=2013,5,6),0)</f>
        <v>103.5</v>
      </c>
      <c r="H98" s="24">
        <f>VLOOKUP($A98&amp;$B98,OH!$A$2:$AB$62,COLUMN(H98)+13,0)*
VLOOKUP(VLOOKUP($A98&amp;$B98,'IP1'!$A$37:$F$89,6,0),
VATrates,
IF(YEAR(H$72)=2013,5,6),0)</f>
        <v>115</v>
      </c>
      <c r="I98" s="24">
        <f>VLOOKUP($A98&amp;$B98,OH!$A$2:$AB$62,COLUMN(I98)+13,0)*
VLOOKUP(VLOOKUP($A98&amp;$B98,'IP1'!$A$37:$F$89,6,0),
VATrates,
IF(YEAR(I$72)=2013,5,6),0)</f>
        <v>115</v>
      </c>
      <c r="J98" s="24">
        <f>VLOOKUP($A98&amp;$B98,OH!$A$2:$AB$62,COLUMN(J98)+13,0)*
VLOOKUP(VLOOKUP($A98&amp;$B98,'IP1'!$A$37:$F$89,6,0),
VATrates,
IF(YEAR(J$72)=2013,5,6),0)</f>
        <v>149.5</v>
      </c>
      <c r="K98" s="24">
        <f>VLOOKUP($A98&amp;$B98,OH!$A$2:$AB$62,COLUMN(K98)+13,0)*
VLOOKUP(VLOOKUP($A98&amp;$B98,'IP1'!$A$37:$F$89,6,0),
VATrates,
IF(YEAR(K$72)=2013,5,6),0)</f>
        <v>149.5</v>
      </c>
      <c r="L98" s="24">
        <f>VLOOKUP($A98&amp;$B98,OH!$A$2:$AB$62,COLUMN(L98)+13,0)*
VLOOKUP(VLOOKUP($A98&amp;$B98,'IP1'!$A$37:$F$89,6,0),
VATrates,
IF(YEAR(L$72)=2013,5,6),0)</f>
        <v>115</v>
      </c>
      <c r="M98" s="24">
        <f>VLOOKUP($A98&amp;$B98,OH!$A$2:$AB$62,COLUMN(M98)+13,0)*
VLOOKUP(VLOOKUP($A98&amp;$B98,'IP1'!$A$37:$F$89,6,0),
VATrates,
IF(YEAR(M$72)=2013,5,6),0)</f>
        <v>103.5</v>
      </c>
      <c r="N98" s="24">
        <f>VLOOKUP($A98&amp;$B98,OH!$A$2:$AB$62,COLUMN(N98)+13,0)*
VLOOKUP(VLOOKUP($A98&amp;$B98,'IP1'!$A$37:$F$89,6,0),
VATrates,
IF(YEAR(N$72)=2013,5,6),0)</f>
        <v>34.5</v>
      </c>
      <c r="O98" s="24">
        <f>VLOOKUP($A98&amp;$B98,OH!$A$2:$AB$62,COLUMN(O98)+13,0)*
VLOOKUP(VLOOKUP($A98&amp;$B98,'IP1'!$A$37:$F$89,6,0),
VATrates,
IF(YEAR(O$72)=2013,5,6),0)</f>
        <v>138</v>
      </c>
    </row>
    <row r="99" spans="1:15">
      <c r="A99" s="16" t="s">
        <v>155</v>
      </c>
      <c r="B99" s="16" t="s">
        <v>460</v>
      </c>
      <c r="C99" s="16"/>
      <c r="D99" s="24">
        <f>VLOOKUP($A99&amp;$B99,OH!$A$2:$AB$62,COLUMN(D99)+13,0)*
VLOOKUP(VLOOKUP($A99&amp;$B99,'IP1'!$A$37:$F$89,6,0),
VATrates,
IF(YEAR(D$72)=2013,5,6),0)</f>
        <v>95.833333333333343</v>
      </c>
      <c r="E99" s="24">
        <f>VLOOKUP($A99&amp;$B99,OH!$A$2:$AB$62,COLUMN(E99)+13,0)*
VLOOKUP(VLOOKUP($A99&amp;$B99,'IP1'!$A$37:$F$89,6,0),
VATrates,
IF(YEAR(E$72)=2013,5,6),0)</f>
        <v>95.833333333333343</v>
      </c>
      <c r="F99" s="24">
        <f>VLOOKUP($A99&amp;$B99,OH!$A$2:$AB$62,COLUMN(F99)+13,0)*
VLOOKUP(VLOOKUP($A99&amp;$B99,'IP1'!$A$37:$F$89,6,0),
VATrates,
IF(YEAR(F$72)=2013,5,6),0)</f>
        <v>95.833333333333343</v>
      </c>
      <c r="G99" s="24">
        <f>VLOOKUP($A99&amp;$B99,OH!$A$2:$AB$62,COLUMN(G99)+13,0)*
VLOOKUP(VLOOKUP($A99&amp;$B99,'IP1'!$A$37:$F$89,6,0),
VATrates,
IF(YEAR(G$72)=2013,5,6),0)</f>
        <v>95.833333333333343</v>
      </c>
      <c r="H99" s="24">
        <f>VLOOKUP($A99&amp;$B99,OH!$A$2:$AB$62,COLUMN(H99)+13,0)*
VLOOKUP(VLOOKUP($A99&amp;$B99,'IP1'!$A$37:$F$89,6,0),
VATrates,
IF(YEAR(H$72)=2013,5,6),0)</f>
        <v>95.833333333333343</v>
      </c>
      <c r="I99" s="24">
        <f>VLOOKUP($A99&amp;$B99,OH!$A$2:$AB$62,COLUMN(I99)+13,0)*
VLOOKUP(VLOOKUP($A99&amp;$B99,'IP1'!$A$37:$F$89,6,0),
VATrates,
IF(YEAR(I$72)=2013,5,6),0)</f>
        <v>95.833333333333343</v>
      </c>
      <c r="J99" s="24">
        <f>VLOOKUP($A99&amp;$B99,OH!$A$2:$AB$62,COLUMN(J99)+13,0)*
VLOOKUP(VLOOKUP($A99&amp;$B99,'IP1'!$A$37:$F$89,6,0),
VATrates,
IF(YEAR(J$72)=2013,5,6),0)</f>
        <v>95.833333333333343</v>
      </c>
      <c r="K99" s="24">
        <f>VLOOKUP($A99&amp;$B99,OH!$A$2:$AB$62,COLUMN(K99)+13,0)*
VLOOKUP(VLOOKUP($A99&amp;$B99,'IP1'!$A$37:$F$89,6,0),
VATrates,
IF(YEAR(K$72)=2013,5,6),0)</f>
        <v>95.833333333333343</v>
      </c>
      <c r="L99" s="24">
        <f>VLOOKUP($A99&amp;$B99,OH!$A$2:$AB$62,COLUMN(L99)+13,0)*
VLOOKUP(VLOOKUP($A99&amp;$B99,'IP1'!$A$37:$F$89,6,0),
VATrates,
IF(YEAR(L$72)=2013,5,6),0)</f>
        <v>95.833333333333343</v>
      </c>
      <c r="M99" s="24">
        <f>VLOOKUP($A99&amp;$B99,OH!$A$2:$AB$62,COLUMN(M99)+13,0)*
VLOOKUP(VLOOKUP($A99&amp;$B99,'IP1'!$A$37:$F$89,6,0),
VATrates,
IF(YEAR(M$72)=2013,5,6),0)</f>
        <v>95.833333333333343</v>
      </c>
      <c r="N99" s="24">
        <f>VLOOKUP($A99&amp;$B99,OH!$A$2:$AB$62,COLUMN(N99)+13,0)*
VLOOKUP(VLOOKUP($A99&amp;$B99,'IP1'!$A$37:$F$89,6,0),
VATrates,
IF(YEAR(N$72)=2013,5,6),0)</f>
        <v>95.833333333333343</v>
      </c>
      <c r="O99" s="24">
        <f>VLOOKUP($A99&amp;$B99,OH!$A$2:$AB$62,COLUMN(O99)+13,0)*
VLOOKUP(VLOOKUP($A99&amp;$B99,'IP1'!$A$37:$F$89,6,0),
VATrates,
IF(YEAR(O$72)=2013,5,6),0)</f>
        <v>95.833333333333343</v>
      </c>
    </row>
    <row r="100" spans="1:15">
      <c r="A100" s="16" t="s">
        <v>155</v>
      </c>
      <c r="B100" s="16" t="s">
        <v>458</v>
      </c>
      <c r="C100" s="16"/>
      <c r="D100" s="24">
        <f>VLOOKUP($A100&amp;$B100,OH!$A$2:$AB$62,COLUMN(D100)+13,0)*
VLOOKUP(VLOOKUP($A100&amp;$B100,'IP1'!$A$37:$F$89,6,0),
VATrates,
IF(YEAR(D$72)=2013,5,6),0)</f>
        <v>9.5833333333333339</v>
      </c>
      <c r="E100" s="24">
        <f>VLOOKUP($A100&amp;$B100,OH!$A$2:$AB$62,COLUMN(E100)+13,0)*
VLOOKUP(VLOOKUP($A100&amp;$B100,'IP1'!$A$37:$F$89,6,0),
VATrates,
IF(YEAR(E$72)=2013,5,6),0)</f>
        <v>9.5833333333333339</v>
      </c>
      <c r="F100" s="24">
        <f>VLOOKUP($A100&amp;$B100,OH!$A$2:$AB$62,COLUMN(F100)+13,0)*
VLOOKUP(VLOOKUP($A100&amp;$B100,'IP1'!$A$37:$F$89,6,0),
VATrates,
IF(YEAR(F$72)=2013,5,6),0)</f>
        <v>9.5833333333333339</v>
      </c>
      <c r="G100" s="24">
        <f>VLOOKUP($A100&amp;$B100,OH!$A$2:$AB$62,COLUMN(G100)+13,0)*
VLOOKUP(VLOOKUP($A100&amp;$B100,'IP1'!$A$37:$F$89,6,0),
VATrates,
IF(YEAR(G$72)=2013,5,6),0)</f>
        <v>9.5833333333333339</v>
      </c>
      <c r="H100" s="24">
        <f>VLOOKUP($A100&amp;$B100,OH!$A$2:$AB$62,COLUMN(H100)+13,0)*
VLOOKUP(VLOOKUP($A100&amp;$B100,'IP1'!$A$37:$F$89,6,0),
VATrates,
IF(YEAR(H$72)=2013,5,6),0)</f>
        <v>9.5833333333333339</v>
      </c>
      <c r="I100" s="24">
        <f>VLOOKUP($A100&amp;$B100,OH!$A$2:$AB$62,COLUMN(I100)+13,0)*
VLOOKUP(VLOOKUP($A100&amp;$B100,'IP1'!$A$37:$F$89,6,0),
VATrates,
IF(YEAR(I$72)=2013,5,6),0)</f>
        <v>9.5833333333333339</v>
      </c>
      <c r="J100" s="24">
        <f>VLOOKUP($A100&amp;$B100,OH!$A$2:$AB$62,COLUMN(J100)+13,0)*
VLOOKUP(VLOOKUP($A100&amp;$B100,'IP1'!$A$37:$F$89,6,0),
VATrates,
IF(YEAR(J$72)=2013,5,6),0)</f>
        <v>9.5833333333333339</v>
      </c>
      <c r="K100" s="24">
        <f>VLOOKUP($A100&amp;$B100,OH!$A$2:$AB$62,COLUMN(K100)+13,0)*
VLOOKUP(VLOOKUP($A100&amp;$B100,'IP1'!$A$37:$F$89,6,0),
VATrates,
IF(YEAR(K$72)=2013,5,6),0)</f>
        <v>9.5833333333333339</v>
      </c>
      <c r="L100" s="24">
        <f>VLOOKUP($A100&amp;$B100,OH!$A$2:$AB$62,COLUMN(L100)+13,0)*
VLOOKUP(VLOOKUP($A100&amp;$B100,'IP1'!$A$37:$F$89,6,0),
VATrates,
IF(YEAR(L$72)=2013,5,6),0)</f>
        <v>9.5833333333333339</v>
      </c>
      <c r="M100" s="24">
        <f>VLOOKUP($A100&amp;$B100,OH!$A$2:$AB$62,COLUMN(M100)+13,0)*
VLOOKUP(VLOOKUP($A100&amp;$B100,'IP1'!$A$37:$F$89,6,0),
VATrates,
IF(YEAR(M$72)=2013,5,6),0)</f>
        <v>9.5833333333333339</v>
      </c>
      <c r="N100" s="24">
        <f>VLOOKUP($A100&amp;$B100,OH!$A$2:$AB$62,COLUMN(N100)+13,0)*
VLOOKUP(VLOOKUP($A100&amp;$B100,'IP1'!$A$37:$F$89,6,0),
VATrates,
IF(YEAR(N$72)=2013,5,6),0)</f>
        <v>9.5833333333333339</v>
      </c>
      <c r="O100" s="24">
        <f>VLOOKUP($A100&amp;$B100,OH!$A$2:$AB$62,COLUMN(O100)+13,0)*
VLOOKUP(VLOOKUP($A100&amp;$B100,'IP1'!$A$37:$F$89,6,0),
VATrates,
IF(YEAR(O$72)=2013,5,6),0)</f>
        <v>9.5833333333333339</v>
      </c>
    </row>
    <row r="101" spans="1:15">
      <c r="A101" s="16" t="s">
        <v>155</v>
      </c>
      <c r="B101" s="16" t="s">
        <v>459</v>
      </c>
      <c r="C101" s="16"/>
      <c r="D101" s="24">
        <f>VLOOKUP($A101&amp;$B101,OH!$A$2:$AB$62,COLUMN(D101)+13,0)*
VLOOKUP(VLOOKUP($A101&amp;$B101,'IP1'!$A$37:$F$89,6,0),
VATrates,
IF(YEAR(D$72)=2013,5,6),0)</f>
        <v>47.916666666666671</v>
      </c>
      <c r="E101" s="24">
        <f>VLOOKUP($A101&amp;$B101,OH!$A$2:$AB$62,COLUMN(E101)+13,0)*
VLOOKUP(VLOOKUP($A101&amp;$B101,'IP1'!$A$37:$F$89,6,0),
VATrates,
IF(YEAR(E$72)=2013,5,6),0)</f>
        <v>47.916666666666671</v>
      </c>
      <c r="F101" s="24">
        <f>VLOOKUP($A101&amp;$B101,OH!$A$2:$AB$62,COLUMN(F101)+13,0)*
VLOOKUP(VLOOKUP($A101&amp;$B101,'IP1'!$A$37:$F$89,6,0),
VATrates,
IF(YEAR(F$72)=2013,5,6),0)</f>
        <v>47.916666666666671</v>
      </c>
      <c r="G101" s="24">
        <f>VLOOKUP($A101&amp;$B101,OH!$A$2:$AB$62,COLUMN(G101)+13,0)*
VLOOKUP(VLOOKUP($A101&amp;$B101,'IP1'!$A$37:$F$89,6,0),
VATrates,
IF(YEAR(G$72)=2013,5,6),0)</f>
        <v>47.916666666666671</v>
      </c>
      <c r="H101" s="24">
        <f>VLOOKUP($A101&amp;$B101,OH!$A$2:$AB$62,COLUMN(H101)+13,0)*
VLOOKUP(VLOOKUP($A101&amp;$B101,'IP1'!$A$37:$F$89,6,0),
VATrates,
IF(YEAR(H$72)=2013,5,6),0)</f>
        <v>47.916666666666671</v>
      </c>
      <c r="I101" s="24">
        <f>VLOOKUP($A101&amp;$B101,OH!$A$2:$AB$62,COLUMN(I101)+13,0)*
VLOOKUP(VLOOKUP($A101&amp;$B101,'IP1'!$A$37:$F$89,6,0),
VATrates,
IF(YEAR(I$72)=2013,5,6),0)</f>
        <v>47.916666666666671</v>
      </c>
      <c r="J101" s="24">
        <f>VLOOKUP($A101&amp;$B101,OH!$A$2:$AB$62,COLUMN(J101)+13,0)*
VLOOKUP(VLOOKUP($A101&amp;$B101,'IP1'!$A$37:$F$89,6,0),
VATrates,
IF(YEAR(J$72)=2013,5,6),0)</f>
        <v>47.916666666666671</v>
      </c>
      <c r="K101" s="24">
        <f>VLOOKUP($A101&amp;$B101,OH!$A$2:$AB$62,COLUMN(K101)+13,0)*
VLOOKUP(VLOOKUP($A101&amp;$B101,'IP1'!$A$37:$F$89,6,0),
VATrates,
IF(YEAR(K$72)=2013,5,6),0)</f>
        <v>47.916666666666671</v>
      </c>
      <c r="L101" s="24">
        <f>VLOOKUP($A101&amp;$B101,OH!$A$2:$AB$62,COLUMN(L101)+13,0)*
VLOOKUP(VLOOKUP($A101&amp;$B101,'IP1'!$A$37:$F$89,6,0),
VATrates,
IF(YEAR(L$72)=2013,5,6),0)</f>
        <v>47.916666666666671</v>
      </c>
      <c r="M101" s="24">
        <f>VLOOKUP($A101&amp;$B101,OH!$A$2:$AB$62,COLUMN(M101)+13,0)*
VLOOKUP(VLOOKUP($A101&amp;$B101,'IP1'!$A$37:$F$89,6,0),
VATrates,
IF(YEAR(M$72)=2013,5,6),0)</f>
        <v>47.916666666666671</v>
      </c>
      <c r="N101" s="24">
        <f>VLOOKUP($A101&amp;$B101,OH!$A$2:$AB$62,COLUMN(N101)+13,0)*
VLOOKUP(VLOOKUP($A101&amp;$B101,'IP1'!$A$37:$F$89,6,0),
VATrates,
IF(YEAR(N$72)=2013,5,6),0)</f>
        <v>47.916666666666671</v>
      </c>
      <c r="O101" s="24">
        <f>VLOOKUP($A101&amp;$B101,OH!$A$2:$AB$62,COLUMN(O101)+13,0)*
VLOOKUP(VLOOKUP($A101&amp;$B101,'IP1'!$A$37:$F$89,6,0),
VATrates,
IF(YEAR(O$72)=2013,5,6),0)</f>
        <v>47.916666666666671</v>
      </c>
    </row>
    <row r="102" spans="1:15">
      <c r="A102" s="16" t="s">
        <v>155</v>
      </c>
      <c r="B102" s="16" t="s">
        <v>488</v>
      </c>
      <c r="C102" s="16"/>
      <c r="D102" s="24">
        <f>VLOOKUP($A102&amp;$B102,OH!$A$2:$AB$62,COLUMN(D102)+13,0)*
VLOOKUP(VLOOKUP($A102&amp;$B102,'IP1'!$A$37:$F$89,6,0),
VATrates,
IF(YEAR(D$72)=2013,5,6),0)</f>
        <v>143.75</v>
      </c>
      <c r="E102" s="24">
        <f>VLOOKUP($A102&amp;$B102,OH!$A$2:$AB$62,COLUMN(E102)+13,0)*
VLOOKUP(VLOOKUP($A102&amp;$B102,'IP1'!$A$37:$F$89,6,0),
VATrates,
IF(YEAR(E$72)=2013,5,6),0)</f>
        <v>143.75</v>
      </c>
      <c r="F102" s="24">
        <f>VLOOKUP($A102&amp;$B102,OH!$A$2:$AB$62,COLUMN(F102)+13,0)*
VLOOKUP(VLOOKUP($A102&amp;$B102,'IP1'!$A$37:$F$89,6,0),
VATrates,
IF(YEAR(F$72)=2013,5,6),0)</f>
        <v>143.75</v>
      </c>
      <c r="G102" s="24">
        <f>VLOOKUP($A102&amp;$B102,OH!$A$2:$AB$62,COLUMN(G102)+13,0)*
VLOOKUP(VLOOKUP($A102&amp;$B102,'IP1'!$A$37:$F$89,6,0),
VATrates,
IF(YEAR(G$72)=2013,5,6),0)</f>
        <v>143.75</v>
      </c>
      <c r="H102" s="24">
        <f>VLOOKUP($A102&amp;$B102,OH!$A$2:$AB$62,COLUMN(H102)+13,0)*
VLOOKUP(VLOOKUP($A102&amp;$B102,'IP1'!$A$37:$F$89,6,0),
VATrates,
IF(YEAR(H$72)=2013,5,6),0)</f>
        <v>143.75</v>
      </c>
      <c r="I102" s="24">
        <f>VLOOKUP($A102&amp;$B102,OH!$A$2:$AB$62,COLUMN(I102)+13,0)*
VLOOKUP(VLOOKUP($A102&amp;$B102,'IP1'!$A$37:$F$89,6,0),
VATrates,
IF(YEAR(I$72)=2013,5,6),0)</f>
        <v>143.75</v>
      </c>
      <c r="J102" s="24">
        <f>VLOOKUP($A102&amp;$B102,OH!$A$2:$AB$62,COLUMN(J102)+13,0)*
VLOOKUP(VLOOKUP($A102&amp;$B102,'IP1'!$A$37:$F$89,6,0),
VATrates,
IF(YEAR(J$72)=2013,5,6),0)</f>
        <v>143.75</v>
      </c>
      <c r="K102" s="24">
        <f>VLOOKUP($A102&amp;$B102,OH!$A$2:$AB$62,COLUMN(K102)+13,0)*
VLOOKUP(VLOOKUP($A102&amp;$B102,'IP1'!$A$37:$F$89,6,0),
VATrates,
IF(YEAR(K$72)=2013,5,6),0)</f>
        <v>143.75</v>
      </c>
      <c r="L102" s="24">
        <f>VLOOKUP($A102&amp;$B102,OH!$A$2:$AB$62,COLUMN(L102)+13,0)*
VLOOKUP(VLOOKUP($A102&amp;$B102,'IP1'!$A$37:$F$89,6,0),
VATrates,
IF(YEAR(L$72)=2013,5,6),0)</f>
        <v>143.75</v>
      </c>
      <c r="M102" s="24">
        <f>VLOOKUP($A102&amp;$B102,OH!$A$2:$AB$62,COLUMN(M102)+13,0)*
VLOOKUP(VLOOKUP($A102&amp;$B102,'IP1'!$A$37:$F$89,6,0),
VATrates,
IF(YEAR(M$72)=2013,5,6),0)</f>
        <v>143.75</v>
      </c>
      <c r="N102" s="24">
        <f>VLOOKUP($A102&amp;$B102,OH!$A$2:$AB$62,COLUMN(N102)+13,0)*
VLOOKUP(VLOOKUP($A102&amp;$B102,'IP1'!$A$37:$F$89,6,0),
VATrates,
IF(YEAR(N$72)=2013,5,6),0)</f>
        <v>143.75</v>
      </c>
      <c r="O102" s="24">
        <f>VLOOKUP($A102&amp;$B102,OH!$A$2:$AB$62,COLUMN(O102)+13,0)*
VLOOKUP(VLOOKUP($A102&amp;$B102,'IP1'!$A$37:$F$89,6,0),
VATrates,
IF(YEAR(O$72)=2013,5,6),0)</f>
        <v>143.75</v>
      </c>
    </row>
    <row r="103" spans="1:15">
      <c r="A103" s="16" t="s">
        <v>155</v>
      </c>
      <c r="B103" s="16" t="s">
        <v>489</v>
      </c>
      <c r="C103" s="16"/>
      <c r="D103" s="24">
        <f>VLOOKUP($A103&amp;$B103,OH!$A$2:$AB$62,COLUMN(D103)+13,0)*
VLOOKUP(VLOOKUP($A103&amp;$B103,'IP1'!$A$37:$F$89,6,0),
VATrates,
IF(YEAR(D$72)=2013,5,6),0)</f>
        <v>191.66666666666669</v>
      </c>
      <c r="E103" s="24">
        <f>VLOOKUP($A103&amp;$B103,OH!$A$2:$AB$62,COLUMN(E103)+13,0)*
VLOOKUP(VLOOKUP($A103&amp;$B103,'IP1'!$A$37:$F$89,6,0),
VATrates,
IF(YEAR(E$72)=2013,5,6),0)</f>
        <v>191.66666666666669</v>
      </c>
      <c r="F103" s="24">
        <f>VLOOKUP($A103&amp;$B103,OH!$A$2:$AB$62,COLUMN(F103)+13,0)*
VLOOKUP(VLOOKUP($A103&amp;$B103,'IP1'!$A$37:$F$89,6,0),
VATrates,
IF(YEAR(F$72)=2013,5,6),0)</f>
        <v>191.66666666666669</v>
      </c>
      <c r="G103" s="24">
        <f>VLOOKUP($A103&amp;$B103,OH!$A$2:$AB$62,COLUMN(G103)+13,0)*
VLOOKUP(VLOOKUP($A103&amp;$B103,'IP1'!$A$37:$F$89,6,0),
VATrates,
IF(YEAR(G$72)=2013,5,6),0)</f>
        <v>191.66666666666669</v>
      </c>
      <c r="H103" s="24">
        <f>VLOOKUP($A103&amp;$B103,OH!$A$2:$AB$62,COLUMN(H103)+13,0)*
VLOOKUP(VLOOKUP($A103&amp;$B103,'IP1'!$A$37:$F$89,6,0),
VATrates,
IF(YEAR(H$72)=2013,5,6),0)</f>
        <v>191.66666666666669</v>
      </c>
      <c r="I103" s="24">
        <f>VLOOKUP($A103&amp;$B103,OH!$A$2:$AB$62,COLUMN(I103)+13,0)*
VLOOKUP(VLOOKUP($A103&amp;$B103,'IP1'!$A$37:$F$89,6,0),
VATrates,
IF(YEAR(I$72)=2013,5,6),0)</f>
        <v>191.66666666666669</v>
      </c>
      <c r="J103" s="24">
        <f>VLOOKUP($A103&amp;$B103,OH!$A$2:$AB$62,COLUMN(J103)+13,0)*
VLOOKUP(VLOOKUP($A103&amp;$B103,'IP1'!$A$37:$F$89,6,0),
VATrates,
IF(YEAR(J$72)=2013,5,6),0)</f>
        <v>191.66666666666669</v>
      </c>
      <c r="K103" s="24">
        <f>VLOOKUP($A103&amp;$B103,OH!$A$2:$AB$62,COLUMN(K103)+13,0)*
VLOOKUP(VLOOKUP($A103&amp;$B103,'IP1'!$A$37:$F$89,6,0),
VATrates,
IF(YEAR(K$72)=2013,5,6),0)</f>
        <v>191.66666666666669</v>
      </c>
      <c r="L103" s="24">
        <f>VLOOKUP($A103&amp;$B103,OH!$A$2:$AB$62,COLUMN(L103)+13,0)*
VLOOKUP(VLOOKUP($A103&amp;$B103,'IP1'!$A$37:$F$89,6,0),
VATrates,
IF(YEAR(L$72)=2013,5,6),0)</f>
        <v>191.66666666666669</v>
      </c>
      <c r="M103" s="24">
        <f>VLOOKUP($A103&amp;$B103,OH!$A$2:$AB$62,COLUMN(M103)+13,0)*
VLOOKUP(VLOOKUP($A103&amp;$B103,'IP1'!$A$37:$F$89,6,0),
VATrates,
IF(YEAR(M$72)=2013,5,6),0)</f>
        <v>191.66666666666669</v>
      </c>
      <c r="N103" s="24">
        <f>VLOOKUP($A103&amp;$B103,OH!$A$2:$AB$62,COLUMN(N103)+13,0)*
VLOOKUP(VLOOKUP($A103&amp;$B103,'IP1'!$A$37:$F$89,6,0),
VATrates,
IF(YEAR(N$72)=2013,5,6),0)</f>
        <v>191.66666666666669</v>
      </c>
      <c r="O103" s="24">
        <f>VLOOKUP($A103&amp;$B103,OH!$A$2:$AB$62,COLUMN(O103)+13,0)*
VLOOKUP(VLOOKUP($A103&amp;$B103,'IP1'!$A$37:$F$89,6,0),
VATrates,
IF(YEAR(O$72)=2013,5,6),0)</f>
        <v>191.66666666666669</v>
      </c>
    </row>
    <row r="104" spans="1:15">
      <c r="A104" s="16" t="s">
        <v>155</v>
      </c>
      <c r="B104" s="16" t="s">
        <v>490</v>
      </c>
      <c r="C104" s="16"/>
      <c r="D104" s="24">
        <f>VLOOKUP($A104&amp;$B104,OH!$A$2:$AB$62,COLUMN(D104)+13,0)*
VLOOKUP(VLOOKUP($A104&amp;$B104,'IP1'!$A$37:$F$89,6,0),
VATrates,
IF(YEAR(D$72)=2013,5,6),0)</f>
        <v>95.833333333333343</v>
      </c>
      <c r="E104" s="24">
        <f>VLOOKUP($A104&amp;$B104,OH!$A$2:$AB$62,COLUMN(E104)+13,0)*
VLOOKUP(VLOOKUP($A104&amp;$B104,'IP1'!$A$37:$F$89,6,0),
VATrates,
IF(YEAR(E$72)=2013,5,6),0)</f>
        <v>95.833333333333343</v>
      </c>
      <c r="F104" s="24">
        <f>VLOOKUP($A104&amp;$B104,OH!$A$2:$AB$62,COLUMN(F104)+13,0)*
VLOOKUP(VLOOKUP($A104&amp;$B104,'IP1'!$A$37:$F$89,6,0),
VATrates,
IF(YEAR(F$72)=2013,5,6),0)</f>
        <v>95.833333333333343</v>
      </c>
      <c r="G104" s="24">
        <f>VLOOKUP($A104&amp;$B104,OH!$A$2:$AB$62,COLUMN(G104)+13,0)*
VLOOKUP(VLOOKUP($A104&amp;$B104,'IP1'!$A$37:$F$89,6,0),
VATrates,
IF(YEAR(G$72)=2013,5,6),0)</f>
        <v>95.833333333333343</v>
      </c>
      <c r="H104" s="24">
        <f>VLOOKUP($A104&amp;$B104,OH!$A$2:$AB$62,COLUMN(H104)+13,0)*
VLOOKUP(VLOOKUP($A104&amp;$B104,'IP1'!$A$37:$F$89,6,0),
VATrates,
IF(YEAR(H$72)=2013,5,6),0)</f>
        <v>95.833333333333343</v>
      </c>
      <c r="I104" s="24">
        <f>VLOOKUP($A104&amp;$B104,OH!$A$2:$AB$62,COLUMN(I104)+13,0)*
VLOOKUP(VLOOKUP($A104&amp;$B104,'IP1'!$A$37:$F$89,6,0),
VATrates,
IF(YEAR(I$72)=2013,5,6),0)</f>
        <v>95.833333333333343</v>
      </c>
      <c r="J104" s="24">
        <f>VLOOKUP($A104&amp;$B104,OH!$A$2:$AB$62,COLUMN(J104)+13,0)*
VLOOKUP(VLOOKUP($A104&amp;$B104,'IP1'!$A$37:$F$89,6,0),
VATrates,
IF(YEAR(J$72)=2013,5,6),0)</f>
        <v>95.833333333333343</v>
      </c>
      <c r="K104" s="24">
        <f>VLOOKUP($A104&amp;$B104,OH!$A$2:$AB$62,COLUMN(K104)+13,0)*
VLOOKUP(VLOOKUP($A104&amp;$B104,'IP1'!$A$37:$F$89,6,0),
VATrates,
IF(YEAR(K$72)=2013,5,6),0)</f>
        <v>95.833333333333343</v>
      </c>
      <c r="L104" s="24">
        <f>VLOOKUP($A104&amp;$B104,OH!$A$2:$AB$62,COLUMN(L104)+13,0)*
VLOOKUP(VLOOKUP($A104&amp;$B104,'IP1'!$A$37:$F$89,6,0),
VATrates,
IF(YEAR(L$72)=2013,5,6),0)</f>
        <v>95.833333333333343</v>
      </c>
      <c r="M104" s="24">
        <f>VLOOKUP($A104&amp;$B104,OH!$A$2:$AB$62,COLUMN(M104)+13,0)*
VLOOKUP(VLOOKUP($A104&amp;$B104,'IP1'!$A$37:$F$89,6,0),
VATrates,
IF(YEAR(M$72)=2013,5,6),0)</f>
        <v>95.833333333333343</v>
      </c>
      <c r="N104" s="24">
        <f>VLOOKUP($A104&amp;$B104,OH!$A$2:$AB$62,COLUMN(N104)+13,0)*
VLOOKUP(VLOOKUP($A104&amp;$B104,'IP1'!$A$37:$F$89,6,0),
VATrates,
IF(YEAR(N$72)=2013,5,6),0)</f>
        <v>95.833333333333343</v>
      </c>
      <c r="O104" s="24">
        <f>VLOOKUP($A104&amp;$B104,OH!$A$2:$AB$62,COLUMN(O104)+13,0)*
VLOOKUP(VLOOKUP($A104&amp;$B104,'IP1'!$A$37:$F$89,6,0),
VATrates,
IF(YEAR(O$72)=2013,5,6),0)</f>
        <v>95.833333333333343</v>
      </c>
    </row>
    <row r="105" spans="1:15">
      <c r="A105" s="16" t="s">
        <v>155</v>
      </c>
      <c r="B105" s="16" t="s">
        <v>461</v>
      </c>
      <c r="C105" s="16"/>
      <c r="D105" s="24">
        <f>VLOOKUP($A105&amp;$B105,OH!$A$2:$AB$62,COLUMN(D105)+13,0)*
VLOOKUP(VLOOKUP($A105&amp;$B105,'IP1'!$A$37:$F$89,6,0),
VATrates,
IF(YEAR(D$72)=2013,5,6),0)</f>
        <v>191.66666666666669</v>
      </c>
      <c r="E105" s="24">
        <f>VLOOKUP($A105&amp;$B105,OH!$A$2:$AB$62,COLUMN(E105)+13,0)*
VLOOKUP(VLOOKUP($A105&amp;$B105,'IP1'!$A$37:$F$89,6,0),
VATrates,
IF(YEAR(E$72)=2013,5,6),0)</f>
        <v>191.66666666666669</v>
      </c>
      <c r="F105" s="24">
        <f>VLOOKUP($A105&amp;$B105,OH!$A$2:$AB$62,COLUMN(F105)+13,0)*
VLOOKUP(VLOOKUP($A105&amp;$B105,'IP1'!$A$37:$F$89,6,0),
VATrates,
IF(YEAR(F$72)=2013,5,6),0)</f>
        <v>191.66666666666669</v>
      </c>
      <c r="G105" s="24">
        <f>VLOOKUP($A105&amp;$B105,OH!$A$2:$AB$62,COLUMN(G105)+13,0)*
VLOOKUP(VLOOKUP($A105&amp;$B105,'IP1'!$A$37:$F$89,6,0),
VATrates,
IF(YEAR(G$72)=2013,5,6),0)</f>
        <v>191.66666666666669</v>
      </c>
      <c r="H105" s="24">
        <f>VLOOKUP($A105&amp;$B105,OH!$A$2:$AB$62,COLUMN(H105)+13,0)*
VLOOKUP(VLOOKUP($A105&amp;$B105,'IP1'!$A$37:$F$89,6,0),
VATrates,
IF(YEAR(H$72)=2013,5,6),0)</f>
        <v>191.66666666666669</v>
      </c>
      <c r="I105" s="24">
        <f>VLOOKUP($A105&amp;$B105,OH!$A$2:$AB$62,COLUMN(I105)+13,0)*
VLOOKUP(VLOOKUP($A105&amp;$B105,'IP1'!$A$37:$F$89,6,0),
VATrates,
IF(YEAR(I$72)=2013,5,6),0)</f>
        <v>191.66666666666669</v>
      </c>
      <c r="J105" s="24">
        <f>VLOOKUP($A105&amp;$B105,OH!$A$2:$AB$62,COLUMN(J105)+13,0)*
VLOOKUP(VLOOKUP($A105&amp;$B105,'IP1'!$A$37:$F$89,6,0),
VATrates,
IF(YEAR(J$72)=2013,5,6),0)</f>
        <v>191.66666666666669</v>
      </c>
      <c r="K105" s="24">
        <f>VLOOKUP($A105&amp;$B105,OH!$A$2:$AB$62,COLUMN(K105)+13,0)*
VLOOKUP(VLOOKUP($A105&amp;$B105,'IP1'!$A$37:$F$89,6,0),
VATrates,
IF(YEAR(K$72)=2013,5,6),0)</f>
        <v>191.66666666666669</v>
      </c>
      <c r="L105" s="24">
        <f>VLOOKUP($A105&amp;$B105,OH!$A$2:$AB$62,COLUMN(L105)+13,0)*
VLOOKUP(VLOOKUP($A105&amp;$B105,'IP1'!$A$37:$F$89,6,0),
VATrates,
IF(YEAR(L$72)=2013,5,6),0)</f>
        <v>191.66666666666669</v>
      </c>
      <c r="M105" s="24">
        <f>VLOOKUP($A105&amp;$B105,OH!$A$2:$AB$62,COLUMN(M105)+13,0)*
VLOOKUP(VLOOKUP($A105&amp;$B105,'IP1'!$A$37:$F$89,6,0),
VATrates,
IF(YEAR(M$72)=2013,5,6),0)</f>
        <v>191.66666666666669</v>
      </c>
      <c r="N105" s="24">
        <f>VLOOKUP($A105&amp;$B105,OH!$A$2:$AB$62,COLUMN(N105)+13,0)*
VLOOKUP(VLOOKUP($A105&amp;$B105,'IP1'!$A$37:$F$89,6,0),
VATrates,
IF(YEAR(N$72)=2013,5,6),0)</f>
        <v>191.66666666666669</v>
      </c>
      <c r="O105" s="24">
        <f>VLOOKUP($A105&amp;$B105,OH!$A$2:$AB$62,COLUMN(O105)+13,0)*
VLOOKUP(VLOOKUP($A105&amp;$B105,'IP1'!$A$37:$F$89,6,0),
VATrates,
IF(YEAR(O$72)=2013,5,6),0)</f>
        <v>191.66666666666669</v>
      </c>
    </row>
    <row r="106" spans="1:15">
      <c r="A106" s="16" t="s">
        <v>155</v>
      </c>
      <c r="B106" s="16" t="s">
        <v>462</v>
      </c>
      <c r="C106" s="16"/>
      <c r="D106" s="24">
        <f>VLOOKUP($A106&amp;$B106,OH!$A$2:$AB$62,COLUMN(D106)+13,0)*
VLOOKUP(VLOOKUP($A106&amp;$B106,'IP1'!$A$37:$F$89,6,0),
VATrates,
IF(YEAR(D$72)=2013,5,6),0)</f>
        <v>95.833333333333343</v>
      </c>
      <c r="E106" s="24">
        <f>VLOOKUP($A106&amp;$B106,OH!$A$2:$AB$62,COLUMN(E106)+13,0)*
VLOOKUP(VLOOKUP($A106&amp;$B106,'IP1'!$A$37:$F$89,6,0),
VATrates,
IF(YEAR(E$72)=2013,5,6),0)</f>
        <v>95.833333333333343</v>
      </c>
      <c r="F106" s="24">
        <f>VLOOKUP($A106&amp;$B106,OH!$A$2:$AB$62,COLUMN(F106)+13,0)*
VLOOKUP(VLOOKUP($A106&amp;$B106,'IP1'!$A$37:$F$89,6,0),
VATrates,
IF(YEAR(F$72)=2013,5,6),0)</f>
        <v>95.833333333333343</v>
      </c>
      <c r="G106" s="24">
        <f>VLOOKUP($A106&amp;$B106,OH!$A$2:$AB$62,COLUMN(G106)+13,0)*
VLOOKUP(VLOOKUP($A106&amp;$B106,'IP1'!$A$37:$F$89,6,0),
VATrates,
IF(YEAR(G$72)=2013,5,6),0)</f>
        <v>95.833333333333343</v>
      </c>
      <c r="H106" s="24">
        <f>VLOOKUP($A106&amp;$B106,OH!$A$2:$AB$62,COLUMN(H106)+13,0)*
VLOOKUP(VLOOKUP($A106&amp;$B106,'IP1'!$A$37:$F$89,6,0),
VATrates,
IF(YEAR(H$72)=2013,5,6),0)</f>
        <v>95.833333333333343</v>
      </c>
      <c r="I106" s="24">
        <f>VLOOKUP($A106&amp;$B106,OH!$A$2:$AB$62,COLUMN(I106)+13,0)*
VLOOKUP(VLOOKUP($A106&amp;$B106,'IP1'!$A$37:$F$89,6,0),
VATrates,
IF(YEAR(I$72)=2013,5,6),0)</f>
        <v>95.833333333333343</v>
      </c>
      <c r="J106" s="24">
        <f>VLOOKUP($A106&amp;$B106,OH!$A$2:$AB$62,COLUMN(J106)+13,0)*
VLOOKUP(VLOOKUP($A106&amp;$B106,'IP1'!$A$37:$F$89,6,0),
VATrates,
IF(YEAR(J$72)=2013,5,6),0)</f>
        <v>95.833333333333343</v>
      </c>
      <c r="K106" s="24">
        <f>VLOOKUP($A106&amp;$B106,OH!$A$2:$AB$62,COLUMN(K106)+13,0)*
VLOOKUP(VLOOKUP($A106&amp;$B106,'IP1'!$A$37:$F$89,6,0),
VATrates,
IF(YEAR(K$72)=2013,5,6),0)</f>
        <v>95.833333333333343</v>
      </c>
      <c r="L106" s="24">
        <f>VLOOKUP($A106&amp;$B106,OH!$A$2:$AB$62,COLUMN(L106)+13,0)*
VLOOKUP(VLOOKUP($A106&amp;$B106,'IP1'!$A$37:$F$89,6,0),
VATrates,
IF(YEAR(L$72)=2013,5,6),0)</f>
        <v>95.833333333333343</v>
      </c>
      <c r="M106" s="24">
        <f>VLOOKUP($A106&amp;$B106,OH!$A$2:$AB$62,COLUMN(M106)+13,0)*
VLOOKUP(VLOOKUP($A106&amp;$B106,'IP1'!$A$37:$F$89,6,0),
VATrates,
IF(YEAR(M$72)=2013,5,6),0)</f>
        <v>95.833333333333343</v>
      </c>
      <c r="N106" s="24">
        <f>VLOOKUP($A106&amp;$B106,OH!$A$2:$AB$62,COLUMN(N106)+13,0)*
VLOOKUP(VLOOKUP($A106&amp;$B106,'IP1'!$A$37:$F$89,6,0),
VATrates,
IF(YEAR(N$72)=2013,5,6),0)</f>
        <v>95.833333333333343</v>
      </c>
      <c r="O106" s="24">
        <f>VLOOKUP($A106&amp;$B106,OH!$A$2:$AB$62,COLUMN(O106)+13,0)*
VLOOKUP(VLOOKUP($A106&amp;$B106,'IP1'!$A$37:$F$89,6,0),
VATrates,
IF(YEAR(O$72)=2013,5,6),0)</f>
        <v>95.833333333333343</v>
      </c>
    </row>
    <row r="107" spans="1:15">
      <c r="A107" s="16" t="s">
        <v>155</v>
      </c>
      <c r="B107" s="16" t="s">
        <v>3</v>
      </c>
      <c r="C107" s="16"/>
      <c r="D107" s="24">
        <f>VLOOKUP($A107&amp;$B107,OH!$A$2:$AB$62,COLUMN(D107)+13,0)*
VLOOKUP(VLOOKUP($A107&amp;$B107,'IP1'!$A$37:$F$89,6,0),
VATrates,
IF(YEAR(D$72)=2013,5,6),0)</f>
        <v>1150</v>
      </c>
      <c r="E107" s="24">
        <f>VLOOKUP($A107&amp;$B107,OH!$A$2:$AB$62,COLUMN(E107)+13,0)*
VLOOKUP(VLOOKUP($A107&amp;$B107,'IP1'!$A$37:$F$89,6,0),
VATrates,
IF(YEAR(E$72)=2013,5,6),0)</f>
        <v>0</v>
      </c>
      <c r="F107" s="24">
        <f>VLOOKUP($A107&amp;$B107,OH!$A$2:$AB$62,COLUMN(F107)+13,0)*
VLOOKUP(VLOOKUP($A107&amp;$B107,'IP1'!$A$37:$F$89,6,0),
VATrates,
IF(YEAR(F$72)=2013,5,6),0)</f>
        <v>0</v>
      </c>
      <c r="G107" s="24">
        <f>VLOOKUP($A107&amp;$B107,OH!$A$2:$AB$62,COLUMN(G107)+13,0)*
VLOOKUP(VLOOKUP($A107&amp;$B107,'IP1'!$A$37:$F$89,6,0),
VATrates,
IF(YEAR(G$72)=2013,5,6),0)</f>
        <v>0</v>
      </c>
      <c r="H107" s="24">
        <f>VLOOKUP($A107&amp;$B107,OH!$A$2:$AB$62,COLUMN(H107)+13,0)*
VLOOKUP(VLOOKUP($A107&amp;$B107,'IP1'!$A$37:$F$89,6,0),
VATrates,
IF(YEAR(H$72)=2013,5,6),0)</f>
        <v>0</v>
      </c>
      <c r="I107" s="24">
        <f>VLOOKUP($A107&amp;$B107,OH!$A$2:$AB$62,COLUMN(I107)+13,0)*
VLOOKUP(VLOOKUP($A107&amp;$B107,'IP1'!$A$37:$F$89,6,0),
VATrates,
IF(YEAR(I$72)=2013,5,6),0)</f>
        <v>0</v>
      </c>
      <c r="J107" s="24">
        <f>VLOOKUP($A107&amp;$B107,OH!$A$2:$AB$62,COLUMN(J107)+13,0)*
VLOOKUP(VLOOKUP($A107&amp;$B107,'IP1'!$A$37:$F$89,6,0),
VATrates,
IF(YEAR(J$72)=2013,5,6),0)</f>
        <v>1150</v>
      </c>
      <c r="K107" s="24">
        <f>VLOOKUP($A107&amp;$B107,OH!$A$2:$AB$62,COLUMN(K107)+13,0)*
VLOOKUP(VLOOKUP($A107&amp;$B107,'IP1'!$A$37:$F$89,6,0),
VATrates,
IF(YEAR(K$72)=2013,5,6),0)</f>
        <v>0</v>
      </c>
      <c r="L107" s="24">
        <f>VLOOKUP($A107&amp;$B107,OH!$A$2:$AB$62,COLUMN(L107)+13,0)*
VLOOKUP(VLOOKUP($A107&amp;$B107,'IP1'!$A$37:$F$89,6,0),
VATrates,
IF(YEAR(L$72)=2013,5,6),0)</f>
        <v>0</v>
      </c>
      <c r="M107" s="24">
        <f>VLOOKUP($A107&amp;$B107,OH!$A$2:$AB$62,COLUMN(M107)+13,0)*
VLOOKUP(VLOOKUP($A107&amp;$B107,'IP1'!$A$37:$F$89,6,0),
VATrates,
IF(YEAR(M$72)=2013,5,6),0)</f>
        <v>0</v>
      </c>
      <c r="N107" s="24">
        <f>VLOOKUP($A107&amp;$B107,OH!$A$2:$AB$62,COLUMN(N107)+13,0)*
VLOOKUP(VLOOKUP($A107&amp;$B107,'IP1'!$A$37:$F$89,6,0),
VATrates,
IF(YEAR(N$72)=2013,5,6),0)</f>
        <v>0</v>
      </c>
      <c r="O107" s="24">
        <f>VLOOKUP($A107&amp;$B107,OH!$A$2:$AB$62,COLUMN(O107)+13,0)*
VLOOKUP(VLOOKUP($A107&amp;$B107,'IP1'!$A$37:$F$89,6,0),
VATrates,
IF(YEAR(O$72)=2013,5,6),0)</f>
        <v>0</v>
      </c>
    </row>
    <row r="108" spans="1:15">
      <c r="A108" s="16" t="s">
        <v>155</v>
      </c>
      <c r="B108" s="16" t="s">
        <v>2</v>
      </c>
      <c r="C108" s="16"/>
      <c r="D108" s="24">
        <f>VLOOKUP($A108&amp;$B108,OH!$A$2:$AB$62,COLUMN(D108)+13,0)*
VLOOKUP(VLOOKUP($A108&amp;$B108,'IP1'!$A$37:$F$89,6,0),
VATrates,
IF(YEAR(D$72)=2013,5,6),0)</f>
        <v>19.166666666666668</v>
      </c>
      <c r="E108" s="24">
        <f>VLOOKUP($A108&amp;$B108,OH!$A$2:$AB$62,COLUMN(E108)+13,0)*
VLOOKUP(VLOOKUP($A108&amp;$B108,'IP1'!$A$37:$F$89,6,0),
VATrates,
IF(YEAR(E$72)=2013,5,6),0)</f>
        <v>19.166666666666668</v>
      </c>
      <c r="F108" s="24">
        <f>VLOOKUP($A108&amp;$B108,OH!$A$2:$AB$62,COLUMN(F108)+13,0)*
VLOOKUP(VLOOKUP($A108&amp;$B108,'IP1'!$A$37:$F$89,6,0),
VATrates,
IF(YEAR(F$72)=2013,5,6),0)</f>
        <v>19.166666666666668</v>
      </c>
      <c r="G108" s="24">
        <f>VLOOKUP($A108&amp;$B108,OH!$A$2:$AB$62,COLUMN(G108)+13,0)*
VLOOKUP(VLOOKUP($A108&amp;$B108,'IP1'!$A$37:$F$89,6,0),
VATrates,
IF(YEAR(G$72)=2013,5,6),0)</f>
        <v>19.166666666666668</v>
      </c>
      <c r="H108" s="24">
        <f>VLOOKUP($A108&amp;$B108,OH!$A$2:$AB$62,COLUMN(H108)+13,0)*
VLOOKUP(VLOOKUP($A108&amp;$B108,'IP1'!$A$37:$F$89,6,0),
VATrates,
IF(YEAR(H$72)=2013,5,6),0)</f>
        <v>19.166666666666668</v>
      </c>
      <c r="I108" s="24">
        <f>VLOOKUP($A108&amp;$B108,OH!$A$2:$AB$62,COLUMN(I108)+13,0)*
VLOOKUP(VLOOKUP($A108&amp;$B108,'IP1'!$A$37:$F$89,6,0),
VATrates,
IF(YEAR(I$72)=2013,5,6),0)</f>
        <v>19.166666666666668</v>
      </c>
      <c r="J108" s="24">
        <f>VLOOKUP($A108&amp;$B108,OH!$A$2:$AB$62,COLUMN(J108)+13,0)*
VLOOKUP(VLOOKUP($A108&amp;$B108,'IP1'!$A$37:$F$89,6,0),
VATrates,
IF(YEAR(J$72)=2013,5,6),0)</f>
        <v>19.166666666666668</v>
      </c>
      <c r="K108" s="24">
        <f>VLOOKUP($A108&amp;$B108,OH!$A$2:$AB$62,COLUMN(K108)+13,0)*
VLOOKUP(VLOOKUP($A108&amp;$B108,'IP1'!$A$37:$F$89,6,0),
VATrates,
IF(YEAR(K$72)=2013,5,6),0)</f>
        <v>19.166666666666668</v>
      </c>
      <c r="L108" s="24">
        <f>VLOOKUP($A108&amp;$B108,OH!$A$2:$AB$62,COLUMN(L108)+13,0)*
VLOOKUP(VLOOKUP($A108&amp;$B108,'IP1'!$A$37:$F$89,6,0),
VATrates,
IF(YEAR(L$72)=2013,5,6),0)</f>
        <v>19.166666666666668</v>
      </c>
      <c r="M108" s="24">
        <f>VLOOKUP($A108&amp;$B108,OH!$A$2:$AB$62,COLUMN(M108)+13,0)*
VLOOKUP(VLOOKUP($A108&amp;$B108,'IP1'!$A$37:$F$89,6,0),
VATrates,
IF(YEAR(M$72)=2013,5,6),0)</f>
        <v>19.166666666666668</v>
      </c>
      <c r="N108" s="24">
        <f>VLOOKUP($A108&amp;$B108,OH!$A$2:$AB$62,COLUMN(N108)+13,0)*
VLOOKUP(VLOOKUP($A108&amp;$B108,'IP1'!$A$37:$F$89,6,0),
VATrates,
IF(YEAR(N$72)=2013,5,6),0)</f>
        <v>19.166666666666668</v>
      </c>
      <c r="O108" s="24">
        <f>VLOOKUP($A108&amp;$B108,OH!$A$2:$AB$62,COLUMN(O108)+13,0)*
VLOOKUP(VLOOKUP($A108&amp;$B108,'IP1'!$A$37:$F$89,6,0),
VATrates,
IF(YEAR(O$72)=2013,5,6),0)</f>
        <v>19.166666666666668</v>
      </c>
    </row>
    <row r="109" spans="1:15">
      <c r="A109" s="16" t="s">
        <v>443</v>
      </c>
      <c r="B109" s="16" t="s">
        <v>444</v>
      </c>
      <c r="C109" s="16"/>
      <c r="D109" s="24">
        <f>VLOOKUP($A109&amp;$B109,OH!$A$2:$AB$62,COLUMN(D109)+13,0)*
VLOOKUP(VLOOKUP($A109&amp;$B109,'IP1'!$A$37:$F$89,6,0),
VATrates,
IF(YEAR(D$72)=2013,5,6),0)</f>
        <v>3450</v>
      </c>
      <c r="E109" s="24">
        <f>VLOOKUP($A109&amp;$B109,OH!$A$2:$AB$62,COLUMN(E109)+13,0)*
VLOOKUP(VLOOKUP($A109&amp;$B109,'IP1'!$A$37:$F$89,6,0),
VATrates,
IF(YEAR(E$72)=2013,5,6),0)</f>
        <v>0</v>
      </c>
      <c r="F109" s="24">
        <f>VLOOKUP($A109&amp;$B109,OH!$A$2:$AB$62,COLUMN(F109)+13,0)*
VLOOKUP(VLOOKUP($A109&amp;$B109,'IP1'!$A$37:$F$89,6,0),
VATrates,
IF(YEAR(F$72)=2013,5,6),0)</f>
        <v>0</v>
      </c>
      <c r="G109" s="24">
        <f>VLOOKUP($A109&amp;$B109,OH!$A$2:$AB$62,COLUMN(G109)+13,0)*
VLOOKUP(VLOOKUP($A109&amp;$B109,'IP1'!$A$37:$F$89,6,0),
VATrates,
IF(YEAR(G$72)=2013,5,6),0)</f>
        <v>3450</v>
      </c>
      <c r="H109" s="24">
        <f>VLOOKUP($A109&amp;$B109,OH!$A$2:$AB$62,COLUMN(H109)+13,0)*
VLOOKUP(VLOOKUP($A109&amp;$B109,'IP1'!$A$37:$F$89,6,0),
VATrates,
IF(YEAR(H$72)=2013,5,6),0)</f>
        <v>0</v>
      </c>
      <c r="I109" s="24">
        <f>VLOOKUP($A109&amp;$B109,OH!$A$2:$AB$62,COLUMN(I109)+13,0)*
VLOOKUP(VLOOKUP($A109&amp;$B109,'IP1'!$A$37:$F$89,6,0),
VATrates,
IF(YEAR(I$72)=2013,5,6),0)</f>
        <v>0</v>
      </c>
      <c r="J109" s="24">
        <f>VLOOKUP($A109&amp;$B109,OH!$A$2:$AB$62,COLUMN(J109)+13,0)*
VLOOKUP(VLOOKUP($A109&amp;$B109,'IP1'!$A$37:$F$89,6,0),
VATrates,
IF(YEAR(J$72)=2013,5,6),0)</f>
        <v>3450</v>
      </c>
      <c r="K109" s="24">
        <f>VLOOKUP($A109&amp;$B109,OH!$A$2:$AB$62,COLUMN(K109)+13,0)*
VLOOKUP(VLOOKUP($A109&amp;$B109,'IP1'!$A$37:$F$89,6,0),
VATrates,
IF(YEAR(K$72)=2013,5,6),0)</f>
        <v>0</v>
      </c>
      <c r="L109" s="24">
        <f>VLOOKUP($A109&amp;$B109,OH!$A$2:$AB$62,COLUMN(L109)+13,0)*
VLOOKUP(VLOOKUP($A109&amp;$B109,'IP1'!$A$37:$F$89,6,0),
VATrates,
IF(YEAR(L$72)=2013,5,6),0)</f>
        <v>0</v>
      </c>
      <c r="M109" s="24">
        <f>VLOOKUP($A109&amp;$B109,OH!$A$2:$AB$62,COLUMN(M109)+13,0)*
VLOOKUP(VLOOKUP($A109&amp;$B109,'IP1'!$A$37:$F$89,6,0),
VATrates,
IF(YEAR(M$72)=2013,5,6),0)</f>
        <v>3450</v>
      </c>
      <c r="N109" s="24">
        <f>VLOOKUP($A109&amp;$B109,OH!$A$2:$AB$62,COLUMN(N109)+13,0)*
VLOOKUP(VLOOKUP($A109&amp;$B109,'IP1'!$A$37:$F$89,6,0),
VATrates,
IF(YEAR(N$72)=2013,5,6),0)</f>
        <v>0</v>
      </c>
      <c r="O109" s="24">
        <f>VLOOKUP($A109&amp;$B109,OH!$A$2:$AB$62,COLUMN(O109)+13,0)*
VLOOKUP(VLOOKUP($A109&amp;$B109,'IP1'!$A$37:$F$89,6,0),
VATrates,
IF(YEAR(O$72)=2013,5,6),0)</f>
        <v>0</v>
      </c>
    </row>
    <row r="110" spans="1:15">
      <c r="A110" s="16" t="s">
        <v>443</v>
      </c>
      <c r="B110" s="16" t="s">
        <v>445</v>
      </c>
      <c r="C110" s="16"/>
      <c r="D110" s="24">
        <f>VLOOKUP($A110&amp;$B110,OH!$A$2:$AB$62,COLUMN(D110)+13,0)*
VLOOKUP(VLOOKUP($A110&amp;$B110,'IP1'!$A$37:$F$89,6,0),
VATrates,
IF(YEAR(D$72)=2013,5,6),0)</f>
        <v>4312.5</v>
      </c>
      <c r="E110" s="24">
        <f>VLOOKUP($A110&amp;$B110,OH!$A$2:$AB$62,COLUMN(E110)+13,0)*
VLOOKUP(VLOOKUP($A110&amp;$B110,'IP1'!$A$37:$F$89,6,0),
VATrates,
IF(YEAR(E$72)=2013,5,6),0)</f>
        <v>0</v>
      </c>
      <c r="F110" s="24">
        <f>VLOOKUP($A110&amp;$B110,OH!$A$2:$AB$62,COLUMN(F110)+13,0)*
VLOOKUP(VLOOKUP($A110&amp;$B110,'IP1'!$A$37:$F$89,6,0),
VATrates,
IF(YEAR(F$72)=2013,5,6),0)</f>
        <v>0</v>
      </c>
      <c r="G110" s="24">
        <f>VLOOKUP($A110&amp;$B110,OH!$A$2:$AB$62,COLUMN(G110)+13,0)*
VLOOKUP(VLOOKUP($A110&amp;$B110,'IP1'!$A$37:$F$89,6,0),
VATrates,
IF(YEAR(G$72)=2013,5,6),0)</f>
        <v>4312.5</v>
      </c>
      <c r="H110" s="24">
        <f>VLOOKUP($A110&amp;$B110,OH!$A$2:$AB$62,COLUMN(H110)+13,0)*
VLOOKUP(VLOOKUP($A110&amp;$B110,'IP1'!$A$37:$F$89,6,0),
VATrates,
IF(YEAR(H$72)=2013,5,6),0)</f>
        <v>0</v>
      </c>
      <c r="I110" s="24">
        <f>VLOOKUP($A110&amp;$B110,OH!$A$2:$AB$62,COLUMN(I110)+13,0)*
VLOOKUP(VLOOKUP($A110&amp;$B110,'IP1'!$A$37:$F$89,6,0),
VATrates,
IF(YEAR(I$72)=2013,5,6),0)</f>
        <v>0</v>
      </c>
      <c r="J110" s="24">
        <f>VLOOKUP($A110&amp;$B110,OH!$A$2:$AB$62,COLUMN(J110)+13,0)*
VLOOKUP(VLOOKUP($A110&amp;$B110,'IP1'!$A$37:$F$89,6,0),
VATrates,
IF(YEAR(J$72)=2013,5,6),0)</f>
        <v>4312.5</v>
      </c>
      <c r="K110" s="24">
        <f>VLOOKUP($A110&amp;$B110,OH!$A$2:$AB$62,COLUMN(K110)+13,0)*
VLOOKUP(VLOOKUP($A110&amp;$B110,'IP1'!$A$37:$F$89,6,0),
VATrates,
IF(YEAR(K$72)=2013,5,6),0)</f>
        <v>0</v>
      </c>
      <c r="L110" s="24">
        <f>VLOOKUP($A110&amp;$B110,OH!$A$2:$AB$62,COLUMN(L110)+13,0)*
VLOOKUP(VLOOKUP($A110&amp;$B110,'IP1'!$A$37:$F$89,6,0),
VATrates,
IF(YEAR(L$72)=2013,5,6),0)</f>
        <v>0</v>
      </c>
      <c r="M110" s="24">
        <f>VLOOKUP($A110&amp;$B110,OH!$A$2:$AB$62,COLUMN(M110)+13,0)*
VLOOKUP(VLOOKUP($A110&amp;$B110,'IP1'!$A$37:$F$89,6,0),
VATrates,
IF(YEAR(M$72)=2013,5,6),0)</f>
        <v>4312.5</v>
      </c>
      <c r="N110" s="24">
        <f>VLOOKUP($A110&amp;$B110,OH!$A$2:$AB$62,COLUMN(N110)+13,0)*
VLOOKUP(VLOOKUP($A110&amp;$B110,'IP1'!$A$37:$F$89,6,0),
VATrates,
IF(YEAR(N$72)=2013,5,6),0)</f>
        <v>0</v>
      </c>
      <c r="O110" s="24">
        <f>VLOOKUP($A110&amp;$B110,OH!$A$2:$AB$62,COLUMN(O110)+13,0)*
VLOOKUP(VLOOKUP($A110&amp;$B110,'IP1'!$A$37:$F$89,6,0),
VATrates,
IF(YEAR(O$72)=2013,5,6),0)</f>
        <v>0</v>
      </c>
    </row>
    <row r="111" spans="1:15">
      <c r="A111" s="16" t="s">
        <v>443</v>
      </c>
      <c r="B111" s="16" t="s">
        <v>446</v>
      </c>
      <c r="C111" s="16"/>
      <c r="D111" s="24">
        <f>VLOOKUP($A111&amp;$B111,OH!$A$2:$AB$62,COLUMN(D111)+13,0)*
VLOOKUP(VLOOKUP($A111&amp;$B111,'IP1'!$A$37:$F$89,6,0),
VATrates,
IF(YEAR(D$72)=2013,5,6),0)</f>
        <v>0</v>
      </c>
      <c r="E111" s="24">
        <f>VLOOKUP($A111&amp;$B111,OH!$A$2:$AB$62,COLUMN(E111)+13,0)*
VLOOKUP(VLOOKUP($A111&amp;$B111,'IP1'!$A$37:$F$89,6,0),
VATrates,
IF(YEAR(E$72)=2013,5,6),0)</f>
        <v>0</v>
      </c>
      <c r="F111" s="24">
        <f>VLOOKUP($A111&amp;$B111,OH!$A$2:$AB$62,COLUMN(F111)+13,0)*
VLOOKUP(VLOOKUP($A111&amp;$B111,'IP1'!$A$37:$F$89,6,0),
VATrates,
IF(YEAR(F$72)=2013,5,6),0)</f>
        <v>0</v>
      </c>
      <c r="G111" s="24">
        <f>VLOOKUP($A111&amp;$B111,OH!$A$2:$AB$62,COLUMN(G111)+13,0)*
VLOOKUP(VLOOKUP($A111&amp;$B111,'IP1'!$A$37:$F$89,6,0),
VATrates,
IF(YEAR(G$72)=2013,5,6),0)</f>
        <v>0</v>
      </c>
      <c r="H111" s="24">
        <f>VLOOKUP($A111&amp;$B111,OH!$A$2:$AB$62,COLUMN(H111)+13,0)*
VLOOKUP(VLOOKUP($A111&amp;$B111,'IP1'!$A$37:$F$89,6,0),
VATrates,
IF(YEAR(H$72)=2013,5,6),0)</f>
        <v>0</v>
      </c>
      <c r="I111" s="24">
        <f>VLOOKUP($A111&amp;$B111,OH!$A$2:$AB$62,COLUMN(I111)+13,0)*
VLOOKUP(VLOOKUP($A111&amp;$B111,'IP1'!$A$37:$F$89,6,0),
VATrates,
IF(YEAR(I$72)=2013,5,6),0)</f>
        <v>0</v>
      </c>
      <c r="J111" s="24">
        <f>VLOOKUP($A111&amp;$B111,OH!$A$2:$AB$62,COLUMN(J111)+13,0)*
VLOOKUP(VLOOKUP($A111&amp;$B111,'IP1'!$A$37:$F$89,6,0),
VATrates,
IF(YEAR(J$72)=2013,5,6),0)</f>
        <v>0</v>
      </c>
      <c r="K111" s="24">
        <f>VLOOKUP($A111&amp;$B111,OH!$A$2:$AB$62,COLUMN(K111)+13,0)*
VLOOKUP(VLOOKUP($A111&amp;$B111,'IP1'!$A$37:$F$89,6,0),
VATrates,
IF(YEAR(K$72)=2013,5,6),0)</f>
        <v>0</v>
      </c>
      <c r="L111" s="24">
        <f>VLOOKUP($A111&amp;$B111,OH!$A$2:$AB$62,COLUMN(L111)+13,0)*
VLOOKUP(VLOOKUP($A111&amp;$B111,'IP1'!$A$37:$F$89,6,0),
VATrates,
IF(YEAR(L$72)=2013,5,6),0)</f>
        <v>0</v>
      </c>
      <c r="M111" s="24">
        <f>VLOOKUP($A111&amp;$B111,OH!$A$2:$AB$62,COLUMN(M111)+13,0)*
VLOOKUP(VLOOKUP($A111&amp;$B111,'IP1'!$A$37:$F$89,6,0),
VATrates,
IF(YEAR(M$72)=2013,5,6),0)</f>
        <v>0</v>
      </c>
      <c r="N111" s="24">
        <f>VLOOKUP($A111&amp;$B111,OH!$A$2:$AB$62,COLUMN(N111)+13,0)*
VLOOKUP(VLOOKUP($A111&amp;$B111,'IP1'!$A$37:$F$89,6,0),
VATrates,
IF(YEAR(N$72)=2013,5,6),0)</f>
        <v>0</v>
      </c>
      <c r="O111" s="24">
        <f>VLOOKUP($A111&amp;$B111,OH!$A$2:$AB$62,COLUMN(O111)+13,0)*
VLOOKUP(VLOOKUP($A111&amp;$B111,'IP1'!$A$37:$F$89,6,0),
VATrates,
IF(YEAR(O$72)=2013,5,6),0)</f>
        <v>0</v>
      </c>
    </row>
    <row r="112" spans="1:15">
      <c r="A112" s="16" t="s">
        <v>443</v>
      </c>
      <c r="B112" s="16" t="s">
        <v>447</v>
      </c>
      <c r="C112" s="16"/>
      <c r="D112" s="24">
        <f>VLOOKUP($A112&amp;$B112,OH!$A$2:$AB$62,COLUMN(D112)+13,0)*
VLOOKUP(VLOOKUP($A112&amp;$B112,'IP1'!$A$37:$F$89,6,0),
VATrates,
IF(YEAR(D$72)=2013,5,6),0)</f>
        <v>95.833333333333343</v>
      </c>
      <c r="E112" s="24">
        <f>VLOOKUP($A112&amp;$B112,OH!$A$2:$AB$62,COLUMN(E112)+13,0)*
VLOOKUP(VLOOKUP($A112&amp;$B112,'IP1'!$A$37:$F$89,6,0),
VATrates,
IF(YEAR(E$72)=2013,5,6),0)</f>
        <v>95.833333333333343</v>
      </c>
      <c r="F112" s="24">
        <f>VLOOKUP($A112&amp;$B112,OH!$A$2:$AB$62,COLUMN(F112)+13,0)*
VLOOKUP(VLOOKUP($A112&amp;$B112,'IP1'!$A$37:$F$89,6,0),
VATrates,
IF(YEAR(F$72)=2013,5,6),0)</f>
        <v>95.833333333333343</v>
      </c>
      <c r="G112" s="24">
        <f>VLOOKUP($A112&amp;$B112,OH!$A$2:$AB$62,COLUMN(G112)+13,0)*
VLOOKUP(VLOOKUP($A112&amp;$B112,'IP1'!$A$37:$F$89,6,0),
VATrates,
IF(YEAR(G$72)=2013,5,6),0)</f>
        <v>95.833333333333343</v>
      </c>
      <c r="H112" s="24">
        <f>VLOOKUP($A112&amp;$B112,OH!$A$2:$AB$62,COLUMN(H112)+13,0)*
VLOOKUP(VLOOKUP($A112&amp;$B112,'IP1'!$A$37:$F$89,6,0),
VATrates,
IF(YEAR(H$72)=2013,5,6),0)</f>
        <v>95.833333333333343</v>
      </c>
      <c r="I112" s="24">
        <f>VLOOKUP($A112&amp;$B112,OH!$A$2:$AB$62,COLUMN(I112)+13,0)*
VLOOKUP(VLOOKUP($A112&amp;$B112,'IP1'!$A$37:$F$89,6,0),
VATrates,
IF(YEAR(I$72)=2013,5,6),0)</f>
        <v>95.833333333333343</v>
      </c>
      <c r="J112" s="24">
        <f>VLOOKUP($A112&amp;$B112,OH!$A$2:$AB$62,COLUMN(J112)+13,0)*
VLOOKUP(VLOOKUP($A112&amp;$B112,'IP1'!$A$37:$F$89,6,0),
VATrates,
IF(YEAR(J$72)=2013,5,6),0)</f>
        <v>95.833333333333343</v>
      </c>
      <c r="K112" s="24">
        <f>VLOOKUP($A112&amp;$B112,OH!$A$2:$AB$62,COLUMN(K112)+13,0)*
VLOOKUP(VLOOKUP($A112&amp;$B112,'IP1'!$A$37:$F$89,6,0),
VATrates,
IF(YEAR(K$72)=2013,5,6),0)</f>
        <v>95.833333333333343</v>
      </c>
      <c r="L112" s="24">
        <f>VLOOKUP($A112&amp;$B112,OH!$A$2:$AB$62,COLUMN(L112)+13,0)*
VLOOKUP(VLOOKUP($A112&amp;$B112,'IP1'!$A$37:$F$89,6,0),
VATrates,
IF(YEAR(L$72)=2013,5,6),0)</f>
        <v>95.833333333333343</v>
      </c>
      <c r="M112" s="24">
        <f>VLOOKUP($A112&amp;$B112,OH!$A$2:$AB$62,COLUMN(M112)+13,0)*
VLOOKUP(VLOOKUP($A112&amp;$B112,'IP1'!$A$37:$F$89,6,0),
VATrates,
IF(YEAR(M$72)=2013,5,6),0)</f>
        <v>95.833333333333343</v>
      </c>
      <c r="N112" s="24">
        <f>VLOOKUP($A112&amp;$B112,OH!$A$2:$AB$62,COLUMN(N112)+13,0)*
VLOOKUP(VLOOKUP($A112&amp;$B112,'IP1'!$A$37:$F$89,6,0),
VATrates,
IF(YEAR(N$72)=2013,5,6),0)</f>
        <v>95.833333333333343</v>
      </c>
      <c r="O112" s="24">
        <f>VLOOKUP($A112&amp;$B112,OH!$A$2:$AB$62,COLUMN(O112)+13,0)*
VLOOKUP(VLOOKUP($A112&amp;$B112,'IP1'!$A$37:$F$89,6,0),
VATrates,
IF(YEAR(O$72)=2013,5,6),0)</f>
        <v>95.833333333333343</v>
      </c>
    </row>
    <row r="113" spans="1:15">
      <c r="A113" s="16" t="s">
        <v>448</v>
      </c>
      <c r="B113" s="16" t="s">
        <v>449</v>
      </c>
      <c r="C113" s="16"/>
      <c r="D113" s="24">
        <f>VLOOKUP($A113&amp;$B113,OH!$A$2:$AB$62,COLUMN(D113)+13,0)*
VLOOKUP(VLOOKUP($A113&amp;$B113,'IP1'!$A$37:$F$89,6,0),
VATrates,
IF(YEAR(D$72)=2013,5,6),0)</f>
        <v>0</v>
      </c>
      <c r="E113" s="24">
        <f>VLOOKUP($A113&amp;$B113,OH!$A$2:$AB$62,COLUMN(E113)+13,0)*
VLOOKUP(VLOOKUP($A113&amp;$B113,'IP1'!$A$37:$F$89,6,0),
VATrates,
IF(YEAR(E$72)=2013,5,6),0)</f>
        <v>0</v>
      </c>
      <c r="F113" s="24">
        <f>VLOOKUP($A113&amp;$B113,OH!$A$2:$AB$62,COLUMN(F113)+13,0)*
VLOOKUP(VLOOKUP($A113&amp;$B113,'IP1'!$A$37:$F$89,6,0),
VATrates,
IF(YEAR(F$72)=2013,5,6),0)</f>
        <v>0</v>
      </c>
      <c r="G113" s="24">
        <f>VLOOKUP($A113&amp;$B113,OH!$A$2:$AB$62,COLUMN(G113)+13,0)*
VLOOKUP(VLOOKUP($A113&amp;$B113,'IP1'!$A$37:$F$89,6,0),
VATrates,
IF(YEAR(G$72)=2013,5,6),0)</f>
        <v>0</v>
      </c>
      <c r="H113" s="24">
        <f>VLOOKUP($A113&amp;$B113,OH!$A$2:$AB$62,COLUMN(H113)+13,0)*
VLOOKUP(VLOOKUP($A113&amp;$B113,'IP1'!$A$37:$F$89,6,0),
VATrates,
IF(YEAR(H$72)=2013,5,6),0)</f>
        <v>0</v>
      </c>
      <c r="I113" s="24">
        <f>VLOOKUP($A113&amp;$B113,OH!$A$2:$AB$62,COLUMN(I113)+13,0)*
VLOOKUP(VLOOKUP($A113&amp;$B113,'IP1'!$A$37:$F$89,6,0),
VATrates,
IF(YEAR(I$72)=2013,5,6),0)</f>
        <v>0</v>
      </c>
      <c r="J113" s="24">
        <f>VLOOKUP($A113&amp;$B113,OH!$A$2:$AB$62,COLUMN(J113)+13,0)*
VLOOKUP(VLOOKUP($A113&amp;$B113,'IP1'!$A$37:$F$89,6,0),
VATrates,
IF(YEAR(J$72)=2013,5,6),0)</f>
        <v>0</v>
      </c>
      <c r="K113" s="24">
        <f>VLOOKUP($A113&amp;$B113,OH!$A$2:$AB$62,COLUMN(K113)+13,0)*
VLOOKUP(VLOOKUP($A113&amp;$B113,'IP1'!$A$37:$F$89,6,0),
VATrates,
IF(YEAR(K$72)=2013,5,6),0)</f>
        <v>0</v>
      </c>
      <c r="L113" s="24">
        <f>VLOOKUP($A113&amp;$B113,OH!$A$2:$AB$62,COLUMN(L113)+13,0)*
VLOOKUP(VLOOKUP($A113&amp;$B113,'IP1'!$A$37:$F$89,6,0),
VATrates,
IF(YEAR(L$72)=2013,5,6),0)</f>
        <v>0</v>
      </c>
      <c r="M113" s="24">
        <f>VLOOKUP($A113&amp;$B113,OH!$A$2:$AB$62,COLUMN(M113)+13,0)*
VLOOKUP(VLOOKUP($A113&amp;$B113,'IP1'!$A$37:$F$89,6,0),
VATrates,
IF(YEAR(M$72)=2013,5,6),0)</f>
        <v>0</v>
      </c>
      <c r="N113" s="24">
        <f>VLOOKUP($A113&amp;$B113,OH!$A$2:$AB$62,COLUMN(N113)+13,0)*
VLOOKUP(VLOOKUP($A113&amp;$B113,'IP1'!$A$37:$F$89,6,0),
VATrates,
IF(YEAR(N$72)=2013,5,6),0)</f>
        <v>0</v>
      </c>
      <c r="O113" s="24">
        <f>VLOOKUP($A113&amp;$B113,OH!$A$2:$AB$62,COLUMN(O113)+13,0)*
VLOOKUP(VLOOKUP($A113&amp;$B113,'IP1'!$A$37:$F$89,6,0),
VATrates,
IF(YEAR(O$72)=2013,5,6),0)</f>
        <v>0</v>
      </c>
    </row>
    <row r="114" spans="1:15">
      <c r="A114" s="16" t="s">
        <v>448</v>
      </c>
      <c r="B114" s="16" t="s">
        <v>450</v>
      </c>
      <c r="C114" s="16"/>
      <c r="D114" s="24">
        <f>VLOOKUP($A114&amp;$B114,OH!$A$2:$AB$62,COLUMN(D114)+13,0)*
VLOOKUP(VLOOKUP($A114&amp;$B114,'IP1'!$A$37:$F$89,6,0),
VATrates,
IF(YEAR(D$72)=2013,5,6),0)</f>
        <v>1725</v>
      </c>
      <c r="E114" s="24">
        <f>VLOOKUP($A114&amp;$B114,OH!$A$2:$AB$62,COLUMN(E114)+13,0)*
VLOOKUP(VLOOKUP($A114&amp;$B114,'IP1'!$A$37:$F$89,6,0),
VATrates,
IF(YEAR(E$72)=2013,5,6),0)</f>
        <v>0</v>
      </c>
      <c r="F114" s="24">
        <f>VLOOKUP($A114&amp;$B114,OH!$A$2:$AB$62,COLUMN(F114)+13,0)*
VLOOKUP(VLOOKUP($A114&amp;$B114,'IP1'!$A$37:$F$89,6,0),
VATrates,
IF(YEAR(F$72)=2013,5,6),0)</f>
        <v>0</v>
      </c>
      <c r="G114" s="24">
        <f>VLOOKUP($A114&amp;$B114,OH!$A$2:$AB$62,COLUMN(G114)+13,0)*
VLOOKUP(VLOOKUP($A114&amp;$B114,'IP1'!$A$37:$F$89,6,0),
VATrates,
IF(YEAR(G$72)=2013,5,6),0)</f>
        <v>0</v>
      </c>
      <c r="H114" s="24">
        <f>VLOOKUP($A114&amp;$B114,OH!$A$2:$AB$62,COLUMN(H114)+13,0)*
VLOOKUP(VLOOKUP($A114&amp;$B114,'IP1'!$A$37:$F$89,6,0),
VATrates,
IF(YEAR(H$72)=2013,5,6),0)</f>
        <v>0</v>
      </c>
      <c r="I114" s="24">
        <f>VLOOKUP($A114&amp;$B114,OH!$A$2:$AB$62,COLUMN(I114)+13,0)*
VLOOKUP(VLOOKUP($A114&amp;$B114,'IP1'!$A$37:$F$89,6,0),
VATrates,
IF(YEAR(I$72)=2013,5,6),0)</f>
        <v>0</v>
      </c>
      <c r="J114" s="24">
        <f>VLOOKUP($A114&amp;$B114,OH!$A$2:$AB$62,COLUMN(J114)+13,0)*
VLOOKUP(VLOOKUP($A114&amp;$B114,'IP1'!$A$37:$F$89,6,0),
VATrates,
IF(YEAR(J$72)=2013,5,6),0)</f>
        <v>0</v>
      </c>
      <c r="K114" s="24">
        <f>VLOOKUP($A114&amp;$B114,OH!$A$2:$AB$62,COLUMN(K114)+13,0)*
VLOOKUP(VLOOKUP($A114&amp;$B114,'IP1'!$A$37:$F$89,6,0),
VATrates,
IF(YEAR(K$72)=2013,5,6),0)</f>
        <v>0</v>
      </c>
      <c r="L114" s="24">
        <f>VLOOKUP($A114&amp;$B114,OH!$A$2:$AB$62,COLUMN(L114)+13,0)*
VLOOKUP(VLOOKUP($A114&amp;$B114,'IP1'!$A$37:$F$89,6,0),
VATrates,
IF(YEAR(L$72)=2013,5,6),0)</f>
        <v>0</v>
      </c>
      <c r="M114" s="24">
        <f>VLOOKUP($A114&amp;$B114,OH!$A$2:$AB$62,COLUMN(M114)+13,0)*
VLOOKUP(VLOOKUP($A114&amp;$B114,'IP1'!$A$37:$F$89,6,0),
VATrates,
IF(YEAR(M$72)=2013,5,6),0)</f>
        <v>0</v>
      </c>
      <c r="N114" s="24">
        <f>VLOOKUP($A114&amp;$B114,OH!$A$2:$AB$62,COLUMN(N114)+13,0)*
VLOOKUP(VLOOKUP($A114&amp;$B114,'IP1'!$A$37:$F$89,6,0),
VATrates,
IF(YEAR(N$72)=2013,5,6),0)</f>
        <v>0</v>
      </c>
      <c r="O114" s="24">
        <f>VLOOKUP($A114&amp;$B114,OH!$A$2:$AB$62,COLUMN(O114)+13,0)*
VLOOKUP(VLOOKUP($A114&amp;$B114,'IP1'!$A$37:$F$89,6,0),
VATrates,
IF(YEAR(O$72)=2013,5,6),0)</f>
        <v>0</v>
      </c>
    </row>
    <row r="115" spans="1:15">
      <c r="A115" s="16" t="s">
        <v>448</v>
      </c>
      <c r="B115" s="16" t="s">
        <v>451</v>
      </c>
      <c r="C115" s="16"/>
      <c r="D115" s="24">
        <f>VLOOKUP($A115&amp;$B115,OH!$A$2:$AB$62,COLUMN(D115)+13,0)*
VLOOKUP(VLOOKUP($A115&amp;$B115,'IP1'!$A$37:$F$89,6,0),
VATrates,
IF(YEAR(D$72)=2013,5,6),0)</f>
        <v>5750</v>
      </c>
      <c r="E115" s="24">
        <f>VLOOKUP($A115&amp;$B115,OH!$A$2:$AB$62,COLUMN(E115)+13,0)*
VLOOKUP(VLOOKUP($A115&amp;$B115,'IP1'!$A$37:$F$89,6,0),
VATrates,
IF(YEAR(E$72)=2013,5,6),0)</f>
        <v>0</v>
      </c>
      <c r="F115" s="24">
        <f>VLOOKUP($A115&amp;$B115,OH!$A$2:$AB$62,COLUMN(F115)+13,0)*
VLOOKUP(VLOOKUP($A115&amp;$B115,'IP1'!$A$37:$F$89,6,0),
VATrates,
IF(YEAR(F$72)=2013,5,6),0)</f>
        <v>0</v>
      </c>
      <c r="G115" s="24">
        <f>VLOOKUP($A115&amp;$B115,OH!$A$2:$AB$62,COLUMN(G115)+13,0)*
VLOOKUP(VLOOKUP($A115&amp;$B115,'IP1'!$A$37:$F$89,6,0),
VATrates,
IF(YEAR(G$72)=2013,5,6),0)</f>
        <v>0</v>
      </c>
      <c r="H115" s="24">
        <f>VLOOKUP($A115&amp;$B115,OH!$A$2:$AB$62,COLUMN(H115)+13,0)*
VLOOKUP(VLOOKUP($A115&amp;$B115,'IP1'!$A$37:$F$89,6,0),
VATrates,
IF(YEAR(H$72)=2013,5,6),0)</f>
        <v>0</v>
      </c>
      <c r="I115" s="24">
        <f>VLOOKUP($A115&amp;$B115,OH!$A$2:$AB$62,COLUMN(I115)+13,0)*
VLOOKUP(VLOOKUP($A115&amp;$B115,'IP1'!$A$37:$F$89,6,0),
VATrates,
IF(YEAR(I$72)=2013,5,6),0)</f>
        <v>0</v>
      </c>
      <c r="J115" s="24">
        <f>VLOOKUP($A115&amp;$B115,OH!$A$2:$AB$62,COLUMN(J115)+13,0)*
VLOOKUP(VLOOKUP($A115&amp;$B115,'IP1'!$A$37:$F$89,6,0),
VATrates,
IF(YEAR(J$72)=2013,5,6),0)</f>
        <v>0</v>
      </c>
      <c r="K115" s="24">
        <f>VLOOKUP($A115&amp;$B115,OH!$A$2:$AB$62,COLUMN(K115)+13,0)*
VLOOKUP(VLOOKUP($A115&amp;$B115,'IP1'!$A$37:$F$89,6,0),
VATrates,
IF(YEAR(K$72)=2013,5,6),0)</f>
        <v>0</v>
      </c>
      <c r="L115" s="24">
        <f>VLOOKUP($A115&amp;$B115,OH!$A$2:$AB$62,COLUMN(L115)+13,0)*
VLOOKUP(VLOOKUP($A115&amp;$B115,'IP1'!$A$37:$F$89,6,0),
VATrates,
IF(YEAR(L$72)=2013,5,6),0)</f>
        <v>0</v>
      </c>
      <c r="M115" s="24">
        <f>VLOOKUP($A115&amp;$B115,OH!$A$2:$AB$62,COLUMN(M115)+13,0)*
VLOOKUP(VLOOKUP($A115&amp;$B115,'IP1'!$A$37:$F$89,6,0),
VATrates,
IF(YEAR(M$72)=2013,5,6),0)</f>
        <v>0</v>
      </c>
      <c r="N115" s="24">
        <f>VLOOKUP($A115&amp;$B115,OH!$A$2:$AB$62,COLUMN(N115)+13,0)*
VLOOKUP(VLOOKUP($A115&amp;$B115,'IP1'!$A$37:$F$89,6,0),
VATrates,
IF(YEAR(N$72)=2013,5,6),0)</f>
        <v>0</v>
      </c>
      <c r="O115" s="24">
        <f>VLOOKUP($A115&amp;$B115,OH!$A$2:$AB$62,COLUMN(O115)+13,0)*
VLOOKUP(VLOOKUP($A115&amp;$B115,'IP1'!$A$37:$F$89,6,0),
VATrates,
IF(YEAR(O$72)=2013,5,6),0)</f>
        <v>0</v>
      </c>
    </row>
    <row r="116" spans="1:15">
      <c r="A116" s="16" t="s">
        <v>463</v>
      </c>
      <c r="B116" s="16" t="s">
        <v>464</v>
      </c>
      <c r="C116" s="16"/>
      <c r="D116" s="24">
        <f>VLOOKUP($A116&amp;$B116,OH!$A$2:$AB$62,COLUMN(D116)+13,0)*
VLOOKUP(VLOOKUP($A116&amp;$B116,'IP1'!$A$37:$F$89,6,0),
VATrates,
IF(YEAR(D$72)=2013,5,6),0)</f>
        <v>46</v>
      </c>
      <c r="E116" s="24">
        <f>VLOOKUP($A116&amp;$B116,OH!$A$2:$AB$62,COLUMN(E116)+13,0)*
VLOOKUP(VLOOKUP($A116&amp;$B116,'IP1'!$A$37:$F$89,6,0),
VATrates,
IF(YEAR(E$72)=2013,5,6),0)</f>
        <v>46</v>
      </c>
      <c r="F116" s="24">
        <f>VLOOKUP($A116&amp;$B116,OH!$A$2:$AB$62,COLUMN(F116)+13,0)*
VLOOKUP(VLOOKUP($A116&amp;$B116,'IP1'!$A$37:$F$89,6,0),
VATrates,
IF(YEAR(F$72)=2013,5,6),0)</f>
        <v>46</v>
      </c>
      <c r="G116" s="24">
        <f>VLOOKUP($A116&amp;$B116,OH!$A$2:$AB$62,COLUMN(G116)+13,0)*
VLOOKUP(VLOOKUP($A116&amp;$B116,'IP1'!$A$37:$F$89,6,0),
VATrates,
IF(YEAR(G$72)=2013,5,6),0)</f>
        <v>46</v>
      </c>
      <c r="H116" s="24">
        <f>VLOOKUP($A116&amp;$B116,OH!$A$2:$AB$62,COLUMN(H116)+13,0)*
VLOOKUP(VLOOKUP($A116&amp;$B116,'IP1'!$A$37:$F$89,6,0),
VATrates,
IF(YEAR(H$72)=2013,5,6),0)</f>
        <v>46</v>
      </c>
      <c r="I116" s="24">
        <f>VLOOKUP($A116&amp;$B116,OH!$A$2:$AB$62,COLUMN(I116)+13,0)*
VLOOKUP(VLOOKUP($A116&amp;$B116,'IP1'!$A$37:$F$89,6,0),
VATrates,
IF(YEAR(I$72)=2013,5,6),0)</f>
        <v>46</v>
      </c>
      <c r="J116" s="24">
        <f>VLOOKUP($A116&amp;$B116,OH!$A$2:$AB$62,COLUMN(J116)+13,0)*
VLOOKUP(VLOOKUP($A116&amp;$B116,'IP1'!$A$37:$F$89,6,0),
VATrates,
IF(YEAR(J$72)=2013,5,6),0)</f>
        <v>46</v>
      </c>
      <c r="K116" s="24">
        <f>VLOOKUP($A116&amp;$B116,OH!$A$2:$AB$62,COLUMN(K116)+13,0)*
VLOOKUP(VLOOKUP($A116&amp;$B116,'IP1'!$A$37:$F$89,6,0),
VATrates,
IF(YEAR(K$72)=2013,5,6),0)</f>
        <v>46</v>
      </c>
      <c r="L116" s="24">
        <f>VLOOKUP($A116&amp;$B116,OH!$A$2:$AB$62,COLUMN(L116)+13,0)*
VLOOKUP(VLOOKUP($A116&amp;$B116,'IP1'!$A$37:$F$89,6,0),
VATrates,
IF(YEAR(L$72)=2013,5,6),0)</f>
        <v>46</v>
      </c>
      <c r="M116" s="24">
        <f>VLOOKUP($A116&amp;$B116,OH!$A$2:$AB$62,COLUMN(M116)+13,0)*
VLOOKUP(VLOOKUP($A116&amp;$B116,'IP1'!$A$37:$F$89,6,0),
VATrates,
IF(YEAR(M$72)=2013,5,6),0)</f>
        <v>46</v>
      </c>
      <c r="N116" s="24">
        <f>VLOOKUP($A116&amp;$B116,OH!$A$2:$AB$62,COLUMN(N116)+13,0)*
VLOOKUP(VLOOKUP($A116&amp;$B116,'IP1'!$A$37:$F$89,6,0),
VATrates,
IF(YEAR(N$72)=2013,5,6),0)</f>
        <v>46</v>
      </c>
      <c r="O116" s="24">
        <f>VLOOKUP($A116&amp;$B116,OH!$A$2:$AB$62,COLUMN(O116)+13,0)*
VLOOKUP(VLOOKUP($A116&amp;$B116,'IP1'!$A$37:$F$89,6,0),
VATrates,
IF(YEAR(O$72)=2013,5,6),0)</f>
        <v>46</v>
      </c>
    </row>
    <row r="117" spans="1:15">
      <c r="A117" s="16" t="s">
        <v>463</v>
      </c>
      <c r="B117" s="16" t="s">
        <v>477</v>
      </c>
      <c r="C117" s="16"/>
      <c r="D117" s="24">
        <f>VLOOKUP($A117&amp;$B117,OH!$A$2:$AB$62,COLUMN(D117)+13,0)*
VLOOKUP(VLOOKUP($A117&amp;$B117,'IP1'!$A$37:$F$89,6,0),
VATrates,
IF(YEAR(D$72)=2013,5,6),0)</f>
        <v>143.75</v>
      </c>
      <c r="E117" s="24">
        <f>VLOOKUP($A117&amp;$B117,OH!$A$2:$AB$62,COLUMN(E117)+13,0)*
VLOOKUP(VLOOKUP($A117&amp;$B117,'IP1'!$A$37:$F$89,6,0),
VATrates,
IF(YEAR(E$72)=2013,5,6),0)</f>
        <v>143.75</v>
      </c>
      <c r="F117" s="24">
        <f>VLOOKUP($A117&amp;$B117,OH!$A$2:$AB$62,COLUMN(F117)+13,0)*
VLOOKUP(VLOOKUP($A117&amp;$B117,'IP1'!$A$37:$F$89,6,0),
VATrates,
IF(YEAR(F$72)=2013,5,6),0)</f>
        <v>143.75</v>
      </c>
      <c r="G117" s="24">
        <f>VLOOKUP($A117&amp;$B117,OH!$A$2:$AB$62,COLUMN(G117)+13,0)*
VLOOKUP(VLOOKUP($A117&amp;$B117,'IP1'!$A$37:$F$89,6,0),
VATrates,
IF(YEAR(G$72)=2013,5,6),0)</f>
        <v>143.75</v>
      </c>
      <c r="H117" s="24">
        <f>VLOOKUP($A117&amp;$B117,OH!$A$2:$AB$62,COLUMN(H117)+13,0)*
VLOOKUP(VLOOKUP($A117&amp;$B117,'IP1'!$A$37:$F$89,6,0),
VATrates,
IF(YEAR(H$72)=2013,5,6),0)</f>
        <v>143.75</v>
      </c>
      <c r="I117" s="24">
        <f>VLOOKUP($A117&amp;$B117,OH!$A$2:$AB$62,COLUMN(I117)+13,0)*
VLOOKUP(VLOOKUP($A117&amp;$B117,'IP1'!$A$37:$F$89,6,0),
VATrates,
IF(YEAR(I$72)=2013,5,6),0)</f>
        <v>143.75</v>
      </c>
      <c r="J117" s="24">
        <f>VLOOKUP($A117&amp;$B117,OH!$A$2:$AB$62,COLUMN(J117)+13,0)*
VLOOKUP(VLOOKUP($A117&amp;$B117,'IP1'!$A$37:$F$89,6,0),
VATrates,
IF(YEAR(J$72)=2013,5,6),0)</f>
        <v>143.75</v>
      </c>
      <c r="K117" s="24">
        <f>VLOOKUP($A117&amp;$B117,OH!$A$2:$AB$62,COLUMN(K117)+13,0)*
VLOOKUP(VLOOKUP($A117&amp;$B117,'IP1'!$A$37:$F$89,6,0),
VATrates,
IF(YEAR(K$72)=2013,5,6),0)</f>
        <v>143.75</v>
      </c>
      <c r="L117" s="24">
        <f>VLOOKUP($A117&amp;$B117,OH!$A$2:$AB$62,COLUMN(L117)+13,0)*
VLOOKUP(VLOOKUP($A117&amp;$B117,'IP1'!$A$37:$F$89,6,0),
VATrates,
IF(YEAR(L$72)=2013,5,6),0)</f>
        <v>143.75</v>
      </c>
      <c r="M117" s="24">
        <f>VLOOKUP($A117&amp;$B117,OH!$A$2:$AB$62,COLUMN(M117)+13,0)*
VLOOKUP(VLOOKUP($A117&amp;$B117,'IP1'!$A$37:$F$89,6,0),
VATrates,
IF(YEAR(M$72)=2013,5,6),0)</f>
        <v>143.75</v>
      </c>
      <c r="N117" s="24">
        <f>VLOOKUP($A117&amp;$B117,OH!$A$2:$AB$62,COLUMN(N117)+13,0)*
VLOOKUP(VLOOKUP($A117&amp;$B117,'IP1'!$A$37:$F$89,6,0),
VATrates,
IF(YEAR(N$72)=2013,5,6),0)</f>
        <v>143.75</v>
      </c>
      <c r="O117" s="24">
        <f>VLOOKUP($A117&amp;$B117,OH!$A$2:$AB$62,COLUMN(O117)+13,0)*
VLOOKUP(VLOOKUP($A117&amp;$B117,'IP1'!$A$37:$F$89,6,0),
VATrates,
IF(YEAR(O$72)=2013,5,6),0)</f>
        <v>143.75</v>
      </c>
    </row>
    <row r="118" spans="1:15">
      <c r="A118" s="16" t="s">
        <v>463</v>
      </c>
      <c r="B118" s="16" t="s">
        <v>465</v>
      </c>
      <c r="C118" s="16"/>
      <c r="D118" s="24">
        <f>VLOOKUP($A118&amp;$B118,OH!$A$2:$AB$62,COLUMN(D118)+13,0)*
VLOOKUP(VLOOKUP($A118&amp;$B118,'IP1'!$A$37:$F$89,6,0),
VATrates,
IF(YEAR(D$72)=2013,5,6),0)</f>
        <v>124.58333333333333</v>
      </c>
      <c r="E118" s="24">
        <f>VLOOKUP($A118&amp;$B118,OH!$A$2:$AB$62,COLUMN(E118)+13,0)*
VLOOKUP(VLOOKUP($A118&amp;$B118,'IP1'!$A$37:$F$89,6,0),
VATrates,
IF(YEAR(E$72)=2013,5,6),0)</f>
        <v>124.58333333333333</v>
      </c>
      <c r="F118" s="24">
        <f>VLOOKUP($A118&amp;$B118,OH!$A$2:$AB$62,COLUMN(F118)+13,0)*
VLOOKUP(VLOOKUP($A118&amp;$B118,'IP1'!$A$37:$F$89,6,0),
VATrates,
IF(YEAR(F$72)=2013,5,6),0)</f>
        <v>124.58333333333333</v>
      </c>
      <c r="G118" s="24">
        <f>VLOOKUP($A118&amp;$B118,OH!$A$2:$AB$62,COLUMN(G118)+13,0)*
VLOOKUP(VLOOKUP($A118&amp;$B118,'IP1'!$A$37:$F$89,6,0),
VATrates,
IF(YEAR(G$72)=2013,5,6),0)</f>
        <v>124.58333333333333</v>
      </c>
      <c r="H118" s="24">
        <f>VLOOKUP($A118&amp;$B118,OH!$A$2:$AB$62,COLUMN(H118)+13,0)*
VLOOKUP(VLOOKUP($A118&amp;$B118,'IP1'!$A$37:$F$89,6,0),
VATrates,
IF(YEAR(H$72)=2013,5,6),0)</f>
        <v>124.58333333333333</v>
      </c>
      <c r="I118" s="24">
        <f>VLOOKUP($A118&amp;$B118,OH!$A$2:$AB$62,COLUMN(I118)+13,0)*
VLOOKUP(VLOOKUP($A118&amp;$B118,'IP1'!$A$37:$F$89,6,0),
VATrates,
IF(YEAR(I$72)=2013,5,6),0)</f>
        <v>124.58333333333333</v>
      </c>
      <c r="J118" s="24">
        <f>VLOOKUP($A118&amp;$B118,OH!$A$2:$AB$62,COLUMN(J118)+13,0)*
VLOOKUP(VLOOKUP($A118&amp;$B118,'IP1'!$A$37:$F$89,6,0),
VATrates,
IF(YEAR(J$72)=2013,5,6),0)</f>
        <v>124.58333333333333</v>
      </c>
      <c r="K118" s="24">
        <f>VLOOKUP($A118&amp;$B118,OH!$A$2:$AB$62,COLUMN(K118)+13,0)*
VLOOKUP(VLOOKUP($A118&amp;$B118,'IP1'!$A$37:$F$89,6,0),
VATrates,
IF(YEAR(K$72)=2013,5,6),0)</f>
        <v>124.58333333333333</v>
      </c>
      <c r="L118" s="24">
        <f>VLOOKUP($A118&amp;$B118,OH!$A$2:$AB$62,COLUMN(L118)+13,0)*
VLOOKUP(VLOOKUP($A118&amp;$B118,'IP1'!$A$37:$F$89,6,0),
VATrates,
IF(YEAR(L$72)=2013,5,6),0)</f>
        <v>124.58333333333333</v>
      </c>
      <c r="M118" s="24">
        <f>VLOOKUP($A118&amp;$B118,OH!$A$2:$AB$62,COLUMN(M118)+13,0)*
VLOOKUP(VLOOKUP($A118&amp;$B118,'IP1'!$A$37:$F$89,6,0),
VATrates,
IF(YEAR(M$72)=2013,5,6),0)</f>
        <v>124.58333333333333</v>
      </c>
      <c r="N118" s="24">
        <f>VLOOKUP($A118&amp;$B118,OH!$A$2:$AB$62,COLUMN(N118)+13,0)*
VLOOKUP(VLOOKUP($A118&amp;$B118,'IP1'!$A$37:$F$89,6,0),
VATrates,
IF(YEAR(N$72)=2013,5,6),0)</f>
        <v>124.58333333333333</v>
      </c>
      <c r="O118" s="24">
        <f>VLOOKUP($A118&amp;$B118,OH!$A$2:$AB$62,COLUMN(O118)+13,0)*
VLOOKUP(VLOOKUP($A118&amp;$B118,'IP1'!$A$37:$F$89,6,0),
VATrates,
IF(YEAR(O$72)=2013,5,6),0)</f>
        <v>124.58333333333333</v>
      </c>
    </row>
    <row r="119" spans="1:15">
      <c r="A119" s="16" t="s">
        <v>463</v>
      </c>
      <c r="B119" s="16" t="s">
        <v>466</v>
      </c>
      <c r="C119" s="16"/>
      <c r="D119" s="24">
        <f>VLOOKUP($A119&amp;$B119,OH!$A$2:$AB$62,COLUMN(D119)+13,0)*
VLOOKUP(VLOOKUP($A119&amp;$B119,'IP1'!$A$37:$F$89,6,0),
VATrates,
IF(YEAR(D$72)=2013,5,6),0)</f>
        <v>0</v>
      </c>
      <c r="E119" s="24">
        <f>VLOOKUP($A119&amp;$B119,OH!$A$2:$AB$62,COLUMN(E119)+13,0)*
VLOOKUP(VLOOKUP($A119&amp;$B119,'IP1'!$A$37:$F$89,6,0),
VATrates,
IF(YEAR(E$72)=2013,5,6),0)</f>
        <v>575</v>
      </c>
      <c r="F119" s="24">
        <f>VLOOKUP($A119&amp;$B119,OH!$A$2:$AB$62,COLUMN(F119)+13,0)*
VLOOKUP(VLOOKUP($A119&amp;$B119,'IP1'!$A$37:$F$89,6,0),
VATrates,
IF(YEAR(F$72)=2013,5,6),0)</f>
        <v>0</v>
      </c>
      <c r="G119" s="24">
        <f>VLOOKUP($A119&amp;$B119,OH!$A$2:$AB$62,COLUMN(G119)+13,0)*
VLOOKUP(VLOOKUP($A119&amp;$B119,'IP1'!$A$37:$F$89,6,0),
VATrates,
IF(YEAR(G$72)=2013,5,6),0)</f>
        <v>0</v>
      </c>
      <c r="H119" s="24">
        <f>VLOOKUP($A119&amp;$B119,OH!$A$2:$AB$62,COLUMN(H119)+13,0)*
VLOOKUP(VLOOKUP($A119&amp;$B119,'IP1'!$A$37:$F$89,6,0),
VATrates,
IF(YEAR(H$72)=2013,5,6),0)</f>
        <v>0</v>
      </c>
      <c r="I119" s="24">
        <f>VLOOKUP($A119&amp;$B119,OH!$A$2:$AB$62,COLUMN(I119)+13,0)*
VLOOKUP(VLOOKUP($A119&amp;$B119,'IP1'!$A$37:$F$89,6,0),
VATrates,
IF(YEAR(I$72)=2013,5,6),0)</f>
        <v>0</v>
      </c>
      <c r="J119" s="24">
        <f>VLOOKUP($A119&amp;$B119,OH!$A$2:$AB$62,COLUMN(J119)+13,0)*
VLOOKUP(VLOOKUP($A119&amp;$B119,'IP1'!$A$37:$F$89,6,0),
VATrates,
IF(YEAR(J$72)=2013,5,6),0)</f>
        <v>0</v>
      </c>
      <c r="K119" s="24">
        <f>VLOOKUP($A119&amp;$B119,OH!$A$2:$AB$62,COLUMN(K119)+13,0)*
VLOOKUP(VLOOKUP($A119&amp;$B119,'IP1'!$A$37:$F$89,6,0),
VATrates,
IF(YEAR(K$72)=2013,5,6),0)</f>
        <v>0</v>
      </c>
      <c r="L119" s="24">
        <f>VLOOKUP($A119&amp;$B119,OH!$A$2:$AB$62,COLUMN(L119)+13,0)*
VLOOKUP(VLOOKUP($A119&amp;$B119,'IP1'!$A$37:$F$89,6,0),
VATrates,
IF(YEAR(L$72)=2013,5,6),0)</f>
        <v>0</v>
      </c>
      <c r="M119" s="24">
        <f>VLOOKUP($A119&amp;$B119,OH!$A$2:$AB$62,COLUMN(M119)+13,0)*
VLOOKUP(VLOOKUP($A119&amp;$B119,'IP1'!$A$37:$F$89,6,0),
VATrates,
IF(YEAR(M$72)=2013,5,6),0)</f>
        <v>0</v>
      </c>
      <c r="N119" s="24">
        <f>VLOOKUP($A119&amp;$B119,OH!$A$2:$AB$62,COLUMN(N119)+13,0)*
VLOOKUP(VLOOKUP($A119&amp;$B119,'IP1'!$A$37:$F$89,6,0),
VATrates,
IF(YEAR(N$72)=2013,5,6),0)</f>
        <v>0</v>
      </c>
      <c r="O119" s="24">
        <f>VLOOKUP($A119&amp;$B119,OH!$A$2:$AB$62,COLUMN(O119)+13,0)*
VLOOKUP(VLOOKUP($A119&amp;$B119,'IP1'!$A$37:$F$89,6,0),
VATrates,
IF(YEAR(O$72)=2013,5,6),0)</f>
        <v>0</v>
      </c>
    </row>
    <row r="120" spans="1:15">
      <c r="A120" s="16" t="s">
        <v>463</v>
      </c>
      <c r="B120" s="16" t="s">
        <v>467</v>
      </c>
      <c r="C120" s="16"/>
      <c r="D120" s="24">
        <f>VLOOKUP($A120&amp;$B120,OH!$A$2:$AB$62,COLUMN(D120)+13,0)*
VLOOKUP(VLOOKUP($A120&amp;$B120,'IP1'!$A$37:$F$89,6,0),
VATrates,
IF(YEAR(D$72)=2013,5,6),0)</f>
        <v>958.33333333333348</v>
      </c>
      <c r="E120" s="24">
        <f>VLOOKUP($A120&amp;$B120,OH!$A$2:$AB$62,COLUMN(E120)+13,0)*
VLOOKUP(VLOOKUP($A120&amp;$B120,'IP1'!$A$37:$F$89,6,0),
VATrates,
IF(YEAR(E$72)=2013,5,6),0)</f>
        <v>958.33333333333348</v>
      </c>
      <c r="F120" s="24">
        <f>VLOOKUP($A120&amp;$B120,OH!$A$2:$AB$62,COLUMN(F120)+13,0)*
VLOOKUP(VLOOKUP($A120&amp;$B120,'IP1'!$A$37:$F$89,6,0),
VATrates,
IF(YEAR(F$72)=2013,5,6),0)</f>
        <v>958.33333333333348</v>
      </c>
      <c r="G120" s="24">
        <f>VLOOKUP($A120&amp;$B120,OH!$A$2:$AB$62,COLUMN(G120)+13,0)*
VLOOKUP(VLOOKUP($A120&amp;$B120,'IP1'!$A$37:$F$89,6,0),
VATrates,
IF(YEAR(G$72)=2013,5,6),0)</f>
        <v>958.33333333333348</v>
      </c>
      <c r="H120" s="24">
        <f>VLOOKUP($A120&amp;$B120,OH!$A$2:$AB$62,COLUMN(H120)+13,0)*
VLOOKUP(VLOOKUP($A120&amp;$B120,'IP1'!$A$37:$F$89,6,0),
VATrates,
IF(YEAR(H$72)=2013,5,6),0)</f>
        <v>958.33333333333348</v>
      </c>
      <c r="I120" s="24">
        <f>VLOOKUP($A120&amp;$B120,OH!$A$2:$AB$62,COLUMN(I120)+13,0)*
VLOOKUP(VLOOKUP($A120&amp;$B120,'IP1'!$A$37:$F$89,6,0),
VATrates,
IF(YEAR(I$72)=2013,5,6),0)</f>
        <v>958.33333333333348</v>
      </c>
      <c r="J120" s="24">
        <f>VLOOKUP($A120&amp;$B120,OH!$A$2:$AB$62,COLUMN(J120)+13,0)*
VLOOKUP(VLOOKUP($A120&amp;$B120,'IP1'!$A$37:$F$89,6,0),
VATrates,
IF(YEAR(J$72)=2013,5,6),0)</f>
        <v>958.33333333333348</v>
      </c>
      <c r="K120" s="24">
        <f>VLOOKUP($A120&amp;$B120,OH!$A$2:$AB$62,COLUMN(K120)+13,0)*
VLOOKUP(VLOOKUP($A120&amp;$B120,'IP1'!$A$37:$F$89,6,0),
VATrates,
IF(YEAR(K$72)=2013,5,6),0)</f>
        <v>958.33333333333348</v>
      </c>
      <c r="L120" s="24">
        <f>VLOOKUP($A120&amp;$B120,OH!$A$2:$AB$62,COLUMN(L120)+13,0)*
VLOOKUP(VLOOKUP($A120&amp;$B120,'IP1'!$A$37:$F$89,6,0),
VATrates,
IF(YEAR(L$72)=2013,5,6),0)</f>
        <v>958.33333333333348</v>
      </c>
      <c r="M120" s="24">
        <f>VLOOKUP($A120&amp;$B120,OH!$A$2:$AB$62,COLUMN(M120)+13,0)*
VLOOKUP(VLOOKUP($A120&amp;$B120,'IP1'!$A$37:$F$89,6,0),
VATrates,
IF(YEAR(M$72)=2013,5,6),0)</f>
        <v>958.33333333333348</v>
      </c>
      <c r="N120" s="24">
        <f>VLOOKUP($A120&amp;$B120,OH!$A$2:$AB$62,COLUMN(N120)+13,0)*
VLOOKUP(VLOOKUP($A120&amp;$B120,'IP1'!$A$37:$F$89,6,0),
VATrates,
IF(YEAR(N$72)=2013,5,6),0)</f>
        <v>958.33333333333348</v>
      </c>
      <c r="O120" s="24">
        <f>VLOOKUP($A120&amp;$B120,OH!$A$2:$AB$62,COLUMN(O120)+13,0)*
VLOOKUP(VLOOKUP($A120&amp;$B120,'IP1'!$A$37:$F$89,6,0),
VATrates,
IF(YEAR(O$72)=2013,5,6),0)</f>
        <v>958.33333333333348</v>
      </c>
    </row>
    <row r="121" spans="1:15">
      <c r="A121" s="16" t="s">
        <v>463</v>
      </c>
      <c r="B121" s="16" t="s">
        <v>478</v>
      </c>
      <c r="C121" s="16"/>
      <c r="D121" s="24">
        <f>VLOOKUP($A121&amp;$B121,OH!$A$2:$AB$62,COLUMN(D121)+13,0)*
VLOOKUP(VLOOKUP($A121&amp;$B121,'IP1'!$A$37:$F$89,6,0),
VATrates,
IF(YEAR(D$72)=2013,5,6),0)</f>
        <v>958.33333333333348</v>
      </c>
      <c r="E121" s="24">
        <f>VLOOKUP($A121&amp;$B121,OH!$A$2:$AB$62,COLUMN(E121)+13,0)*
VLOOKUP(VLOOKUP($A121&amp;$B121,'IP1'!$A$37:$F$89,6,0),
VATrates,
IF(YEAR(E$72)=2013,5,6),0)</f>
        <v>958.33333333333348</v>
      </c>
      <c r="F121" s="24">
        <f>VLOOKUP($A121&amp;$B121,OH!$A$2:$AB$62,COLUMN(F121)+13,0)*
VLOOKUP(VLOOKUP($A121&amp;$B121,'IP1'!$A$37:$F$89,6,0),
VATrates,
IF(YEAR(F$72)=2013,5,6),0)</f>
        <v>958.33333333333348</v>
      </c>
      <c r="G121" s="24">
        <f>VLOOKUP($A121&amp;$B121,OH!$A$2:$AB$62,COLUMN(G121)+13,0)*
VLOOKUP(VLOOKUP($A121&amp;$B121,'IP1'!$A$37:$F$89,6,0),
VATrates,
IF(YEAR(G$72)=2013,5,6),0)</f>
        <v>958.33333333333348</v>
      </c>
      <c r="H121" s="24">
        <f>VLOOKUP($A121&amp;$B121,OH!$A$2:$AB$62,COLUMN(H121)+13,0)*
VLOOKUP(VLOOKUP($A121&amp;$B121,'IP1'!$A$37:$F$89,6,0),
VATrates,
IF(YEAR(H$72)=2013,5,6),0)</f>
        <v>958.33333333333348</v>
      </c>
      <c r="I121" s="24">
        <f>VLOOKUP($A121&amp;$B121,OH!$A$2:$AB$62,COLUMN(I121)+13,0)*
VLOOKUP(VLOOKUP($A121&amp;$B121,'IP1'!$A$37:$F$89,6,0),
VATrates,
IF(YEAR(I$72)=2013,5,6),0)</f>
        <v>958.33333333333348</v>
      </c>
      <c r="J121" s="24">
        <f>VLOOKUP($A121&amp;$B121,OH!$A$2:$AB$62,COLUMN(J121)+13,0)*
VLOOKUP(VLOOKUP($A121&amp;$B121,'IP1'!$A$37:$F$89,6,0),
VATrates,
IF(YEAR(J$72)=2013,5,6),0)</f>
        <v>958.33333333333348</v>
      </c>
      <c r="K121" s="24">
        <f>VLOOKUP($A121&amp;$B121,OH!$A$2:$AB$62,COLUMN(K121)+13,0)*
VLOOKUP(VLOOKUP($A121&amp;$B121,'IP1'!$A$37:$F$89,6,0),
VATrates,
IF(YEAR(K$72)=2013,5,6),0)</f>
        <v>958.33333333333348</v>
      </c>
      <c r="L121" s="24">
        <f>VLOOKUP($A121&amp;$B121,OH!$A$2:$AB$62,COLUMN(L121)+13,0)*
VLOOKUP(VLOOKUP($A121&amp;$B121,'IP1'!$A$37:$F$89,6,0),
VATrates,
IF(YEAR(L$72)=2013,5,6),0)</f>
        <v>958.33333333333348</v>
      </c>
      <c r="M121" s="24">
        <f>VLOOKUP($A121&amp;$B121,OH!$A$2:$AB$62,COLUMN(M121)+13,0)*
VLOOKUP(VLOOKUP($A121&amp;$B121,'IP1'!$A$37:$F$89,6,0),
VATrates,
IF(YEAR(M$72)=2013,5,6),0)</f>
        <v>958.33333333333348</v>
      </c>
      <c r="N121" s="24">
        <f>VLOOKUP($A121&amp;$B121,OH!$A$2:$AB$62,COLUMN(N121)+13,0)*
VLOOKUP(VLOOKUP($A121&amp;$B121,'IP1'!$A$37:$F$89,6,0),
VATrates,
IF(YEAR(N$72)=2013,5,6),0)</f>
        <v>958.33333333333348</v>
      </c>
      <c r="O121" s="24">
        <f>VLOOKUP($A121&amp;$B121,OH!$A$2:$AB$62,COLUMN(O121)+13,0)*
VLOOKUP(VLOOKUP($A121&amp;$B121,'IP1'!$A$37:$F$89,6,0),
VATrates,
IF(YEAR(O$72)=2013,5,6),0)</f>
        <v>958.33333333333348</v>
      </c>
    </row>
    <row r="122" spans="1:15">
      <c r="A122" s="16" t="s">
        <v>463</v>
      </c>
      <c r="B122" s="16" t="s">
        <v>468</v>
      </c>
      <c r="C122" s="16"/>
      <c r="D122" s="24">
        <f>VLOOKUP($A122&amp;$B122,OH!$A$2:$AB$62,COLUMN(D122)+13,0)*
VLOOKUP(VLOOKUP($A122&amp;$B122,'IP1'!$A$37:$F$89,6,0),
VATrates,
IF(YEAR(D$72)=2013,5,6),0)</f>
        <v>95.833333333333343</v>
      </c>
      <c r="E122" s="24">
        <f>VLOOKUP($A122&amp;$B122,OH!$A$2:$AB$62,COLUMN(E122)+13,0)*
VLOOKUP(VLOOKUP($A122&amp;$B122,'IP1'!$A$37:$F$89,6,0),
VATrates,
IF(YEAR(E$72)=2013,5,6),0)</f>
        <v>95.833333333333343</v>
      </c>
      <c r="F122" s="24">
        <f>VLOOKUP($A122&amp;$B122,OH!$A$2:$AB$62,COLUMN(F122)+13,0)*
VLOOKUP(VLOOKUP($A122&amp;$B122,'IP1'!$A$37:$F$89,6,0),
VATrates,
IF(YEAR(F$72)=2013,5,6),0)</f>
        <v>95.833333333333343</v>
      </c>
      <c r="G122" s="24">
        <f>VLOOKUP($A122&amp;$B122,OH!$A$2:$AB$62,COLUMN(G122)+13,0)*
VLOOKUP(VLOOKUP($A122&amp;$B122,'IP1'!$A$37:$F$89,6,0),
VATrates,
IF(YEAR(G$72)=2013,5,6),0)</f>
        <v>95.833333333333343</v>
      </c>
      <c r="H122" s="24">
        <f>VLOOKUP($A122&amp;$B122,OH!$A$2:$AB$62,COLUMN(H122)+13,0)*
VLOOKUP(VLOOKUP($A122&amp;$B122,'IP1'!$A$37:$F$89,6,0),
VATrates,
IF(YEAR(H$72)=2013,5,6),0)</f>
        <v>95.833333333333343</v>
      </c>
      <c r="I122" s="24">
        <f>VLOOKUP($A122&amp;$B122,OH!$A$2:$AB$62,COLUMN(I122)+13,0)*
VLOOKUP(VLOOKUP($A122&amp;$B122,'IP1'!$A$37:$F$89,6,0),
VATrates,
IF(YEAR(I$72)=2013,5,6),0)</f>
        <v>95.833333333333343</v>
      </c>
      <c r="J122" s="24">
        <f>VLOOKUP($A122&amp;$B122,OH!$A$2:$AB$62,COLUMN(J122)+13,0)*
VLOOKUP(VLOOKUP($A122&amp;$B122,'IP1'!$A$37:$F$89,6,0),
VATrates,
IF(YEAR(J$72)=2013,5,6),0)</f>
        <v>95.833333333333343</v>
      </c>
      <c r="K122" s="24">
        <f>VLOOKUP($A122&amp;$B122,OH!$A$2:$AB$62,COLUMN(K122)+13,0)*
VLOOKUP(VLOOKUP($A122&amp;$B122,'IP1'!$A$37:$F$89,6,0),
VATrates,
IF(YEAR(K$72)=2013,5,6),0)</f>
        <v>95.833333333333343</v>
      </c>
      <c r="L122" s="24">
        <f>VLOOKUP($A122&amp;$B122,OH!$A$2:$AB$62,COLUMN(L122)+13,0)*
VLOOKUP(VLOOKUP($A122&amp;$B122,'IP1'!$A$37:$F$89,6,0),
VATrates,
IF(YEAR(L$72)=2013,5,6),0)</f>
        <v>95.833333333333343</v>
      </c>
      <c r="M122" s="24">
        <f>VLOOKUP($A122&amp;$B122,OH!$A$2:$AB$62,COLUMN(M122)+13,0)*
VLOOKUP(VLOOKUP($A122&amp;$B122,'IP1'!$A$37:$F$89,6,0),
VATrates,
IF(YEAR(M$72)=2013,5,6),0)</f>
        <v>95.833333333333343</v>
      </c>
      <c r="N122" s="24">
        <f>VLOOKUP($A122&amp;$B122,OH!$A$2:$AB$62,COLUMN(N122)+13,0)*
VLOOKUP(VLOOKUP($A122&amp;$B122,'IP1'!$A$37:$F$89,6,0),
VATrates,
IF(YEAR(N$72)=2013,5,6),0)</f>
        <v>95.833333333333343</v>
      </c>
      <c r="O122" s="24">
        <f>VLOOKUP($A122&amp;$B122,OH!$A$2:$AB$62,COLUMN(O122)+13,0)*
VLOOKUP(VLOOKUP($A122&amp;$B122,'IP1'!$A$37:$F$89,6,0),
VATrates,
IF(YEAR(O$72)=2013,5,6),0)</f>
        <v>95.833333333333343</v>
      </c>
    </row>
    <row r="123" spans="1:15">
      <c r="A123" s="16" t="s">
        <v>463</v>
      </c>
      <c r="B123" s="16" t="s">
        <v>469</v>
      </c>
      <c r="C123" s="16"/>
      <c r="D123" s="24">
        <f>VLOOKUP($A123&amp;$B123,OH!$A$2:$AB$62,COLUMN(D123)+13,0)*
VLOOKUP(VLOOKUP($A123&amp;$B123,'IP1'!$A$37:$F$89,6,0),
VATrates,
IF(YEAR(D$72)=2013,5,6),0)</f>
        <v>95.833333333333343</v>
      </c>
      <c r="E123" s="24">
        <f>VLOOKUP($A123&amp;$B123,OH!$A$2:$AB$62,COLUMN(E123)+13,0)*
VLOOKUP(VLOOKUP($A123&amp;$B123,'IP1'!$A$37:$F$89,6,0),
VATrates,
IF(YEAR(E$72)=2013,5,6),0)</f>
        <v>95.833333333333343</v>
      </c>
      <c r="F123" s="24">
        <f>VLOOKUP($A123&amp;$B123,OH!$A$2:$AB$62,COLUMN(F123)+13,0)*
VLOOKUP(VLOOKUP($A123&amp;$B123,'IP1'!$A$37:$F$89,6,0),
VATrates,
IF(YEAR(F$72)=2013,5,6),0)</f>
        <v>95.833333333333343</v>
      </c>
      <c r="G123" s="24">
        <f>VLOOKUP($A123&amp;$B123,OH!$A$2:$AB$62,COLUMN(G123)+13,0)*
VLOOKUP(VLOOKUP($A123&amp;$B123,'IP1'!$A$37:$F$89,6,0),
VATrates,
IF(YEAR(G$72)=2013,5,6),0)</f>
        <v>95.833333333333343</v>
      </c>
      <c r="H123" s="24">
        <f>VLOOKUP($A123&amp;$B123,OH!$A$2:$AB$62,COLUMN(H123)+13,0)*
VLOOKUP(VLOOKUP($A123&amp;$B123,'IP1'!$A$37:$F$89,6,0),
VATrates,
IF(YEAR(H$72)=2013,5,6),0)</f>
        <v>95.833333333333343</v>
      </c>
      <c r="I123" s="24">
        <f>VLOOKUP($A123&amp;$B123,OH!$A$2:$AB$62,COLUMN(I123)+13,0)*
VLOOKUP(VLOOKUP($A123&amp;$B123,'IP1'!$A$37:$F$89,6,0),
VATrates,
IF(YEAR(I$72)=2013,5,6),0)</f>
        <v>95.833333333333343</v>
      </c>
      <c r="J123" s="24">
        <f>VLOOKUP($A123&amp;$B123,OH!$A$2:$AB$62,COLUMN(J123)+13,0)*
VLOOKUP(VLOOKUP($A123&amp;$B123,'IP1'!$A$37:$F$89,6,0),
VATrates,
IF(YEAR(J$72)=2013,5,6),0)</f>
        <v>95.833333333333343</v>
      </c>
      <c r="K123" s="24">
        <f>VLOOKUP($A123&amp;$B123,OH!$A$2:$AB$62,COLUMN(K123)+13,0)*
VLOOKUP(VLOOKUP($A123&amp;$B123,'IP1'!$A$37:$F$89,6,0),
VATrates,
IF(YEAR(K$72)=2013,5,6),0)</f>
        <v>95.833333333333343</v>
      </c>
      <c r="L123" s="24">
        <f>VLOOKUP($A123&amp;$B123,OH!$A$2:$AB$62,COLUMN(L123)+13,0)*
VLOOKUP(VLOOKUP($A123&amp;$B123,'IP1'!$A$37:$F$89,6,0),
VATrates,
IF(YEAR(L$72)=2013,5,6),0)</f>
        <v>95.833333333333343</v>
      </c>
      <c r="M123" s="24">
        <f>VLOOKUP($A123&amp;$B123,OH!$A$2:$AB$62,COLUMN(M123)+13,0)*
VLOOKUP(VLOOKUP($A123&amp;$B123,'IP1'!$A$37:$F$89,6,0),
VATrates,
IF(YEAR(M$72)=2013,5,6),0)</f>
        <v>95.833333333333343</v>
      </c>
      <c r="N123" s="24">
        <f>VLOOKUP($A123&amp;$B123,OH!$A$2:$AB$62,COLUMN(N123)+13,0)*
VLOOKUP(VLOOKUP($A123&amp;$B123,'IP1'!$A$37:$F$89,6,0),
VATrates,
IF(YEAR(N$72)=2013,5,6),0)</f>
        <v>95.833333333333343</v>
      </c>
      <c r="O123" s="24">
        <f>VLOOKUP($A123&amp;$B123,OH!$A$2:$AB$62,COLUMN(O123)+13,0)*
VLOOKUP(VLOOKUP($A123&amp;$B123,'IP1'!$A$37:$F$89,6,0),
VATrates,
IF(YEAR(O$72)=2013,5,6),0)</f>
        <v>95.833333333333343</v>
      </c>
    </row>
    <row r="124" spans="1:15">
      <c r="A124" s="16" t="s">
        <v>463</v>
      </c>
      <c r="B124" s="16" t="s">
        <v>470</v>
      </c>
      <c r="C124" s="16"/>
      <c r="D124" s="24">
        <f>VLOOKUP($A124&amp;$B124,OH!$A$2:$AB$62,COLUMN(D124)+13,0)*
VLOOKUP(VLOOKUP($A124&amp;$B124,'IP1'!$A$37:$F$89,6,0),
VATrates,
IF(YEAR(D$72)=2013,5,6),0)</f>
        <v>143.75</v>
      </c>
      <c r="E124" s="24">
        <f>VLOOKUP($A124&amp;$B124,OH!$A$2:$AB$62,COLUMN(E124)+13,0)*
VLOOKUP(VLOOKUP($A124&amp;$B124,'IP1'!$A$37:$F$89,6,0),
VATrates,
IF(YEAR(E$72)=2013,5,6),0)</f>
        <v>143.75</v>
      </c>
      <c r="F124" s="24">
        <f>VLOOKUP($A124&amp;$B124,OH!$A$2:$AB$62,COLUMN(F124)+13,0)*
VLOOKUP(VLOOKUP($A124&amp;$B124,'IP1'!$A$37:$F$89,6,0),
VATrates,
IF(YEAR(F$72)=2013,5,6),0)</f>
        <v>143.75</v>
      </c>
      <c r="G124" s="24">
        <f>VLOOKUP($A124&amp;$B124,OH!$A$2:$AB$62,COLUMN(G124)+13,0)*
VLOOKUP(VLOOKUP($A124&amp;$B124,'IP1'!$A$37:$F$89,6,0),
VATrates,
IF(YEAR(G$72)=2013,5,6),0)</f>
        <v>143.75</v>
      </c>
      <c r="H124" s="24">
        <f>VLOOKUP($A124&amp;$B124,OH!$A$2:$AB$62,COLUMN(H124)+13,0)*
VLOOKUP(VLOOKUP($A124&amp;$B124,'IP1'!$A$37:$F$89,6,0),
VATrates,
IF(YEAR(H$72)=2013,5,6),0)</f>
        <v>143.75</v>
      </c>
      <c r="I124" s="24">
        <f>VLOOKUP($A124&amp;$B124,OH!$A$2:$AB$62,COLUMN(I124)+13,0)*
VLOOKUP(VLOOKUP($A124&amp;$B124,'IP1'!$A$37:$F$89,6,0),
VATrates,
IF(YEAR(I$72)=2013,5,6),0)</f>
        <v>143.75</v>
      </c>
      <c r="J124" s="24">
        <f>VLOOKUP($A124&amp;$B124,OH!$A$2:$AB$62,COLUMN(J124)+13,0)*
VLOOKUP(VLOOKUP($A124&amp;$B124,'IP1'!$A$37:$F$89,6,0),
VATrates,
IF(YEAR(J$72)=2013,5,6),0)</f>
        <v>143.75</v>
      </c>
      <c r="K124" s="24">
        <f>VLOOKUP($A124&amp;$B124,OH!$A$2:$AB$62,COLUMN(K124)+13,0)*
VLOOKUP(VLOOKUP($A124&amp;$B124,'IP1'!$A$37:$F$89,6,0),
VATrates,
IF(YEAR(K$72)=2013,5,6),0)</f>
        <v>143.75</v>
      </c>
      <c r="L124" s="24">
        <f>VLOOKUP($A124&amp;$B124,OH!$A$2:$AB$62,COLUMN(L124)+13,0)*
VLOOKUP(VLOOKUP($A124&amp;$B124,'IP1'!$A$37:$F$89,6,0),
VATrates,
IF(YEAR(L$72)=2013,5,6),0)</f>
        <v>143.75</v>
      </c>
      <c r="M124" s="24">
        <f>VLOOKUP($A124&amp;$B124,OH!$A$2:$AB$62,COLUMN(M124)+13,0)*
VLOOKUP(VLOOKUP($A124&amp;$B124,'IP1'!$A$37:$F$89,6,0),
VATrates,
IF(YEAR(M$72)=2013,5,6),0)</f>
        <v>143.75</v>
      </c>
      <c r="N124" s="24">
        <f>VLOOKUP($A124&amp;$B124,OH!$A$2:$AB$62,COLUMN(N124)+13,0)*
VLOOKUP(VLOOKUP($A124&amp;$B124,'IP1'!$A$37:$F$89,6,0),
VATrates,
IF(YEAR(N$72)=2013,5,6),0)</f>
        <v>143.75</v>
      </c>
      <c r="O124" s="24">
        <f>VLOOKUP($A124&amp;$B124,OH!$A$2:$AB$62,COLUMN(O124)+13,0)*
VLOOKUP(VLOOKUP($A124&amp;$B124,'IP1'!$A$37:$F$89,6,0),
VATrates,
IF(YEAR(O$72)=2013,5,6),0)</f>
        <v>143.75</v>
      </c>
    </row>
    <row r="125" spans="1:15">
      <c r="A125" s="16" t="s">
        <v>463</v>
      </c>
      <c r="B125" s="16" t="s">
        <v>471</v>
      </c>
      <c r="C125" s="16"/>
      <c r="D125" s="24">
        <f>VLOOKUP($A125&amp;$B125,OH!$A$2:$AB$62,COLUMN(D125)+13,0)*
VLOOKUP(VLOOKUP($A125&amp;$B125,'IP1'!$A$37:$F$89,6,0),
VATrates,
IF(YEAR(D$72)=2013,5,6),0)</f>
        <v>191.66666666666669</v>
      </c>
      <c r="E125" s="24">
        <f>VLOOKUP($A125&amp;$B125,OH!$A$2:$AB$62,COLUMN(E125)+13,0)*
VLOOKUP(VLOOKUP($A125&amp;$B125,'IP1'!$A$37:$F$89,6,0),
VATrates,
IF(YEAR(E$72)=2013,5,6),0)</f>
        <v>191.66666666666669</v>
      </c>
      <c r="F125" s="24">
        <f>VLOOKUP($A125&amp;$B125,OH!$A$2:$AB$62,COLUMN(F125)+13,0)*
VLOOKUP(VLOOKUP($A125&amp;$B125,'IP1'!$A$37:$F$89,6,0),
VATrates,
IF(YEAR(F$72)=2013,5,6),0)</f>
        <v>191.66666666666669</v>
      </c>
      <c r="G125" s="24">
        <f>VLOOKUP($A125&amp;$B125,OH!$A$2:$AB$62,COLUMN(G125)+13,0)*
VLOOKUP(VLOOKUP($A125&amp;$B125,'IP1'!$A$37:$F$89,6,0),
VATrates,
IF(YEAR(G$72)=2013,5,6),0)</f>
        <v>191.66666666666669</v>
      </c>
      <c r="H125" s="24">
        <f>VLOOKUP($A125&amp;$B125,OH!$A$2:$AB$62,COLUMN(H125)+13,0)*
VLOOKUP(VLOOKUP($A125&amp;$B125,'IP1'!$A$37:$F$89,6,0),
VATrates,
IF(YEAR(H$72)=2013,5,6),0)</f>
        <v>191.66666666666669</v>
      </c>
      <c r="I125" s="24">
        <f>VLOOKUP($A125&amp;$B125,OH!$A$2:$AB$62,COLUMN(I125)+13,0)*
VLOOKUP(VLOOKUP($A125&amp;$B125,'IP1'!$A$37:$F$89,6,0),
VATrates,
IF(YEAR(I$72)=2013,5,6),0)</f>
        <v>191.66666666666669</v>
      </c>
      <c r="J125" s="24">
        <f>VLOOKUP($A125&amp;$B125,OH!$A$2:$AB$62,COLUMN(J125)+13,0)*
VLOOKUP(VLOOKUP($A125&amp;$B125,'IP1'!$A$37:$F$89,6,0),
VATrates,
IF(YEAR(J$72)=2013,5,6),0)</f>
        <v>191.66666666666669</v>
      </c>
      <c r="K125" s="24">
        <f>VLOOKUP($A125&amp;$B125,OH!$A$2:$AB$62,COLUMN(K125)+13,0)*
VLOOKUP(VLOOKUP($A125&amp;$B125,'IP1'!$A$37:$F$89,6,0),
VATrates,
IF(YEAR(K$72)=2013,5,6),0)</f>
        <v>191.66666666666669</v>
      </c>
      <c r="L125" s="24">
        <f>VLOOKUP($A125&amp;$B125,OH!$A$2:$AB$62,COLUMN(L125)+13,0)*
VLOOKUP(VLOOKUP($A125&amp;$B125,'IP1'!$A$37:$F$89,6,0),
VATrates,
IF(YEAR(L$72)=2013,5,6),0)</f>
        <v>191.66666666666669</v>
      </c>
      <c r="M125" s="24">
        <f>VLOOKUP($A125&amp;$B125,OH!$A$2:$AB$62,COLUMN(M125)+13,0)*
VLOOKUP(VLOOKUP($A125&amp;$B125,'IP1'!$A$37:$F$89,6,0),
VATrates,
IF(YEAR(M$72)=2013,5,6),0)</f>
        <v>191.66666666666669</v>
      </c>
      <c r="N125" s="24">
        <f>VLOOKUP($A125&amp;$B125,OH!$A$2:$AB$62,COLUMN(N125)+13,0)*
VLOOKUP(VLOOKUP($A125&amp;$B125,'IP1'!$A$37:$F$89,6,0),
VATrates,
IF(YEAR(N$72)=2013,5,6),0)</f>
        <v>191.66666666666669</v>
      </c>
      <c r="O125" s="24">
        <f>VLOOKUP($A125&amp;$B125,OH!$A$2:$AB$62,COLUMN(O125)+13,0)*
VLOOKUP(VLOOKUP($A125&amp;$B125,'IP1'!$A$37:$F$89,6,0),
VATrates,
IF(YEAR(O$72)=2013,5,6),0)</f>
        <v>191.66666666666669</v>
      </c>
    </row>
    <row r="126" spans="1:15">
      <c r="A126" s="16" t="s">
        <v>463</v>
      </c>
      <c r="B126" s="16" t="s">
        <v>472</v>
      </c>
      <c r="C126" s="16"/>
      <c r="D126" s="24">
        <f>VLOOKUP($A126&amp;$B126,OH!$A$2:$AB$62,COLUMN(D126)+13,0)*
VLOOKUP(VLOOKUP($A126&amp;$B126,'IP1'!$A$37:$F$89,6,0),
VATrates,
IF(YEAR(D$72)=2013,5,6),0)</f>
        <v>47.916666666666671</v>
      </c>
      <c r="E126" s="24">
        <f>VLOOKUP($A126&amp;$B126,OH!$A$2:$AB$62,COLUMN(E126)+13,0)*
VLOOKUP(VLOOKUP($A126&amp;$B126,'IP1'!$A$37:$F$89,6,0),
VATrates,
IF(YEAR(E$72)=2013,5,6),0)</f>
        <v>47.916666666666671</v>
      </c>
      <c r="F126" s="24">
        <f>VLOOKUP($A126&amp;$B126,OH!$A$2:$AB$62,COLUMN(F126)+13,0)*
VLOOKUP(VLOOKUP($A126&amp;$B126,'IP1'!$A$37:$F$89,6,0),
VATrates,
IF(YEAR(F$72)=2013,5,6),0)</f>
        <v>47.916666666666671</v>
      </c>
      <c r="G126" s="24">
        <f>VLOOKUP($A126&amp;$B126,OH!$A$2:$AB$62,COLUMN(G126)+13,0)*
VLOOKUP(VLOOKUP($A126&amp;$B126,'IP1'!$A$37:$F$89,6,0),
VATrates,
IF(YEAR(G$72)=2013,5,6),0)</f>
        <v>47.916666666666671</v>
      </c>
      <c r="H126" s="24">
        <f>VLOOKUP($A126&amp;$B126,OH!$A$2:$AB$62,COLUMN(H126)+13,0)*
VLOOKUP(VLOOKUP($A126&amp;$B126,'IP1'!$A$37:$F$89,6,0),
VATrates,
IF(YEAR(H$72)=2013,5,6),0)</f>
        <v>47.916666666666671</v>
      </c>
      <c r="I126" s="24">
        <f>VLOOKUP($A126&amp;$B126,OH!$A$2:$AB$62,COLUMN(I126)+13,0)*
VLOOKUP(VLOOKUP($A126&amp;$B126,'IP1'!$A$37:$F$89,6,0),
VATrates,
IF(YEAR(I$72)=2013,5,6),0)</f>
        <v>47.916666666666671</v>
      </c>
      <c r="J126" s="24">
        <f>VLOOKUP($A126&amp;$B126,OH!$A$2:$AB$62,COLUMN(J126)+13,0)*
VLOOKUP(VLOOKUP($A126&amp;$B126,'IP1'!$A$37:$F$89,6,0),
VATrates,
IF(YEAR(J$72)=2013,5,6),0)</f>
        <v>47.916666666666671</v>
      </c>
      <c r="K126" s="24">
        <f>VLOOKUP($A126&amp;$B126,OH!$A$2:$AB$62,COLUMN(K126)+13,0)*
VLOOKUP(VLOOKUP($A126&amp;$B126,'IP1'!$A$37:$F$89,6,0),
VATrates,
IF(YEAR(K$72)=2013,5,6),0)</f>
        <v>47.916666666666671</v>
      </c>
      <c r="L126" s="24">
        <f>VLOOKUP($A126&amp;$B126,OH!$A$2:$AB$62,COLUMN(L126)+13,0)*
VLOOKUP(VLOOKUP($A126&amp;$B126,'IP1'!$A$37:$F$89,6,0),
VATrates,
IF(YEAR(L$72)=2013,5,6),0)</f>
        <v>47.916666666666671</v>
      </c>
      <c r="M126" s="24">
        <f>VLOOKUP($A126&amp;$B126,OH!$A$2:$AB$62,COLUMN(M126)+13,0)*
VLOOKUP(VLOOKUP($A126&amp;$B126,'IP1'!$A$37:$F$89,6,0),
VATrates,
IF(YEAR(M$72)=2013,5,6),0)</f>
        <v>47.916666666666671</v>
      </c>
      <c r="N126" s="24">
        <f>VLOOKUP($A126&amp;$B126,OH!$A$2:$AB$62,COLUMN(N126)+13,0)*
VLOOKUP(VLOOKUP($A126&amp;$B126,'IP1'!$A$37:$F$89,6,0),
VATrates,
IF(YEAR(N$72)=2013,5,6),0)</f>
        <v>47.916666666666671</v>
      </c>
      <c r="O126" s="24">
        <f>VLOOKUP($A126&amp;$B126,OH!$A$2:$AB$62,COLUMN(O126)+13,0)*
VLOOKUP(VLOOKUP($A126&amp;$B126,'IP1'!$A$37:$F$89,6,0),
VATrates,
IF(YEAR(O$72)=2013,5,6),0)</f>
        <v>47.916666666666671</v>
      </c>
    </row>
    <row r="127" spans="1:15">
      <c r="A127" s="16" t="s">
        <v>463</v>
      </c>
      <c r="B127" s="16" t="s">
        <v>473</v>
      </c>
      <c r="C127" s="16"/>
      <c r="D127" s="24">
        <f>VLOOKUP($A127&amp;$B127,OH!$A$2:$AB$62,COLUMN(D127)+13,0)*
VLOOKUP(VLOOKUP($A127&amp;$B127,'IP1'!$A$37:$F$89,6,0),
VATrates,
IF(YEAR(D$72)=2013,5,6),0)</f>
        <v>95.833333333333343</v>
      </c>
      <c r="E127" s="24">
        <f>VLOOKUP($A127&amp;$B127,OH!$A$2:$AB$62,COLUMN(E127)+13,0)*
VLOOKUP(VLOOKUP($A127&amp;$B127,'IP1'!$A$37:$F$89,6,0),
VATrates,
IF(YEAR(E$72)=2013,5,6),0)</f>
        <v>95.833333333333343</v>
      </c>
      <c r="F127" s="24">
        <f>VLOOKUP($A127&amp;$B127,OH!$A$2:$AB$62,COLUMN(F127)+13,0)*
VLOOKUP(VLOOKUP($A127&amp;$B127,'IP1'!$A$37:$F$89,6,0),
VATrates,
IF(YEAR(F$72)=2013,5,6),0)</f>
        <v>95.833333333333343</v>
      </c>
      <c r="G127" s="24">
        <f>VLOOKUP($A127&amp;$B127,OH!$A$2:$AB$62,COLUMN(G127)+13,0)*
VLOOKUP(VLOOKUP($A127&amp;$B127,'IP1'!$A$37:$F$89,6,0),
VATrates,
IF(YEAR(G$72)=2013,5,6),0)</f>
        <v>95.833333333333343</v>
      </c>
      <c r="H127" s="24">
        <f>VLOOKUP($A127&amp;$B127,OH!$A$2:$AB$62,COLUMN(H127)+13,0)*
VLOOKUP(VLOOKUP($A127&amp;$B127,'IP1'!$A$37:$F$89,6,0),
VATrates,
IF(YEAR(H$72)=2013,5,6),0)</f>
        <v>95.833333333333343</v>
      </c>
      <c r="I127" s="24">
        <f>VLOOKUP($A127&amp;$B127,OH!$A$2:$AB$62,COLUMN(I127)+13,0)*
VLOOKUP(VLOOKUP($A127&amp;$B127,'IP1'!$A$37:$F$89,6,0),
VATrates,
IF(YEAR(I$72)=2013,5,6),0)</f>
        <v>95.833333333333343</v>
      </c>
      <c r="J127" s="24">
        <f>VLOOKUP($A127&amp;$B127,OH!$A$2:$AB$62,COLUMN(J127)+13,0)*
VLOOKUP(VLOOKUP($A127&amp;$B127,'IP1'!$A$37:$F$89,6,0),
VATrates,
IF(YEAR(J$72)=2013,5,6),0)</f>
        <v>95.833333333333343</v>
      </c>
      <c r="K127" s="24">
        <f>VLOOKUP($A127&amp;$B127,OH!$A$2:$AB$62,COLUMN(K127)+13,0)*
VLOOKUP(VLOOKUP($A127&amp;$B127,'IP1'!$A$37:$F$89,6,0),
VATrates,
IF(YEAR(K$72)=2013,5,6),0)</f>
        <v>95.833333333333343</v>
      </c>
      <c r="L127" s="24">
        <f>VLOOKUP($A127&amp;$B127,OH!$A$2:$AB$62,COLUMN(L127)+13,0)*
VLOOKUP(VLOOKUP($A127&amp;$B127,'IP1'!$A$37:$F$89,6,0),
VATrates,
IF(YEAR(L$72)=2013,5,6),0)</f>
        <v>95.833333333333343</v>
      </c>
      <c r="M127" s="24">
        <f>VLOOKUP($A127&amp;$B127,OH!$A$2:$AB$62,COLUMN(M127)+13,0)*
VLOOKUP(VLOOKUP($A127&amp;$B127,'IP1'!$A$37:$F$89,6,0),
VATrates,
IF(YEAR(M$72)=2013,5,6),0)</f>
        <v>95.833333333333343</v>
      </c>
      <c r="N127" s="24">
        <f>VLOOKUP($A127&amp;$B127,OH!$A$2:$AB$62,COLUMN(N127)+13,0)*
VLOOKUP(VLOOKUP($A127&amp;$B127,'IP1'!$A$37:$F$89,6,0),
VATrates,
IF(YEAR(N$72)=2013,5,6),0)</f>
        <v>95.833333333333343</v>
      </c>
      <c r="O127" s="24">
        <f>VLOOKUP($A127&amp;$B127,OH!$A$2:$AB$62,COLUMN(O127)+13,0)*
VLOOKUP(VLOOKUP($A127&amp;$B127,'IP1'!$A$37:$F$89,6,0),
VATrates,
IF(YEAR(O$72)=2013,5,6),0)</f>
        <v>95.833333333333343</v>
      </c>
    </row>
    <row r="128" spans="1:15">
      <c r="A128" s="16" t="s">
        <v>463</v>
      </c>
      <c r="B128" s="16" t="s">
        <v>479</v>
      </c>
      <c r="C128" s="16"/>
      <c r="D128" s="24">
        <f>VLOOKUP($A128&amp;$B128,OH!$A$2:$AB$62,COLUMN(D128)+13,0)*
VLOOKUP(VLOOKUP($A128&amp;$B128,'IP1'!$A$37:$F$89,6,0),
VATrates,
IF(YEAR(D$72)=2013,5,6),0)</f>
        <v>124.58333333333333</v>
      </c>
      <c r="E128" s="24">
        <f>VLOOKUP($A128&amp;$B128,OH!$A$2:$AB$62,COLUMN(E128)+13,0)*
VLOOKUP(VLOOKUP($A128&amp;$B128,'IP1'!$A$37:$F$89,6,0),
VATrates,
IF(YEAR(E$72)=2013,5,6),0)</f>
        <v>124.58333333333333</v>
      </c>
      <c r="F128" s="24">
        <f>VLOOKUP($A128&amp;$B128,OH!$A$2:$AB$62,COLUMN(F128)+13,0)*
VLOOKUP(VLOOKUP($A128&amp;$B128,'IP1'!$A$37:$F$89,6,0),
VATrates,
IF(YEAR(F$72)=2013,5,6),0)</f>
        <v>124.58333333333333</v>
      </c>
      <c r="G128" s="24">
        <f>VLOOKUP($A128&amp;$B128,OH!$A$2:$AB$62,COLUMN(G128)+13,0)*
VLOOKUP(VLOOKUP($A128&amp;$B128,'IP1'!$A$37:$F$89,6,0),
VATrates,
IF(YEAR(G$72)=2013,5,6),0)</f>
        <v>124.58333333333333</v>
      </c>
      <c r="H128" s="24">
        <f>VLOOKUP($A128&amp;$B128,OH!$A$2:$AB$62,COLUMN(H128)+13,0)*
VLOOKUP(VLOOKUP($A128&amp;$B128,'IP1'!$A$37:$F$89,6,0),
VATrates,
IF(YEAR(H$72)=2013,5,6),0)</f>
        <v>124.58333333333333</v>
      </c>
      <c r="I128" s="24">
        <f>VLOOKUP($A128&amp;$B128,OH!$A$2:$AB$62,COLUMN(I128)+13,0)*
VLOOKUP(VLOOKUP($A128&amp;$B128,'IP1'!$A$37:$F$89,6,0),
VATrates,
IF(YEAR(I$72)=2013,5,6),0)</f>
        <v>124.58333333333333</v>
      </c>
      <c r="J128" s="24">
        <f>VLOOKUP($A128&amp;$B128,OH!$A$2:$AB$62,COLUMN(J128)+13,0)*
VLOOKUP(VLOOKUP($A128&amp;$B128,'IP1'!$A$37:$F$89,6,0),
VATrates,
IF(YEAR(J$72)=2013,5,6),0)</f>
        <v>124.58333333333333</v>
      </c>
      <c r="K128" s="24">
        <f>VLOOKUP($A128&amp;$B128,OH!$A$2:$AB$62,COLUMN(K128)+13,0)*
VLOOKUP(VLOOKUP($A128&amp;$B128,'IP1'!$A$37:$F$89,6,0),
VATrates,
IF(YEAR(K$72)=2013,5,6),0)</f>
        <v>124.58333333333333</v>
      </c>
      <c r="L128" s="24">
        <f>VLOOKUP($A128&amp;$B128,OH!$A$2:$AB$62,COLUMN(L128)+13,0)*
VLOOKUP(VLOOKUP($A128&amp;$B128,'IP1'!$A$37:$F$89,6,0),
VATrates,
IF(YEAR(L$72)=2013,5,6),0)</f>
        <v>124.58333333333333</v>
      </c>
      <c r="M128" s="24">
        <f>VLOOKUP($A128&amp;$B128,OH!$A$2:$AB$62,COLUMN(M128)+13,0)*
VLOOKUP(VLOOKUP($A128&amp;$B128,'IP1'!$A$37:$F$89,6,0),
VATrates,
IF(YEAR(M$72)=2013,5,6),0)</f>
        <v>124.58333333333333</v>
      </c>
      <c r="N128" s="24">
        <f>VLOOKUP($A128&amp;$B128,OH!$A$2:$AB$62,COLUMN(N128)+13,0)*
VLOOKUP(VLOOKUP($A128&amp;$B128,'IP1'!$A$37:$F$89,6,0),
VATrates,
IF(YEAR(N$72)=2013,5,6),0)</f>
        <v>124.58333333333333</v>
      </c>
      <c r="O128" s="24">
        <f>VLOOKUP($A128&amp;$B128,OH!$A$2:$AB$62,COLUMN(O128)+13,0)*
VLOOKUP(VLOOKUP($A128&amp;$B128,'IP1'!$A$37:$F$89,6,0),
VATrates,
IF(YEAR(O$72)=2013,5,6),0)</f>
        <v>124.58333333333333</v>
      </c>
    </row>
    <row r="129" spans="1:15">
      <c r="A129" s="16" t="s">
        <v>463</v>
      </c>
      <c r="B129" s="16" t="s">
        <v>474</v>
      </c>
      <c r="C129" s="16"/>
      <c r="D129" s="24">
        <f>VLOOKUP($A129&amp;$B129,OH!$A$2:$AB$62,COLUMN(D129)+13,0)*
VLOOKUP(VLOOKUP($A129&amp;$B129,'IP1'!$A$37:$F$89,6,0),
VATrates,
IF(YEAR(D$72)=2013,5,6),0)</f>
        <v>958.33333333333348</v>
      </c>
      <c r="E129" s="24">
        <f>VLOOKUP($A129&amp;$B129,OH!$A$2:$AB$62,COLUMN(E129)+13,0)*
VLOOKUP(VLOOKUP($A129&amp;$B129,'IP1'!$A$37:$F$89,6,0),
VATrates,
IF(YEAR(E$72)=2013,5,6),0)</f>
        <v>958.33333333333348</v>
      </c>
      <c r="F129" s="24">
        <f>VLOOKUP($A129&amp;$B129,OH!$A$2:$AB$62,COLUMN(F129)+13,0)*
VLOOKUP(VLOOKUP($A129&amp;$B129,'IP1'!$A$37:$F$89,6,0),
VATrates,
IF(YEAR(F$72)=2013,5,6),0)</f>
        <v>958.33333333333348</v>
      </c>
      <c r="G129" s="24">
        <f>VLOOKUP($A129&amp;$B129,OH!$A$2:$AB$62,COLUMN(G129)+13,0)*
VLOOKUP(VLOOKUP($A129&amp;$B129,'IP1'!$A$37:$F$89,6,0),
VATrates,
IF(YEAR(G$72)=2013,5,6),0)</f>
        <v>958.33333333333348</v>
      </c>
      <c r="H129" s="24">
        <f>VLOOKUP($A129&amp;$B129,OH!$A$2:$AB$62,COLUMN(H129)+13,0)*
VLOOKUP(VLOOKUP($A129&amp;$B129,'IP1'!$A$37:$F$89,6,0),
VATrates,
IF(YEAR(H$72)=2013,5,6),0)</f>
        <v>958.33333333333348</v>
      </c>
      <c r="I129" s="24">
        <f>VLOOKUP($A129&amp;$B129,OH!$A$2:$AB$62,COLUMN(I129)+13,0)*
VLOOKUP(VLOOKUP($A129&amp;$B129,'IP1'!$A$37:$F$89,6,0),
VATrates,
IF(YEAR(I$72)=2013,5,6),0)</f>
        <v>958.33333333333348</v>
      </c>
      <c r="J129" s="24">
        <f>VLOOKUP($A129&amp;$B129,OH!$A$2:$AB$62,COLUMN(J129)+13,0)*
VLOOKUP(VLOOKUP($A129&amp;$B129,'IP1'!$A$37:$F$89,6,0),
VATrates,
IF(YEAR(J$72)=2013,5,6),0)</f>
        <v>958.33333333333348</v>
      </c>
      <c r="K129" s="24">
        <f>VLOOKUP($A129&amp;$B129,OH!$A$2:$AB$62,COLUMN(K129)+13,0)*
VLOOKUP(VLOOKUP($A129&amp;$B129,'IP1'!$A$37:$F$89,6,0),
VATrates,
IF(YEAR(K$72)=2013,5,6),0)</f>
        <v>958.33333333333348</v>
      </c>
      <c r="L129" s="24">
        <f>VLOOKUP($A129&amp;$B129,OH!$A$2:$AB$62,COLUMN(L129)+13,0)*
VLOOKUP(VLOOKUP($A129&amp;$B129,'IP1'!$A$37:$F$89,6,0),
VATrates,
IF(YEAR(L$72)=2013,5,6),0)</f>
        <v>958.33333333333348</v>
      </c>
      <c r="M129" s="24">
        <f>VLOOKUP($A129&amp;$B129,OH!$A$2:$AB$62,COLUMN(M129)+13,0)*
VLOOKUP(VLOOKUP($A129&amp;$B129,'IP1'!$A$37:$F$89,6,0),
VATrates,
IF(YEAR(M$72)=2013,5,6),0)</f>
        <v>958.33333333333348</v>
      </c>
      <c r="N129" s="24">
        <f>VLOOKUP($A129&amp;$B129,OH!$A$2:$AB$62,COLUMN(N129)+13,0)*
VLOOKUP(VLOOKUP($A129&amp;$B129,'IP1'!$A$37:$F$89,6,0),
VATrates,
IF(YEAR(N$72)=2013,5,6),0)</f>
        <v>958.33333333333348</v>
      </c>
      <c r="O129" s="24">
        <f>VLOOKUP($A129&amp;$B129,OH!$A$2:$AB$62,COLUMN(O129)+13,0)*
VLOOKUP(VLOOKUP($A129&amp;$B129,'IP1'!$A$37:$F$89,6,0),
VATrates,
IF(YEAR(O$72)=2013,5,6),0)</f>
        <v>958.33333333333348</v>
      </c>
    </row>
    <row r="130" spans="1:15">
      <c r="A130" s="16" t="s">
        <v>463</v>
      </c>
      <c r="B130" s="16" t="s">
        <v>475</v>
      </c>
      <c r="C130" s="16"/>
      <c r="D130" s="24">
        <f>VLOOKUP($A130&amp;$B130,OH!$A$2:$AB$62,COLUMN(D130)+13,0)*
VLOOKUP(VLOOKUP($A130&amp;$B130,'IP1'!$A$37:$F$89,6,0),
VATrates,
IF(YEAR(D$72)=2013,5,6),0)</f>
        <v>239.58333333333337</v>
      </c>
      <c r="E130" s="24">
        <f>VLOOKUP($A130&amp;$B130,OH!$A$2:$AB$62,COLUMN(E130)+13,0)*
VLOOKUP(VLOOKUP($A130&amp;$B130,'IP1'!$A$37:$F$89,6,0),
VATrates,
IF(YEAR(E$72)=2013,5,6),0)</f>
        <v>239.58333333333337</v>
      </c>
      <c r="F130" s="24">
        <f>VLOOKUP($A130&amp;$B130,OH!$A$2:$AB$62,COLUMN(F130)+13,0)*
VLOOKUP(VLOOKUP($A130&amp;$B130,'IP1'!$A$37:$F$89,6,0),
VATrates,
IF(YEAR(F$72)=2013,5,6),0)</f>
        <v>239.58333333333337</v>
      </c>
      <c r="G130" s="24">
        <f>VLOOKUP($A130&amp;$B130,OH!$A$2:$AB$62,COLUMN(G130)+13,0)*
VLOOKUP(VLOOKUP($A130&amp;$B130,'IP1'!$A$37:$F$89,6,0),
VATrates,
IF(YEAR(G$72)=2013,5,6),0)</f>
        <v>239.58333333333337</v>
      </c>
      <c r="H130" s="24">
        <f>VLOOKUP($A130&amp;$B130,OH!$A$2:$AB$62,COLUMN(H130)+13,0)*
VLOOKUP(VLOOKUP($A130&amp;$B130,'IP1'!$A$37:$F$89,6,0),
VATrates,
IF(YEAR(H$72)=2013,5,6),0)</f>
        <v>239.58333333333337</v>
      </c>
      <c r="I130" s="24">
        <f>VLOOKUP($A130&amp;$B130,OH!$A$2:$AB$62,COLUMN(I130)+13,0)*
VLOOKUP(VLOOKUP($A130&amp;$B130,'IP1'!$A$37:$F$89,6,0),
VATrates,
IF(YEAR(I$72)=2013,5,6),0)</f>
        <v>239.58333333333337</v>
      </c>
      <c r="J130" s="24">
        <f>VLOOKUP($A130&amp;$B130,OH!$A$2:$AB$62,COLUMN(J130)+13,0)*
VLOOKUP(VLOOKUP($A130&amp;$B130,'IP1'!$A$37:$F$89,6,0),
VATrates,
IF(YEAR(J$72)=2013,5,6),0)</f>
        <v>239.58333333333337</v>
      </c>
      <c r="K130" s="24">
        <f>VLOOKUP($A130&amp;$B130,OH!$A$2:$AB$62,COLUMN(K130)+13,0)*
VLOOKUP(VLOOKUP($A130&amp;$B130,'IP1'!$A$37:$F$89,6,0),
VATrates,
IF(YEAR(K$72)=2013,5,6),0)</f>
        <v>239.58333333333337</v>
      </c>
      <c r="L130" s="24">
        <f>VLOOKUP($A130&amp;$B130,OH!$A$2:$AB$62,COLUMN(L130)+13,0)*
VLOOKUP(VLOOKUP($A130&amp;$B130,'IP1'!$A$37:$F$89,6,0),
VATrates,
IF(YEAR(L$72)=2013,5,6),0)</f>
        <v>239.58333333333337</v>
      </c>
      <c r="M130" s="24">
        <f>VLOOKUP($A130&amp;$B130,OH!$A$2:$AB$62,COLUMN(M130)+13,0)*
VLOOKUP(VLOOKUP($A130&amp;$B130,'IP1'!$A$37:$F$89,6,0),
VATrates,
IF(YEAR(M$72)=2013,5,6),0)</f>
        <v>239.58333333333337</v>
      </c>
      <c r="N130" s="24">
        <f>VLOOKUP($A130&amp;$B130,OH!$A$2:$AB$62,COLUMN(N130)+13,0)*
VLOOKUP(VLOOKUP($A130&amp;$B130,'IP1'!$A$37:$F$89,6,0),
VATrates,
IF(YEAR(N$72)=2013,5,6),0)</f>
        <v>239.58333333333337</v>
      </c>
      <c r="O130" s="24">
        <f>VLOOKUP($A130&amp;$B130,OH!$A$2:$AB$62,COLUMN(O130)+13,0)*
VLOOKUP(VLOOKUP($A130&amp;$B130,'IP1'!$A$37:$F$89,6,0),
VATrates,
IF(YEAR(O$72)=2013,5,6),0)</f>
        <v>239.58333333333337</v>
      </c>
    </row>
    <row r="131" spans="1:15">
      <c r="A131" s="16" t="s">
        <v>463</v>
      </c>
      <c r="B131" s="16" t="s">
        <v>476</v>
      </c>
      <c r="C131" s="16"/>
      <c r="D131" s="24">
        <f>VLOOKUP($A131&amp;$B131,OH!$A$2:$AB$62,COLUMN(D131)+13,0)*
VLOOKUP(VLOOKUP($A131&amp;$B131,'IP1'!$A$37:$F$89,6,0),
VATrates,
IF(YEAR(D$72)=2013,5,6),0)</f>
        <v>57.5</v>
      </c>
      <c r="E131" s="24">
        <f>VLOOKUP($A131&amp;$B131,OH!$A$2:$AB$62,COLUMN(E131)+13,0)*
VLOOKUP(VLOOKUP($A131&amp;$B131,'IP1'!$A$37:$F$89,6,0),
VATrates,
IF(YEAR(E$72)=2013,5,6),0)</f>
        <v>57.5</v>
      </c>
      <c r="F131" s="24">
        <f>VLOOKUP($A131&amp;$B131,OH!$A$2:$AB$62,COLUMN(F131)+13,0)*
VLOOKUP(VLOOKUP($A131&amp;$B131,'IP1'!$A$37:$F$89,6,0),
VATrates,
IF(YEAR(F$72)=2013,5,6),0)</f>
        <v>57.5</v>
      </c>
      <c r="G131" s="24">
        <f>VLOOKUP($A131&amp;$B131,OH!$A$2:$AB$62,COLUMN(G131)+13,0)*
VLOOKUP(VLOOKUP($A131&amp;$B131,'IP1'!$A$37:$F$89,6,0),
VATrates,
IF(YEAR(G$72)=2013,5,6),0)</f>
        <v>57.5</v>
      </c>
      <c r="H131" s="24">
        <f>VLOOKUP($A131&amp;$B131,OH!$A$2:$AB$62,COLUMN(H131)+13,0)*
VLOOKUP(VLOOKUP($A131&amp;$B131,'IP1'!$A$37:$F$89,6,0),
VATrates,
IF(YEAR(H$72)=2013,5,6),0)</f>
        <v>57.5</v>
      </c>
      <c r="I131" s="24">
        <f>VLOOKUP($A131&amp;$B131,OH!$A$2:$AB$62,COLUMN(I131)+13,0)*
VLOOKUP(VLOOKUP($A131&amp;$B131,'IP1'!$A$37:$F$89,6,0),
VATrates,
IF(YEAR(I$72)=2013,5,6),0)</f>
        <v>57.5</v>
      </c>
      <c r="J131" s="24">
        <f>VLOOKUP($A131&amp;$B131,OH!$A$2:$AB$62,COLUMN(J131)+13,0)*
VLOOKUP(VLOOKUP($A131&amp;$B131,'IP1'!$A$37:$F$89,6,0),
VATrates,
IF(YEAR(J$72)=2013,5,6),0)</f>
        <v>57.5</v>
      </c>
      <c r="K131" s="24">
        <f>VLOOKUP($A131&amp;$B131,OH!$A$2:$AB$62,COLUMN(K131)+13,0)*
VLOOKUP(VLOOKUP($A131&amp;$B131,'IP1'!$A$37:$F$89,6,0),
VATrates,
IF(YEAR(K$72)=2013,5,6),0)</f>
        <v>57.5</v>
      </c>
      <c r="L131" s="24">
        <f>VLOOKUP($A131&amp;$B131,OH!$A$2:$AB$62,COLUMN(L131)+13,0)*
VLOOKUP(VLOOKUP($A131&amp;$B131,'IP1'!$A$37:$F$89,6,0),
VATrates,
IF(YEAR(L$72)=2013,5,6),0)</f>
        <v>57.5</v>
      </c>
      <c r="M131" s="24">
        <f>VLOOKUP($A131&amp;$B131,OH!$A$2:$AB$62,COLUMN(M131)+13,0)*
VLOOKUP(VLOOKUP($A131&amp;$B131,'IP1'!$A$37:$F$89,6,0),
VATrates,
IF(YEAR(M$72)=2013,5,6),0)</f>
        <v>57.5</v>
      </c>
      <c r="N131" s="24">
        <f>VLOOKUP($A131&amp;$B131,OH!$A$2:$AB$62,COLUMN(N131)+13,0)*
VLOOKUP(VLOOKUP($A131&amp;$B131,'IP1'!$A$37:$F$89,6,0),
VATrates,
IF(YEAR(N$72)=2013,5,6),0)</f>
        <v>57.5</v>
      </c>
      <c r="O131" s="24">
        <f>VLOOKUP($A131&amp;$B131,OH!$A$2:$AB$62,COLUMN(O131)+13,0)*
VLOOKUP(VLOOKUP($A131&amp;$B131,'IP1'!$A$37:$F$89,6,0),
VATrates,
IF(YEAR(O$72)=2013,5,6),0)</f>
        <v>57.5</v>
      </c>
    </row>
    <row r="132" spans="1:15">
      <c r="A132" s="16" t="s">
        <v>480</v>
      </c>
      <c r="B132" s="16" t="s">
        <v>481</v>
      </c>
      <c r="C132" s="16"/>
      <c r="D132" s="24">
        <f>VLOOKUP($A132&amp;$B132,OH!$A$2:$AB$62,COLUMN(D132)+13,0)*
VLOOKUP(VLOOKUP($A132&amp;$B132,'IP1'!$A$37:$F$89,6,0),
VATrates,
IF(YEAR(D$72)=2013,5,6),0)</f>
        <v>383.33333333333337</v>
      </c>
      <c r="E132" s="24">
        <f>VLOOKUP($A132&amp;$B132,OH!$A$2:$AB$62,COLUMN(E132)+13,0)*
VLOOKUP(VLOOKUP($A132&amp;$B132,'IP1'!$A$37:$F$89,6,0),
VATrates,
IF(YEAR(E$72)=2013,5,6),0)</f>
        <v>383.33333333333337</v>
      </c>
      <c r="F132" s="24">
        <f>VLOOKUP($A132&amp;$B132,OH!$A$2:$AB$62,COLUMN(F132)+13,0)*
VLOOKUP(VLOOKUP($A132&amp;$B132,'IP1'!$A$37:$F$89,6,0),
VATrates,
IF(YEAR(F$72)=2013,5,6),0)</f>
        <v>383.33333333333337</v>
      </c>
      <c r="G132" s="24">
        <f>VLOOKUP($A132&amp;$B132,OH!$A$2:$AB$62,COLUMN(G132)+13,0)*
VLOOKUP(VLOOKUP($A132&amp;$B132,'IP1'!$A$37:$F$89,6,0),
VATrates,
IF(YEAR(G$72)=2013,5,6),0)</f>
        <v>383.33333333333337</v>
      </c>
      <c r="H132" s="24">
        <f>VLOOKUP($A132&amp;$B132,OH!$A$2:$AB$62,COLUMN(H132)+13,0)*
VLOOKUP(VLOOKUP($A132&amp;$B132,'IP1'!$A$37:$F$89,6,0),
VATrates,
IF(YEAR(H$72)=2013,5,6),0)</f>
        <v>383.33333333333337</v>
      </c>
      <c r="I132" s="24">
        <f>VLOOKUP($A132&amp;$B132,OH!$A$2:$AB$62,COLUMN(I132)+13,0)*
VLOOKUP(VLOOKUP($A132&amp;$B132,'IP1'!$A$37:$F$89,6,0),
VATrates,
IF(YEAR(I$72)=2013,5,6),0)</f>
        <v>383.33333333333337</v>
      </c>
      <c r="J132" s="24">
        <f>VLOOKUP($A132&amp;$B132,OH!$A$2:$AB$62,COLUMN(J132)+13,0)*
VLOOKUP(VLOOKUP($A132&amp;$B132,'IP1'!$A$37:$F$89,6,0),
VATrates,
IF(YEAR(J$72)=2013,5,6),0)</f>
        <v>383.33333333333337</v>
      </c>
      <c r="K132" s="24">
        <f>VLOOKUP($A132&amp;$B132,OH!$A$2:$AB$62,COLUMN(K132)+13,0)*
VLOOKUP(VLOOKUP($A132&amp;$B132,'IP1'!$A$37:$F$89,6,0),
VATrates,
IF(YEAR(K$72)=2013,5,6),0)</f>
        <v>383.33333333333337</v>
      </c>
      <c r="L132" s="24">
        <f>VLOOKUP($A132&amp;$B132,OH!$A$2:$AB$62,COLUMN(L132)+13,0)*
VLOOKUP(VLOOKUP($A132&amp;$B132,'IP1'!$A$37:$F$89,6,0),
VATrates,
IF(YEAR(L$72)=2013,5,6),0)</f>
        <v>383.33333333333337</v>
      </c>
      <c r="M132" s="24">
        <f>VLOOKUP($A132&amp;$B132,OH!$A$2:$AB$62,COLUMN(M132)+13,0)*
VLOOKUP(VLOOKUP($A132&amp;$B132,'IP1'!$A$37:$F$89,6,0),
VATrates,
IF(YEAR(M$72)=2013,5,6),0)</f>
        <v>383.33333333333337</v>
      </c>
      <c r="N132" s="24">
        <f>VLOOKUP($A132&amp;$B132,OH!$A$2:$AB$62,COLUMN(N132)+13,0)*
VLOOKUP(VLOOKUP($A132&amp;$B132,'IP1'!$A$37:$F$89,6,0),
VATrates,
IF(YEAR(N$72)=2013,5,6),0)</f>
        <v>383.33333333333337</v>
      </c>
      <c r="O132" s="24">
        <f>VLOOKUP($A132&amp;$B132,OH!$A$2:$AB$62,COLUMN(O132)+13,0)*
VLOOKUP(VLOOKUP($A132&amp;$B132,'IP1'!$A$37:$F$89,6,0),
VATrates,
IF(YEAR(O$72)=2013,5,6),0)</f>
        <v>383.33333333333337</v>
      </c>
    </row>
    <row r="133" spans="1:15">
      <c r="A133" s="16" t="s">
        <v>480</v>
      </c>
      <c r="B133" s="16" t="s">
        <v>486</v>
      </c>
      <c r="C133" s="16"/>
      <c r="D133" s="24">
        <f>VLOOKUP($A133&amp;$B133,OH!$A$2:$AB$62,COLUMN(D133)+13,0)*
VLOOKUP(VLOOKUP($A133&amp;$B133,'IP1'!$A$37:$F$89,6,0),
VATrates,
IF(YEAR(D$72)=2013,5,6),0)</f>
        <v>92</v>
      </c>
      <c r="E133" s="24">
        <f>VLOOKUP($A133&amp;$B133,OH!$A$2:$AB$62,COLUMN(E133)+13,0)*
VLOOKUP(VLOOKUP($A133&amp;$B133,'IP1'!$A$37:$F$89,6,0),
VATrates,
IF(YEAR(E$72)=2013,5,6),0)</f>
        <v>92</v>
      </c>
      <c r="F133" s="24">
        <f>VLOOKUP($A133&amp;$B133,OH!$A$2:$AB$62,COLUMN(F133)+13,0)*
VLOOKUP(VLOOKUP($A133&amp;$B133,'IP1'!$A$37:$F$89,6,0),
VATrates,
IF(YEAR(F$72)=2013,5,6),0)</f>
        <v>276</v>
      </c>
      <c r="G133" s="24">
        <f>VLOOKUP($A133&amp;$B133,OH!$A$2:$AB$62,COLUMN(G133)+13,0)*
VLOOKUP(VLOOKUP($A133&amp;$B133,'IP1'!$A$37:$F$89,6,0),
VATrates,
IF(YEAR(G$72)=2013,5,6),0)</f>
        <v>276</v>
      </c>
      <c r="H133" s="24">
        <f>VLOOKUP($A133&amp;$B133,OH!$A$2:$AB$62,COLUMN(H133)+13,0)*
VLOOKUP(VLOOKUP($A133&amp;$B133,'IP1'!$A$37:$F$89,6,0),
VATrates,
IF(YEAR(H$72)=2013,5,6),0)</f>
        <v>552</v>
      </c>
      <c r="I133" s="24">
        <f>VLOOKUP($A133&amp;$B133,OH!$A$2:$AB$62,COLUMN(I133)+13,0)*
VLOOKUP(VLOOKUP($A133&amp;$B133,'IP1'!$A$37:$F$89,6,0),
VATrates,
IF(YEAR(I$72)=2013,5,6),0)</f>
        <v>552</v>
      </c>
      <c r="J133" s="24">
        <f>VLOOKUP($A133&amp;$B133,OH!$A$2:$AB$62,COLUMN(J133)+13,0)*
VLOOKUP(VLOOKUP($A133&amp;$B133,'IP1'!$A$37:$F$89,6,0),
VATrates,
IF(YEAR(J$72)=2013,5,6),0)</f>
        <v>552</v>
      </c>
      <c r="K133" s="24">
        <f>VLOOKUP($A133&amp;$B133,OH!$A$2:$AB$62,COLUMN(K133)+13,0)*
VLOOKUP(VLOOKUP($A133&amp;$B133,'IP1'!$A$37:$F$89,6,0),
VATrates,
IF(YEAR(K$72)=2013,5,6),0)</f>
        <v>552</v>
      </c>
      <c r="L133" s="24">
        <f>VLOOKUP($A133&amp;$B133,OH!$A$2:$AB$62,COLUMN(L133)+13,0)*
VLOOKUP(VLOOKUP($A133&amp;$B133,'IP1'!$A$37:$F$89,6,0),
VATrates,
IF(YEAR(L$72)=2013,5,6),0)</f>
        <v>552</v>
      </c>
      <c r="M133" s="24">
        <f>VLOOKUP($A133&amp;$B133,OH!$A$2:$AB$62,COLUMN(M133)+13,0)*
VLOOKUP(VLOOKUP($A133&amp;$B133,'IP1'!$A$37:$F$89,6,0),
VATrates,
IF(YEAR(M$72)=2013,5,6),0)</f>
        <v>552</v>
      </c>
      <c r="N133" s="24">
        <f>VLOOKUP($A133&amp;$B133,OH!$A$2:$AB$62,COLUMN(N133)+13,0)*
VLOOKUP(VLOOKUP($A133&amp;$B133,'IP1'!$A$37:$F$89,6,0),
VATrates,
IF(YEAR(N$72)=2013,5,6),0)</f>
        <v>92</v>
      </c>
      <c r="O133" s="24">
        <f>VLOOKUP($A133&amp;$B133,OH!$A$2:$AB$62,COLUMN(O133)+13,0)*
VLOOKUP(VLOOKUP($A133&amp;$B133,'IP1'!$A$37:$F$89,6,0),
VATrates,
IF(YEAR(O$72)=2013,5,6),0)</f>
        <v>460</v>
      </c>
    </row>
    <row r="134" spans="1:15">
      <c r="A134" s="16" t="s">
        <v>480</v>
      </c>
      <c r="B134" s="16" t="s">
        <v>482</v>
      </c>
      <c r="C134" s="16"/>
      <c r="D134" s="24">
        <f>VLOOKUP($A134&amp;$B134,OH!$A$2:$AB$62,COLUMN(D134)+13,0)*
VLOOKUP(VLOOKUP($A134&amp;$B134,'IP1'!$A$37:$F$89,6,0),
VATrates,
IF(YEAR(D$72)=2013,5,6),0)</f>
        <v>46</v>
      </c>
      <c r="E134" s="24">
        <f>VLOOKUP($A134&amp;$B134,OH!$A$2:$AB$62,COLUMN(E134)+13,0)*
VLOOKUP(VLOOKUP($A134&amp;$B134,'IP1'!$A$37:$F$89,6,0),
VATrates,
IF(YEAR(E$72)=2013,5,6),0)</f>
        <v>46</v>
      </c>
      <c r="F134" s="24">
        <f>VLOOKUP($A134&amp;$B134,OH!$A$2:$AB$62,COLUMN(F134)+13,0)*
VLOOKUP(VLOOKUP($A134&amp;$B134,'IP1'!$A$37:$F$89,6,0),
VATrates,
IF(YEAR(F$72)=2013,5,6),0)</f>
        <v>138</v>
      </c>
      <c r="G134" s="24">
        <f>VLOOKUP($A134&amp;$B134,OH!$A$2:$AB$62,COLUMN(G134)+13,0)*
VLOOKUP(VLOOKUP($A134&amp;$B134,'IP1'!$A$37:$F$89,6,0),
VATrates,
IF(YEAR(G$72)=2013,5,6),0)</f>
        <v>138</v>
      </c>
      <c r="H134" s="24">
        <f>VLOOKUP($A134&amp;$B134,OH!$A$2:$AB$62,COLUMN(H134)+13,0)*
VLOOKUP(VLOOKUP($A134&amp;$B134,'IP1'!$A$37:$F$89,6,0),
VATrates,
IF(YEAR(H$72)=2013,5,6),0)</f>
        <v>276</v>
      </c>
      <c r="I134" s="24">
        <f>VLOOKUP($A134&amp;$B134,OH!$A$2:$AB$62,COLUMN(I134)+13,0)*
VLOOKUP(VLOOKUP($A134&amp;$B134,'IP1'!$A$37:$F$89,6,0),
VATrates,
IF(YEAR(I$72)=2013,5,6),0)</f>
        <v>276</v>
      </c>
      <c r="J134" s="24">
        <f>VLOOKUP($A134&amp;$B134,OH!$A$2:$AB$62,COLUMN(J134)+13,0)*
VLOOKUP(VLOOKUP($A134&amp;$B134,'IP1'!$A$37:$F$89,6,0),
VATrates,
IF(YEAR(J$72)=2013,5,6),0)</f>
        <v>276</v>
      </c>
      <c r="K134" s="24">
        <f>VLOOKUP($A134&amp;$B134,OH!$A$2:$AB$62,COLUMN(K134)+13,0)*
VLOOKUP(VLOOKUP($A134&amp;$B134,'IP1'!$A$37:$F$89,6,0),
VATrates,
IF(YEAR(K$72)=2013,5,6),0)</f>
        <v>276</v>
      </c>
      <c r="L134" s="24">
        <f>VLOOKUP($A134&amp;$B134,OH!$A$2:$AB$62,COLUMN(L134)+13,0)*
VLOOKUP(VLOOKUP($A134&amp;$B134,'IP1'!$A$37:$F$89,6,0),
VATrates,
IF(YEAR(L$72)=2013,5,6),0)</f>
        <v>276</v>
      </c>
      <c r="M134" s="24">
        <f>VLOOKUP($A134&amp;$B134,OH!$A$2:$AB$62,COLUMN(M134)+13,0)*
VLOOKUP(VLOOKUP($A134&amp;$B134,'IP1'!$A$37:$F$89,6,0),
VATrates,
IF(YEAR(M$72)=2013,5,6),0)</f>
        <v>276</v>
      </c>
      <c r="N134" s="24">
        <f>VLOOKUP($A134&amp;$B134,OH!$A$2:$AB$62,COLUMN(N134)+13,0)*
VLOOKUP(VLOOKUP($A134&amp;$B134,'IP1'!$A$37:$F$89,6,0),
VATrates,
IF(YEAR(N$72)=2013,5,6),0)</f>
        <v>46</v>
      </c>
      <c r="O134" s="24">
        <f>VLOOKUP($A134&amp;$B134,OH!$A$2:$AB$62,COLUMN(O134)+13,0)*
VLOOKUP(VLOOKUP($A134&amp;$B134,'IP1'!$A$37:$F$89,6,0),
VATrates,
IF(YEAR(O$72)=2013,5,6),0)</f>
        <v>230</v>
      </c>
    </row>
    <row r="135" spans="1:15">
      <c r="A135" s="16" t="s">
        <v>480</v>
      </c>
      <c r="B135" s="16" t="s">
        <v>483</v>
      </c>
      <c r="C135" s="16"/>
      <c r="D135" s="24">
        <f>VLOOKUP($A135&amp;$B135,OH!$A$2:$AB$62,COLUMN(D135)+13,0)*
VLOOKUP(VLOOKUP($A135&amp;$B135,'IP1'!$A$37:$F$89,6,0),
VATrates,
IF(YEAR(D$72)=2013,5,6),0)</f>
        <v>4.6000000000000005</v>
      </c>
      <c r="E135" s="24">
        <f>VLOOKUP($A135&amp;$B135,OH!$A$2:$AB$62,COLUMN(E135)+13,0)*
VLOOKUP(VLOOKUP($A135&amp;$B135,'IP1'!$A$37:$F$89,6,0),
VATrates,
IF(YEAR(E$72)=2013,5,6),0)</f>
        <v>4.6000000000000005</v>
      </c>
      <c r="F135" s="24">
        <f>VLOOKUP($A135&amp;$B135,OH!$A$2:$AB$62,COLUMN(F135)+13,0)*
VLOOKUP(VLOOKUP($A135&amp;$B135,'IP1'!$A$37:$F$89,6,0),
VATrates,
IF(YEAR(F$72)=2013,5,6),0)</f>
        <v>13.8</v>
      </c>
      <c r="G135" s="24">
        <f>VLOOKUP($A135&amp;$B135,OH!$A$2:$AB$62,COLUMN(G135)+13,0)*
VLOOKUP(VLOOKUP($A135&amp;$B135,'IP1'!$A$37:$F$89,6,0),
VATrates,
IF(YEAR(G$72)=2013,5,6),0)</f>
        <v>13.8</v>
      </c>
      <c r="H135" s="24">
        <f>VLOOKUP($A135&amp;$B135,OH!$A$2:$AB$62,COLUMN(H135)+13,0)*
VLOOKUP(VLOOKUP($A135&amp;$B135,'IP1'!$A$37:$F$89,6,0),
VATrates,
IF(YEAR(H$72)=2013,5,6),0)</f>
        <v>27.6</v>
      </c>
      <c r="I135" s="24">
        <f>VLOOKUP($A135&amp;$B135,OH!$A$2:$AB$62,COLUMN(I135)+13,0)*
VLOOKUP(VLOOKUP($A135&amp;$B135,'IP1'!$A$37:$F$89,6,0),
VATrates,
IF(YEAR(I$72)=2013,5,6),0)</f>
        <v>27.6</v>
      </c>
      <c r="J135" s="24">
        <f>VLOOKUP($A135&amp;$B135,OH!$A$2:$AB$62,COLUMN(J135)+13,0)*
VLOOKUP(VLOOKUP($A135&amp;$B135,'IP1'!$A$37:$F$89,6,0),
VATrates,
IF(YEAR(J$72)=2013,5,6),0)</f>
        <v>27.6</v>
      </c>
      <c r="K135" s="24">
        <f>VLOOKUP($A135&amp;$B135,OH!$A$2:$AB$62,COLUMN(K135)+13,0)*
VLOOKUP(VLOOKUP($A135&amp;$B135,'IP1'!$A$37:$F$89,6,0),
VATrates,
IF(YEAR(K$72)=2013,5,6),0)</f>
        <v>27.6</v>
      </c>
      <c r="L135" s="24">
        <f>VLOOKUP($A135&amp;$B135,OH!$A$2:$AB$62,COLUMN(L135)+13,0)*
VLOOKUP(VLOOKUP($A135&amp;$B135,'IP1'!$A$37:$F$89,6,0),
VATrates,
IF(YEAR(L$72)=2013,5,6),0)</f>
        <v>27.6</v>
      </c>
      <c r="M135" s="24">
        <f>VLOOKUP($A135&amp;$B135,OH!$A$2:$AB$62,COLUMN(M135)+13,0)*
VLOOKUP(VLOOKUP($A135&amp;$B135,'IP1'!$A$37:$F$89,6,0),
VATrates,
IF(YEAR(M$72)=2013,5,6),0)</f>
        <v>27.6</v>
      </c>
      <c r="N135" s="24">
        <f>VLOOKUP($A135&amp;$B135,OH!$A$2:$AB$62,COLUMN(N135)+13,0)*
VLOOKUP(VLOOKUP($A135&amp;$B135,'IP1'!$A$37:$F$89,6,0),
VATrates,
IF(YEAR(N$72)=2013,5,6),0)</f>
        <v>4.6000000000000005</v>
      </c>
      <c r="O135" s="24">
        <f>VLOOKUP($A135&amp;$B135,OH!$A$2:$AB$62,COLUMN(O135)+13,0)*
VLOOKUP(VLOOKUP($A135&amp;$B135,'IP1'!$A$37:$F$89,6,0),
VATrates,
IF(YEAR(O$72)=2013,5,6),0)</f>
        <v>23</v>
      </c>
    </row>
    <row r="136" spans="1:15">
      <c r="A136" s="16" t="s">
        <v>480</v>
      </c>
      <c r="B136" s="16" t="s">
        <v>484</v>
      </c>
      <c r="C136" s="16"/>
      <c r="D136" s="24">
        <f>VLOOKUP($A136&amp;$B136,OH!$A$2:$AB$62,COLUMN(D136)+13,0)*
VLOOKUP(VLOOKUP($A136&amp;$B136,'IP1'!$A$37:$F$89,6,0),
VATrates,
IF(YEAR(D$72)=2013,5,6),0)</f>
        <v>23</v>
      </c>
      <c r="E136" s="24">
        <f>VLOOKUP($A136&amp;$B136,OH!$A$2:$AB$62,COLUMN(E136)+13,0)*
VLOOKUP(VLOOKUP($A136&amp;$B136,'IP1'!$A$37:$F$89,6,0),
VATrates,
IF(YEAR(E$72)=2013,5,6),0)</f>
        <v>23</v>
      </c>
      <c r="F136" s="24">
        <f>VLOOKUP($A136&amp;$B136,OH!$A$2:$AB$62,COLUMN(F136)+13,0)*
VLOOKUP(VLOOKUP($A136&amp;$B136,'IP1'!$A$37:$F$89,6,0),
VATrates,
IF(YEAR(F$72)=2013,5,6),0)</f>
        <v>69</v>
      </c>
      <c r="G136" s="24">
        <f>VLOOKUP($A136&amp;$B136,OH!$A$2:$AB$62,COLUMN(G136)+13,0)*
VLOOKUP(VLOOKUP($A136&amp;$B136,'IP1'!$A$37:$F$89,6,0),
VATrates,
IF(YEAR(G$72)=2013,5,6),0)</f>
        <v>69</v>
      </c>
      <c r="H136" s="24">
        <f>VLOOKUP($A136&amp;$B136,OH!$A$2:$AB$62,COLUMN(H136)+13,0)*
VLOOKUP(VLOOKUP($A136&amp;$B136,'IP1'!$A$37:$F$89,6,0),
VATrates,
IF(YEAR(H$72)=2013,5,6),0)</f>
        <v>138</v>
      </c>
      <c r="I136" s="24">
        <f>VLOOKUP($A136&amp;$B136,OH!$A$2:$AB$62,COLUMN(I136)+13,0)*
VLOOKUP(VLOOKUP($A136&amp;$B136,'IP1'!$A$37:$F$89,6,0),
VATrates,
IF(YEAR(I$72)=2013,5,6),0)</f>
        <v>138</v>
      </c>
      <c r="J136" s="24">
        <f>VLOOKUP($A136&amp;$B136,OH!$A$2:$AB$62,COLUMN(J136)+13,0)*
VLOOKUP(VLOOKUP($A136&amp;$B136,'IP1'!$A$37:$F$89,6,0),
VATrates,
IF(YEAR(J$72)=2013,5,6),0)</f>
        <v>138</v>
      </c>
      <c r="K136" s="24">
        <f>VLOOKUP($A136&amp;$B136,OH!$A$2:$AB$62,COLUMN(K136)+13,0)*
VLOOKUP(VLOOKUP($A136&amp;$B136,'IP1'!$A$37:$F$89,6,0),
VATrates,
IF(YEAR(K$72)=2013,5,6),0)</f>
        <v>138</v>
      </c>
      <c r="L136" s="24">
        <f>VLOOKUP($A136&amp;$B136,OH!$A$2:$AB$62,COLUMN(L136)+13,0)*
VLOOKUP(VLOOKUP($A136&amp;$B136,'IP1'!$A$37:$F$89,6,0),
VATrates,
IF(YEAR(L$72)=2013,5,6),0)</f>
        <v>138</v>
      </c>
      <c r="M136" s="24">
        <f>VLOOKUP($A136&amp;$B136,OH!$A$2:$AB$62,COLUMN(M136)+13,0)*
VLOOKUP(VLOOKUP($A136&amp;$B136,'IP1'!$A$37:$F$89,6,0),
VATrates,
IF(YEAR(M$72)=2013,5,6),0)</f>
        <v>138</v>
      </c>
      <c r="N136" s="24">
        <f>VLOOKUP($A136&amp;$B136,OH!$A$2:$AB$62,COLUMN(N136)+13,0)*
VLOOKUP(VLOOKUP($A136&amp;$B136,'IP1'!$A$37:$F$89,6,0),
VATrates,
IF(YEAR(N$72)=2013,5,6),0)</f>
        <v>23</v>
      </c>
      <c r="O136" s="24">
        <f>VLOOKUP($A136&amp;$B136,OH!$A$2:$AB$62,COLUMN(O136)+13,0)*
VLOOKUP(VLOOKUP($A136&amp;$B136,'IP1'!$A$37:$F$89,6,0),
VATrates,
IF(YEAR(O$72)=2013,5,6),0)</f>
        <v>115</v>
      </c>
    </row>
    <row r="137" spans="1:15">
      <c r="A137" s="16" t="s">
        <v>480</v>
      </c>
      <c r="B137" s="16" t="s">
        <v>485</v>
      </c>
      <c r="C137" s="16"/>
      <c r="D137" s="24">
        <f>VLOOKUP($A137&amp;$B137,OH!$A$2:$AB$62,COLUMN(D137)+13,0)*
VLOOKUP(VLOOKUP($A137&amp;$B137,'IP1'!$A$37:$F$89,6,0),
VATrates,
IF(YEAR(D$72)=2013,5,6),0)</f>
        <v>80.5</v>
      </c>
      <c r="E137" s="24">
        <f>VLOOKUP($A137&amp;$B137,OH!$A$2:$AB$62,COLUMN(E137)+13,0)*
VLOOKUP(VLOOKUP($A137&amp;$B137,'IP1'!$A$37:$F$89,6,0),
VATrates,
IF(YEAR(E$72)=2013,5,6),0)</f>
        <v>80.5</v>
      </c>
      <c r="F137" s="24">
        <f>VLOOKUP($A137&amp;$B137,OH!$A$2:$AB$62,COLUMN(F137)+13,0)*
VLOOKUP(VLOOKUP($A137&amp;$B137,'IP1'!$A$37:$F$89,6,0),
VATrates,
IF(YEAR(F$72)=2013,5,6),0)</f>
        <v>241.5</v>
      </c>
      <c r="G137" s="24">
        <f>VLOOKUP($A137&amp;$B137,OH!$A$2:$AB$62,COLUMN(G137)+13,0)*
VLOOKUP(VLOOKUP($A137&amp;$B137,'IP1'!$A$37:$F$89,6,0),
VATrates,
IF(YEAR(G$72)=2013,5,6),0)</f>
        <v>241.5</v>
      </c>
      <c r="H137" s="24">
        <f>VLOOKUP($A137&amp;$B137,OH!$A$2:$AB$62,COLUMN(H137)+13,0)*
VLOOKUP(VLOOKUP($A137&amp;$B137,'IP1'!$A$37:$F$89,6,0),
VATrates,
IF(YEAR(H$72)=2013,5,6),0)</f>
        <v>483</v>
      </c>
      <c r="I137" s="24">
        <f>VLOOKUP($A137&amp;$B137,OH!$A$2:$AB$62,COLUMN(I137)+13,0)*
VLOOKUP(VLOOKUP($A137&amp;$B137,'IP1'!$A$37:$F$89,6,0),
VATrates,
IF(YEAR(I$72)=2013,5,6),0)</f>
        <v>483</v>
      </c>
      <c r="J137" s="24">
        <f>VLOOKUP($A137&amp;$B137,OH!$A$2:$AB$62,COLUMN(J137)+13,0)*
VLOOKUP(VLOOKUP($A137&amp;$B137,'IP1'!$A$37:$F$89,6,0),
VATrates,
IF(YEAR(J$72)=2013,5,6),0)</f>
        <v>483</v>
      </c>
      <c r="K137" s="24">
        <f>VLOOKUP($A137&amp;$B137,OH!$A$2:$AB$62,COLUMN(K137)+13,0)*
VLOOKUP(VLOOKUP($A137&amp;$B137,'IP1'!$A$37:$F$89,6,0),
VATrates,
IF(YEAR(K$72)=2013,5,6),0)</f>
        <v>483</v>
      </c>
      <c r="L137" s="24">
        <f>VLOOKUP($A137&amp;$B137,OH!$A$2:$AB$62,COLUMN(L137)+13,0)*
VLOOKUP(VLOOKUP($A137&amp;$B137,'IP1'!$A$37:$F$89,6,0),
VATrates,
IF(YEAR(L$72)=2013,5,6),0)</f>
        <v>483</v>
      </c>
      <c r="M137" s="24">
        <f>VLOOKUP($A137&amp;$B137,OH!$A$2:$AB$62,COLUMN(M137)+13,0)*
VLOOKUP(VLOOKUP($A137&amp;$B137,'IP1'!$A$37:$F$89,6,0),
VATrates,
IF(YEAR(M$72)=2013,5,6),0)</f>
        <v>483</v>
      </c>
      <c r="N137" s="24">
        <f>VLOOKUP($A137&amp;$B137,OH!$A$2:$AB$62,COLUMN(N137)+13,0)*
VLOOKUP(VLOOKUP($A137&amp;$B137,'IP1'!$A$37:$F$89,6,0),
VATrates,
IF(YEAR(N$72)=2013,5,6),0)</f>
        <v>80.5</v>
      </c>
      <c r="O137" s="24">
        <f>VLOOKUP($A137&amp;$B137,OH!$A$2:$AB$62,COLUMN(O137)+13,0)*
VLOOKUP(VLOOKUP($A137&amp;$B137,'IP1'!$A$37:$F$89,6,0),
VATrates,
IF(YEAR(O$72)=2013,5,6),0)</f>
        <v>402.5</v>
      </c>
    </row>
    <row r="138" spans="1:15">
      <c r="A138" s="7"/>
      <c r="B138" s="7"/>
      <c r="C138" s="7"/>
      <c r="D138" s="21">
        <f>SUM(D85:D137)</f>
        <v>24891.86279727082</v>
      </c>
      <c r="E138" s="21">
        <f t="shared" ref="E138:O138" si="8">SUM(E85:E137)</f>
        <v>8820.6127972708346</v>
      </c>
      <c r="F138" s="21">
        <f t="shared" si="8"/>
        <v>8830.4217251458322</v>
      </c>
      <c r="G138" s="21">
        <f t="shared" si="8"/>
        <v>17639.421725145836</v>
      </c>
      <c r="H138" s="21">
        <f t="shared" si="8"/>
        <v>10849.010116958336</v>
      </c>
      <c r="I138" s="21">
        <f t="shared" si="8"/>
        <v>10475.260116958336</v>
      </c>
      <c r="J138" s="21">
        <f t="shared" si="8"/>
        <v>20330.760116958329</v>
      </c>
      <c r="K138" s="21">
        <f t="shared" si="8"/>
        <v>11159.510116958336</v>
      </c>
      <c r="L138" s="21">
        <f t="shared" si="8"/>
        <v>10475.260116958336</v>
      </c>
      <c r="M138" s="21">
        <f t="shared" si="8"/>
        <v>18766.760116958332</v>
      </c>
      <c r="N138" s="21">
        <f t="shared" si="8"/>
        <v>8245.6127972708346</v>
      </c>
      <c r="O138" s="21">
        <f t="shared" si="8"/>
        <v>10306.480653020835</v>
      </c>
    </row>
    <row r="139" spans="1:1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7" t="s">
        <v>210</v>
      </c>
      <c r="B140" s="7"/>
      <c r="C140" s="7"/>
      <c r="D140" s="21">
        <f>D77-D83-D138</f>
        <v>-18828.72401012796</v>
      </c>
      <c r="E140" s="21">
        <f t="shared" ref="E140:O140" si="9">E77-E83-E138</f>
        <v>-2757.4740101279767</v>
      </c>
      <c r="F140" s="21">
        <f t="shared" si="9"/>
        <v>2657.3876362827414</v>
      </c>
      <c r="G140" s="21">
        <f t="shared" si="9"/>
        <v>549.99463628273588</v>
      </c>
      <c r="H140" s="21">
        <f t="shared" si="9"/>
        <v>12126.608605898811</v>
      </c>
      <c r="I140" s="21">
        <f t="shared" si="9"/>
        <v>12500.358605898811</v>
      </c>
      <c r="J140" s="21">
        <f t="shared" si="9"/>
        <v>7671.0638558988176</v>
      </c>
      <c r="K140" s="21">
        <f t="shared" si="9"/>
        <v>16842.31385589881</v>
      </c>
      <c r="L140" s="21">
        <f t="shared" si="9"/>
        <v>12500.358605898811</v>
      </c>
      <c r="M140" s="21">
        <f t="shared" si="9"/>
        <v>2533.456855898814</v>
      </c>
      <c r="N140" s="21">
        <f t="shared" si="9"/>
        <v>-2182.4740101279767</v>
      </c>
      <c r="O140" s="21">
        <f t="shared" si="9"/>
        <v>14983.00803269346</v>
      </c>
    </row>
  </sheetData>
  <sheetProtection selectLockedCells="1"/>
  <pageMargins left="0.75" right="0.75" top="1" bottom="1" header="0.5" footer="0.5"/>
  <pageSetup paperSize="9" scale="9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0">
    <tabColor rgb="FFFF0000"/>
  </sheetPr>
  <dimension ref="A1:EK410"/>
  <sheetViews>
    <sheetView zoomScale="124" zoomScaleNormal="124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09375" defaultRowHeight="13.8"/>
  <cols>
    <col min="1" max="1" width="26.33203125" style="1" bestFit="1" customWidth="1"/>
    <col min="2" max="2" width="9.109375" style="1"/>
    <col min="3" max="3" width="9" style="1" customWidth="1"/>
    <col min="4" max="5" width="9.109375" style="1"/>
    <col min="6" max="14" width="9.109375" style="6"/>
    <col min="15" max="16384" width="9.109375" style="1"/>
  </cols>
  <sheetData>
    <row r="1" spans="1:141">
      <c r="A1" s="45" t="s">
        <v>118</v>
      </c>
      <c r="B1" s="46" t="s">
        <v>263</v>
      </c>
      <c r="C1" s="46">
        <f>DATEVALUE(1&amp;"/"&amp;'IP1'!$B$3&amp;"/"&amp;'IP1'!$B$4)</f>
        <v>41275</v>
      </c>
      <c r="D1" s="46">
        <f>DATE(YEAR(C1),MONTH(C1)+1,1)</f>
        <v>41306</v>
      </c>
      <c r="E1" s="46">
        <f t="shared" ref="E1:Z1" si="0">DATE(YEAR(D1),MONTH(D1)+1,1)</f>
        <v>41334</v>
      </c>
      <c r="F1" s="46">
        <f t="shared" si="0"/>
        <v>41365</v>
      </c>
      <c r="G1" s="46">
        <f t="shared" si="0"/>
        <v>41395</v>
      </c>
      <c r="H1" s="46">
        <f t="shared" si="0"/>
        <v>41426</v>
      </c>
      <c r="I1" s="46">
        <f t="shared" si="0"/>
        <v>41456</v>
      </c>
      <c r="J1" s="46">
        <f t="shared" si="0"/>
        <v>41487</v>
      </c>
      <c r="K1" s="46">
        <f t="shared" si="0"/>
        <v>41518</v>
      </c>
      <c r="L1" s="46">
        <f t="shared" si="0"/>
        <v>41548</v>
      </c>
      <c r="M1" s="46">
        <f t="shared" si="0"/>
        <v>41579</v>
      </c>
      <c r="N1" s="46">
        <f t="shared" si="0"/>
        <v>41609</v>
      </c>
      <c r="O1" s="46">
        <f t="shared" si="0"/>
        <v>41640</v>
      </c>
      <c r="P1" s="46">
        <f t="shared" si="0"/>
        <v>41671</v>
      </c>
      <c r="Q1" s="46">
        <f t="shared" si="0"/>
        <v>41699</v>
      </c>
      <c r="R1" s="46">
        <f t="shared" si="0"/>
        <v>41730</v>
      </c>
      <c r="S1" s="46">
        <f t="shared" si="0"/>
        <v>41760</v>
      </c>
      <c r="T1" s="46">
        <f t="shared" si="0"/>
        <v>41791</v>
      </c>
      <c r="U1" s="46">
        <f t="shared" si="0"/>
        <v>41821</v>
      </c>
      <c r="V1" s="46">
        <f t="shared" si="0"/>
        <v>41852</v>
      </c>
      <c r="W1" s="46">
        <f t="shared" si="0"/>
        <v>41883</v>
      </c>
      <c r="X1" s="46">
        <f t="shared" si="0"/>
        <v>41913</v>
      </c>
      <c r="Y1" s="46">
        <f t="shared" si="0"/>
        <v>41944</v>
      </c>
      <c r="Z1" s="46">
        <f t="shared" si="0"/>
        <v>41974</v>
      </c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</row>
    <row r="2" spans="1:141">
      <c r="A2" s="7" t="s">
        <v>33</v>
      </c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</row>
    <row r="3" spans="1:141">
      <c r="A3" s="52" t="s">
        <v>40</v>
      </c>
      <c r="B3" s="52"/>
      <c r="F3" s="18"/>
      <c r="G3" s="18"/>
      <c r="H3" s="18"/>
      <c r="I3" s="18"/>
      <c r="J3" s="18"/>
      <c r="K3" s="18"/>
      <c r="L3" s="18"/>
      <c r="M3" s="18"/>
      <c r="N3" s="18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</row>
    <row r="4" spans="1:141">
      <c r="A4" s="53" t="s">
        <v>34</v>
      </c>
      <c r="B4" s="52"/>
      <c r="F4" s="1"/>
      <c r="G4" s="18"/>
      <c r="H4" s="18"/>
      <c r="I4" s="18"/>
      <c r="J4" s="18"/>
      <c r="K4" s="18"/>
      <c r="L4" s="18"/>
      <c r="M4" s="18"/>
      <c r="N4" s="18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</row>
    <row r="5" spans="1:141">
      <c r="A5" s="54" t="s">
        <v>35</v>
      </c>
      <c r="B5" s="55">
        <f>'IP2'!D5</f>
        <v>7500000</v>
      </c>
      <c r="C5" s="55">
        <f>B7</f>
        <v>7500000</v>
      </c>
      <c r="D5" s="55">
        <f>C7</f>
        <v>7500000</v>
      </c>
      <c r="E5" s="55">
        <f t="shared" ref="E5:Z5" si="1">D7</f>
        <v>7500000</v>
      </c>
      <c r="F5" s="55">
        <f t="shared" si="1"/>
        <v>7500000</v>
      </c>
      <c r="G5" s="55">
        <f t="shared" si="1"/>
        <v>7500000</v>
      </c>
      <c r="H5" s="55">
        <f t="shared" si="1"/>
        <v>7500000</v>
      </c>
      <c r="I5" s="55">
        <f t="shared" si="1"/>
        <v>7500000</v>
      </c>
      <c r="J5" s="55">
        <f t="shared" si="1"/>
        <v>7500000</v>
      </c>
      <c r="K5" s="55">
        <f t="shared" si="1"/>
        <v>7500000</v>
      </c>
      <c r="L5" s="55">
        <f t="shared" si="1"/>
        <v>7500000</v>
      </c>
      <c r="M5" s="55">
        <f t="shared" si="1"/>
        <v>7500000</v>
      </c>
      <c r="N5" s="55">
        <f t="shared" si="1"/>
        <v>7500000</v>
      </c>
      <c r="O5" s="55">
        <f t="shared" si="1"/>
        <v>7500000</v>
      </c>
      <c r="P5" s="55">
        <f t="shared" si="1"/>
        <v>7500000</v>
      </c>
      <c r="Q5" s="55">
        <f t="shared" si="1"/>
        <v>7500000</v>
      </c>
      <c r="R5" s="55">
        <f t="shared" si="1"/>
        <v>7500000</v>
      </c>
      <c r="S5" s="55">
        <f t="shared" si="1"/>
        <v>7500000</v>
      </c>
      <c r="T5" s="55">
        <f t="shared" si="1"/>
        <v>7500000</v>
      </c>
      <c r="U5" s="55">
        <f t="shared" si="1"/>
        <v>7500000</v>
      </c>
      <c r="V5" s="55">
        <f t="shared" si="1"/>
        <v>7500000</v>
      </c>
      <c r="W5" s="55">
        <f t="shared" si="1"/>
        <v>7500000</v>
      </c>
      <c r="X5" s="55">
        <f t="shared" si="1"/>
        <v>7500000</v>
      </c>
      <c r="Y5" s="55">
        <f t="shared" si="1"/>
        <v>7500000</v>
      </c>
      <c r="Z5" s="55">
        <f t="shared" si="1"/>
        <v>7500000</v>
      </c>
      <c r="AA5" s="55"/>
      <c r="AB5" s="55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</row>
    <row r="6" spans="1:141">
      <c r="A6" s="54" t="s">
        <v>36</v>
      </c>
      <c r="B6" s="54"/>
      <c r="C6" s="55">
        <f>'IP2'!E5</f>
        <v>0</v>
      </c>
      <c r="D6" s="55">
        <f>'IP2'!F5</f>
        <v>0</v>
      </c>
      <c r="E6" s="55">
        <f>'IP2'!G5</f>
        <v>0</v>
      </c>
      <c r="F6" s="55">
        <f>'IP2'!H5</f>
        <v>0</v>
      </c>
      <c r="G6" s="55">
        <f>'IP2'!I5</f>
        <v>0</v>
      </c>
      <c r="H6" s="55">
        <f>'IP2'!J5</f>
        <v>0</v>
      </c>
      <c r="I6" s="55">
        <f>'IP2'!K5</f>
        <v>0</v>
      </c>
      <c r="J6" s="55">
        <f>'IP2'!L5</f>
        <v>0</v>
      </c>
      <c r="K6" s="55">
        <f>'IP2'!M5</f>
        <v>0</v>
      </c>
      <c r="L6" s="55">
        <f>'IP2'!N5</f>
        <v>0</v>
      </c>
      <c r="M6" s="55">
        <f>'IP2'!O5</f>
        <v>0</v>
      </c>
      <c r="N6" s="55">
        <f>'IP2'!P5</f>
        <v>0</v>
      </c>
      <c r="O6" s="55">
        <f>'IP2'!Q5</f>
        <v>0</v>
      </c>
      <c r="P6" s="55">
        <f>'IP2'!R5</f>
        <v>0</v>
      </c>
      <c r="Q6" s="55">
        <f>'IP2'!S5</f>
        <v>0</v>
      </c>
      <c r="R6" s="55">
        <f>'IP2'!T5</f>
        <v>0</v>
      </c>
      <c r="S6" s="55">
        <f>'IP2'!U5</f>
        <v>0</v>
      </c>
      <c r="T6" s="55">
        <f>'IP2'!V5</f>
        <v>0</v>
      </c>
      <c r="U6" s="55">
        <f>'IP2'!W5</f>
        <v>0</v>
      </c>
      <c r="V6" s="55">
        <f>'IP2'!X5</f>
        <v>0</v>
      </c>
      <c r="W6" s="55">
        <f>'IP2'!Y5</f>
        <v>0</v>
      </c>
      <c r="X6" s="55">
        <f>'IP2'!Z5</f>
        <v>0</v>
      </c>
      <c r="Y6" s="55">
        <f>'IP2'!AA5</f>
        <v>0</v>
      </c>
      <c r="Z6" s="55">
        <f>'IP2'!AB5</f>
        <v>0</v>
      </c>
      <c r="AA6" s="55"/>
      <c r="AB6" s="55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</row>
    <row r="7" spans="1:141">
      <c r="A7" s="52" t="s">
        <v>37</v>
      </c>
      <c r="B7" s="52">
        <f>B5</f>
        <v>7500000</v>
      </c>
      <c r="C7" s="56">
        <f>C5+C6</f>
        <v>7500000</v>
      </c>
      <c r="D7" s="55">
        <f>D5+D6</f>
        <v>7500000</v>
      </c>
      <c r="E7" s="55">
        <f>E5+E6</f>
        <v>7500000</v>
      </c>
      <c r="F7" s="55">
        <f>F5+F6</f>
        <v>7500000</v>
      </c>
      <c r="G7" s="56">
        <f t="shared" ref="G7:Z7" si="2">G5+G6</f>
        <v>7500000</v>
      </c>
      <c r="H7" s="56">
        <f t="shared" si="2"/>
        <v>7500000</v>
      </c>
      <c r="I7" s="56">
        <f t="shared" si="2"/>
        <v>7500000</v>
      </c>
      <c r="J7" s="56">
        <f t="shared" si="2"/>
        <v>7500000</v>
      </c>
      <c r="K7" s="56">
        <f t="shared" si="2"/>
        <v>7500000</v>
      </c>
      <c r="L7" s="56">
        <f t="shared" si="2"/>
        <v>7500000</v>
      </c>
      <c r="M7" s="56">
        <f t="shared" si="2"/>
        <v>7500000</v>
      </c>
      <c r="N7" s="56">
        <f t="shared" si="2"/>
        <v>7500000</v>
      </c>
      <c r="O7" s="56">
        <f t="shared" si="2"/>
        <v>7500000</v>
      </c>
      <c r="P7" s="56">
        <f t="shared" si="2"/>
        <v>7500000</v>
      </c>
      <c r="Q7" s="56">
        <f t="shared" si="2"/>
        <v>7500000</v>
      </c>
      <c r="R7" s="56">
        <f t="shared" si="2"/>
        <v>7500000</v>
      </c>
      <c r="S7" s="56">
        <f t="shared" si="2"/>
        <v>7500000</v>
      </c>
      <c r="T7" s="56">
        <f t="shared" si="2"/>
        <v>7500000</v>
      </c>
      <c r="U7" s="56">
        <f t="shared" si="2"/>
        <v>7500000</v>
      </c>
      <c r="V7" s="56">
        <f t="shared" si="2"/>
        <v>7500000</v>
      </c>
      <c r="W7" s="56">
        <f t="shared" si="2"/>
        <v>7500000</v>
      </c>
      <c r="X7" s="56">
        <f t="shared" si="2"/>
        <v>7500000</v>
      </c>
      <c r="Y7" s="56">
        <f t="shared" si="2"/>
        <v>7500000</v>
      </c>
      <c r="Z7" s="56">
        <f t="shared" si="2"/>
        <v>7500000</v>
      </c>
      <c r="AA7" s="55"/>
      <c r="AB7" s="55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</row>
    <row r="8" spans="1:141">
      <c r="A8" s="54"/>
      <c r="B8" s="54"/>
      <c r="C8" s="57"/>
      <c r="D8" s="58"/>
      <c r="E8" s="58"/>
      <c r="F8" s="55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5"/>
      <c r="AB8" s="55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</row>
    <row r="9" spans="1:141">
      <c r="A9" s="53" t="s">
        <v>0</v>
      </c>
      <c r="B9" s="54"/>
      <c r="C9" s="57"/>
      <c r="D9" s="58"/>
      <c r="E9" s="58"/>
      <c r="F9" s="55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5"/>
      <c r="AB9" s="55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</row>
    <row r="10" spans="1:141">
      <c r="A10" s="54" t="s">
        <v>35</v>
      </c>
      <c r="B10" s="55">
        <f>'IP2'!D6</f>
        <v>1500000</v>
      </c>
      <c r="C10" s="55">
        <f>B12</f>
        <v>1500000</v>
      </c>
      <c r="D10" s="55">
        <f>C12</f>
        <v>1525000</v>
      </c>
      <c r="E10" s="55">
        <f t="shared" ref="E10:Z10" si="3">D12</f>
        <v>1550000</v>
      </c>
      <c r="F10" s="55">
        <f t="shared" si="3"/>
        <v>1575000</v>
      </c>
      <c r="G10" s="55">
        <f t="shared" si="3"/>
        <v>1600000</v>
      </c>
      <c r="H10" s="55">
        <f t="shared" si="3"/>
        <v>1625000</v>
      </c>
      <c r="I10" s="55">
        <f t="shared" si="3"/>
        <v>1650000</v>
      </c>
      <c r="J10" s="55">
        <f t="shared" si="3"/>
        <v>1675000</v>
      </c>
      <c r="K10" s="55">
        <f t="shared" si="3"/>
        <v>1700000</v>
      </c>
      <c r="L10" s="55">
        <f t="shared" si="3"/>
        <v>1725000</v>
      </c>
      <c r="M10" s="55">
        <f t="shared" si="3"/>
        <v>1750000</v>
      </c>
      <c r="N10" s="55">
        <f t="shared" si="3"/>
        <v>1775000</v>
      </c>
      <c r="O10" s="55">
        <f t="shared" si="3"/>
        <v>1800000</v>
      </c>
      <c r="P10" s="55">
        <f t="shared" si="3"/>
        <v>1825000</v>
      </c>
      <c r="Q10" s="55">
        <f t="shared" si="3"/>
        <v>1850000</v>
      </c>
      <c r="R10" s="55">
        <f t="shared" si="3"/>
        <v>1875000</v>
      </c>
      <c r="S10" s="55">
        <f t="shared" si="3"/>
        <v>1900000</v>
      </c>
      <c r="T10" s="55">
        <f t="shared" si="3"/>
        <v>1925000</v>
      </c>
      <c r="U10" s="55">
        <f t="shared" si="3"/>
        <v>1950000</v>
      </c>
      <c r="V10" s="55">
        <f t="shared" si="3"/>
        <v>1975000</v>
      </c>
      <c r="W10" s="55">
        <f t="shared" si="3"/>
        <v>2000000</v>
      </c>
      <c r="X10" s="55">
        <f t="shared" si="3"/>
        <v>2025000</v>
      </c>
      <c r="Y10" s="55">
        <f t="shared" si="3"/>
        <v>2050000</v>
      </c>
      <c r="Z10" s="55">
        <f t="shared" si="3"/>
        <v>2075000</v>
      </c>
      <c r="AA10" s="55"/>
      <c r="AB10" s="55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</row>
    <row r="11" spans="1:141">
      <c r="A11" s="54" t="s">
        <v>38</v>
      </c>
      <c r="B11" s="54"/>
      <c r="C11" s="55">
        <f>IF(OR(C6&gt;0,IF('IP1'!$E$128="St.Line",C7*('IP1'!$F$128/12),(C7-C10)*'IP1'!$F$128/6)&lt;=C10),IF('IP1'!$E$128="St.Line",C7*('IP1'!$F$128/12),(C7-C10)*'IP1'!$F$128/6),C10)</f>
        <v>25000</v>
      </c>
      <c r="D11" s="55">
        <f>IF(OR(D6&gt;0,IF('IP1'!$E$128="St.Line",D7*('IP1'!$F$128/12),(D7-D10)*'IP1'!$F$128/6)&lt;=D10),IF('IP1'!$E$128="St.Line",D7*('IP1'!$F$128/12),(D7-D10)*'IP1'!$F$128/6),D10)</f>
        <v>25000</v>
      </c>
      <c r="E11" s="55">
        <f>IF(OR(E6&gt;0,IF('IP1'!$E$128="St.Line",E7*('IP1'!$F$128/12),(E7-E10)*'IP1'!$F$128/6)&lt;=E10),IF('IP1'!$E$128="St.Line",E7*('IP1'!$F$128/12),(E7-E10)*'IP1'!$F$128/6),E10)</f>
        <v>25000</v>
      </c>
      <c r="F11" s="55">
        <f>IF(OR(F6&gt;0,IF('IP1'!$E$128="St.Line",F7*('IP1'!$F$128/12),(F7-F10)*'IP1'!$F$128/6)&lt;=F10),IF('IP1'!$E$128="St.Line",F7*('IP1'!$F$128/12),(F7-F10)*'IP1'!$F$128/6),F10)</f>
        <v>25000</v>
      </c>
      <c r="G11" s="55">
        <f>IF(OR(G6&gt;0,IF('IP1'!$E$128="St.Line",G7*('IP1'!$F$128/12),(G7-G10)*'IP1'!$F$128/6)&lt;=G10),IF('IP1'!$E$128="St.Line",G7*('IP1'!$F$128/12),(G7-G10)*'IP1'!$F$128/6),G10)</f>
        <v>25000</v>
      </c>
      <c r="H11" s="55">
        <f>IF(OR(H6&gt;0,IF('IP1'!$E$128="St.Line",H7*('IP1'!$F$128/12),(H7-H10)*'IP1'!$F$128/6)&lt;=H10),IF('IP1'!$E$128="St.Line",H7*('IP1'!$F$128/12),(H7-H10)*'IP1'!$F$128/6),H10)</f>
        <v>25000</v>
      </c>
      <c r="I11" s="55">
        <f>IF(OR(I6&gt;0,IF('IP1'!$E$128="St.Line",I7*('IP1'!$F$128/12),(I7-I10)*'IP1'!$F$128/6)&lt;=I10),IF('IP1'!$E$128="St.Line",I7*('IP1'!$F$128/12),(I7-I10)*'IP1'!$F$128/6),I10)</f>
        <v>25000</v>
      </c>
      <c r="J11" s="55">
        <f>IF(OR(J6&gt;0,IF('IP1'!$E$128="St.Line",J7*('IP1'!$F$128/12),(J7-J10)*'IP1'!$F$128/6)&lt;=J10),IF('IP1'!$E$128="St.Line",J7*('IP1'!$F$128/12),(J7-J10)*'IP1'!$F$128/6),J10)</f>
        <v>25000</v>
      </c>
      <c r="K11" s="55">
        <f>IF(OR(K6&gt;0,IF('IP1'!$E$128="St.Line",K7*('IP1'!$F$128/12),(K7-K10)*'IP1'!$F$128/6)&lt;=K10),IF('IP1'!$E$128="St.Line",K7*('IP1'!$F$128/12),(K7-K10)*'IP1'!$F$128/6),K10)</f>
        <v>25000</v>
      </c>
      <c r="L11" s="55">
        <f>IF(OR(L6&gt;0,IF('IP1'!$E$128="St.Line",L7*('IP1'!$F$128/12),(L7-L10)*'IP1'!$F$128/6)&lt;=L10),IF('IP1'!$E$128="St.Line",L7*('IP1'!$F$128/12),(L7-L10)*'IP1'!$F$128/6),L10)</f>
        <v>25000</v>
      </c>
      <c r="M11" s="55">
        <f>IF(OR(M6&gt;0,IF('IP1'!$E$128="St.Line",M7*('IP1'!$F$128/12),(M7-M10)*'IP1'!$F$128/6)&lt;=M10),IF('IP1'!$E$128="St.Line",M7*('IP1'!$F$128/12),(M7-M10)*'IP1'!$F$128/6),M10)</f>
        <v>25000</v>
      </c>
      <c r="N11" s="55">
        <f>IF(OR(N6&gt;0,IF('IP1'!$E$128="St.Line",N7*('IP1'!$F$128/12),(N7-N10)*'IP1'!$F$128/6)&lt;=N10),IF('IP1'!$E$128="St.Line",N7*('IP1'!$F$128/12),(N7-N10)*'IP1'!$F$128/6),N10)</f>
        <v>25000</v>
      </c>
      <c r="O11" s="55">
        <f>IF(OR(O6&gt;0,IF('IP1'!$E$128="St.Line",O7*('IP1'!$F$128/12),(O7-O10)*'IP1'!$F$128/6)&lt;=O10),IF('IP1'!$E$128="St.Line",O7*('IP1'!$F$128/12),(O7-O10)*'IP1'!$F$128/6),O10)</f>
        <v>25000</v>
      </c>
      <c r="P11" s="55">
        <f>IF(OR(P6&gt;0,IF('IP1'!$E$128="St.Line",P7*('IP1'!$F$128/12),(P7-P10)*'IP1'!$F$128/6)&lt;=P10),IF('IP1'!$E$128="St.Line",P7*('IP1'!$F$128/12),(P7-P10)*'IP1'!$F$128/6),P10)</f>
        <v>25000</v>
      </c>
      <c r="Q11" s="55">
        <f>IF(OR(Q6&gt;0,IF('IP1'!$E$128="St.Line",Q7*('IP1'!$F$128/12),(Q7-Q10)*'IP1'!$F$128/6)&lt;=Q10),IF('IP1'!$E$128="St.Line",Q7*('IP1'!$F$128/12),(Q7-Q10)*'IP1'!$F$128/6),Q10)</f>
        <v>25000</v>
      </c>
      <c r="R11" s="55">
        <f>IF(OR(R6&gt;0,IF('IP1'!$E$128="St.Line",R7*('IP1'!$F$128/12),(R7-R10)*'IP1'!$F$128/6)&lt;=R10),IF('IP1'!$E$128="St.Line",R7*('IP1'!$F$128/12),(R7-R10)*'IP1'!$F$128/6),R10)</f>
        <v>25000</v>
      </c>
      <c r="S11" s="55">
        <f>IF(OR(S6&gt;0,IF('IP1'!$E$128="St.Line",S7*('IP1'!$F$128/12),(S7-S10)*'IP1'!$F$128/6)&lt;=S10),IF('IP1'!$E$128="St.Line",S7*('IP1'!$F$128/12),(S7-S10)*'IP1'!$F$128/6),S10)</f>
        <v>25000</v>
      </c>
      <c r="T11" s="55">
        <f>IF(OR(T6&gt;0,IF('IP1'!$E$128="St.Line",T7*('IP1'!$F$128/12),(T7-T10)*'IP1'!$F$128/6)&lt;=T10),IF('IP1'!$E$128="St.Line",T7*('IP1'!$F$128/12),(T7-T10)*'IP1'!$F$128/6),T10)</f>
        <v>25000</v>
      </c>
      <c r="U11" s="55">
        <f>IF(OR(U6&gt;0,IF('IP1'!$E$128="St.Line",U7*('IP1'!$F$128/12),(U7-U10)*'IP1'!$F$128/6)&lt;=U10),IF('IP1'!$E$128="St.Line",U7*('IP1'!$F$128/12),(U7-U10)*'IP1'!$F$128/6),U10)</f>
        <v>25000</v>
      </c>
      <c r="V11" s="55">
        <f>IF(OR(V6&gt;0,IF('IP1'!$E$128="St.Line",V7*('IP1'!$F$128/12),(V7-V10)*'IP1'!$F$128/6)&lt;=V10),IF('IP1'!$E$128="St.Line",V7*('IP1'!$F$128/12),(V7-V10)*'IP1'!$F$128/6),V10)</f>
        <v>25000</v>
      </c>
      <c r="W11" s="55">
        <f>IF(OR(W6&gt;0,IF('IP1'!$E$128="St.Line",W7*('IP1'!$F$128/12),(W7-W10)*'IP1'!$F$128/6)&lt;=W10),IF('IP1'!$E$128="St.Line",W7*('IP1'!$F$128/12),(W7-W10)*'IP1'!$F$128/6),W10)</f>
        <v>25000</v>
      </c>
      <c r="X11" s="55">
        <f>IF(OR(X6&gt;0,IF('IP1'!$E$128="St.Line",X7*('IP1'!$F$128/12),(X7-X10)*'IP1'!$F$128/6)&lt;=X10),IF('IP1'!$E$128="St.Line",X7*('IP1'!$F$128/12),(X7-X10)*'IP1'!$F$128/6),X10)</f>
        <v>25000</v>
      </c>
      <c r="Y11" s="55">
        <f>IF(OR(Y6&gt;0,IF('IP1'!$E$128="St.Line",Y7*('IP1'!$F$128/12),(Y7-Y10)*'IP1'!$F$128/6)&lt;=Y10),IF('IP1'!$E$128="St.Line",Y7*('IP1'!$F$128/12),(Y7-Y10)*'IP1'!$F$128/6),Y10)</f>
        <v>25000</v>
      </c>
      <c r="Z11" s="55">
        <f>IF(OR(Z6&gt;0,IF('IP1'!$E$128="St.Line",Z7*('IP1'!$F$128/12),(Z7-Z10)*'IP1'!$F$128/6)&lt;=Z10),IF('IP1'!$E$128="St.Line",Z7*('IP1'!$F$128/12),(Z7-Z10)*'IP1'!$F$128/6),Z10)</f>
        <v>25000</v>
      </c>
      <c r="AA11" s="55"/>
      <c r="AB11" s="55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</row>
    <row r="12" spans="1:141">
      <c r="A12" s="52" t="s">
        <v>37</v>
      </c>
      <c r="B12" s="52">
        <f>B10</f>
        <v>1500000</v>
      </c>
      <c r="C12" s="55">
        <f t="shared" ref="C12:Z12" si="4">SUM(C10:C11)</f>
        <v>1525000</v>
      </c>
      <c r="D12" s="55">
        <f t="shared" si="4"/>
        <v>1550000</v>
      </c>
      <c r="E12" s="55">
        <f t="shared" si="4"/>
        <v>1575000</v>
      </c>
      <c r="F12" s="55">
        <f t="shared" si="4"/>
        <v>1600000</v>
      </c>
      <c r="G12" s="55">
        <f t="shared" si="4"/>
        <v>1625000</v>
      </c>
      <c r="H12" s="55">
        <f t="shared" si="4"/>
        <v>1650000</v>
      </c>
      <c r="I12" s="55">
        <f t="shared" si="4"/>
        <v>1675000</v>
      </c>
      <c r="J12" s="55">
        <f t="shared" si="4"/>
        <v>1700000</v>
      </c>
      <c r="K12" s="55">
        <f t="shared" si="4"/>
        <v>1725000</v>
      </c>
      <c r="L12" s="55">
        <f t="shared" si="4"/>
        <v>1750000</v>
      </c>
      <c r="M12" s="55">
        <f t="shared" si="4"/>
        <v>1775000</v>
      </c>
      <c r="N12" s="55">
        <f t="shared" si="4"/>
        <v>1800000</v>
      </c>
      <c r="O12" s="55">
        <f t="shared" si="4"/>
        <v>1825000</v>
      </c>
      <c r="P12" s="55">
        <f t="shared" si="4"/>
        <v>1850000</v>
      </c>
      <c r="Q12" s="55">
        <f t="shared" si="4"/>
        <v>1875000</v>
      </c>
      <c r="R12" s="55">
        <f t="shared" si="4"/>
        <v>1900000</v>
      </c>
      <c r="S12" s="55">
        <f t="shared" si="4"/>
        <v>1925000</v>
      </c>
      <c r="T12" s="55">
        <f t="shared" si="4"/>
        <v>1950000</v>
      </c>
      <c r="U12" s="55">
        <f t="shared" si="4"/>
        <v>1975000</v>
      </c>
      <c r="V12" s="55">
        <f t="shared" si="4"/>
        <v>2000000</v>
      </c>
      <c r="W12" s="55">
        <f t="shared" si="4"/>
        <v>2025000</v>
      </c>
      <c r="X12" s="55">
        <f t="shared" si="4"/>
        <v>2050000</v>
      </c>
      <c r="Y12" s="55">
        <f t="shared" si="4"/>
        <v>2075000</v>
      </c>
      <c r="Z12" s="55">
        <f t="shared" si="4"/>
        <v>2100000</v>
      </c>
      <c r="AA12" s="55"/>
      <c r="AB12" s="55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</row>
    <row r="13" spans="1:141" s="7" customFormat="1">
      <c r="A13" s="52" t="s">
        <v>39</v>
      </c>
      <c r="B13" s="52">
        <f>B7-B12</f>
        <v>6000000</v>
      </c>
      <c r="C13" s="59">
        <f t="shared" ref="C13:Z13" si="5">C7-C12</f>
        <v>5975000</v>
      </c>
      <c r="D13" s="59">
        <f t="shared" si="5"/>
        <v>5950000</v>
      </c>
      <c r="E13" s="59">
        <f t="shared" si="5"/>
        <v>5925000</v>
      </c>
      <c r="F13" s="59">
        <f t="shared" si="5"/>
        <v>5900000</v>
      </c>
      <c r="G13" s="59">
        <f t="shared" si="5"/>
        <v>5875000</v>
      </c>
      <c r="H13" s="59">
        <f t="shared" si="5"/>
        <v>5850000</v>
      </c>
      <c r="I13" s="59">
        <f t="shared" si="5"/>
        <v>5825000</v>
      </c>
      <c r="J13" s="59">
        <f t="shared" si="5"/>
        <v>5800000</v>
      </c>
      <c r="K13" s="59">
        <f t="shared" si="5"/>
        <v>5775000</v>
      </c>
      <c r="L13" s="59">
        <f t="shared" si="5"/>
        <v>5750000</v>
      </c>
      <c r="M13" s="59">
        <f t="shared" si="5"/>
        <v>5725000</v>
      </c>
      <c r="N13" s="59">
        <f t="shared" si="5"/>
        <v>5700000</v>
      </c>
      <c r="O13" s="59">
        <f t="shared" si="5"/>
        <v>5675000</v>
      </c>
      <c r="P13" s="59">
        <f t="shared" si="5"/>
        <v>5650000</v>
      </c>
      <c r="Q13" s="59">
        <f t="shared" si="5"/>
        <v>5625000</v>
      </c>
      <c r="R13" s="59">
        <f t="shared" si="5"/>
        <v>5600000</v>
      </c>
      <c r="S13" s="59">
        <f t="shared" si="5"/>
        <v>5575000</v>
      </c>
      <c r="T13" s="59">
        <f t="shared" si="5"/>
        <v>5550000</v>
      </c>
      <c r="U13" s="59">
        <f t="shared" si="5"/>
        <v>5525000</v>
      </c>
      <c r="V13" s="59">
        <f t="shared" si="5"/>
        <v>5500000</v>
      </c>
      <c r="W13" s="59">
        <f t="shared" si="5"/>
        <v>5475000</v>
      </c>
      <c r="X13" s="59">
        <f t="shared" si="5"/>
        <v>5450000</v>
      </c>
      <c r="Y13" s="59">
        <f t="shared" si="5"/>
        <v>5425000</v>
      </c>
      <c r="Z13" s="59">
        <f t="shared" si="5"/>
        <v>5400000</v>
      </c>
      <c r="AA13" s="59"/>
      <c r="AB13" s="59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141">
      <c r="C14" s="57"/>
      <c r="D14" s="58"/>
      <c r="E14" s="58"/>
      <c r="F14" s="55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5"/>
      <c r="AB14" s="55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</row>
    <row r="15" spans="1:141">
      <c r="A15" s="52" t="s">
        <v>41</v>
      </c>
      <c r="B15" s="52"/>
      <c r="C15" s="57"/>
      <c r="D15" s="58"/>
      <c r="E15" s="58"/>
      <c r="F15" s="55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5"/>
      <c r="AB15" s="55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</row>
    <row r="16" spans="1:141">
      <c r="A16" s="53" t="s">
        <v>34</v>
      </c>
      <c r="B16" s="52"/>
      <c r="C16" s="57"/>
      <c r="D16" s="58"/>
      <c r="E16" s="58"/>
      <c r="F16" s="58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5"/>
      <c r="AB16" s="55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</row>
    <row r="17" spans="1:76">
      <c r="A17" s="54" t="s">
        <v>35</v>
      </c>
      <c r="B17" s="55">
        <f>'IP2'!D7</f>
        <v>1500000</v>
      </c>
      <c r="C17" s="55">
        <f>B19</f>
        <v>1500000</v>
      </c>
      <c r="D17" s="55">
        <f>C19</f>
        <v>1500000</v>
      </c>
      <c r="E17" s="55">
        <f t="shared" ref="E17:Z17" si="6">D19</f>
        <v>1500000</v>
      </c>
      <c r="F17" s="55">
        <f t="shared" si="6"/>
        <v>1975000</v>
      </c>
      <c r="G17" s="55">
        <f t="shared" si="6"/>
        <v>1975000</v>
      </c>
      <c r="H17" s="55">
        <f t="shared" si="6"/>
        <v>1975000</v>
      </c>
      <c r="I17" s="55">
        <f t="shared" si="6"/>
        <v>1975000</v>
      </c>
      <c r="J17" s="55">
        <f t="shared" si="6"/>
        <v>1975000</v>
      </c>
      <c r="K17" s="55">
        <f t="shared" si="6"/>
        <v>1975000</v>
      </c>
      <c r="L17" s="55">
        <f t="shared" si="6"/>
        <v>1975000</v>
      </c>
      <c r="M17" s="55">
        <f t="shared" si="6"/>
        <v>1975000</v>
      </c>
      <c r="N17" s="55">
        <f t="shared" si="6"/>
        <v>1975000</v>
      </c>
      <c r="O17" s="55">
        <f t="shared" si="6"/>
        <v>1975000</v>
      </c>
      <c r="P17" s="55">
        <f t="shared" si="6"/>
        <v>1975000</v>
      </c>
      <c r="Q17" s="55">
        <f t="shared" si="6"/>
        <v>1975000</v>
      </c>
      <c r="R17" s="55">
        <f t="shared" si="6"/>
        <v>1975000</v>
      </c>
      <c r="S17" s="55">
        <f t="shared" si="6"/>
        <v>1975000</v>
      </c>
      <c r="T17" s="55">
        <f t="shared" si="6"/>
        <v>2450000</v>
      </c>
      <c r="U17" s="55">
        <f t="shared" si="6"/>
        <v>2450000</v>
      </c>
      <c r="V17" s="55">
        <f t="shared" si="6"/>
        <v>2450000</v>
      </c>
      <c r="W17" s="55">
        <f t="shared" si="6"/>
        <v>2450000</v>
      </c>
      <c r="X17" s="55">
        <f t="shared" si="6"/>
        <v>2450000</v>
      </c>
      <c r="Y17" s="55">
        <f t="shared" si="6"/>
        <v>2450000</v>
      </c>
      <c r="Z17" s="55">
        <f t="shared" si="6"/>
        <v>2450000</v>
      </c>
      <c r="AA17" s="55"/>
      <c r="AB17" s="55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</row>
    <row r="18" spans="1:76">
      <c r="A18" s="54" t="s">
        <v>36</v>
      </c>
      <c r="B18" s="55"/>
      <c r="C18" s="55">
        <f>'IP2'!E7</f>
        <v>0</v>
      </c>
      <c r="D18" s="55">
        <f>'IP2'!F7</f>
        <v>0</v>
      </c>
      <c r="E18" s="55">
        <f>'IP2'!G7</f>
        <v>475000</v>
      </c>
      <c r="F18" s="55">
        <f>'IP2'!H7</f>
        <v>0</v>
      </c>
      <c r="G18" s="55">
        <f>'IP2'!I7</f>
        <v>0</v>
      </c>
      <c r="H18" s="55">
        <f>'IP2'!J7</f>
        <v>0</v>
      </c>
      <c r="I18" s="55">
        <f>'IP2'!K7</f>
        <v>0</v>
      </c>
      <c r="J18" s="55">
        <f>'IP2'!L7</f>
        <v>0</v>
      </c>
      <c r="K18" s="55">
        <f>'IP2'!M7</f>
        <v>0</v>
      </c>
      <c r="L18" s="55">
        <f>'IP2'!N7</f>
        <v>0</v>
      </c>
      <c r="M18" s="55">
        <f>'IP2'!O7</f>
        <v>0</v>
      </c>
      <c r="N18" s="55">
        <f>'IP2'!P7</f>
        <v>0</v>
      </c>
      <c r="O18" s="55">
        <f>'IP2'!Q7</f>
        <v>0</v>
      </c>
      <c r="P18" s="55">
        <f>'IP2'!R7</f>
        <v>0</v>
      </c>
      <c r="Q18" s="55">
        <f>'IP2'!S7</f>
        <v>0</v>
      </c>
      <c r="R18" s="55">
        <f>'IP2'!T7</f>
        <v>0</v>
      </c>
      <c r="S18" s="55">
        <f>'IP2'!U7</f>
        <v>475000</v>
      </c>
      <c r="T18" s="55">
        <f>'IP2'!V7</f>
        <v>0</v>
      </c>
      <c r="U18" s="55">
        <f>'IP2'!W7</f>
        <v>0</v>
      </c>
      <c r="V18" s="55">
        <f>'IP2'!X7</f>
        <v>0</v>
      </c>
      <c r="W18" s="55">
        <f>'IP2'!Y7</f>
        <v>0</v>
      </c>
      <c r="X18" s="55">
        <f>'IP2'!Z7</f>
        <v>0</v>
      </c>
      <c r="Y18" s="55">
        <f>'IP2'!AA7</f>
        <v>0</v>
      </c>
      <c r="Z18" s="55">
        <f>'IP2'!AB7</f>
        <v>0</v>
      </c>
      <c r="AA18" s="55"/>
      <c r="AB18" s="55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</row>
    <row r="19" spans="1:76">
      <c r="A19" s="52" t="s">
        <v>37</v>
      </c>
      <c r="B19" s="55">
        <f>B17</f>
        <v>1500000</v>
      </c>
      <c r="C19" s="55">
        <f>C17+C18</f>
        <v>1500000</v>
      </c>
      <c r="D19" s="55">
        <f>D17+D18</f>
        <v>1500000</v>
      </c>
      <c r="E19" s="55">
        <f>E17+E18</f>
        <v>1975000</v>
      </c>
      <c r="F19" s="55">
        <f t="shared" ref="F19:Z19" si="7">F17+F18</f>
        <v>1975000</v>
      </c>
      <c r="G19" s="55">
        <f t="shared" si="7"/>
        <v>1975000</v>
      </c>
      <c r="H19" s="55">
        <f t="shared" si="7"/>
        <v>1975000</v>
      </c>
      <c r="I19" s="55">
        <f t="shared" si="7"/>
        <v>1975000</v>
      </c>
      <c r="J19" s="55">
        <f t="shared" si="7"/>
        <v>1975000</v>
      </c>
      <c r="K19" s="55">
        <f t="shared" si="7"/>
        <v>1975000</v>
      </c>
      <c r="L19" s="55">
        <f t="shared" si="7"/>
        <v>1975000</v>
      </c>
      <c r="M19" s="55">
        <f t="shared" si="7"/>
        <v>1975000</v>
      </c>
      <c r="N19" s="55">
        <f t="shared" si="7"/>
        <v>1975000</v>
      </c>
      <c r="O19" s="55">
        <f t="shared" si="7"/>
        <v>1975000</v>
      </c>
      <c r="P19" s="55">
        <f t="shared" si="7"/>
        <v>1975000</v>
      </c>
      <c r="Q19" s="55">
        <f t="shared" si="7"/>
        <v>1975000</v>
      </c>
      <c r="R19" s="55">
        <f t="shared" si="7"/>
        <v>1975000</v>
      </c>
      <c r="S19" s="55">
        <f t="shared" si="7"/>
        <v>2450000</v>
      </c>
      <c r="T19" s="55">
        <f t="shared" si="7"/>
        <v>2450000</v>
      </c>
      <c r="U19" s="55">
        <f t="shared" si="7"/>
        <v>2450000</v>
      </c>
      <c r="V19" s="55">
        <f t="shared" si="7"/>
        <v>2450000</v>
      </c>
      <c r="W19" s="55">
        <f t="shared" si="7"/>
        <v>2450000</v>
      </c>
      <c r="X19" s="55">
        <f t="shared" si="7"/>
        <v>2450000</v>
      </c>
      <c r="Y19" s="55">
        <f t="shared" si="7"/>
        <v>2450000</v>
      </c>
      <c r="Z19" s="55">
        <f t="shared" si="7"/>
        <v>2450000</v>
      </c>
      <c r="AA19" s="55"/>
      <c r="AB19" s="55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</row>
    <row r="20" spans="1:76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</row>
    <row r="21" spans="1:76">
      <c r="A21" s="53" t="s">
        <v>0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</row>
    <row r="22" spans="1:76">
      <c r="A22" s="54" t="s">
        <v>35</v>
      </c>
      <c r="B22" s="55">
        <f>'IP2'!D8</f>
        <v>450000</v>
      </c>
      <c r="C22" s="55">
        <f>B24</f>
        <v>450000</v>
      </c>
      <c r="D22" s="55">
        <f>C24</f>
        <v>462500</v>
      </c>
      <c r="E22" s="55">
        <f>D24</f>
        <v>475000</v>
      </c>
      <c r="F22" s="55">
        <f>E24</f>
        <v>491458.33333333331</v>
      </c>
      <c r="G22" s="55">
        <f>F24</f>
        <v>507916.66666666663</v>
      </c>
      <c r="H22" s="55">
        <f t="shared" ref="H22:Z22" si="8">G24</f>
        <v>524375</v>
      </c>
      <c r="I22" s="55">
        <f t="shared" si="8"/>
        <v>540833.33333333337</v>
      </c>
      <c r="J22" s="55">
        <f t="shared" si="8"/>
        <v>557291.66666666674</v>
      </c>
      <c r="K22" s="55">
        <f t="shared" si="8"/>
        <v>573750.00000000012</v>
      </c>
      <c r="L22" s="55">
        <f t="shared" si="8"/>
        <v>590208.33333333349</v>
      </c>
      <c r="M22" s="55">
        <f t="shared" si="8"/>
        <v>606666.66666666686</v>
      </c>
      <c r="N22" s="55">
        <f t="shared" si="8"/>
        <v>623125.00000000023</v>
      </c>
      <c r="O22" s="55">
        <f t="shared" si="8"/>
        <v>639583.3333333336</v>
      </c>
      <c r="P22" s="55">
        <f t="shared" si="8"/>
        <v>656041.66666666698</v>
      </c>
      <c r="Q22" s="55">
        <f t="shared" si="8"/>
        <v>672500.00000000035</v>
      </c>
      <c r="R22" s="55">
        <f t="shared" si="8"/>
        <v>688958.33333333372</v>
      </c>
      <c r="S22" s="55">
        <f t="shared" si="8"/>
        <v>705416.66666666709</v>
      </c>
      <c r="T22" s="55">
        <f t="shared" si="8"/>
        <v>725833.33333333372</v>
      </c>
      <c r="U22" s="55">
        <f t="shared" si="8"/>
        <v>746250.00000000035</v>
      </c>
      <c r="V22" s="55">
        <f t="shared" si="8"/>
        <v>766666.66666666698</v>
      </c>
      <c r="W22" s="55">
        <f t="shared" si="8"/>
        <v>787083.3333333336</v>
      </c>
      <c r="X22" s="55">
        <f t="shared" si="8"/>
        <v>807500.00000000023</v>
      </c>
      <c r="Y22" s="55">
        <f t="shared" si="8"/>
        <v>827916.66666666686</v>
      </c>
      <c r="Z22" s="55">
        <f t="shared" si="8"/>
        <v>848333.33333333349</v>
      </c>
      <c r="AA22" s="55"/>
      <c r="AB22" s="55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</row>
    <row r="23" spans="1:76">
      <c r="A23" s="54" t="s">
        <v>38</v>
      </c>
      <c r="B23" s="54"/>
      <c r="C23" s="55">
        <f>IF(OR(C18&gt;0,IF('IP1'!$E$129="St.Line",C19*('IP1'!$F$129/12),(C19-C22)*'IP1'!$F$129/6)&lt;=C22),IF('IP1'!$E$129="St.Line",C19*('IP1'!$F$129/12),(C19-C22)*'IP1'!$F$129/6),C22)</f>
        <v>12500</v>
      </c>
      <c r="D23" s="55">
        <f>IF(OR(D18&gt;0,IF('IP1'!$E$129="St.Line",D19*('IP1'!$F$129/12),(D19-D22)*'IP1'!$F$129/6)&lt;=D22),IF('IP1'!$E$129="St.Line",D19*('IP1'!$F$129/12),(D19-D22)*'IP1'!$F$129/6),D22)</f>
        <v>12500</v>
      </c>
      <c r="E23" s="55">
        <f>IF(OR(E18&gt;0,IF('IP1'!$E$129="St.Line",E19*('IP1'!$F$129/12),(E19-E22)*'IP1'!$F$129/6)&lt;=E22),IF('IP1'!$E$129="St.Line",E19*('IP1'!$F$129/12),(E19-E22)*'IP1'!$F$129/6),E22)</f>
        <v>16458.333333333332</v>
      </c>
      <c r="F23" s="55">
        <f>IF(OR(F18&gt;0,IF('IP1'!$E$129="St.Line",F19*('IP1'!$F$129/12),(F19-F22)*'IP1'!$F$129/6)&lt;=F22),IF('IP1'!$E$129="St.Line",F19*('IP1'!$F$129/12),(F19-F22)*'IP1'!$F$129/6),F22)</f>
        <v>16458.333333333332</v>
      </c>
      <c r="G23" s="55">
        <f>IF(OR(G18&gt;0,IF('IP1'!$E$129="St.Line",G19*('IP1'!$F$129/12),(G19-G22)*'IP1'!$F$129/6)&lt;=G22),IF('IP1'!$E$129="St.Line",G19*('IP1'!$F$129/12),(G19-G22)*'IP1'!$F$129/6),G22)</f>
        <v>16458.333333333332</v>
      </c>
      <c r="H23" s="55">
        <f>IF(OR(H18&gt;0,IF('IP1'!$E$129="St.Line",H19*('IP1'!$F$129/12),(H19-H22)*'IP1'!$F$129/6)&lt;=H22),IF('IP1'!$E$129="St.Line",H19*('IP1'!$F$129/12),(H19-H22)*'IP1'!$F$129/6),H22)</f>
        <v>16458.333333333332</v>
      </c>
      <c r="I23" s="55">
        <f>IF(OR(I18&gt;0,IF('IP1'!$E$129="St.Line",I19*('IP1'!$F$129/12),(I19-I22)*'IP1'!$F$129/6)&lt;=I22),IF('IP1'!$E$129="St.Line",I19*('IP1'!$F$129/12),(I19-I22)*'IP1'!$F$129/6),I22)</f>
        <v>16458.333333333332</v>
      </c>
      <c r="J23" s="55">
        <f>IF(OR(J18&gt;0,IF('IP1'!$E$129="St.Line",J19*('IP1'!$F$129/12),(J19-J22)*'IP1'!$F$129/6)&lt;=J22),IF('IP1'!$E$129="St.Line",J19*('IP1'!$F$129/12),(J19-J22)*'IP1'!$F$129/6),J22)</f>
        <v>16458.333333333332</v>
      </c>
      <c r="K23" s="55">
        <f>IF(OR(K18&gt;0,IF('IP1'!$E$129="St.Line",K19*('IP1'!$F$129/12),(K19-K22)*'IP1'!$F$129/6)&lt;=K22),IF('IP1'!$E$129="St.Line",K19*('IP1'!$F$129/12),(K19-K22)*'IP1'!$F$129/6),K22)</f>
        <v>16458.333333333332</v>
      </c>
      <c r="L23" s="55">
        <f>IF(OR(L18&gt;0,IF('IP1'!$E$129="St.Line",L19*('IP1'!$F$129/12),(L19-L22)*'IP1'!$F$129/6)&lt;=L22),IF('IP1'!$E$129="St.Line",L19*('IP1'!$F$129/12),(L19-L22)*'IP1'!$F$129/6),L22)</f>
        <v>16458.333333333332</v>
      </c>
      <c r="M23" s="55">
        <f>IF(OR(M18&gt;0,IF('IP1'!$E$129="St.Line",M19*('IP1'!$F$129/12),(M19-M22)*'IP1'!$F$129/6)&lt;=M22),IF('IP1'!$E$129="St.Line",M19*('IP1'!$F$129/12),(M19-M22)*'IP1'!$F$129/6),M22)</f>
        <v>16458.333333333332</v>
      </c>
      <c r="N23" s="55">
        <f>IF(OR(N18&gt;0,IF('IP1'!$E$129="St.Line",N19*('IP1'!$F$129/12),(N19-N22)*'IP1'!$F$129/6)&lt;=N22),IF('IP1'!$E$129="St.Line",N19*('IP1'!$F$129/12),(N19-N22)*'IP1'!$F$129/6),N22)</f>
        <v>16458.333333333332</v>
      </c>
      <c r="O23" s="55">
        <f>IF(OR(O18&gt;0,IF('IP1'!$E$129="St.Line",O19*('IP1'!$F$129/12),(O19-O22)*'IP1'!$F$129/6)&lt;=O22),IF('IP1'!$E$129="St.Line",O19*('IP1'!$F$129/12),(O19-O22)*'IP1'!$F$129/6),O22)</f>
        <v>16458.333333333332</v>
      </c>
      <c r="P23" s="55">
        <f>IF(OR(P18&gt;0,IF('IP1'!$E$129="St.Line",P19*('IP1'!$F$129/12),(P19-P22)*'IP1'!$F$129/6)&lt;=P22),IF('IP1'!$E$129="St.Line",P19*('IP1'!$F$129/12),(P19-P22)*'IP1'!$F$129/6),P22)</f>
        <v>16458.333333333332</v>
      </c>
      <c r="Q23" s="55">
        <f>IF(OR(Q18&gt;0,IF('IP1'!$E$129="St.Line",Q19*('IP1'!$F$129/12),(Q19-Q22)*'IP1'!$F$129/6)&lt;=Q22),IF('IP1'!$E$129="St.Line",Q19*('IP1'!$F$129/12),(Q19-Q22)*'IP1'!$F$129/6),Q22)</f>
        <v>16458.333333333332</v>
      </c>
      <c r="R23" s="55">
        <f>IF(OR(R18&gt;0,IF('IP1'!$E$129="St.Line",R19*('IP1'!$F$129/12),(R19-R22)*'IP1'!$F$129/6)&lt;=R22),IF('IP1'!$E$129="St.Line",R19*('IP1'!$F$129/12),(R19-R22)*'IP1'!$F$129/6),R22)</f>
        <v>16458.333333333332</v>
      </c>
      <c r="S23" s="55">
        <f>IF(OR(S18&gt;0,IF('IP1'!$E$129="St.Line",S19*('IP1'!$F$129/12),(S19-S22)*'IP1'!$F$129/6)&lt;=S22),IF('IP1'!$E$129="St.Line",S19*('IP1'!$F$129/12),(S19-S22)*'IP1'!$F$129/6),S22)</f>
        <v>20416.666666666668</v>
      </c>
      <c r="T23" s="55">
        <f>IF(OR(T18&gt;0,IF('IP1'!$E$129="St.Line",T19*('IP1'!$F$129/12),(T19-T22)*'IP1'!$F$129/6)&lt;=T22),IF('IP1'!$E$129="St.Line",T19*('IP1'!$F$129/12),(T19-T22)*'IP1'!$F$129/6),T22)</f>
        <v>20416.666666666668</v>
      </c>
      <c r="U23" s="55">
        <f>IF(OR(U18&gt;0,IF('IP1'!$E$129="St.Line",U19*('IP1'!$F$129/12),(U19-U22)*'IP1'!$F$129/6)&lt;=U22),IF('IP1'!$E$129="St.Line",U19*('IP1'!$F$129/12),(U19-U22)*'IP1'!$F$129/6),U22)</f>
        <v>20416.666666666668</v>
      </c>
      <c r="V23" s="55">
        <f>IF(OR(V18&gt;0,IF('IP1'!$E$129="St.Line",V19*('IP1'!$F$129/12),(V19-V22)*'IP1'!$F$129/6)&lt;=V22),IF('IP1'!$E$129="St.Line",V19*('IP1'!$F$129/12),(V19-V22)*'IP1'!$F$129/6),V22)</f>
        <v>20416.666666666668</v>
      </c>
      <c r="W23" s="55">
        <f>IF(OR(W18&gt;0,IF('IP1'!$E$129="St.Line",W19*('IP1'!$F$129/12),(W19-W22)*'IP1'!$F$129/6)&lt;=W22),IF('IP1'!$E$129="St.Line",W19*('IP1'!$F$129/12),(W19-W22)*'IP1'!$F$129/6),W22)</f>
        <v>20416.666666666668</v>
      </c>
      <c r="X23" s="55">
        <f>IF(OR(X18&gt;0,IF('IP1'!$E$129="St.Line",X19*('IP1'!$F$129/12),(X19-X22)*'IP1'!$F$129/6)&lt;=X22),IF('IP1'!$E$129="St.Line",X19*('IP1'!$F$129/12),(X19-X22)*'IP1'!$F$129/6),X22)</f>
        <v>20416.666666666668</v>
      </c>
      <c r="Y23" s="55">
        <f>IF(OR(Y18&gt;0,IF('IP1'!$E$129="St.Line",Y19*('IP1'!$F$129/12),(Y19-Y22)*'IP1'!$F$129/6)&lt;=Y22),IF('IP1'!$E$129="St.Line",Y19*('IP1'!$F$129/12),(Y19-Y22)*'IP1'!$F$129/6),Y22)</f>
        <v>20416.666666666668</v>
      </c>
      <c r="Z23" s="55">
        <f>IF(OR(Z18&gt;0,IF('IP1'!$E$129="St.Line",Z19*('IP1'!$F$129/12),(Z19-Z22)*'IP1'!$F$129/6)&lt;=Z22),IF('IP1'!$E$129="St.Line",Z19*('IP1'!$F$129/12),(Z19-Z22)*'IP1'!$F$129/6),Z22)</f>
        <v>20416.666666666668</v>
      </c>
      <c r="AA23" s="55"/>
      <c r="AB23" s="55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</row>
    <row r="24" spans="1:76">
      <c r="A24" s="52" t="s">
        <v>37</v>
      </c>
      <c r="B24" s="52">
        <f>B22</f>
        <v>450000</v>
      </c>
      <c r="C24" s="55">
        <f>SUM(C22:C23)</f>
        <v>462500</v>
      </c>
      <c r="D24" s="56">
        <f>SUM(D22:D23)</f>
        <v>475000</v>
      </c>
      <c r="E24" s="56">
        <f>SUM(E22:E23)</f>
        <v>491458.33333333331</v>
      </c>
      <c r="F24" s="56">
        <f t="shared" ref="F24:Z24" si="9">SUM(F22:F23)</f>
        <v>507916.66666666663</v>
      </c>
      <c r="G24" s="56">
        <f t="shared" si="9"/>
        <v>524375</v>
      </c>
      <c r="H24" s="56">
        <f t="shared" si="9"/>
        <v>540833.33333333337</v>
      </c>
      <c r="I24" s="56">
        <f t="shared" si="9"/>
        <v>557291.66666666674</v>
      </c>
      <c r="J24" s="56">
        <f t="shared" si="9"/>
        <v>573750.00000000012</v>
      </c>
      <c r="K24" s="56">
        <f t="shared" si="9"/>
        <v>590208.33333333349</v>
      </c>
      <c r="L24" s="56">
        <f t="shared" si="9"/>
        <v>606666.66666666686</v>
      </c>
      <c r="M24" s="56">
        <f t="shared" si="9"/>
        <v>623125.00000000023</v>
      </c>
      <c r="N24" s="56">
        <f t="shared" si="9"/>
        <v>639583.3333333336</v>
      </c>
      <c r="O24" s="56">
        <f t="shared" si="9"/>
        <v>656041.66666666698</v>
      </c>
      <c r="P24" s="56">
        <f t="shared" si="9"/>
        <v>672500.00000000035</v>
      </c>
      <c r="Q24" s="56">
        <f t="shared" si="9"/>
        <v>688958.33333333372</v>
      </c>
      <c r="R24" s="56">
        <f t="shared" si="9"/>
        <v>705416.66666666709</v>
      </c>
      <c r="S24" s="56">
        <f t="shared" si="9"/>
        <v>725833.33333333372</v>
      </c>
      <c r="T24" s="56">
        <f t="shared" si="9"/>
        <v>746250.00000000035</v>
      </c>
      <c r="U24" s="56">
        <f t="shared" si="9"/>
        <v>766666.66666666698</v>
      </c>
      <c r="V24" s="56">
        <f t="shared" si="9"/>
        <v>787083.3333333336</v>
      </c>
      <c r="W24" s="56">
        <f t="shared" si="9"/>
        <v>807500.00000000023</v>
      </c>
      <c r="X24" s="56">
        <f t="shared" si="9"/>
        <v>827916.66666666686</v>
      </c>
      <c r="Y24" s="56">
        <f t="shared" si="9"/>
        <v>848333.33333333349</v>
      </c>
      <c r="Z24" s="56">
        <f t="shared" si="9"/>
        <v>868750.00000000012</v>
      </c>
      <c r="AA24" s="55"/>
      <c r="AB24" s="55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</row>
    <row r="25" spans="1:76">
      <c r="A25" s="54"/>
      <c r="B25" s="52"/>
      <c r="C25" s="59"/>
      <c r="D25" s="57"/>
      <c r="E25" s="57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5"/>
      <c r="AB25" s="55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</row>
    <row r="26" spans="1:76" s="7" customFormat="1">
      <c r="A26" s="52" t="s">
        <v>39</v>
      </c>
      <c r="B26" s="60">
        <f>B19-B24</f>
        <v>1050000</v>
      </c>
      <c r="C26" s="60">
        <f>C19-C24</f>
        <v>1037500</v>
      </c>
      <c r="D26" s="60">
        <f>D19-D24</f>
        <v>1025000</v>
      </c>
      <c r="E26" s="60">
        <f>E19-E24</f>
        <v>1483541.6666666667</v>
      </c>
      <c r="F26" s="60">
        <f>F19-F24</f>
        <v>1467083.3333333335</v>
      </c>
      <c r="G26" s="60">
        <f t="shared" ref="G26:Z26" si="10">G19-G24</f>
        <v>1450625</v>
      </c>
      <c r="H26" s="60">
        <f t="shared" si="10"/>
        <v>1434166.6666666665</v>
      </c>
      <c r="I26" s="60">
        <f t="shared" si="10"/>
        <v>1417708.3333333333</v>
      </c>
      <c r="J26" s="60">
        <f t="shared" si="10"/>
        <v>1401250</v>
      </c>
      <c r="K26" s="60">
        <f t="shared" si="10"/>
        <v>1384791.6666666665</v>
      </c>
      <c r="L26" s="60">
        <f t="shared" si="10"/>
        <v>1368333.333333333</v>
      </c>
      <c r="M26" s="60">
        <f t="shared" si="10"/>
        <v>1351874.9999999998</v>
      </c>
      <c r="N26" s="60">
        <f t="shared" si="10"/>
        <v>1335416.6666666665</v>
      </c>
      <c r="O26" s="60">
        <f t="shared" si="10"/>
        <v>1318958.333333333</v>
      </c>
      <c r="P26" s="60">
        <f t="shared" si="10"/>
        <v>1302499.9999999995</v>
      </c>
      <c r="Q26" s="60">
        <f t="shared" si="10"/>
        <v>1286041.6666666663</v>
      </c>
      <c r="R26" s="60">
        <f t="shared" si="10"/>
        <v>1269583.333333333</v>
      </c>
      <c r="S26" s="60">
        <f t="shared" si="10"/>
        <v>1724166.6666666663</v>
      </c>
      <c r="T26" s="60">
        <f t="shared" si="10"/>
        <v>1703749.9999999995</v>
      </c>
      <c r="U26" s="60">
        <f t="shared" si="10"/>
        <v>1683333.333333333</v>
      </c>
      <c r="V26" s="60">
        <f t="shared" si="10"/>
        <v>1662916.6666666665</v>
      </c>
      <c r="W26" s="60">
        <f t="shared" si="10"/>
        <v>1642499.9999999998</v>
      </c>
      <c r="X26" s="60">
        <f t="shared" si="10"/>
        <v>1622083.333333333</v>
      </c>
      <c r="Y26" s="60">
        <f t="shared" si="10"/>
        <v>1601666.6666666665</v>
      </c>
      <c r="Z26" s="60">
        <f t="shared" si="10"/>
        <v>1581250</v>
      </c>
      <c r="AA26" s="59"/>
      <c r="AB26" s="59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</row>
    <row r="27" spans="1:76">
      <c r="C27" s="57"/>
      <c r="D27" s="57"/>
      <c r="E27" s="57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5"/>
      <c r="AB27" s="55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</row>
    <row r="28" spans="1:76">
      <c r="A28" s="52" t="s">
        <v>42</v>
      </c>
      <c r="B28" s="52"/>
      <c r="C28" s="57"/>
      <c r="D28" s="57"/>
      <c r="E28" s="57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5"/>
      <c r="AB28" s="55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</row>
    <row r="29" spans="1:76">
      <c r="A29" s="53" t="s">
        <v>34</v>
      </c>
      <c r="B29" s="52"/>
      <c r="C29" s="57"/>
      <c r="D29" s="57"/>
      <c r="E29" s="57"/>
      <c r="F29" s="57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5"/>
      <c r="AB29" s="55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</row>
    <row r="30" spans="1:76">
      <c r="A30" s="54" t="s">
        <v>35</v>
      </c>
      <c r="B30" s="55">
        <f>'IP2'!D9</f>
        <v>200000</v>
      </c>
      <c r="C30" s="55">
        <f>B32</f>
        <v>200000</v>
      </c>
      <c r="D30" s="55">
        <f>C32</f>
        <v>200000</v>
      </c>
      <c r="E30" s="55">
        <f t="shared" ref="E30:Z30" si="11">D32</f>
        <v>200000</v>
      </c>
      <c r="F30" s="55">
        <f t="shared" si="11"/>
        <v>200000</v>
      </c>
      <c r="G30" s="55">
        <f t="shared" si="11"/>
        <v>200000</v>
      </c>
      <c r="H30" s="55">
        <f t="shared" si="11"/>
        <v>200000</v>
      </c>
      <c r="I30" s="55">
        <f t="shared" si="11"/>
        <v>200000</v>
      </c>
      <c r="J30" s="55">
        <f t="shared" si="11"/>
        <v>200000</v>
      </c>
      <c r="K30" s="55">
        <f t="shared" si="11"/>
        <v>200000</v>
      </c>
      <c r="L30" s="55">
        <f t="shared" si="11"/>
        <v>200000</v>
      </c>
      <c r="M30" s="55">
        <f t="shared" si="11"/>
        <v>200000</v>
      </c>
      <c r="N30" s="55">
        <f t="shared" si="11"/>
        <v>200000</v>
      </c>
      <c r="O30" s="55">
        <f t="shared" si="11"/>
        <v>200000</v>
      </c>
      <c r="P30" s="55">
        <f t="shared" si="11"/>
        <v>200000</v>
      </c>
      <c r="Q30" s="55">
        <f t="shared" si="11"/>
        <v>200000</v>
      </c>
      <c r="R30" s="55">
        <f t="shared" si="11"/>
        <v>200000</v>
      </c>
      <c r="S30" s="55">
        <f t="shared" si="11"/>
        <v>200000</v>
      </c>
      <c r="T30" s="55">
        <f t="shared" si="11"/>
        <v>200000</v>
      </c>
      <c r="U30" s="55">
        <f t="shared" si="11"/>
        <v>200000</v>
      </c>
      <c r="V30" s="55">
        <f t="shared" si="11"/>
        <v>200000</v>
      </c>
      <c r="W30" s="55">
        <f t="shared" si="11"/>
        <v>200000</v>
      </c>
      <c r="X30" s="55">
        <f t="shared" si="11"/>
        <v>200000</v>
      </c>
      <c r="Y30" s="55">
        <f t="shared" si="11"/>
        <v>200000</v>
      </c>
      <c r="Z30" s="55">
        <f t="shared" si="11"/>
        <v>200000</v>
      </c>
      <c r="AA30" s="55"/>
      <c r="AB30" s="55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</row>
    <row r="31" spans="1:76">
      <c r="A31" s="54" t="s">
        <v>36</v>
      </c>
      <c r="B31" s="55"/>
      <c r="C31" s="55">
        <f>'IP2'!E9</f>
        <v>0</v>
      </c>
      <c r="D31" s="55">
        <f>'IP2'!F9</f>
        <v>0</v>
      </c>
      <c r="E31" s="55">
        <f>'IP2'!G9</f>
        <v>0</v>
      </c>
      <c r="F31" s="55">
        <f>'IP2'!H9</f>
        <v>0</v>
      </c>
      <c r="G31" s="55">
        <f>'IP2'!I9</f>
        <v>0</v>
      </c>
      <c r="H31" s="55">
        <f>'IP2'!J9</f>
        <v>0</v>
      </c>
      <c r="I31" s="55">
        <f>'IP2'!K9</f>
        <v>0</v>
      </c>
      <c r="J31" s="55">
        <f>'IP2'!L9</f>
        <v>0</v>
      </c>
      <c r="K31" s="55">
        <f>'IP2'!M9</f>
        <v>0</v>
      </c>
      <c r="L31" s="55">
        <f>'IP2'!N9</f>
        <v>0</v>
      </c>
      <c r="M31" s="55">
        <f>'IP2'!O9</f>
        <v>0</v>
      </c>
      <c r="N31" s="55">
        <f>'IP2'!P9</f>
        <v>0</v>
      </c>
      <c r="O31" s="55">
        <f>'IP2'!Q9</f>
        <v>0</v>
      </c>
      <c r="P31" s="55">
        <f>'IP2'!R9</f>
        <v>0</v>
      </c>
      <c r="Q31" s="55">
        <f>'IP2'!S9</f>
        <v>0</v>
      </c>
      <c r="R31" s="55">
        <f>'IP2'!T9</f>
        <v>0</v>
      </c>
      <c r="S31" s="55">
        <f>'IP2'!U9</f>
        <v>0</v>
      </c>
      <c r="T31" s="55">
        <f>'IP2'!V9</f>
        <v>0</v>
      </c>
      <c r="U31" s="55">
        <f>'IP2'!W9</f>
        <v>0</v>
      </c>
      <c r="V31" s="55">
        <f>'IP2'!X9</f>
        <v>0</v>
      </c>
      <c r="W31" s="55">
        <f>'IP2'!Y9</f>
        <v>0</v>
      </c>
      <c r="X31" s="55">
        <f>'IP2'!Z9</f>
        <v>0</v>
      </c>
      <c r="Y31" s="55">
        <f>'IP2'!AA9</f>
        <v>0</v>
      </c>
      <c r="Z31" s="55">
        <f>'IP2'!AB9</f>
        <v>0</v>
      </c>
      <c r="AA31" s="55"/>
      <c r="AB31" s="55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</row>
    <row r="32" spans="1:76">
      <c r="A32" s="52" t="s">
        <v>37</v>
      </c>
      <c r="B32" s="55">
        <f>B30</f>
        <v>200000</v>
      </c>
      <c r="C32" s="55">
        <f>C30+C31</f>
        <v>200000</v>
      </c>
      <c r="D32" s="55">
        <f>D30+D31</f>
        <v>200000</v>
      </c>
      <c r="E32" s="55">
        <f>E30+E31</f>
        <v>200000</v>
      </c>
      <c r="F32" s="55">
        <f t="shared" ref="F32:Z32" si="12">F30+F31</f>
        <v>200000</v>
      </c>
      <c r="G32" s="55">
        <f t="shared" si="12"/>
        <v>200000</v>
      </c>
      <c r="H32" s="55">
        <f t="shared" si="12"/>
        <v>200000</v>
      </c>
      <c r="I32" s="55">
        <f t="shared" si="12"/>
        <v>200000</v>
      </c>
      <c r="J32" s="55">
        <f t="shared" si="12"/>
        <v>200000</v>
      </c>
      <c r="K32" s="55">
        <f t="shared" si="12"/>
        <v>200000</v>
      </c>
      <c r="L32" s="55">
        <f t="shared" si="12"/>
        <v>200000</v>
      </c>
      <c r="M32" s="55">
        <f t="shared" si="12"/>
        <v>200000</v>
      </c>
      <c r="N32" s="55">
        <f t="shared" si="12"/>
        <v>200000</v>
      </c>
      <c r="O32" s="55">
        <f t="shared" si="12"/>
        <v>200000</v>
      </c>
      <c r="P32" s="55">
        <f t="shared" si="12"/>
        <v>200000</v>
      </c>
      <c r="Q32" s="55">
        <f t="shared" si="12"/>
        <v>200000</v>
      </c>
      <c r="R32" s="55">
        <f t="shared" si="12"/>
        <v>200000</v>
      </c>
      <c r="S32" s="55">
        <f t="shared" si="12"/>
        <v>200000</v>
      </c>
      <c r="T32" s="55">
        <f t="shared" si="12"/>
        <v>200000</v>
      </c>
      <c r="U32" s="55">
        <f t="shared" si="12"/>
        <v>200000</v>
      </c>
      <c r="V32" s="55">
        <f t="shared" si="12"/>
        <v>200000</v>
      </c>
      <c r="W32" s="55">
        <f t="shared" si="12"/>
        <v>200000</v>
      </c>
      <c r="X32" s="55">
        <f t="shared" si="12"/>
        <v>200000</v>
      </c>
      <c r="Y32" s="55">
        <f t="shared" si="12"/>
        <v>200000</v>
      </c>
      <c r="Z32" s="55">
        <f t="shared" si="12"/>
        <v>200000</v>
      </c>
      <c r="AA32" s="55"/>
      <c r="AB32" s="55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</row>
    <row r="33" spans="1:76">
      <c r="A33" s="54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</row>
    <row r="34" spans="1:76">
      <c r="A34" s="53" t="s">
        <v>0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</row>
    <row r="35" spans="1:76">
      <c r="A35" s="54" t="s">
        <v>35</v>
      </c>
      <c r="B35" s="55">
        <f>'IP2'!D10</f>
        <v>100000</v>
      </c>
      <c r="C35" s="55">
        <f>B37</f>
        <v>100000</v>
      </c>
      <c r="D35" s="55">
        <f t="shared" ref="D35:Z35" si="13">C37</f>
        <v>103333.33333333333</v>
      </c>
      <c r="E35" s="55">
        <f t="shared" si="13"/>
        <v>106555.55555555555</v>
      </c>
      <c r="F35" s="55">
        <f t="shared" si="13"/>
        <v>109670.37037037036</v>
      </c>
      <c r="G35" s="55">
        <f t="shared" si="13"/>
        <v>112681.35802469135</v>
      </c>
      <c r="H35" s="55">
        <f t="shared" si="13"/>
        <v>115591.97942386831</v>
      </c>
      <c r="I35" s="55">
        <f t="shared" si="13"/>
        <v>118405.58010973937</v>
      </c>
      <c r="J35" s="55">
        <f t="shared" si="13"/>
        <v>121125.3941060814</v>
      </c>
      <c r="K35" s="55">
        <f t="shared" si="13"/>
        <v>123754.54763587868</v>
      </c>
      <c r="L35" s="55">
        <f t="shared" si="13"/>
        <v>126296.06271468273</v>
      </c>
      <c r="M35" s="55">
        <f t="shared" si="13"/>
        <v>128752.8606241933</v>
      </c>
      <c r="N35" s="55">
        <f t="shared" si="13"/>
        <v>131127.76527005353</v>
      </c>
      <c r="O35" s="55">
        <f t="shared" si="13"/>
        <v>133423.50642771841</v>
      </c>
      <c r="P35" s="55">
        <f t="shared" si="13"/>
        <v>135642.72288012781</v>
      </c>
      <c r="Q35" s="55">
        <f t="shared" si="13"/>
        <v>137787.96545079022</v>
      </c>
      <c r="R35" s="55">
        <f t="shared" si="13"/>
        <v>139861.69993576387</v>
      </c>
      <c r="S35" s="55">
        <f t="shared" si="13"/>
        <v>141866.30993790508</v>
      </c>
      <c r="T35" s="55">
        <f t="shared" si="13"/>
        <v>143804.09960664157</v>
      </c>
      <c r="U35" s="55">
        <f t="shared" si="13"/>
        <v>145677.29628642017</v>
      </c>
      <c r="V35" s="55">
        <f t="shared" si="13"/>
        <v>147488.05307687283</v>
      </c>
      <c r="W35" s="55">
        <f t="shared" si="13"/>
        <v>149238.45130764373</v>
      </c>
      <c r="X35" s="55">
        <f t="shared" si="13"/>
        <v>150930.50293072226</v>
      </c>
      <c r="Y35" s="55">
        <f t="shared" si="13"/>
        <v>152566.15283303152</v>
      </c>
      <c r="Z35" s="55">
        <f t="shared" si="13"/>
        <v>154147.28107193048</v>
      </c>
      <c r="AA35" s="55"/>
      <c r="AB35" s="55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</row>
    <row r="36" spans="1:76">
      <c r="A36" s="54" t="s">
        <v>38</v>
      </c>
      <c r="B36" s="54"/>
      <c r="C36" s="55">
        <f>IF(OR(C31&gt;0,IF('IP1'!$E$130="St.Line",C32*('IP1'!$F$130/12),(C32-C35)*'IP1'!$F$130/6)&lt;=C35),IF('IP1'!$E$130="St.Line",C32*('IP1'!$F$130/12),(C32-C35)*'IP1'!$F$130/6),C35)</f>
        <v>3333.3333333333335</v>
      </c>
      <c r="D36" s="55">
        <f>IF(OR(D31&gt;0,IF('IP1'!$E$130="St.Line",D32*('IP1'!$F$130/12),(D32-D35)*'IP1'!$F$130/6)&lt;=D35),IF('IP1'!$E$130="St.Line",D32*('IP1'!$F$130/12),(D32-D35)*'IP1'!$F$130/6),D35)</f>
        <v>3222.2222222222226</v>
      </c>
      <c r="E36" s="55">
        <f>IF(OR(E31&gt;0,IF('IP1'!$E$130="St.Line",E32*('IP1'!$F$130/12),(E32-E35)*'IP1'!$F$130/6)&lt;=E35),IF('IP1'!$E$130="St.Line",E32*('IP1'!$F$130/12),(E32-E35)*'IP1'!$F$130/6),E35)</f>
        <v>3114.8148148148152</v>
      </c>
      <c r="F36" s="55">
        <f>IF(OR(F31&gt;0,IF('IP1'!$E$130="St.Line",F32*('IP1'!$F$130/12),(F32-F35)*'IP1'!$F$130/6)&lt;=F35),IF('IP1'!$E$130="St.Line",F32*('IP1'!$F$130/12),(F32-F35)*'IP1'!$F$130/6),F35)</f>
        <v>3010.987654320988</v>
      </c>
      <c r="G36" s="55">
        <f>IF(OR(G31&gt;0,IF('IP1'!$E$130="St.Line",G32*('IP1'!$F$130/12),(G32-G35)*'IP1'!$F$130/6)&lt;=G35),IF('IP1'!$E$130="St.Line",G32*('IP1'!$F$130/12),(G32-G35)*'IP1'!$F$130/6),G35)</f>
        <v>2910.621399176955</v>
      </c>
      <c r="H36" s="55">
        <f>IF(OR(H31&gt;0,IF('IP1'!$E$130="St.Line",H32*('IP1'!$F$130/12),(H32-H35)*'IP1'!$F$130/6)&lt;=H35),IF('IP1'!$E$130="St.Line",H32*('IP1'!$F$130/12),(H32-H35)*'IP1'!$F$130/6),H35)</f>
        <v>2813.6006858710566</v>
      </c>
      <c r="I36" s="55">
        <f>IF(OR(I31&gt;0,IF('IP1'!$E$130="St.Line",I32*('IP1'!$F$130/12),(I32-I35)*'IP1'!$F$130/6)&lt;=I35),IF('IP1'!$E$130="St.Line",I32*('IP1'!$F$130/12),(I32-I35)*'IP1'!$F$130/6),I35)</f>
        <v>2719.8139963420213</v>
      </c>
      <c r="J36" s="55">
        <f>IF(OR(J31&gt;0,IF('IP1'!$E$130="St.Line",J32*('IP1'!$F$130/12),(J32-J35)*'IP1'!$F$130/6)&lt;=J35),IF('IP1'!$E$130="St.Line",J32*('IP1'!$F$130/12),(J32-J35)*'IP1'!$F$130/6),J35)</f>
        <v>2629.1535297972869</v>
      </c>
      <c r="K36" s="55">
        <f>IF(OR(K31&gt;0,IF('IP1'!$E$130="St.Line",K32*('IP1'!$F$130/12),(K32-K35)*'IP1'!$F$130/6)&lt;=K35),IF('IP1'!$E$130="St.Line",K32*('IP1'!$F$130/12),(K32-K35)*'IP1'!$F$130/6),K35)</f>
        <v>2541.5150788040442</v>
      </c>
      <c r="L36" s="55">
        <f>IF(OR(L31&gt;0,IF('IP1'!$E$130="St.Line",L32*('IP1'!$F$130/12),(L32-L35)*'IP1'!$F$130/6)&lt;=L35),IF('IP1'!$E$130="St.Line",L32*('IP1'!$F$130/12),(L32-L35)*'IP1'!$F$130/6),L35)</f>
        <v>2456.7979095105757</v>
      </c>
      <c r="M36" s="55">
        <f>IF(OR(M31&gt;0,IF('IP1'!$E$130="St.Line",M32*('IP1'!$F$130/12),(M32-M35)*'IP1'!$F$130/6)&lt;=M35),IF('IP1'!$E$130="St.Line",M32*('IP1'!$F$130/12),(M32-M35)*'IP1'!$F$130/6),M35)</f>
        <v>2374.9046458602234</v>
      </c>
      <c r="N36" s="55">
        <f>IF(OR(N31&gt;0,IF('IP1'!$E$130="St.Line",N32*('IP1'!$F$130/12),(N32-N35)*'IP1'!$F$130/6)&lt;=N35),IF('IP1'!$E$130="St.Line",N32*('IP1'!$F$130/12),(N32-N35)*'IP1'!$F$130/6),N35)</f>
        <v>2295.7411576648824</v>
      </c>
      <c r="O36" s="55">
        <f>IF(OR(O31&gt;0,IF('IP1'!$E$130="St.Line",O32*('IP1'!$F$130/12),(O32-O35)*'IP1'!$F$130/6)&lt;=O35),IF('IP1'!$E$130="St.Line",O32*('IP1'!$F$130/12),(O32-O35)*'IP1'!$F$130/6),O35)</f>
        <v>2219.2164524093864</v>
      </c>
      <c r="P36" s="55">
        <f>IF(OR(P31&gt;0,IF('IP1'!$E$130="St.Line",P32*('IP1'!$F$130/12),(P32-P35)*'IP1'!$F$130/6)&lt;=P35),IF('IP1'!$E$130="St.Line",P32*('IP1'!$F$130/12),(P32-P35)*'IP1'!$F$130/6),P35)</f>
        <v>2145.2425706624067</v>
      </c>
      <c r="Q36" s="55">
        <f>IF(OR(Q31&gt;0,IF('IP1'!$E$130="St.Line",Q32*('IP1'!$F$130/12),(Q32-Q35)*'IP1'!$F$130/6)&lt;=Q35),IF('IP1'!$E$130="St.Line",Q32*('IP1'!$F$130/12),(Q32-Q35)*'IP1'!$F$130/6),Q35)</f>
        <v>2073.7344849736596</v>
      </c>
      <c r="R36" s="55">
        <f>IF(OR(R31&gt;0,IF('IP1'!$E$130="St.Line",R32*('IP1'!$F$130/12),(R32-R35)*'IP1'!$F$130/6)&lt;=R35),IF('IP1'!$E$130="St.Line",R32*('IP1'!$F$130/12),(R32-R35)*'IP1'!$F$130/6),R35)</f>
        <v>2004.6100021412046</v>
      </c>
      <c r="S36" s="55">
        <f>IF(OR(S31&gt;0,IF('IP1'!$E$130="St.Line",S32*('IP1'!$F$130/12),(S32-S35)*'IP1'!$F$130/6)&lt;=S35),IF('IP1'!$E$130="St.Line",S32*('IP1'!$F$130/12),(S32-S35)*'IP1'!$F$130/6),S35)</f>
        <v>1937.7896687364973</v>
      </c>
      <c r="T36" s="55">
        <f>IF(OR(T31&gt;0,IF('IP1'!$E$130="St.Line",T32*('IP1'!$F$130/12),(T32-T35)*'IP1'!$F$130/6)&lt;=T35),IF('IP1'!$E$130="St.Line",T32*('IP1'!$F$130/12),(T32-T35)*'IP1'!$F$130/6),T35)</f>
        <v>1873.1966797786145</v>
      </c>
      <c r="U36" s="55">
        <f>IF(OR(U31&gt;0,IF('IP1'!$E$130="St.Line",U32*('IP1'!$F$130/12),(U32-U35)*'IP1'!$F$130/6)&lt;=U35),IF('IP1'!$E$130="St.Line",U32*('IP1'!$F$130/12),(U32-U35)*'IP1'!$F$130/6),U35)</f>
        <v>1810.7567904526611</v>
      </c>
      <c r="V36" s="55">
        <f>IF(OR(V31&gt;0,IF('IP1'!$E$130="St.Line",V32*('IP1'!$F$130/12),(V32-V35)*'IP1'!$F$130/6)&lt;=V35),IF('IP1'!$E$130="St.Line",V32*('IP1'!$F$130/12),(V32-V35)*'IP1'!$F$130/6),V35)</f>
        <v>1750.3982307709057</v>
      </c>
      <c r="W36" s="55">
        <f>IF(OR(W31&gt;0,IF('IP1'!$E$130="St.Line",W32*('IP1'!$F$130/12),(W32-W35)*'IP1'!$F$130/6)&lt;=W35),IF('IP1'!$E$130="St.Line",W32*('IP1'!$F$130/12),(W32-W35)*'IP1'!$F$130/6),W35)</f>
        <v>1692.0516230785424</v>
      </c>
      <c r="X36" s="55">
        <f>IF(OR(X31&gt;0,IF('IP1'!$E$130="St.Line",X32*('IP1'!$F$130/12),(X32-X35)*'IP1'!$F$130/6)&lt;=X35),IF('IP1'!$E$130="St.Line",X32*('IP1'!$F$130/12),(X32-X35)*'IP1'!$F$130/6),X35)</f>
        <v>1635.6499023092581</v>
      </c>
      <c r="Y36" s="55">
        <f>IF(OR(Y31&gt;0,IF('IP1'!$E$130="St.Line",Y32*('IP1'!$F$130/12),(Y32-Y35)*'IP1'!$F$130/6)&lt;=Y35),IF('IP1'!$E$130="St.Line",Y32*('IP1'!$F$130/12),(Y32-Y35)*'IP1'!$F$130/6),Y35)</f>
        <v>1581.1282388989493</v>
      </c>
      <c r="Z36" s="55">
        <f>IF(OR(Z31&gt;0,IF('IP1'!$E$130="St.Line",Z32*('IP1'!$F$130/12),(Z32-Z35)*'IP1'!$F$130/6)&lt;=Z35),IF('IP1'!$E$130="St.Line",Z32*('IP1'!$F$130/12),(Z32-Z35)*'IP1'!$F$130/6),Z35)</f>
        <v>1528.4239642689838</v>
      </c>
      <c r="AA36" s="55"/>
      <c r="AB36" s="55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</row>
    <row r="37" spans="1:76">
      <c r="A37" s="52" t="s">
        <v>37</v>
      </c>
      <c r="B37" s="52">
        <f>B35</f>
        <v>100000</v>
      </c>
      <c r="C37" s="55">
        <f>SUM(C35:C36)</f>
        <v>103333.33333333333</v>
      </c>
      <c r="D37" s="56">
        <f>SUM(D35:D36)</f>
        <v>106555.55555555555</v>
      </c>
      <c r="E37" s="56">
        <f>SUM(E35:E36)</f>
        <v>109670.37037037036</v>
      </c>
      <c r="F37" s="56">
        <f t="shared" ref="F37:Z37" si="14">SUM(F35:F36)</f>
        <v>112681.35802469135</v>
      </c>
      <c r="G37" s="56">
        <f t="shared" si="14"/>
        <v>115591.97942386831</v>
      </c>
      <c r="H37" s="56">
        <f t="shared" si="14"/>
        <v>118405.58010973937</v>
      </c>
      <c r="I37" s="56">
        <f t="shared" si="14"/>
        <v>121125.3941060814</v>
      </c>
      <c r="J37" s="56">
        <f t="shared" si="14"/>
        <v>123754.54763587868</v>
      </c>
      <c r="K37" s="56">
        <f t="shared" si="14"/>
        <v>126296.06271468273</v>
      </c>
      <c r="L37" s="56">
        <f t="shared" si="14"/>
        <v>128752.8606241933</v>
      </c>
      <c r="M37" s="56">
        <f t="shared" si="14"/>
        <v>131127.76527005353</v>
      </c>
      <c r="N37" s="56">
        <f t="shared" si="14"/>
        <v>133423.50642771841</v>
      </c>
      <c r="O37" s="56">
        <f t="shared" si="14"/>
        <v>135642.72288012781</v>
      </c>
      <c r="P37" s="56">
        <f t="shared" si="14"/>
        <v>137787.96545079022</v>
      </c>
      <c r="Q37" s="56">
        <f t="shared" si="14"/>
        <v>139861.69993576387</v>
      </c>
      <c r="R37" s="56">
        <f t="shared" si="14"/>
        <v>141866.30993790508</v>
      </c>
      <c r="S37" s="56">
        <f t="shared" si="14"/>
        <v>143804.09960664157</v>
      </c>
      <c r="T37" s="56">
        <f t="shared" si="14"/>
        <v>145677.29628642017</v>
      </c>
      <c r="U37" s="56">
        <f t="shared" si="14"/>
        <v>147488.05307687283</v>
      </c>
      <c r="V37" s="56">
        <f t="shared" si="14"/>
        <v>149238.45130764373</v>
      </c>
      <c r="W37" s="56">
        <f t="shared" si="14"/>
        <v>150930.50293072226</v>
      </c>
      <c r="X37" s="56">
        <f t="shared" si="14"/>
        <v>152566.15283303152</v>
      </c>
      <c r="Y37" s="56">
        <f t="shared" si="14"/>
        <v>154147.28107193048</v>
      </c>
      <c r="Z37" s="56">
        <f t="shared" si="14"/>
        <v>155675.70503619948</v>
      </c>
      <c r="AA37" s="55"/>
      <c r="AB37" s="55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</row>
    <row r="38" spans="1:76">
      <c r="A38" s="54"/>
      <c r="B38" s="52"/>
      <c r="C38" s="59"/>
      <c r="D38" s="57"/>
      <c r="E38" s="57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5"/>
      <c r="AB38" s="55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</row>
    <row r="39" spans="1:76" s="7" customFormat="1">
      <c r="A39" s="52" t="s">
        <v>39</v>
      </c>
      <c r="B39" s="60">
        <f>B32-B37</f>
        <v>100000</v>
      </c>
      <c r="C39" s="60">
        <f>C32-C37</f>
        <v>96666.666666666672</v>
      </c>
      <c r="D39" s="60">
        <f>D32-D37</f>
        <v>93444.444444444453</v>
      </c>
      <c r="E39" s="60">
        <f>E32-E37</f>
        <v>90329.629629629635</v>
      </c>
      <c r="F39" s="60">
        <f>F32-F37</f>
        <v>87318.641975308652</v>
      </c>
      <c r="G39" s="60">
        <f t="shared" ref="G39:Z39" si="15">G32-G37</f>
        <v>84408.02057613169</v>
      </c>
      <c r="H39" s="60">
        <f t="shared" si="15"/>
        <v>81594.419890260629</v>
      </c>
      <c r="I39" s="60">
        <f t="shared" si="15"/>
        <v>78874.605893918604</v>
      </c>
      <c r="J39" s="60">
        <f t="shared" si="15"/>
        <v>76245.452364121316</v>
      </c>
      <c r="K39" s="60">
        <f t="shared" si="15"/>
        <v>73703.937285317268</v>
      </c>
      <c r="L39" s="60">
        <f t="shared" si="15"/>
        <v>71247.139375806699</v>
      </c>
      <c r="M39" s="60">
        <f t="shared" si="15"/>
        <v>68872.234729946475</v>
      </c>
      <c r="N39" s="60">
        <f t="shared" si="15"/>
        <v>66576.493572281586</v>
      </c>
      <c r="O39" s="60">
        <f t="shared" si="15"/>
        <v>64357.277119872189</v>
      </c>
      <c r="P39" s="60">
        <f t="shared" si="15"/>
        <v>62212.034549209784</v>
      </c>
      <c r="Q39" s="60">
        <f t="shared" si="15"/>
        <v>60138.300064236129</v>
      </c>
      <c r="R39" s="60">
        <f t="shared" si="15"/>
        <v>58133.690062094916</v>
      </c>
      <c r="S39" s="60">
        <f t="shared" si="15"/>
        <v>56195.900393358432</v>
      </c>
      <c r="T39" s="60">
        <f t="shared" si="15"/>
        <v>54322.703713579831</v>
      </c>
      <c r="U39" s="60">
        <f t="shared" si="15"/>
        <v>52511.946923127165</v>
      </c>
      <c r="V39" s="60">
        <f t="shared" si="15"/>
        <v>50761.548692356271</v>
      </c>
      <c r="W39" s="60">
        <f t="shared" si="15"/>
        <v>49069.497069277742</v>
      </c>
      <c r="X39" s="60">
        <f t="shared" si="15"/>
        <v>47433.84716696848</v>
      </c>
      <c r="Y39" s="60">
        <f t="shared" si="15"/>
        <v>45852.718928069517</v>
      </c>
      <c r="Z39" s="60">
        <f t="shared" si="15"/>
        <v>44324.294963800523</v>
      </c>
      <c r="AA39" s="59"/>
      <c r="AB39" s="59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>
      <c r="C40" s="57"/>
      <c r="D40" s="57"/>
      <c r="E40" s="57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5"/>
      <c r="AB40" s="55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</row>
    <row r="41" spans="1:76">
      <c r="A41" s="52" t="s">
        <v>43</v>
      </c>
      <c r="B41" s="52"/>
      <c r="C41" s="57"/>
      <c r="D41" s="57"/>
      <c r="E41" s="57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5"/>
      <c r="AB41" s="55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</row>
    <row r="42" spans="1:76">
      <c r="A42" s="53" t="s">
        <v>34</v>
      </c>
      <c r="B42" s="52"/>
      <c r="C42" s="57"/>
      <c r="D42" s="57"/>
      <c r="E42" s="57"/>
      <c r="F42" s="57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5"/>
      <c r="AB42" s="55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</row>
    <row r="43" spans="1:76">
      <c r="A43" s="54" t="s">
        <v>35</v>
      </c>
      <c r="B43" s="55">
        <f>'IP2'!D11</f>
        <v>25000</v>
      </c>
      <c r="C43" s="55">
        <f>B46</f>
        <v>25000</v>
      </c>
      <c r="D43" s="55">
        <f>C46</f>
        <v>25000</v>
      </c>
      <c r="E43" s="55">
        <f t="shared" ref="E43:Z43" si="16">D46</f>
        <v>25000</v>
      </c>
      <c r="F43" s="55">
        <f t="shared" si="16"/>
        <v>25000</v>
      </c>
      <c r="G43" s="55">
        <f t="shared" si="16"/>
        <v>25000</v>
      </c>
      <c r="H43" s="55">
        <f t="shared" si="16"/>
        <v>25000</v>
      </c>
      <c r="I43" s="55">
        <f t="shared" si="16"/>
        <v>25000</v>
      </c>
      <c r="J43" s="55">
        <f t="shared" si="16"/>
        <v>25000</v>
      </c>
      <c r="K43" s="55">
        <f t="shared" si="16"/>
        <v>65000</v>
      </c>
      <c r="L43" s="55">
        <f t="shared" si="16"/>
        <v>65000</v>
      </c>
      <c r="M43" s="55">
        <f t="shared" si="16"/>
        <v>65000</v>
      </c>
      <c r="N43" s="55">
        <f t="shared" si="16"/>
        <v>65000</v>
      </c>
      <c r="O43" s="55">
        <f t="shared" si="16"/>
        <v>65000</v>
      </c>
      <c r="P43" s="55">
        <f t="shared" si="16"/>
        <v>65000</v>
      </c>
      <c r="Q43" s="55">
        <f t="shared" si="16"/>
        <v>65000</v>
      </c>
      <c r="R43" s="55">
        <f t="shared" si="16"/>
        <v>65000</v>
      </c>
      <c r="S43" s="55">
        <f t="shared" si="16"/>
        <v>65000</v>
      </c>
      <c r="T43" s="55">
        <f t="shared" si="16"/>
        <v>65000</v>
      </c>
      <c r="U43" s="55">
        <f t="shared" si="16"/>
        <v>65000</v>
      </c>
      <c r="V43" s="55">
        <f t="shared" si="16"/>
        <v>65000</v>
      </c>
      <c r="W43" s="55">
        <f t="shared" si="16"/>
        <v>65000</v>
      </c>
      <c r="X43" s="55">
        <f t="shared" si="16"/>
        <v>65000</v>
      </c>
      <c r="Y43" s="55">
        <f t="shared" si="16"/>
        <v>65000</v>
      </c>
      <c r="Z43" s="55">
        <f t="shared" si="16"/>
        <v>65000</v>
      </c>
      <c r="AA43" s="55"/>
      <c r="AB43" s="55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</row>
    <row r="44" spans="1:76">
      <c r="A44" s="54" t="s">
        <v>36</v>
      </c>
      <c r="B44" s="55"/>
      <c r="C44" s="55">
        <f>'IP2'!E11</f>
        <v>0</v>
      </c>
      <c r="D44" s="55">
        <f>'IP2'!F11</f>
        <v>0</v>
      </c>
      <c r="E44" s="55">
        <f>'IP2'!G11</f>
        <v>0</v>
      </c>
      <c r="F44" s="55">
        <f>'IP2'!H11</f>
        <v>0</v>
      </c>
      <c r="G44" s="55">
        <f>'IP2'!I11</f>
        <v>0</v>
      </c>
      <c r="H44" s="55">
        <f>'IP2'!J11</f>
        <v>0</v>
      </c>
      <c r="I44" s="55">
        <f>'IP2'!K11</f>
        <v>0</v>
      </c>
      <c r="J44" s="55">
        <f>'IP2'!L11</f>
        <v>40000</v>
      </c>
      <c r="K44" s="55">
        <f>'IP2'!M11</f>
        <v>0</v>
      </c>
      <c r="L44" s="55">
        <f>'IP2'!N11</f>
        <v>0</v>
      </c>
      <c r="M44" s="55">
        <f>'IP2'!O11</f>
        <v>0</v>
      </c>
      <c r="N44" s="55">
        <f>'IP2'!P11</f>
        <v>0</v>
      </c>
      <c r="O44" s="55">
        <f>'IP2'!Q11</f>
        <v>0</v>
      </c>
      <c r="P44" s="55">
        <f>'IP2'!R11</f>
        <v>0</v>
      </c>
      <c r="Q44" s="55">
        <f>'IP2'!S11</f>
        <v>0</v>
      </c>
      <c r="R44" s="55">
        <f>'IP2'!T11</f>
        <v>0</v>
      </c>
      <c r="S44" s="55">
        <f>'IP2'!U11</f>
        <v>0</v>
      </c>
      <c r="T44" s="55">
        <f>'IP2'!V11</f>
        <v>0</v>
      </c>
      <c r="U44" s="55">
        <f>'IP2'!W11</f>
        <v>0</v>
      </c>
      <c r="V44" s="55">
        <f>'IP2'!X11</f>
        <v>0</v>
      </c>
      <c r="W44" s="55">
        <f>'IP2'!Y11</f>
        <v>0</v>
      </c>
      <c r="X44" s="55">
        <f>'IP2'!Z11</f>
        <v>0</v>
      </c>
      <c r="Y44" s="55">
        <f>'IP2'!AA11</f>
        <v>0</v>
      </c>
      <c r="Z44" s="55">
        <f>'IP2'!AB11</f>
        <v>0</v>
      </c>
      <c r="AA44" s="55"/>
      <c r="AB44" s="55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</row>
    <row r="45" spans="1:76">
      <c r="A45" s="1" t="s">
        <v>125</v>
      </c>
      <c r="B45" s="55"/>
      <c r="C45" s="55">
        <f>'IP2'!E12</f>
        <v>0</v>
      </c>
      <c r="D45" s="55">
        <f>'IP2'!F12</f>
        <v>0</v>
      </c>
      <c r="E45" s="55">
        <f>'IP2'!G12</f>
        <v>0</v>
      </c>
      <c r="F45" s="55">
        <f>'IP2'!H12</f>
        <v>0</v>
      </c>
      <c r="G45" s="55">
        <f>'IP2'!I12</f>
        <v>0</v>
      </c>
      <c r="H45" s="55">
        <f>'IP2'!J12</f>
        <v>0</v>
      </c>
      <c r="I45" s="55">
        <f>'IP2'!K12</f>
        <v>0</v>
      </c>
      <c r="J45" s="55">
        <f>'IP2'!L12</f>
        <v>0</v>
      </c>
      <c r="K45" s="55">
        <f>'IP2'!M12</f>
        <v>0</v>
      </c>
      <c r="L45" s="55">
        <f>'IP2'!N12</f>
        <v>0</v>
      </c>
      <c r="M45" s="55">
        <f>'IP2'!O12</f>
        <v>0</v>
      </c>
      <c r="N45" s="55">
        <f>'IP2'!P12</f>
        <v>0</v>
      </c>
      <c r="O45" s="55">
        <f>'IP2'!Q12</f>
        <v>0</v>
      </c>
      <c r="P45" s="55">
        <f>'IP2'!R12</f>
        <v>0</v>
      </c>
      <c r="Q45" s="55">
        <f>'IP2'!S12</f>
        <v>0</v>
      </c>
      <c r="R45" s="55">
        <f>'IP2'!T12</f>
        <v>0</v>
      </c>
      <c r="S45" s="55">
        <f>'IP2'!U12</f>
        <v>0</v>
      </c>
      <c r="T45" s="55">
        <f>'IP2'!V12</f>
        <v>0</v>
      </c>
      <c r="U45" s="55">
        <f>'IP2'!W12</f>
        <v>0</v>
      </c>
      <c r="V45" s="55">
        <f>'IP2'!X12</f>
        <v>0</v>
      </c>
      <c r="W45" s="55">
        <f>'IP2'!Y12</f>
        <v>0</v>
      </c>
      <c r="X45" s="55">
        <f>'IP2'!Z12</f>
        <v>0</v>
      </c>
      <c r="Y45" s="55">
        <f>'IP2'!AA12</f>
        <v>0</v>
      </c>
      <c r="Z45" s="55">
        <f>'IP2'!AB12</f>
        <v>0</v>
      </c>
      <c r="AA45" s="55"/>
      <c r="AB45" s="55"/>
      <c r="AC45" s="51"/>
      <c r="AD45" s="16"/>
      <c r="AE45" s="19"/>
      <c r="AF45" s="19"/>
      <c r="AG45" s="19"/>
      <c r="AH45" s="19"/>
      <c r="AI45" s="19"/>
      <c r="AJ45" s="19"/>
      <c r="AK45" s="19"/>
      <c r="AL45" s="19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</row>
    <row r="46" spans="1:76">
      <c r="A46" s="52" t="s">
        <v>37</v>
      </c>
      <c r="B46" s="55">
        <f>B43</f>
        <v>25000</v>
      </c>
      <c r="C46" s="55">
        <f>SUM(C43:C45)</f>
        <v>25000</v>
      </c>
      <c r="D46" s="55">
        <f t="shared" ref="D46:Z46" si="17">SUM(D43:D45)</f>
        <v>25000</v>
      </c>
      <c r="E46" s="55">
        <f t="shared" si="17"/>
        <v>25000</v>
      </c>
      <c r="F46" s="55">
        <f t="shared" si="17"/>
        <v>25000</v>
      </c>
      <c r="G46" s="55">
        <f t="shared" si="17"/>
        <v>25000</v>
      </c>
      <c r="H46" s="55">
        <f t="shared" si="17"/>
        <v>25000</v>
      </c>
      <c r="I46" s="55">
        <f t="shared" si="17"/>
        <v>25000</v>
      </c>
      <c r="J46" s="55">
        <f t="shared" si="17"/>
        <v>65000</v>
      </c>
      <c r="K46" s="55">
        <f t="shared" si="17"/>
        <v>65000</v>
      </c>
      <c r="L46" s="55">
        <f t="shared" si="17"/>
        <v>65000</v>
      </c>
      <c r="M46" s="55">
        <f t="shared" si="17"/>
        <v>65000</v>
      </c>
      <c r="N46" s="55">
        <f t="shared" si="17"/>
        <v>65000</v>
      </c>
      <c r="O46" s="55">
        <f t="shared" si="17"/>
        <v>65000</v>
      </c>
      <c r="P46" s="55">
        <f t="shared" si="17"/>
        <v>65000</v>
      </c>
      <c r="Q46" s="55">
        <f t="shared" si="17"/>
        <v>65000</v>
      </c>
      <c r="R46" s="55">
        <f t="shared" si="17"/>
        <v>65000</v>
      </c>
      <c r="S46" s="55">
        <f t="shared" si="17"/>
        <v>65000</v>
      </c>
      <c r="T46" s="55">
        <f t="shared" si="17"/>
        <v>65000</v>
      </c>
      <c r="U46" s="55">
        <f t="shared" si="17"/>
        <v>65000</v>
      </c>
      <c r="V46" s="55">
        <f t="shared" si="17"/>
        <v>65000</v>
      </c>
      <c r="W46" s="55">
        <f t="shared" si="17"/>
        <v>65000</v>
      </c>
      <c r="X46" s="55">
        <f t="shared" si="17"/>
        <v>65000</v>
      </c>
      <c r="Y46" s="55">
        <f t="shared" si="17"/>
        <v>65000</v>
      </c>
      <c r="Z46" s="55">
        <f t="shared" si="17"/>
        <v>65000</v>
      </c>
      <c r="AA46" s="55"/>
      <c r="AB46" s="55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</row>
    <row r="47" spans="1:76">
      <c r="A47" s="54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</row>
    <row r="48" spans="1:76">
      <c r="A48" s="53" t="s">
        <v>0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</row>
    <row r="49" spans="1:76">
      <c r="A49" s="54" t="s">
        <v>35</v>
      </c>
      <c r="B49" s="55">
        <f>'IP2'!D13</f>
        <v>10000</v>
      </c>
      <c r="C49" s="55">
        <f>B51</f>
        <v>10000</v>
      </c>
      <c r="D49" s="55">
        <f t="shared" ref="D49:Z49" si="18">C51</f>
        <v>10416.666666666666</v>
      </c>
      <c r="E49" s="55">
        <f t="shared" si="18"/>
        <v>10833.333333333332</v>
      </c>
      <c r="F49" s="55">
        <f t="shared" si="18"/>
        <v>11249.999999999998</v>
      </c>
      <c r="G49" s="55">
        <f t="shared" si="18"/>
        <v>11666.666666666664</v>
      </c>
      <c r="H49" s="55">
        <f t="shared" si="18"/>
        <v>12083.33333333333</v>
      </c>
      <c r="I49" s="55">
        <f t="shared" si="18"/>
        <v>12499.999999999996</v>
      </c>
      <c r="J49" s="55">
        <f t="shared" si="18"/>
        <v>12916.666666666662</v>
      </c>
      <c r="K49" s="55">
        <f t="shared" si="18"/>
        <v>13999.999999999996</v>
      </c>
      <c r="L49" s="55">
        <f t="shared" si="18"/>
        <v>15083.33333333333</v>
      </c>
      <c r="M49" s="55">
        <f t="shared" si="18"/>
        <v>16166.666666666664</v>
      </c>
      <c r="N49" s="55">
        <f t="shared" si="18"/>
        <v>17249.999999999996</v>
      </c>
      <c r="O49" s="55">
        <f t="shared" si="18"/>
        <v>18333.333333333328</v>
      </c>
      <c r="P49" s="55">
        <f t="shared" si="18"/>
        <v>19416.666666666661</v>
      </c>
      <c r="Q49" s="55">
        <f t="shared" si="18"/>
        <v>20499.999999999993</v>
      </c>
      <c r="R49" s="55">
        <f t="shared" si="18"/>
        <v>21583.333333333325</v>
      </c>
      <c r="S49" s="55">
        <f t="shared" si="18"/>
        <v>22666.666666666657</v>
      </c>
      <c r="T49" s="55">
        <f t="shared" si="18"/>
        <v>23749.999999999989</v>
      </c>
      <c r="U49" s="55">
        <f t="shared" si="18"/>
        <v>24833.333333333321</v>
      </c>
      <c r="V49" s="55">
        <f t="shared" si="18"/>
        <v>25916.666666666653</v>
      </c>
      <c r="W49" s="55">
        <f t="shared" si="18"/>
        <v>26999.999999999985</v>
      </c>
      <c r="X49" s="55">
        <f t="shared" si="18"/>
        <v>28083.333333333318</v>
      </c>
      <c r="Y49" s="55">
        <f t="shared" si="18"/>
        <v>29166.66666666665</v>
      </c>
      <c r="Z49" s="55">
        <f t="shared" si="18"/>
        <v>30249.999999999982</v>
      </c>
      <c r="AA49" s="55"/>
      <c r="AB49" s="55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</row>
    <row r="50" spans="1:76">
      <c r="A50" s="54" t="s">
        <v>38</v>
      </c>
      <c r="B50" s="55"/>
      <c r="C50" s="55">
        <f>IF(OR(SUM(C44:C45)&gt;0,IF('IP1'!$E$131="St.Line",C46*('IP1'!$F$131/12),(C46-C49)*'IP1'!$F$131/6)&lt;=C49),IF('IP1'!$E$131="St.Line",C46*('IP1'!$F$131/12),(C46-C49)*'IP1'!$F$131/6),0)</f>
        <v>416.66666666666669</v>
      </c>
      <c r="D50" s="55">
        <f>IF(OR(SUM(D44:D45)&gt;0,IF('IP1'!$E$131="St.Line",D46*('IP1'!$F$131/12),(D46-D49)*'IP1'!$F$131/6)&lt;=D49),IF('IP1'!$E$131="St.Line",D46*('IP1'!$F$131/12),(D46-D49)*'IP1'!$F$131/6),0)</f>
        <v>416.66666666666669</v>
      </c>
      <c r="E50" s="55">
        <f>IF(OR(SUM(E44:E45)&gt;0,IF('IP1'!$E$131="St.Line",E46*('IP1'!$F$131/12),(E46-E49)*'IP1'!$F$131/6)&lt;=E49),IF('IP1'!$E$131="St.Line",E46*('IP1'!$F$131/12),(E46-E49)*'IP1'!$F$131/6),0)</f>
        <v>416.66666666666669</v>
      </c>
      <c r="F50" s="55">
        <f>IF(OR(SUM(F44:F45)&gt;0,IF('IP1'!$E$131="St.Line",F46*('IP1'!$F$131/12),(F46-F49)*'IP1'!$F$131/6)&lt;=F49),IF('IP1'!$E$131="St.Line",F46*('IP1'!$F$131/12),(F46-F49)*'IP1'!$F$131/6),0)</f>
        <v>416.66666666666669</v>
      </c>
      <c r="G50" s="55">
        <f>IF(OR(SUM(G44:G45)&gt;0,IF('IP1'!$E$131="St.Line",G46*('IP1'!$F$131/12),(G46-G49)*'IP1'!$F$131/6)&lt;=G49),IF('IP1'!$E$131="St.Line",G46*('IP1'!$F$131/12),(G46-G49)*'IP1'!$F$131/6),0)</f>
        <v>416.66666666666669</v>
      </c>
      <c r="H50" s="55">
        <f>IF(OR(SUM(H44:H45)&gt;0,IF('IP1'!$E$131="St.Line",H46*('IP1'!$F$131/12),(H46-H49)*'IP1'!$F$131/6)&lt;=H49),IF('IP1'!$E$131="St.Line",H46*('IP1'!$F$131/12),(H46-H49)*'IP1'!$F$131/6),0)</f>
        <v>416.66666666666669</v>
      </c>
      <c r="I50" s="55">
        <f>IF(OR(SUM(I44:I45)&gt;0,IF('IP1'!$E$131="St.Line",I46*('IP1'!$F$131/12),(I46-I49)*'IP1'!$F$131/6)&lt;=I49),IF('IP1'!$E$131="St.Line",I46*('IP1'!$F$131/12),(I46-I49)*'IP1'!$F$131/6),0)</f>
        <v>416.66666666666669</v>
      </c>
      <c r="J50" s="55">
        <f>IF(OR(SUM(J44:J45)&gt;0,IF('IP1'!$E$131="St.Line",J46*('IP1'!$F$131/12),(J46-J49)*'IP1'!$F$131/6)&lt;=J49),IF('IP1'!$E$131="St.Line",J46*('IP1'!$F$131/12),(J46-J49)*'IP1'!$F$131/6),0)</f>
        <v>1083.3333333333333</v>
      </c>
      <c r="K50" s="55">
        <f>IF(OR(SUM(K44:K45)&gt;0,IF('IP1'!$E$131="St.Line",K46*('IP1'!$F$131/12),(K46-K49)*'IP1'!$F$131/6)&lt;=K49),IF('IP1'!$E$131="St.Line",K46*('IP1'!$F$131/12),(K46-K49)*'IP1'!$F$131/6),0)</f>
        <v>1083.3333333333333</v>
      </c>
      <c r="L50" s="55">
        <f>IF(OR(SUM(L44:L45)&gt;0,IF('IP1'!$E$131="St.Line",L46*('IP1'!$F$131/12),(L46-L49)*'IP1'!$F$131/6)&lt;=L49),IF('IP1'!$E$131="St.Line",L46*('IP1'!$F$131/12),(L46-L49)*'IP1'!$F$131/6),0)</f>
        <v>1083.3333333333333</v>
      </c>
      <c r="M50" s="55">
        <f>IF(OR(SUM(M44:M45)&gt;0,IF('IP1'!$E$131="St.Line",M46*('IP1'!$F$131/12),(M46-M49)*'IP1'!$F$131/6)&lt;=M49),IF('IP1'!$E$131="St.Line",M46*('IP1'!$F$131/12),(M46-M49)*'IP1'!$F$131/6),0)</f>
        <v>1083.3333333333333</v>
      </c>
      <c r="N50" s="55">
        <f>IF(OR(SUM(N44:N45)&gt;0,IF('IP1'!$E$131="St.Line",N46*('IP1'!$F$131/12),(N46-N49)*'IP1'!$F$131/6)&lt;=N49),IF('IP1'!$E$131="St.Line",N46*('IP1'!$F$131/12),(N46-N49)*'IP1'!$F$131/6),0)</f>
        <v>1083.3333333333333</v>
      </c>
      <c r="O50" s="55">
        <f>IF(OR(SUM(O44:O45)&gt;0,IF('IP1'!$E$131="St.Line",O46*('IP1'!$F$131/12),(O46-O49)*'IP1'!$F$131/6)&lt;=O49),IF('IP1'!$E$131="St.Line",O46*('IP1'!$F$131/12),(O46-O49)*'IP1'!$F$131/6),0)</f>
        <v>1083.3333333333333</v>
      </c>
      <c r="P50" s="55">
        <f>IF(OR(SUM(P44:P45)&gt;0,IF('IP1'!$E$131="St.Line",P46*('IP1'!$F$131/12),(P46-P49)*'IP1'!$F$131/6)&lt;=P49),IF('IP1'!$E$131="St.Line",P46*('IP1'!$F$131/12),(P46-P49)*'IP1'!$F$131/6),0)</f>
        <v>1083.3333333333333</v>
      </c>
      <c r="Q50" s="55">
        <f>IF(OR(SUM(Q44:Q45)&gt;0,IF('IP1'!$E$131="St.Line",Q46*('IP1'!$F$131/12),(Q46-Q49)*'IP1'!$F$131/6)&lt;=Q49),IF('IP1'!$E$131="St.Line",Q46*('IP1'!$F$131/12),(Q46-Q49)*'IP1'!$F$131/6),0)</f>
        <v>1083.3333333333333</v>
      </c>
      <c r="R50" s="55">
        <f>IF(OR(SUM(R44:R45)&gt;0,IF('IP1'!$E$131="St.Line",R46*('IP1'!$F$131/12),(R46-R49)*'IP1'!$F$131/6)&lt;=R49),IF('IP1'!$E$131="St.Line",R46*('IP1'!$F$131/12),(R46-R49)*'IP1'!$F$131/6),0)</f>
        <v>1083.3333333333333</v>
      </c>
      <c r="S50" s="55">
        <f>IF(OR(SUM(S44:S45)&gt;0,IF('IP1'!$E$131="St.Line",S46*('IP1'!$F$131/12),(S46-S49)*'IP1'!$F$131/6)&lt;=S49),IF('IP1'!$E$131="St.Line",S46*('IP1'!$F$131/12),(S46-S49)*'IP1'!$F$131/6),0)</f>
        <v>1083.3333333333333</v>
      </c>
      <c r="T50" s="55">
        <f>IF(OR(SUM(T44:T45)&gt;0,IF('IP1'!$E$131="St.Line",T46*('IP1'!$F$131/12),(T46-T49)*'IP1'!$F$131/6)&lt;=T49),IF('IP1'!$E$131="St.Line",T46*('IP1'!$F$131/12),(T46-T49)*'IP1'!$F$131/6),0)</f>
        <v>1083.3333333333333</v>
      </c>
      <c r="U50" s="55">
        <f>IF(OR(SUM(U44:U45)&gt;0,IF('IP1'!$E$131="St.Line",U46*('IP1'!$F$131/12),(U46-U49)*'IP1'!$F$131/6)&lt;=U49),IF('IP1'!$E$131="St.Line",U46*('IP1'!$F$131/12),(U46-U49)*'IP1'!$F$131/6),0)</f>
        <v>1083.3333333333333</v>
      </c>
      <c r="V50" s="55">
        <f>IF(OR(SUM(V44:V45)&gt;0,IF('IP1'!$E$131="St.Line",V46*('IP1'!$F$131/12),(V46-V49)*'IP1'!$F$131/6)&lt;=V49),IF('IP1'!$E$131="St.Line",V46*('IP1'!$F$131/12),(V46-V49)*'IP1'!$F$131/6),0)</f>
        <v>1083.3333333333333</v>
      </c>
      <c r="W50" s="55">
        <f>IF(OR(SUM(W44:W45)&gt;0,IF('IP1'!$E$131="St.Line",W46*('IP1'!$F$131/12),(W46-W49)*'IP1'!$F$131/6)&lt;=W49),IF('IP1'!$E$131="St.Line",W46*('IP1'!$F$131/12),(W46-W49)*'IP1'!$F$131/6),0)</f>
        <v>1083.3333333333333</v>
      </c>
      <c r="X50" s="55">
        <f>IF(OR(SUM(X44:X45)&gt;0,IF('IP1'!$E$131="St.Line",X46*('IP1'!$F$131/12),(X46-X49)*'IP1'!$F$131/6)&lt;=X49),IF('IP1'!$E$131="St.Line",X46*('IP1'!$F$131/12),(X46-X49)*'IP1'!$F$131/6),0)</f>
        <v>1083.3333333333333</v>
      </c>
      <c r="Y50" s="55">
        <f>IF(OR(SUM(Y44:Y45)&gt;0,IF('IP1'!$E$131="St.Line",Y46*('IP1'!$F$131/12),(Y46-Y49)*'IP1'!$F$131/6)&lt;=Y49),IF('IP1'!$E$131="St.Line",Y46*('IP1'!$F$131/12),(Y46-Y49)*'IP1'!$F$131/6),0)</f>
        <v>1083.3333333333333</v>
      </c>
      <c r="Z50" s="55">
        <f>IF(OR(SUM(Z44:Z45)&gt;0,IF('IP1'!$E$131="St.Line",Z46*('IP1'!$F$131/12),(Z46-Z49)*'IP1'!$F$131/6)&lt;=Z49),IF('IP1'!$E$131="St.Line",Z46*('IP1'!$F$131/12),(Z46-Z49)*'IP1'!$F$131/6),0)</f>
        <v>1083.3333333333333</v>
      </c>
      <c r="AA50" s="61"/>
      <c r="AB50" s="61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</row>
    <row r="51" spans="1:76">
      <c r="A51" s="52" t="s">
        <v>37</v>
      </c>
      <c r="B51" s="52">
        <f>B49</f>
        <v>10000</v>
      </c>
      <c r="C51" s="55">
        <f>SUM(C49:C50)</f>
        <v>10416.666666666666</v>
      </c>
      <c r="D51" s="56">
        <f>SUM(D49:D50)</f>
        <v>10833.333333333332</v>
      </c>
      <c r="E51" s="56">
        <f>SUM(E49:E50)</f>
        <v>11249.999999999998</v>
      </c>
      <c r="F51" s="56">
        <f t="shared" ref="F51:Z51" si="19">SUM(F49:F50)</f>
        <v>11666.666666666664</v>
      </c>
      <c r="G51" s="56">
        <f t="shared" si="19"/>
        <v>12083.33333333333</v>
      </c>
      <c r="H51" s="56">
        <f t="shared" si="19"/>
        <v>12499.999999999996</v>
      </c>
      <c r="I51" s="56">
        <f t="shared" si="19"/>
        <v>12916.666666666662</v>
      </c>
      <c r="J51" s="56">
        <f t="shared" si="19"/>
        <v>13999.999999999996</v>
      </c>
      <c r="K51" s="56">
        <f t="shared" si="19"/>
        <v>15083.33333333333</v>
      </c>
      <c r="L51" s="56">
        <f t="shared" si="19"/>
        <v>16166.666666666664</v>
      </c>
      <c r="M51" s="56">
        <f t="shared" si="19"/>
        <v>17249.999999999996</v>
      </c>
      <c r="N51" s="56">
        <f t="shared" si="19"/>
        <v>18333.333333333328</v>
      </c>
      <c r="O51" s="56">
        <f t="shared" si="19"/>
        <v>19416.666666666661</v>
      </c>
      <c r="P51" s="56">
        <f t="shared" si="19"/>
        <v>20499.999999999993</v>
      </c>
      <c r="Q51" s="56">
        <f t="shared" si="19"/>
        <v>21583.333333333325</v>
      </c>
      <c r="R51" s="56">
        <f t="shared" si="19"/>
        <v>22666.666666666657</v>
      </c>
      <c r="S51" s="56">
        <f t="shared" si="19"/>
        <v>23749.999999999989</v>
      </c>
      <c r="T51" s="56">
        <f t="shared" si="19"/>
        <v>24833.333333333321</v>
      </c>
      <c r="U51" s="56">
        <f t="shared" si="19"/>
        <v>25916.666666666653</v>
      </c>
      <c r="V51" s="56">
        <f t="shared" si="19"/>
        <v>26999.999999999985</v>
      </c>
      <c r="W51" s="56">
        <f t="shared" si="19"/>
        <v>28083.333333333318</v>
      </c>
      <c r="X51" s="56">
        <f t="shared" si="19"/>
        <v>29166.66666666665</v>
      </c>
      <c r="Y51" s="56">
        <f t="shared" si="19"/>
        <v>30249.999999999982</v>
      </c>
      <c r="Z51" s="56">
        <f t="shared" si="19"/>
        <v>31333.333333333314</v>
      </c>
      <c r="AA51" s="55"/>
      <c r="AB51" s="55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</row>
    <row r="52" spans="1:76">
      <c r="A52" s="54"/>
      <c r="B52" s="52"/>
      <c r="C52" s="59"/>
      <c r="D52" s="57"/>
      <c r="E52" s="57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5"/>
      <c r="AB52" s="55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</row>
    <row r="53" spans="1:76" s="7" customFormat="1">
      <c r="A53" s="52" t="s">
        <v>39</v>
      </c>
      <c r="B53" s="60">
        <f>B46-B51</f>
        <v>15000</v>
      </c>
      <c r="C53" s="60">
        <f>C46-C51</f>
        <v>14583.333333333334</v>
      </c>
      <c r="D53" s="60">
        <f t="shared" ref="D53:Z53" si="20">D46-D51</f>
        <v>14166.666666666668</v>
      </c>
      <c r="E53" s="60">
        <f t="shared" si="20"/>
        <v>13750.000000000002</v>
      </c>
      <c r="F53" s="60">
        <f t="shared" si="20"/>
        <v>13333.333333333336</v>
      </c>
      <c r="G53" s="60">
        <f t="shared" si="20"/>
        <v>12916.66666666667</v>
      </c>
      <c r="H53" s="60">
        <f t="shared" si="20"/>
        <v>12500.000000000004</v>
      </c>
      <c r="I53" s="60">
        <f t="shared" si="20"/>
        <v>12083.333333333338</v>
      </c>
      <c r="J53" s="60">
        <f t="shared" si="20"/>
        <v>51000</v>
      </c>
      <c r="K53" s="60">
        <f t="shared" si="20"/>
        <v>49916.666666666672</v>
      </c>
      <c r="L53" s="60">
        <f t="shared" si="20"/>
        <v>48833.333333333336</v>
      </c>
      <c r="M53" s="60">
        <f t="shared" si="20"/>
        <v>47750</v>
      </c>
      <c r="N53" s="60">
        <f t="shared" si="20"/>
        <v>46666.666666666672</v>
      </c>
      <c r="O53" s="60">
        <f t="shared" si="20"/>
        <v>45583.333333333343</v>
      </c>
      <c r="P53" s="60">
        <f t="shared" si="20"/>
        <v>44500.000000000007</v>
      </c>
      <c r="Q53" s="60">
        <f t="shared" si="20"/>
        <v>43416.666666666672</v>
      </c>
      <c r="R53" s="60">
        <f t="shared" si="20"/>
        <v>42333.333333333343</v>
      </c>
      <c r="S53" s="60">
        <f t="shared" si="20"/>
        <v>41250.000000000015</v>
      </c>
      <c r="T53" s="60">
        <f t="shared" si="20"/>
        <v>40166.666666666679</v>
      </c>
      <c r="U53" s="60">
        <f t="shared" si="20"/>
        <v>39083.333333333343</v>
      </c>
      <c r="V53" s="60">
        <f t="shared" si="20"/>
        <v>38000.000000000015</v>
      </c>
      <c r="W53" s="60">
        <f t="shared" si="20"/>
        <v>36916.666666666686</v>
      </c>
      <c r="X53" s="60">
        <f t="shared" si="20"/>
        <v>35833.33333333335</v>
      </c>
      <c r="Y53" s="60">
        <f t="shared" si="20"/>
        <v>34750.000000000015</v>
      </c>
      <c r="Z53" s="60">
        <f t="shared" si="20"/>
        <v>33666.666666666686</v>
      </c>
      <c r="AA53" s="59"/>
      <c r="AB53" s="59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</row>
    <row r="54" spans="1:76">
      <c r="C54" s="57"/>
      <c r="D54" s="57"/>
      <c r="E54" s="57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5"/>
      <c r="AB54" s="55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</row>
    <row r="55" spans="1:76">
      <c r="A55" s="63" t="s">
        <v>44</v>
      </c>
      <c r="C55" s="57"/>
      <c r="D55" s="57"/>
      <c r="E55" s="57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5"/>
      <c r="AB55" s="55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</row>
    <row r="56" spans="1:76">
      <c r="A56" s="54" t="s">
        <v>35</v>
      </c>
      <c r="B56" s="56">
        <f>SUM(B5,B17,B30,B43)</f>
        <v>9225000</v>
      </c>
      <c r="C56" s="56">
        <f>SUM(C5,C17,C30,C43)</f>
        <v>9225000</v>
      </c>
      <c r="D56" s="56">
        <f t="shared" ref="D56:Z56" si="21">SUM(D5,D17,D30,D43)</f>
        <v>9225000</v>
      </c>
      <c r="E56" s="56">
        <f t="shared" si="21"/>
        <v>9225000</v>
      </c>
      <c r="F56" s="56">
        <f t="shared" si="21"/>
        <v>9700000</v>
      </c>
      <c r="G56" s="56">
        <f t="shared" si="21"/>
        <v>9700000</v>
      </c>
      <c r="H56" s="56">
        <f t="shared" si="21"/>
        <v>9700000</v>
      </c>
      <c r="I56" s="56">
        <f t="shared" si="21"/>
        <v>9700000</v>
      </c>
      <c r="J56" s="56">
        <f t="shared" si="21"/>
        <v>9700000</v>
      </c>
      <c r="K56" s="56">
        <f t="shared" si="21"/>
        <v>9740000</v>
      </c>
      <c r="L56" s="56">
        <f t="shared" si="21"/>
        <v>9740000</v>
      </c>
      <c r="M56" s="56">
        <f t="shared" si="21"/>
        <v>9740000</v>
      </c>
      <c r="N56" s="56">
        <f t="shared" si="21"/>
        <v>9740000</v>
      </c>
      <c r="O56" s="56">
        <f t="shared" si="21"/>
        <v>9740000</v>
      </c>
      <c r="P56" s="56">
        <f t="shared" si="21"/>
        <v>9740000</v>
      </c>
      <c r="Q56" s="56">
        <f t="shared" si="21"/>
        <v>9740000</v>
      </c>
      <c r="R56" s="56">
        <f t="shared" si="21"/>
        <v>9740000</v>
      </c>
      <c r="S56" s="56">
        <f t="shared" si="21"/>
        <v>9740000</v>
      </c>
      <c r="T56" s="56">
        <f t="shared" si="21"/>
        <v>10215000</v>
      </c>
      <c r="U56" s="56">
        <f t="shared" si="21"/>
        <v>10215000</v>
      </c>
      <c r="V56" s="56">
        <f t="shared" si="21"/>
        <v>10215000</v>
      </c>
      <c r="W56" s="56">
        <f t="shared" si="21"/>
        <v>10215000</v>
      </c>
      <c r="X56" s="56">
        <f t="shared" si="21"/>
        <v>10215000</v>
      </c>
      <c r="Y56" s="56">
        <f t="shared" si="21"/>
        <v>10215000</v>
      </c>
      <c r="Z56" s="56">
        <f t="shared" si="21"/>
        <v>10215000</v>
      </c>
      <c r="AA56" s="55"/>
      <c r="AB56" s="55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</row>
    <row r="57" spans="1:76">
      <c r="A57" s="54" t="s">
        <v>36</v>
      </c>
      <c r="B57" s="56">
        <f>SUM(B6,B18,B31,B44,B45)</f>
        <v>0</v>
      </c>
      <c r="C57" s="56">
        <f>SUM(C6,C18,C31,C44,C45)</f>
        <v>0</v>
      </c>
      <c r="D57" s="56">
        <f t="shared" ref="D57:Z57" si="22">SUM(D6,D18,D31,D44,D45)</f>
        <v>0</v>
      </c>
      <c r="E57" s="56">
        <f t="shared" si="22"/>
        <v>475000</v>
      </c>
      <c r="F57" s="56">
        <f t="shared" si="22"/>
        <v>0</v>
      </c>
      <c r="G57" s="56">
        <f t="shared" si="22"/>
        <v>0</v>
      </c>
      <c r="H57" s="56">
        <f t="shared" si="22"/>
        <v>0</v>
      </c>
      <c r="I57" s="56">
        <f t="shared" si="22"/>
        <v>0</v>
      </c>
      <c r="J57" s="56">
        <f t="shared" si="22"/>
        <v>40000</v>
      </c>
      <c r="K57" s="56">
        <f t="shared" si="22"/>
        <v>0</v>
      </c>
      <c r="L57" s="56">
        <f t="shared" si="22"/>
        <v>0</v>
      </c>
      <c r="M57" s="56">
        <f t="shared" si="22"/>
        <v>0</v>
      </c>
      <c r="N57" s="56">
        <f t="shared" si="22"/>
        <v>0</v>
      </c>
      <c r="O57" s="56">
        <f t="shared" si="22"/>
        <v>0</v>
      </c>
      <c r="P57" s="56">
        <f t="shared" si="22"/>
        <v>0</v>
      </c>
      <c r="Q57" s="56">
        <f t="shared" si="22"/>
        <v>0</v>
      </c>
      <c r="R57" s="56">
        <f t="shared" si="22"/>
        <v>0</v>
      </c>
      <c r="S57" s="56">
        <f t="shared" si="22"/>
        <v>475000</v>
      </c>
      <c r="T57" s="56">
        <f t="shared" si="22"/>
        <v>0</v>
      </c>
      <c r="U57" s="56">
        <f t="shared" si="22"/>
        <v>0</v>
      </c>
      <c r="V57" s="56">
        <f t="shared" si="22"/>
        <v>0</v>
      </c>
      <c r="W57" s="56">
        <f t="shared" si="22"/>
        <v>0</v>
      </c>
      <c r="X57" s="56">
        <f t="shared" si="22"/>
        <v>0</v>
      </c>
      <c r="Y57" s="56">
        <f t="shared" si="22"/>
        <v>0</v>
      </c>
      <c r="Z57" s="56">
        <f t="shared" si="22"/>
        <v>0</v>
      </c>
      <c r="AA57" s="55"/>
      <c r="AB57" s="55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</row>
    <row r="58" spans="1:76">
      <c r="A58" s="52" t="s">
        <v>37</v>
      </c>
      <c r="B58" s="56">
        <f>SUM(B56:B57)</f>
        <v>9225000</v>
      </c>
      <c r="C58" s="56">
        <f>SUM(C56:C57)</f>
        <v>9225000</v>
      </c>
      <c r="D58" s="56">
        <f t="shared" ref="D58:Z58" si="23">SUM(D56:D57)</f>
        <v>9225000</v>
      </c>
      <c r="E58" s="56">
        <f t="shared" si="23"/>
        <v>9700000</v>
      </c>
      <c r="F58" s="56">
        <f t="shared" si="23"/>
        <v>9700000</v>
      </c>
      <c r="G58" s="56">
        <f t="shared" si="23"/>
        <v>9700000</v>
      </c>
      <c r="H58" s="56">
        <f t="shared" si="23"/>
        <v>9700000</v>
      </c>
      <c r="I58" s="56">
        <f t="shared" si="23"/>
        <v>9700000</v>
      </c>
      <c r="J58" s="56">
        <f t="shared" si="23"/>
        <v>9740000</v>
      </c>
      <c r="K58" s="56">
        <f t="shared" si="23"/>
        <v>9740000</v>
      </c>
      <c r="L58" s="56">
        <f t="shared" si="23"/>
        <v>9740000</v>
      </c>
      <c r="M58" s="56">
        <f t="shared" si="23"/>
        <v>9740000</v>
      </c>
      <c r="N58" s="56">
        <f t="shared" si="23"/>
        <v>9740000</v>
      </c>
      <c r="O58" s="56">
        <f t="shared" si="23"/>
        <v>9740000</v>
      </c>
      <c r="P58" s="56">
        <f t="shared" si="23"/>
        <v>9740000</v>
      </c>
      <c r="Q58" s="56">
        <f t="shared" si="23"/>
        <v>9740000</v>
      </c>
      <c r="R58" s="56">
        <f t="shared" si="23"/>
        <v>9740000</v>
      </c>
      <c r="S58" s="56">
        <f t="shared" si="23"/>
        <v>10215000</v>
      </c>
      <c r="T58" s="56">
        <f t="shared" si="23"/>
        <v>10215000</v>
      </c>
      <c r="U58" s="56">
        <f t="shared" si="23"/>
        <v>10215000</v>
      </c>
      <c r="V58" s="56">
        <f t="shared" si="23"/>
        <v>10215000</v>
      </c>
      <c r="W58" s="56">
        <f t="shared" si="23"/>
        <v>10215000</v>
      </c>
      <c r="X58" s="56">
        <f t="shared" si="23"/>
        <v>10215000</v>
      </c>
      <c r="Y58" s="56">
        <f t="shared" si="23"/>
        <v>10215000</v>
      </c>
      <c r="Z58" s="56">
        <f t="shared" si="23"/>
        <v>10215000</v>
      </c>
      <c r="AA58" s="55"/>
      <c r="AB58" s="55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</row>
    <row r="59" spans="1:76">
      <c r="A59" s="54"/>
      <c r="C59" s="57"/>
      <c r="D59" s="57"/>
      <c r="E59" s="57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5"/>
      <c r="AB59" s="55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</row>
    <row r="60" spans="1:76">
      <c r="A60" s="53" t="s">
        <v>0</v>
      </c>
      <c r="C60" s="57"/>
      <c r="D60" s="57"/>
      <c r="E60" s="57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5"/>
      <c r="AB60" s="55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</row>
    <row r="61" spans="1:76">
      <c r="A61" s="54" t="s">
        <v>35</v>
      </c>
      <c r="B61" s="56">
        <f>SUM(B10,B22,B35,B49)</f>
        <v>2060000</v>
      </c>
      <c r="C61" s="56">
        <f>SUM(C10,C22,C35,C49)</f>
        <v>2060000</v>
      </c>
      <c r="D61" s="56">
        <f t="shared" ref="D61:Z61" si="24">SUM(D10,D22,D35,D49)</f>
        <v>2101250</v>
      </c>
      <c r="E61" s="56">
        <f t="shared" si="24"/>
        <v>2142388.888888889</v>
      </c>
      <c r="F61" s="56">
        <f t="shared" si="24"/>
        <v>2187378.7037037038</v>
      </c>
      <c r="G61" s="56">
        <f t="shared" si="24"/>
        <v>2232264.6913580243</v>
      </c>
      <c r="H61" s="56">
        <f t="shared" si="24"/>
        <v>2277050.312757202</v>
      </c>
      <c r="I61" s="56">
        <f t="shared" si="24"/>
        <v>2321738.9134430727</v>
      </c>
      <c r="J61" s="56">
        <f t="shared" si="24"/>
        <v>2366333.7274394147</v>
      </c>
      <c r="K61" s="56">
        <f t="shared" si="24"/>
        <v>2411504.5476358789</v>
      </c>
      <c r="L61" s="56">
        <f t="shared" si="24"/>
        <v>2456587.7293813499</v>
      </c>
      <c r="M61" s="56">
        <f t="shared" si="24"/>
        <v>2501586.1939575267</v>
      </c>
      <c r="N61" s="56">
        <f t="shared" si="24"/>
        <v>2546502.7652700534</v>
      </c>
      <c r="O61" s="56">
        <f t="shared" si="24"/>
        <v>2591340.1730943853</v>
      </c>
      <c r="P61" s="56">
        <f t="shared" si="24"/>
        <v>2636101.0562134613</v>
      </c>
      <c r="Q61" s="56">
        <f t="shared" si="24"/>
        <v>2680787.9654507907</v>
      </c>
      <c r="R61" s="56">
        <f t="shared" si="24"/>
        <v>2725403.3666024315</v>
      </c>
      <c r="S61" s="56">
        <f t="shared" si="24"/>
        <v>2769949.6432712385</v>
      </c>
      <c r="T61" s="56">
        <f t="shared" si="24"/>
        <v>2818387.4329399755</v>
      </c>
      <c r="U61" s="56">
        <f t="shared" si="24"/>
        <v>2866760.6296197539</v>
      </c>
      <c r="V61" s="56">
        <f t="shared" si="24"/>
        <v>2915071.3864102061</v>
      </c>
      <c r="W61" s="56">
        <f t="shared" si="24"/>
        <v>2963321.7846409772</v>
      </c>
      <c r="X61" s="56">
        <f t="shared" si="24"/>
        <v>3011513.8362640557</v>
      </c>
      <c r="Y61" s="56">
        <f t="shared" si="24"/>
        <v>3059649.486166365</v>
      </c>
      <c r="Z61" s="56">
        <f t="shared" si="24"/>
        <v>3107730.6144052641</v>
      </c>
      <c r="AA61" s="55"/>
      <c r="AB61" s="55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</row>
    <row r="62" spans="1:76">
      <c r="A62" s="54" t="s">
        <v>38</v>
      </c>
      <c r="B62" s="56">
        <f>SUM(B11,B23,B36,B50)</f>
        <v>0</v>
      </c>
      <c r="C62" s="56">
        <f>SUM(C11,C23,C36,C50)</f>
        <v>41250</v>
      </c>
      <c r="D62" s="56">
        <f t="shared" ref="D62:Z62" si="25">SUM(D11,D23,D36,D50)</f>
        <v>41138.888888888883</v>
      </c>
      <c r="E62" s="56">
        <f t="shared" si="25"/>
        <v>44989.81481481481</v>
      </c>
      <c r="F62" s="56">
        <f t="shared" si="25"/>
        <v>44885.987654320983</v>
      </c>
      <c r="G62" s="56">
        <f t="shared" si="25"/>
        <v>44785.621399176947</v>
      </c>
      <c r="H62" s="56">
        <f t="shared" si="25"/>
        <v>44688.600685871046</v>
      </c>
      <c r="I62" s="56">
        <f t="shared" si="25"/>
        <v>44594.813996342011</v>
      </c>
      <c r="J62" s="56">
        <f t="shared" si="25"/>
        <v>45170.820196463952</v>
      </c>
      <c r="K62" s="56">
        <f t="shared" si="25"/>
        <v>45083.181745470705</v>
      </c>
      <c r="L62" s="56">
        <f t="shared" si="25"/>
        <v>44998.464576177241</v>
      </c>
      <c r="M62" s="56">
        <f t="shared" si="25"/>
        <v>44916.571312526889</v>
      </c>
      <c r="N62" s="56">
        <f t="shared" si="25"/>
        <v>44837.407824331545</v>
      </c>
      <c r="O62" s="56">
        <f t="shared" si="25"/>
        <v>44760.883119076054</v>
      </c>
      <c r="P62" s="56">
        <f t="shared" si="25"/>
        <v>44686.90923732907</v>
      </c>
      <c r="Q62" s="56">
        <f t="shared" si="25"/>
        <v>44615.401151640326</v>
      </c>
      <c r="R62" s="56">
        <f t="shared" si="25"/>
        <v>44546.27666880787</v>
      </c>
      <c r="S62" s="56">
        <f t="shared" si="25"/>
        <v>48437.789668736506</v>
      </c>
      <c r="T62" s="56">
        <f t="shared" si="25"/>
        <v>48373.196679778623</v>
      </c>
      <c r="U62" s="56">
        <f t="shared" si="25"/>
        <v>48310.756790452666</v>
      </c>
      <c r="V62" s="56">
        <f t="shared" si="25"/>
        <v>48250.398230770916</v>
      </c>
      <c r="W62" s="56">
        <f t="shared" si="25"/>
        <v>48192.051623078551</v>
      </c>
      <c r="X62" s="56">
        <f t="shared" si="25"/>
        <v>48135.649902309262</v>
      </c>
      <c r="Y62" s="56">
        <f t="shared" si="25"/>
        <v>48081.128238898957</v>
      </c>
      <c r="Z62" s="56">
        <f t="shared" si="25"/>
        <v>48028.423964268994</v>
      </c>
      <c r="AA62" s="55"/>
      <c r="AB62" s="55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</row>
    <row r="63" spans="1:76">
      <c r="A63" s="54" t="s">
        <v>37</v>
      </c>
      <c r="B63" s="56">
        <f>SUM(B61:B62)</f>
        <v>2060000</v>
      </c>
      <c r="C63" s="56">
        <f>SUM(C61:C62)</f>
        <v>2101250</v>
      </c>
      <c r="D63" s="56">
        <f>SUM(D61:D62)</f>
        <v>2142388.888888889</v>
      </c>
      <c r="E63" s="56">
        <f t="shared" ref="E63:Z63" si="26">SUM(E61:E62)</f>
        <v>2187378.7037037038</v>
      </c>
      <c r="F63" s="56">
        <f t="shared" si="26"/>
        <v>2232264.6913580247</v>
      </c>
      <c r="G63" s="56">
        <f t="shared" si="26"/>
        <v>2277050.312757201</v>
      </c>
      <c r="H63" s="56">
        <f t="shared" si="26"/>
        <v>2321738.9134430732</v>
      </c>
      <c r="I63" s="56">
        <f t="shared" si="26"/>
        <v>2366333.7274394147</v>
      </c>
      <c r="J63" s="56">
        <f t="shared" si="26"/>
        <v>2411504.5476358784</v>
      </c>
      <c r="K63" s="56">
        <f t="shared" si="26"/>
        <v>2456587.7293813494</v>
      </c>
      <c r="L63" s="56">
        <f t="shared" si="26"/>
        <v>2501586.1939575272</v>
      </c>
      <c r="M63" s="56">
        <f t="shared" si="26"/>
        <v>2546502.7652700534</v>
      </c>
      <c r="N63" s="56">
        <f t="shared" si="26"/>
        <v>2591340.1730943848</v>
      </c>
      <c r="O63" s="56">
        <f t="shared" si="26"/>
        <v>2636101.0562134613</v>
      </c>
      <c r="P63" s="56">
        <f t="shared" si="26"/>
        <v>2680787.9654507902</v>
      </c>
      <c r="Q63" s="56">
        <f t="shared" si="26"/>
        <v>2725403.3666024311</v>
      </c>
      <c r="R63" s="56">
        <f t="shared" si="26"/>
        <v>2769949.6432712395</v>
      </c>
      <c r="S63" s="56">
        <f t="shared" si="26"/>
        <v>2818387.4329399751</v>
      </c>
      <c r="T63" s="56">
        <f t="shared" si="26"/>
        <v>2866760.6296197539</v>
      </c>
      <c r="U63" s="56">
        <f t="shared" si="26"/>
        <v>2915071.3864102066</v>
      </c>
      <c r="V63" s="56">
        <f t="shared" si="26"/>
        <v>2963321.7846409772</v>
      </c>
      <c r="W63" s="56">
        <f t="shared" si="26"/>
        <v>3011513.8362640557</v>
      </c>
      <c r="X63" s="56">
        <f t="shared" si="26"/>
        <v>3059649.486166365</v>
      </c>
      <c r="Y63" s="56">
        <f t="shared" si="26"/>
        <v>3107730.6144052641</v>
      </c>
      <c r="Z63" s="56">
        <f t="shared" si="26"/>
        <v>3155759.0383695331</v>
      </c>
      <c r="AA63" s="55"/>
      <c r="AB63" s="55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</row>
    <row r="64" spans="1:76">
      <c r="A64" s="54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5"/>
      <c r="AB64" s="55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</row>
    <row r="65" spans="1:76" s="7" customFormat="1">
      <c r="A65" s="52" t="s">
        <v>39</v>
      </c>
      <c r="B65" s="60">
        <f>B58-B63</f>
        <v>7165000</v>
      </c>
      <c r="C65" s="60">
        <f>C58-C63</f>
        <v>7123750</v>
      </c>
      <c r="D65" s="60">
        <f t="shared" ref="D65:Z65" si="27">D58-D63</f>
        <v>7082611.111111111</v>
      </c>
      <c r="E65" s="60">
        <f t="shared" si="27"/>
        <v>7512621.2962962966</v>
      </c>
      <c r="F65" s="60">
        <f t="shared" si="27"/>
        <v>7467735.3086419757</v>
      </c>
      <c r="G65" s="60">
        <f t="shared" si="27"/>
        <v>7422949.6872427985</v>
      </c>
      <c r="H65" s="60">
        <f t="shared" si="27"/>
        <v>7378261.0865569264</v>
      </c>
      <c r="I65" s="60">
        <f t="shared" si="27"/>
        <v>7333666.2725605853</v>
      </c>
      <c r="J65" s="60">
        <f t="shared" si="27"/>
        <v>7328495.4523641216</v>
      </c>
      <c r="K65" s="60">
        <f t="shared" si="27"/>
        <v>7283412.2706186511</v>
      </c>
      <c r="L65" s="60">
        <f t="shared" si="27"/>
        <v>7238413.8060424728</v>
      </c>
      <c r="M65" s="60">
        <f t="shared" si="27"/>
        <v>7193497.2347299466</v>
      </c>
      <c r="N65" s="60">
        <f t="shared" si="27"/>
        <v>7148659.8269056156</v>
      </c>
      <c r="O65" s="60">
        <f t="shared" si="27"/>
        <v>7103898.9437865391</v>
      </c>
      <c r="P65" s="60">
        <f t="shared" si="27"/>
        <v>7059212.0345492102</v>
      </c>
      <c r="Q65" s="60">
        <f t="shared" si="27"/>
        <v>7014596.6333975689</v>
      </c>
      <c r="R65" s="60">
        <f t="shared" si="27"/>
        <v>6970050.3567287605</v>
      </c>
      <c r="S65" s="60">
        <f t="shared" si="27"/>
        <v>7396612.5670600254</v>
      </c>
      <c r="T65" s="60">
        <f t="shared" si="27"/>
        <v>7348239.3703802461</v>
      </c>
      <c r="U65" s="60">
        <f t="shared" si="27"/>
        <v>7299928.6135897934</v>
      </c>
      <c r="V65" s="60">
        <f t="shared" si="27"/>
        <v>7251678.2153590228</v>
      </c>
      <c r="W65" s="60">
        <f t="shared" si="27"/>
        <v>7203486.1637359448</v>
      </c>
      <c r="X65" s="60">
        <f t="shared" si="27"/>
        <v>7155350.5138336346</v>
      </c>
      <c r="Y65" s="60">
        <f t="shared" si="27"/>
        <v>7107269.3855947359</v>
      </c>
      <c r="Z65" s="60">
        <f t="shared" si="27"/>
        <v>7059240.9616304673</v>
      </c>
      <c r="AA65" s="59"/>
      <c r="AB65" s="59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</row>
    <row r="66" spans="1:76">
      <c r="C66" s="57"/>
      <c r="D66" s="57"/>
      <c r="E66" s="57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5"/>
      <c r="AB66" s="55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</row>
    <row r="67" spans="1:76">
      <c r="A67" s="7" t="s">
        <v>47</v>
      </c>
      <c r="C67" s="57"/>
      <c r="D67" s="57"/>
      <c r="E67" s="57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5"/>
      <c r="AB67" s="55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</row>
    <row r="68" spans="1:76">
      <c r="C68" s="57"/>
      <c r="D68" s="57"/>
      <c r="E68" s="57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5"/>
      <c r="AB68" s="55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</row>
    <row r="69" spans="1:76">
      <c r="A69" s="15" t="s">
        <v>49</v>
      </c>
      <c r="C69" s="57"/>
      <c r="D69" s="57"/>
      <c r="E69" s="57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5"/>
      <c r="AB69" s="55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</row>
    <row r="70" spans="1:76">
      <c r="A70" s="54" t="s">
        <v>51</v>
      </c>
      <c r="B70" s="85">
        <f>'IP2'!D15</f>
        <v>30000</v>
      </c>
      <c r="C70" s="74">
        <f>B74</f>
        <v>30000</v>
      </c>
      <c r="D70" s="56">
        <f>C74</f>
        <v>26575.542917410712</v>
      </c>
      <c r="E70" s="56">
        <f>D74</f>
        <v>29705.760084374997</v>
      </c>
      <c r="F70" s="56">
        <f>E74</f>
        <v>55349.000708035688</v>
      </c>
      <c r="G70" s="56">
        <f>F74</f>
        <v>78003.207318749977</v>
      </c>
      <c r="H70" s="56">
        <f t="shared" ref="H70:Z70" si="28">G74</f>
        <v>116178.73640758923</v>
      </c>
      <c r="I70" s="56">
        <f t="shared" si="28"/>
        <v>130175.61563169636</v>
      </c>
      <c r="J70" s="56">
        <f t="shared" si="28"/>
        <v>146808.97521026776</v>
      </c>
      <c r="K70" s="56">
        <f t="shared" si="28"/>
        <v>151255.86134866055</v>
      </c>
      <c r="L70" s="56">
        <f t="shared" si="28"/>
        <v>142362.0890718748</v>
      </c>
      <c r="M70" s="56">
        <f t="shared" si="28"/>
        <v>134209.46448482119</v>
      </c>
      <c r="N70" s="56">
        <f t="shared" si="28"/>
        <v>68477.657487053308</v>
      </c>
      <c r="O70" s="56">
        <f t="shared" si="28"/>
        <v>108111.03870133904</v>
      </c>
      <c r="P70" s="56">
        <f t="shared" si="28"/>
        <v>58767.269855691731</v>
      </c>
      <c r="Q70" s="56">
        <f t="shared" si="28"/>
        <v>46599.24605430779</v>
      </c>
      <c r="R70" s="56">
        <f t="shared" si="28"/>
        <v>59514.260009865829</v>
      </c>
      <c r="S70" s="56">
        <f t="shared" si="28"/>
        <v>86699.670268258662</v>
      </c>
      <c r="T70" s="56">
        <f t="shared" si="28"/>
        <v>128381.61663261137</v>
      </c>
      <c r="U70" s="56">
        <f t="shared" si="28"/>
        <v>143692.12952578103</v>
      </c>
      <c r="V70" s="56">
        <f t="shared" si="28"/>
        <v>162383.34705328097</v>
      </c>
      <c r="W70" s="56">
        <f t="shared" si="28"/>
        <v>167476.86755216483</v>
      </c>
      <c r="X70" s="56">
        <f t="shared" si="28"/>
        <v>157289.826554397</v>
      </c>
      <c r="Y70" s="56">
        <f t="shared" si="28"/>
        <v>147951.70563977648</v>
      </c>
      <c r="Z70" s="56">
        <f t="shared" si="28"/>
        <v>75668.701086763089</v>
      </c>
      <c r="AA70" s="55"/>
      <c r="AB70" s="55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</row>
    <row r="71" spans="1:76">
      <c r="A71" s="54" t="s">
        <v>29</v>
      </c>
      <c r="C71" s="56">
        <f>Sales!B6</f>
        <v>68385.177678571432</v>
      </c>
      <c r="D71" s="56">
        <f>Sales!C6</f>
        <v>68385.177678571432</v>
      </c>
      <c r="E71" s="56">
        <f>Sales!D6</f>
        <v>150759.37232142856</v>
      </c>
      <c r="F71" s="56">
        <f>Sales!E6</f>
        <v>205155.5330357143</v>
      </c>
      <c r="G71" s="56">
        <f>Sales!F6</f>
        <v>301518.74464285711</v>
      </c>
      <c r="H71" s="56">
        <f>Sales!G6</f>
        <v>301518.74464285711</v>
      </c>
      <c r="I71" s="56">
        <f>Sales!H6</f>
        <v>342315.86517857143</v>
      </c>
      <c r="J71" s="56">
        <f>Sales!I6</f>
        <v>342315.86517857143</v>
      </c>
      <c r="K71" s="56">
        <f>Sales!J6</f>
        <v>301518.74464285711</v>
      </c>
      <c r="L71" s="56">
        <f>Sales!K6</f>
        <v>287919.70446428575</v>
      </c>
      <c r="M71" s="56">
        <f>Sales!L6</f>
        <v>68385.177678571432</v>
      </c>
      <c r="N71" s="56">
        <f>Sales!M6</f>
        <v>301128.76785714284</v>
      </c>
      <c r="O71" s="56">
        <f>Sales!B19</f>
        <v>73723.695446428581</v>
      </c>
      <c r="P71" s="56">
        <f>Sales!C19</f>
        <v>73723.695446428581</v>
      </c>
      <c r="Q71" s="56">
        <f>Sales!D19</f>
        <v>161335.30955357145</v>
      </c>
      <c r="R71" s="56">
        <f>Sales!E19</f>
        <v>221171.08633928574</v>
      </c>
      <c r="S71" s="56">
        <f>Sales!F19</f>
        <v>322670.61910714291</v>
      </c>
      <c r="T71" s="56">
        <f>Sales!G19</f>
        <v>322670.61910714291</v>
      </c>
      <c r="U71" s="56">
        <f>Sales!H19</f>
        <v>367547.45169642859</v>
      </c>
      <c r="V71" s="56">
        <f>Sales!I19</f>
        <v>367547.45169642859</v>
      </c>
      <c r="W71" s="56">
        <f>Sales!J19</f>
        <v>322670.61910714291</v>
      </c>
      <c r="X71" s="56">
        <f>Sales!K19</f>
        <v>307711.67491071427</v>
      </c>
      <c r="Y71" s="56">
        <f>Sales!L19</f>
        <v>73723.695446428581</v>
      </c>
      <c r="Z71" s="56">
        <f>Sales!M19</f>
        <v>323741.64464285719</v>
      </c>
      <c r="AA71" s="55"/>
      <c r="AB71" s="55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</row>
    <row r="72" spans="1:76">
      <c r="A72" s="54" t="s">
        <v>173</v>
      </c>
      <c r="B72" s="50"/>
      <c r="C72" s="56">
        <f>VAT!D6</f>
        <v>7916.9939910714293</v>
      </c>
      <c r="D72" s="56">
        <f>VAT!E6</f>
        <v>7916.9939910714293</v>
      </c>
      <c r="E72" s="56">
        <f>VAT!F6</f>
        <v>18855.327508928571</v>
      </c>
      <c r="F72" s="56">
        <f>VAT!G6</f>
        <v>23750.981973214286</v>
      </c>
      <c r="G72" s="56">
        <f>VAT!H6</f>
        <v>37710.655017857142</v>
      </c>
      <c r="H72" s="56">
        <f>VAT!I6</f>
        <v>37710.655017857142</v>
      </c>
      <c r="I72" s="56">
        <f>VAT!J6</f>
        <v>41382.395866071427</v>
      </c>
      <c r="J72" s="56">
        <f>VAT!K6</f>
        <v>41382.395866071427</v>
      </c>
      <c r="K72" s="56">
        <f>VAT!L6</f>
        <v>37710.655017857142</v>
      </c>
      <c r="L72" s="56">
        <f>VAT!M6</f>
        <v>36486.741401785715</v>
      </c>
      <c r="M72" s="56">
        <f>VAT!N6</f>
        <v>7916.9939910714293</v>
      </c>
      <c r="N72" s="56">
        <f>VAT!O6</f>
        <v>35913.229107142863</v>
      </c>
      <c r="O72" s="56">
        <f>VAT!D77</f>
        <v>11268.150856696429</v>
      </c>
      <c r="P72" s="56">
        <f>VAT!E77</f>
        <v>11268.150856696429</v>
      </c>
      <c r="Q72" s="56">
        <f>VAT!F77</f>
        <v>25726.62270401786</v>
      </c>
      <c r="R72" s="56">
        <f>VAT!G77</f>
        <v>33804.452570089285</v>
      </c>
      <c r="S72" s="56">
        <f>VAT!H77</f>
        <v>51453.24540803572</v>
      </c>
      <c r="T72" s="56">
        <f>VAT!I77</f>
        <v>51453.24540803572</v>
      </c>
      <c r="U72" s="56">
        <f>VAT!J77</f>
        <v>57511.617807589289</v>
      </c>
      <c r="V72" s="56">
        <f>VAT!K77</f>
        <v>57511.617807589289</v>
      </c>
      <c r="W72" s="56">
        <f>VAT!L77</f>
        <v>51453.24540803572</v>
      </c>
      <c r="X72" s="56">
        <f>VAT!M77</f>
        <v>49433.787941517861</v>
      </c>
      <c r="Y72" s="56">
        <f>VAT!N77</f>
        <v>11268.150856696429</v>
      </c>
      <c r="Z72" s="56">
        <f>VAT!O77</f>
        <v>50282.381883928581</v>
      </c>
      <c r="AA72" s="55"/>
      <c r="AB72" s="55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</row>
    <row r="73" spans="1:76">
      <c r="A73" s="54" t="s">
        <v>52</v>
      </c>
      <c r="C73" s="64">
        <f>-(SUM(Balances!C71:C72)*'IP1'!$D$119)-(('IP2'!D15-'IP2'!E15))</f>
        <v>-79726.628752232151</v>
      </c>
      <c r="D73" s="64">
        <f>-(SUM(Balances!C71:C72)*'IP1'!$D$120+SUM(Balances!D71:D72)*'IP1'!$D$119)-(('IP2'!E15-'IP2'!F15))</f>
        <v>-73171.954502678578</v>
      </c>
      <c r="E73" s="64">
        <f>-(SUM(Balances!C71:C72)*'IP1'!$D$121+SUM(Balances!D71:D72)*'IP1'!$D$120+SUM(Balances!E71:E72)*'IP1'!$D$119)-(('IP2'!F15-'IP2'!G15))</f>
        <v>-143971.45920669643</v>
      </c>
      <c r="F73" s="64">
        <f>-(SUM(C71:C72)*'IP1'!$D$122+SUM(Balances!D71:D72)*'IP1'!$D$121+SUM(Balances!E71:E72)*'IP1'!$D$120+SUM(Balances!F71:F72)*'IP1'!$D$119)-(('IP2'!G15-'IP2'!H15))</f>
        <v>-206252.30839821429</v>
      </c>
      <c r="G73" s="64">
        <f>-(SUM(D71:D72)*'IP1'!$D$122+SUM(Balances!E71:E72)*'IP1'!$D$121+SUM(Balances!F71:F72)*'IP1'!$D$120+SUM(Balances!G71:G72)*'IP1'!$D$119)</f>
        <v>-301053.87057187501</v>
      </c>
      <c r="H73" s="64">
        <f>-(SUM(E71:E72)*'IP1'!$D$122+SUM(Balances!F71:F72)*'IP1'!$D$121+SUM(Balances!G71:G72)*'IP1'!$D$120+SUM(Balances!H71:H72)*'IP1'!$D$119)</f>
        <v>-325232.52043660713</v>
      </c>
      <c r="I73" s="64">
        <f>-(SUM(F71:F72)*'IP1'!$D$122+SUM(Balances!G71:G72)*'IP1'!$D$121+SUM(Balances!H71:H72)*'IP1'!$D$120+SUM(Balances!I71:I72)*'IP1'!$D$119)</f>
        <v>-367064.90146607143</v>
      </c>
      <c r="J73" s="64">
        <f>-(SUM(G71:G72)*'IP1'!$D$122+SUM(Balances!H71:H72)*'IP1'!$D$121+SUM(Balances!I71:I72)*'IP1'!$D$120+SUM(Balances!J71:J72)*'IP1'!$D$119)</f>
        <v>-379251.37490625004</v>
      </c>
      <c r="K73" s="64">
        <f>-(SUM(H71:H72)*'IP1'!$D$122+SUM(Balances!I71:I72)*'IP1'!$D$121+SUM(Balances!J71:J72)*'IP1'!$D$120+SUM(Balances!K71:K72)*'IP1'!$D$119)</f>
        <v>-348123.17193750001</v>
      </c>
      <c r="L73" s="64">
        <f>-(SUM(I71:I72)*'IP1'!$D$122+SUM(Balances!J71:J72)*'IP1'!$D$121+SUM(Balances!K71:K72)*'IP1'!$D$120+SUM(Balances!L71:L72)*'IP1'!$D$119)</f>
        <v>-332559.07045312505</v>
      </c>
      <c r="M73" s="64">
        <f>-(SUM(J71:J72)*'IP1'!$D$122+SUM(Balances!K71:K72)*'IP1'!$D$121+SUM(Balances!L71:L72)*'IP1'!$D$120+SUM(Balances!M71:M72)*'IP1'!$D$119)</f>
        <v>-142033.97866741073</v>
      </c>
      <c r="N73" s="64">
        <f>-(SUM(K71:K72)*'IP1'!$D$122+SUM(Balances!L71:L72)*'IP1'!$D$121+SUM(Balances!M71:M72)*'IP1'!$D$120+SUM(Balances!N71:N72)*'IP1'!$D$119)</f>
        <v>-297408.61575</v>
      </c>
      <c r="O73" s="64">
        <f>-(SUM(L71:L72)*'IP1'!$D$122+SUM(Balances!M71:M72)*'IP1'!$D$121+SUM(Balances!N71:N72)*'IP1'!$D$120+SUM(Balances!O71:O72)*'IP1'!$D$119)</f>
        <v>-134335.61514877231</v>
      </c>
      <c r="P73" s="64">
        <f>-(SUM(M71:M72)*'IP1'!$D$122+SUM(Balances!N71:N72)*'IP1'!$D$121+SUM(Balances!O71:O72)*'IP1'!$D$120+SUM(Balances!P71:P72)*'IP1'!$D$119)</f>
        <v>-97159.87010450894</v>
      </c>
      <c r="Q73" s="64">
        <f>-(SUM(N71:N72)*'IP1'!$D$122+SUM(Balances!O71:O72)*'IP1'!$D$121+SUM(Balances!P71:P72)*'IP1'!$D$120+SUM(Balances!Q71:Q72)*'IP1'!$D$119)</f>
        <v>-174146.91830203126</v>
      </c>
      <c r="R73" s="64">
        <f>-(SUM(O71:O72)*'IP1'!$D$122+SUM(Balances!P71:P72)*'IP1'!$D$121+SUM(Balances!Q71:Q72)*'IP1'!$D$120+SUM(Balances!R71:R72)*'IP1'!$D$119)</f>
        <v>-227790.12865098217</v>
      </c>
      <c r="S73" s="64">
        <f>-(SUM(P71:P72)*'IP1'!$D$122+SUM(Balances!Q71:Q72)*'IP1'!$D$121+SUM(Balances!R71:R72)*'IP1'!$D$120+SUM(Balances!S71:S72)*'IP1'!$D$119)</f>
        <v>-332441.91815082589</v>
      </c>
      <c r="T73" s="64">
        <f>-(SUM(Q71:Q72)*'IP1'!$D$122+SUM(Balances!R71:R72)*'IP1'!$D$121+SUM(Balances!S71:S72)*'IP1'!$D$120+SUM(Balances!T71:T72)*'IP1'!$D$119)</f>
        <v>-358813.35162200895</v>
      </c>
      <c r="U73" s="64">
        <f>-(SUM(R71:R72)*'IP1'!$D$122+SUM(Balances!S71:S72)*'IP1'!$D$121+SUM(Balances!T71:T72)*'IP1'!$D$120+SUM(Balances!U71:U72)*'IP1'!$D$119)</f>
        <v>-406367.85197651788</v>
      </c>
      <c r="V73" s="64">
        <f>-(SUM(S71:S72)*'IP1'!$D$122+SUM(Balances!T71:T72)*'IP1'!$D$121+SUM(Balances!U71:U72)*'IP1'!$D$120+SUM(Balances!V71:V72)*'IP1'!$D$119)</f>
        <v>-419965.54900513391</v>
      </c>
      <c r="W73" s="64">
        <f>-(SUM(T71:T72)*'IP1'!$D$122+SUM(Balances!U71:U72)*'IP1'!$D$121+SUM(Balances!V71:V72)*'IP1'!$D$120+SUM(Balances!W71:W72)*'IP1'!$D$119)</f>
        <v>-384310.90551294643</v>
      </c>
      <c r="X73" s="64">
        <f>-(SUM(U71:U72)*'IP1'!$D$122+SUM(Balances!V71:V72)*'IP1'!$D$121+SUM(Balances!W71:W72)*'IP1'!$D$120+SUM(Balances!X71:X72)*'IP1'!$D$119)</f>
        <v>-366483.58376685268</v>
      </c>
      <c r="Y73" s="64">
        <f>-(SUM(V71:V72)*'IP1'!$D$122+SUM(Balances!W71:W72)*'IP1'!$D$121+SUM(Balances!X71:X72)*'IP1'!$D$120+SUM(Balances!Y71:Y72)*'IP1'!$D$119)</f>
        <v>-157274.85085613839</v>
      </c>
      <c r="Z73" s="64">
        <f>-(SUM(W71:W72)*'IP1'!$D$122+SUM(Balances!X71:X72)*'IP1'!$D$121+SUM(Balances!Y71:Y72)*'IP1'!$D$120+SUM(Balances!Z71:Z72)*'IP1'!$D$119)</f>
        <v>-329830.26320892863</v>
      </c>
      <c r="AA73" s="61"/>
      <c r="AB73" s="61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</row>
    <row r="74" spans="1:76" s="7" customFormat="1">
      <c r="A74" s="52" t="s">
        <v>37</v>
      </c>
      <c r="B74" s="128">
        <f t="shared" ref="B74:Z74" si="29">SUM(B70:B73)</f>
        <v>30000</v>
      </c>
      <c r="C74" s="60">
        <f t="shared" si="29"/>
        <v>26575.542917410712</v>
      </c>
      <c r="D74" s="60">
        <f t="shared" si="29"/>
        <v>29705.760084374997</v>
      </c>
      <c r="E74" s="60">
        <f t="shared" si="29"/>
        <v>55349.000708035688</v>
      </c>
      <c r="F74" s="60">
        <f t="shared" si="29"/>
        <v>78003.207318749977</v>
      </c>
      <c r="G74" s="60">
        <f t="shared" si="29"/>
        <v>116178.73640758923</v>
      </c>
      <c r="H74" s="60">
        <f t="shared" si="29"/>
        <v>130175.61563169636</v>
      </c>
      <c r="I74" s="60">
        <f t="shared" si="29"/>
        <v>146808.97521026776</v>
      </c>
      <c r="J74" s="60">
        <f t="shared" si="29"/>
        <v>151255.86134866055</v>
      </c>
      <c r="K74" s="60">
        <f t="shared" si="29"/>
        <v>142362.0890718748</v>
      </c>
      <c r="L74" s="60">
        <f t="shared" si="29"/>
        <v>134209.46448482119</v>
      </c>
      <c r="M74" s="60">
        <f t="shared" si="29"/>
        <v>68477.657487053308</v>
      </c>
      <c r="N74" s="60">
        <f t="shared" si="29"/>
        <v>108111.03870133904</v>
      </c>
      <c r="O74" s="60">
        <f t="shared" si="29"/>
        <v>58767.269855691731</v>
      </c>
      <c r="P74" s="60">
        <f t="shared" si="29"/>
        <v>46599.24605430779</v>
      </c>
      <c r="Q74" s="60">
        <f t="shared" si="29"/>
        <v>59514.260009865829</v>
      </c>
      <c r="R74" s="60">
        <f t="shared" si="29"/>
        <v>86699.670268258662</v>
      </c>
      <c r="S74" s="60">
        <f t="shared" si="29"/>
        <v>128381.61663261137</v>
      </c>
      <c r="T74" s="60">
        <f t="shared" si="29"/>
        <v>143692.12952578103</v>
      </c>
      <c r="U74" s="60">
        <f t="shared" si="29"/>
        <v>162383.34705328097</v>
      </c>
      <c r="V74" s="60">
        <f t="shared" si="29"/>
        <v>167476.86755216483</v>
      </c>
      <c r="W74" s="60">
        <f t="shared" si="29"/>
        <v>157289.826554397</v>
      </c>
      <c r="X74" s="60">
        <f t="shared" si="29"/>
        <v>147951.70563977648</v>
      </c>
      <c r="Y74" s="60">
        <f t="shared" si="29"/>
        <v>75668.701086763089</v>
      </c>
      <c r="Z74" s="60">
        <f t="shared" si="29"/>
        <v>119862.46440462023</v>
      </c>
      <c r="AA74" s="59"/>
      <c r="AB74" s="59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</row>
    <row r="75" spans="1:76">
      <c r="C75" s="57"/>
      <c r="D75" s="57"/>
      <c r="E75" s="57"/>
      <c r="F75" s="6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5"/>
      <c r="AB75" s="55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</row>
    <row r="76" spans="1:76">
      <c r="A76" s="15" t="s">
        <v>53</v>
      </c>
      <c r="C76" s="57"/>
      <c r="D76" s="57"/>
      <c r="E76" s="57"/>
      <c r="F76" s="6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5"/>
      <c r="AB76" s="55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</row>
    <row r="77" spans="1:76">
      <c r="A77" s="1" t="s">
        <v>54</v>
      </c>
      <c r="B77" s="85">
        <f>'IP2'!D16</f>
        <v>0</v>
      </c>
      <c r="C77" s="74">
        <f>'IP2'!D16</f>
        <v>0</v>
      </c>
      <c r="D77" s="56">
        <f>C78</f>
        <v>0</v>
      </c>
      <c r="E77" s="56">
        <f>D78</f>
        <v>0</v>
      </c>
      <c r="F77" s="56">
        <f>E78</f>
        <v>0</v>
      </c>
      <c r="G77" s="56">
        <f>F78</f>
        <v>0</v>
      </c>
      <c r="H77" s="56">
        <f t="shared" ref="H77:Z77" si="30">G78</f>
        <v>0</v>
      </c>
      <c r="I77" s="56">
        <f t="shared" si="30"/>
        <v>0</v>
      </c>
      <c r="J77" s="56">
        <f t="shared" si="30"/>
        <v>0</v>
      </c>
      <c r="K77" s="56">
        <f t="shared" si="30"/>
        <v>0</v>
      </c>
      <c r="L77" s="56">
        <f t="shared" si="30"/>
        <v>0</v>
      </c>
      <c r="M77" s="56">
        <f t="shared" si="30"/>
        <v>0</v>
      </c>
      <c r="N77" s="56">
        <f t="shared" si="30"/>
        <v>0</v>
      </c>
      <c r="O77" s="56">
        <f t="shared" si="30"/>
        <v>0</v>
      </c>
      <c r="P77" s="56">
        <f t="shared" si="30"/>
        <v>0</v>
      </c>
      <c r="Q77" s="56">
        <f t="shared" si="30"/>
        <v>0</v>
      </c>
      <c r="R77" s="56">
        <f t="shared" si="30"/>
        <v>0</v>
      </c>
      <c r="S77" s="56">
        <f t="shared" si="30"/>
        <v>0</v>
      </c>
      <c r="T77" s="56">
        <f t="shared" si="30"/>
        <v>0</v>
      </c>
      <c r="U77" s="56">
        <f t="shared" si="30"/>
        <v>0</v>
      </c>
      <c r="V77" s="56">
        <f t="shared" si="30"/>
        <v>0</v>
      </c>
      <c r="W77" s="56">
        <f t="shared" si="30"/>
        <v>0</v>
      </c>
      <c r="X77" s="56">
        <f t="shared" si="30"/>
        <v>0</v>
      </c>
      <c r="Y77" s="56">
        <f t="shared" si="30"/>
        <v>0</v>
      </c>
      <c r="Z77" s="56">
        <f t="shared" si="30"/>
        <v>0</v>
      </c>
      <c r="AA77" s="55"/>
      <c r="AB77" s="55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</row>
    <row r="78" spans="1:76">
      <c r="A78" s="1" t="s">
        <v>55</v>
      </c>
      <c r="B78" s="67">
        <f t="shared" ref="B78:Z78" si="31">SUM(B77:B77)</f>
        <v>0</v>
      </c>
      <c r="C78" s="67">
        <f t="shared" si="31"/>
        <v>0</v>
      </c>
      <c r="D78" s="67">
        <f t="shared" si="31"/>
        <v>0</v>
      </c>
      <c r="E78" s="67">
        <f t="shared" si="31"/>
        <v>0</v>
      </c>
      <c r="F78" s="67">
        <f t="shared" si="31"/>
        <v>0</v>
      </c>
      <c r="G78" s="67">
        <f t="shared" si="31"/>
        <v>0</v>
      </c>
      <c r="H78" s="67">
        <f t="shared" si="31"/>
        <v>0</v>
      </c>
      <c r="I78" s="67">
        <f t="shared" si="31"/>
        <v>0</v>
      </c>
      <c r="J78" s="67">
        <f t="shared" si="31"/>
        <v>0</v>
      </c>
      <c r="K78" s="67">
        <f t="shared" si="31"/>
        <v>0</v>
      </c>
      <c r="L78" s="67">
        <f t="shared" si="31"/>
        <v>0</v>
      </c>
      <c r="M78" s="67">
        <f t="shared" si="31"/>
        <v>0</v>
      </c>
      <c r="N78" s="67">
        <f t="shared" si="31"/>
        <v>0</v>
      </c>
      <c r="O78" s="67">
        <f t="shared" si="31"/>
        <v>0</v>
      </c>
      <c r="P78" s="67">
        <f t="shared" si="31"/>
        <v>0</v>
      </c>
      <c r="Q78" s="67">
        <f t="shared" si="31"/>
        <v>0</v>
      </c>
      <c r="R78" s="67">
        <f t="shared" si="31"/>
        <v>0</v>
      </c>
      <c r="S78" s="67">
        <f t="shared" si="31"/>
        <v>0</v>
      </c>
      <c r="T78" s="67">
        <f t="shared" si="31"/>
        <v>0</v>
      </c>
      <c r="U78" s="67">
        <f t="shared" si="31"/>
        <v>0</v>
      </c>
      <c r="V78" s="67">
        <f t="shared" si="31"/>
        <v>0</v>
      </c>
      <c r="W78" s="67">
        <f t="shared" si="31"/>
        <v>0</v>
      </c>
      <c r="X78" s="67">
        <f t="shared" si="31"/>
        <v>0</v>
      </c>
      <c r="Y78" s="67">
        <f t="shared" si="31"/>
        <v>0</v>
      </c>
      <c r="Z78" s="67">
        <f t="shared" si="31"/>
        <v>0</v>
      </c>
      <c r="AA78" s="55"/>
      <c r="AB78" s="55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</row>
    <row r="79" spans="1:76">
      <c r="C79" s="57"/>
      <c r="D79" s="57"/>
      <c r="E79" s="57"/>
      <c r="F79" s="55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5"/>
      <c r="AB79" s="55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</row>
    <row r="80" spans="1:76">
      <c r="A80" s="15" t="s">
        <v>57</v>
      </c>
      <c r="C80" s="57"/>
      <c r="D80" s="57"/>
      <c r="E80" s="57"/>
      <c r="F80" s="55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5"/>
      <c r="AB80" s="55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</row>
    <row r="81" spans="1:76">
      <c r="A81" s="54" t="s">
        <v>51</v>
      </c>
      <c r="B81" s="85">
        <f>'IP2'!D17</f>
        <v>45000</v>
      </c>
      <c r="C81" s="56">
        <f>B85</f>
        <v>45000</v>
      </c>
      <c r="D81" s="56">
        <f>C85</f>
        <v>53483.522269419649</v>
      </c>
      <c r="E81" s="56">
        <f t="shared" ref="E81:Z81" si="32">D85</f>
        <v>19733.522269419649</v>
      </c>
      <c r="F81" s="56">
        <f t="shared" si="32"/>
        <v>54182.520982366084</v>
      </c>
      <c r="G81" s="56">
        <f t="shared" si="32"/>
        <v>59200.56680825894</v>
      </c>
      <c r="H81" s="56">
        <f t="shared" si="32"/>
        <v>108365.04196473218</v>
      </c>
      <c r="I81" s="56">
        <f t="shared" si="32"/>
        <v>108365.0419647322</v>
      </c>
      <c r="J81" s="56">
        <f t="shared" si="32"/>
        <v>112128.57633415185</v>
      </c>
      <c r="K81" s="56">
        <f t="shared" si="32"/>
        <v>112128.57633415185</v>
      </c>
      <c r="L81" s="56">
        <f t="shared" si="32"/>
        <v>108365.0419647322</v>
      </c>
      <c r="M81" s="56">
        <f t="shared" si="32"/>
        <v>107110.53050825899</v>
      </c>
      <c r="N81" s="56">
        <f t="shared" si="32"/>
        <v>19733.522269419715</v>
      </c>
      <c r="O81" s="56">
        <f t="shared" si="32"/>
        <v>94904.076977678647</v>
      </c>
      <c r="P81" s="56">
        <f t="shared" si="32"/>
        <v>20876.624496361692</v>
      </c>
      <c r="Q81" s="56">
        <f t="shared" si="32"/>
        <v>20876.624496361692</v>
      </c>
      <c r="R81" s="56">
        <f t="shared" si="32"/>
        <v>57110.023080602761</v>
      </c>
      <c r="S81" s="56">
        <f t="shared" si="32"/>
        <v>62629.873489084915</v>
      </c>
      <c r="T81" s="56">
        <f t="shared" si="32"/>
        <v>114220.04616120545</v>
      </c>
      <c r="U81" s="56">
        <f t="shared" si="32"/>
        <v>114220.04616120545</v>
      </c>
      <c r="V81" s="56">
        <f t="shared" si="32"/>
        <v>118359.93396756705</v>
      </c>
      <c r="W81" s="56">
        <f t="shared" si="32"/>
        <v>118359.93396756705</v>
      </c>
      <c r="X81" s="56">
        <f t="shared" si="32"/>
        <v>114220.04616120545</v>
      </c>
      <c r="Y81" s="56">
        <f t="shared" si="32"/>
        <v>112840.08355908492</v>
      </c>
      <c r="Z81" s="56">
        <f t="shared" si="32"/>
        <v>20876.624496361692</v>
      </c>
      <c r="AA81" s="55"/>
      <c r="AB81" s="55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</row>
    <row r="82" spans="1:76">
      <c r="A82" s="54" t="s">
        <v>61</v>
      </c>
      <c r="C82" s="55">
        <f>-'P&amp;L'!C5</f>
        <v>21391.352053571427</v>
      </c>
      <c r="D82" s="55">
        <f>-'P&amp;L'!D5</f>
        <v>21391.352053571427</v>
      </c>
      <c r="E82" s="55">
        <f>-'P&amp;L'!E5</f>
        <v>58734.440089285716</v>
      </c>
      <c r="F82" s="55">
        <f>-'P&amp;L'!F5</f>
        <v>64174.056160714288</v>
      </c>
      <c r="G82" s="55">
        <f>-'P&amp;L'!G5</f>
        <v>117468.88017857143</v>
      </c>
      <c r="H82" s="55">
        <f>-'P&amp;L'!H5</f>
        <v>117468.88017857143</v>
      </c>
      <c r="I82" s="55">
        <f>-'P&amp;L'!I5</f>
        <v>121548.59223214287</v>
      </c>
      <c r="J82" s="55">
        <f>-'P&amp;L'!J5</f>
        <v>121548.59223214287</v>
      </c>
      <c r="K82" s="55">
        <f>-'P&amp;L'!K5</f>
        <v>117468.88017857143</v>
      </c>
      <c r="L82" s="55">
        <f>-'P&amp;L'!L5</f>
        <v>116108.97616071429</v>
      </c>
      <c r="M82" s="55">
        <f>-'P&amp;L'!M5</f>
        <v>21391.352053571427</v>
      </c>
      <c r="N82" s="55">
        <f>-'P&amp;L'!N5</f>
        <v>102877.04821428572</v>
      </c>
      <c r="O82" s="55">
        <f>-'P&amp;L'!C37</f>
        <v>22630.487258928573</v>
      </c>
      <c r="P82" s="55">
        <f>-'P&amp;L'!D37</f>
        <v>22630.487258928573</v>
      </c>
      <c r="Q82" s="55">
        <f>-'P&amp;L'!E37</f>
        <v>61907.884098214286</v>
      </c>
      <c r="R82" s="55">
        <f>-'P&amp;L'!F37</f>
        <v>67891.461776785713</v>
      </c>
      <c r="S82" s="55">
        <f>-'P&amp;L'!G37</f>
        <v>123815.76819642857</v>
      </c>
      <c r="T82" s="55">
        <f>-'P&amp;L'!H37</f>
        <v>123815.76819642857</v>
      </c>
      <c r="U82" s="55">
        <f>-'P&amp;L'!I37</f>
        <v>128303.45145535715</v>
      </c>
      <c r="V82" s="55">
        <f>-'P&amp;L'!J37</f>
        <v>128303.45145535715</v>
      </c>
      <c r="W82" s="55">
        <f>-'P&amp;L'!K37</f>
        <v>123815.76819642857</v>
      </c>
      <c r="X82" s="55">
        <f>-'P&amp;L'!L37</f>
        <v>122319.87377678571</v>
      </c>
      <c r="Y82" s="55">
        <f>-'P&amp;L'!M37</f>
        <v>22630.487258928573</v>
      </c>
      <c r="Z82" s="55">
        <f>-'P&amp;L'!N37</f>
        <v>108664.7530357143</v>
      </c>
      <c r="AA82" s="55"/>
      <c r="AB82" s="55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6"/>
      <c r="AN82" s="19"/>
      <c r="AO82" s="19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</row>
    <row r="83" spans="1:76">
      <c r="A83" s="54" t="s">
        <v>173</v>
      </c>
      <c r="B83" s="50">
        <f>VAT!C12</f>
        <v>0</v>
      </c>
      <c r="C83" s="55">
        <f>VAT!D12</f>
        <v>4920.0109723214282</v>
      </c>
      <c r="D83" s="55">
        <f>VAT!E12</f>
        <v>4920.0109723214282</v>
      </c>
      <c r="E83" s="55">
        <f>VAT!F12</f>
        <v>13508.921220535714</v>
      </c>
      <c r="F83" s="55">
        <f>VAT!G12</f>
        <v>14760.032916964286</v>
      </c>
      <c r="G83" s="55">
        <f>VAT!H12</f>
        <v>27017.842441071429</v>
      </c>
      <c r="H83" s="55">
        <f>VAT!I12</f>
        <v>27017.842441071429</v>
      </c>
      <c r="I83" s="55">
        <f>VAT!J12</f>
        <v>27956.176213392857</v>
      </c>
      <c r="J83" s="55">
        <f>VAT!K12</f>
        <v>27956.176213392857</v>
      </c>
      <c r="K83" s="55">
        <f>VAT!L12</f>
        <v>27017.842441071429</v>
      </c>
      <c r="L83" s="55">
        <f>VAT!M12</f>
        <v>26705.064516964288</v>
      </c>
      <c r="M83" s="55">
        <f>VAT!N12</f>
        <v>4920.0109723214282</v>
      </c>
      <c r="N83" s="55">
        <f>VAT!O12</f>
        <v>23661.721089285715</v>
      </c>
      <c r="O83" s="55">
        <f>VAT!D83</f>
        <v>5205.0120695535716</v>
      </c>
      <c r="P83" s="55">
        <f>VAT!E83</f>
        <v>5205.0120695535716</v>
      </c>
      <c r="Q83" s="55">
        <f>VAT!F83</f>
        <v>14238.813342589287</v>
      </c>
      <c r="R83" s="55">
        <f>VAT!G83</f>
        <v>15615.036208660715</v>
      </c>
      <c r="S83" s="55">
        <f>VAT!H83</f>
        <v>28477.626685178573</v>
      </c>
      <c r="T83" s="55">
        <f>VAT!I83</f>
        <v>28477.626685178573</v>
      </c>
      <c r="U83" s="55">
        <f>VAT!J83</f>
        <v>29509.793834732143</v>
      </c>
      <c r="V83" s="55">
        <f>VAT!K83</f>
        <v>29509.793834732143</v>
      </c>
      <c r="W83" s="55">
        <f>VAT!L83</f>
        <v>28477.626685178573</v>
      </c>
      <c r="X83" s="55">
        <f>VAT!M83</f>
        <v>28133.570968660715</v>
      </c>
      <c r="Y83" s="55">
        <f>VAT!N83</f>
        <v>5205.0120695535716</v>
      </c>
      <c r="Z83" s="55">
        <f>VAT!O83</f>
        <v>24992.893198214286</v>
      </c>
      <c r="AA83" s="55"/>
      <c r="AB83" s="55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6"/>
      <c r="AN83" s="19"/>
      <c r="AO83" s="19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</row>
    <row r="84" spans="1:76">
      <c r="A84" s="54" t="s">
        <v>64</v>
      </c>
      <c r="C84" s="64">
        <f>-(SUM(Balances!C82:C83)*'IP1'!$E$119)-(('IP2'!D17-'IP2'!E17))</f>
        <v>-17827.840756473212</v>
      </c>
      <c r="D84" s="64">
        <f>-(SUM(Balances!C82:C83)*'IP1'!$E$120+SUM(Balances!D82:D83)*'IP1'!$E$119)-(('IP2'!E17-'IP2'!F17))</f>
        <v>-60061.363025892853</v>
      </c>
      <c r="E84" s="64">
        <f>-(SUM(Balances!C82:C83)*'IP1'!$E$121+SUM(Balances!D82:D83)*'IP1'!$E$120+SUM(Balances!E82:E83)*'IP1'!$E$119)-(('IP2'!F17-'IP2'!G17))</f>
        <v>-37794.362596874998</v>
      </c>
      <c r="F84" s="64">
        <f>-(SUM(C82:C83)*'IP1'!$E$122+SUM(Balances!D82:D83)*'IP1'!$E$121+SUM(Balances!E82:E83)*'IP1'!$E$120+SUM(Balances!F82:F83)*'IP1'!$E$119)-(('IP2'!G17-'IP2'!H17))</f>
        <v>-73916.043251785712</v>
      </c>
      <c r="G84" s="64">
        <f>-(SUM(D82:D83)*'IP1'!$E$122+SUM(Balances!E82:E83)*'IP1'!$E$121+SUM(Balances!F82:F83)*'IP1'!$E$120+SUM(Balances!G82:G83)*'IP1'!$E$119)</f>
        <v>-95322.247463169639</v>
      </c>
      <c r="H84" s="64">
        <f>-(SUM(E82:E83)*'IP1'!$E$122+SUM(Balances!F82:F83)*'IP1'!$E$121+SUM(Balances!G82:G83)*'IP1'!$E$120+SUM(Balances!H82:H83)*'IP1'!$E$119)</f>
        <v>-144486.72261964285</v>
      </c>
      <c r="I84" s="64">
        <f>-(SUM(F82:F83)*'IP1'!$E$122+SUM(Balances!G82:G83)*'IP1'!$E$121+SUM(Balances!H82:H83)*'IP1'!$E$120+SUM(Balances!I82:I83)*'IP1'!$E$119)</f>
        <v>-145741.23407611606</v>
      </c>
      <c r="J84" s="64">
        <f>-(SUM(G82:G83)*'IP1'!$E$122+SUM(Balances!H82:H83)*'IP1'!$E$121+SUM(Balances!I82:I83)*'IP1'!$E$120+SUM(Balances!J82:J83)*'IP1'!$E$119)</f>
        <v>-149504.76844553574</v>
      </c>
      <c r="K84" s="64">
        <f>-(SUM(H82:H83)*'IP1'!$E$122+SUM(Balances!I82:I83)*'IP1'!$E$121+SUM(Balances!J82:J83)*'IP1'!$E$120+SUM(Balances!K82:K83)*'IP1'!$E$119)</f>
        <v>-148250.25698906253</v>
      </c>
      <c r="L84" s="64">
        <f>-(SUM(I82:I83)*'IP1'!$E$122+SUM(Balances!J82:J83)*'IP1'!$E$121+SUM(Balances!K82:K83)*'IP1'!$E$120+SUM(Balances!L82:L83)*'IP1'!$E$119)</f>
        <v>-144068.55213415177</v>
      </c>
      <c r="M84" s="64">
        <f>-(SUM(J82:J83)*'IP1'!$E$122+SUM(Balances!K82:K83)*'IP1'!$E$121+SUM(Balances!L82:L83)*'IP1'!$E$120+SUM(Balances!M82:M83)*'IP1'!$E$119)</f>
        <v>-113688.37126473215</v>
      </c>
      <c r="N84" s="64">
        <f>-(SUM(K82:K83)*'IP1'!$E$122+SUM(Balances!L82:L83)*'IP1'!$E$121+SUM(Balances!M82:M83)*'IP1'!$E$120+SUM(Balances!N82:N83)*'IP1'!$E$119)</f>
        <v>-51368.2145953125</v>
      </c>
      <c r="O84" s="64">
        <f>-(SUM(L82:L83)*'IP1'!$E$122+SUM(Balances!M82:M83)*'IP1'!$E$121+SUM(Balances!N82:N83)*'IP1'!$E$120+SUM(Balances!O82:O83)*'IP1'!$E$119)</f>
        <v>-101862.95180979911</v>
      </c>
      <c r="P84" s="64">
        <f>-(SUM(M82:M83)*'IP1'!$E$122+SUM(Balances!N82:N83)*'IP1'!$E$121+SUM(Balances!O82:O83)*'IP1'!$E$120+SUM(Balances!P82:P83)*'IP1'!$E$119)</f>
        <v>-27835.499328482147</v>
      </c>
      <c r="Q84" s="64">
        <f>-(SUM(N82:N83)*'IP1'!$E$122+SUM(Balances!O82:O83)*'IP1'!$E$121+SUM(Balances!P82:P83)*'IP1'!$E$120+SUM(Balances!Q82:Q83)*'IP1'!$E$119)</f>
        <v>-39913.298856562506</v>
      </c>
      <c r="R84" s="64">
        <f>-(SUM(O82:O83)*'IP1'!$E$122+SUM(Balances!P82:P83)*'IP1'!$E$121+SUM(Balances!Q82:Q83)*'IP1'!$E$120+SUM(Balances!R82:R83)*'IP1'!$E$119)</f>
        <v>-77986.647576964286</v>
      </c>
      <c r="S84" s="64">
        <f>-(SUM(P82:P83)*'IP1'!$E$122+SUM(Balances!Q82:Q83)*'IP1'!$E$121+SUM(Balances!R82:R83)*'IP1'!$E$120+SUM(Balances!S82:S83)*'IP1'!$E$119)</f>
        <v>-100703.22220948662</v>
      </c>
      <c r="T84" s="64">
        <f>-(SUM(Q82:Q83)*'IP1'!$E$122+SUM(Balances!R82:R83)*'IP1'!$E$121+SUM(Balances!S82:S83)*'IP1'!$E$120+SUM(Balances!T82:T83)*'IP1'!$E$119)</f>
        <v>-152293.39488160715</v>
      </c>
      <c r="U84" s="64">
        <f>-(SUM(R82:R83)*'IP1'!$E$122+SUM(Balances!S82:S83)*'IP1'!$E$121+SUM(Balances!T82:T83)*'IP1'!$E$120+SUM(Balances!U82:U83)*'IP1'!$E$119)</f>
        <v>-153673.35748372768</v>
      </c>
      <c r="V84" s="64">
        <f>-(SUM(S82:S83)*'IP1'!$E$122+SUM(Balances!T82:T83)*'IP1'!$E$121+SUM(Balances!U82:U83)*'IP1'!$E$120+SUM(Balances!V82:V83)*'IP1'!$E$119)</f>
        <v>-157813.24529008928</v>
      </c>
      <c r="W84" s="64">
        <f>-(SUM(T82:T83)*'IP1'!$E$122+SUM(Balances!U82:U83)*'IP1'!$E$121+SUM(Balances!V82:V83)*'IP1'!$E$120+SUM(Balances!W82:W83)*'IP1'!$E$119)</f>
        <v>-156433.28268796875</v>
      </c>
      <c r="X84" s="64">
        <f>-(SUM(U82:U83)*'IP1'!$E$122+SUM(Balances!V82:V83)*'IP1'!$E$121+SUM(Balances!W82:W83)*'IP1'!$E$120+SUM(Balances!X82:X83)*'IP1'!$E$119)</f>
        <v>-151833.40734756697</v>
      </c>
      <c r="Y84" s="64">
        <f>-(SUM(V82:V83)*'IP1'!$E$122+SUM(Balances!W82:W83)*'IP1'!$E$121+SUM(Balances!X82:X83)*'IP1'!$E$120+SUM(Balances!Y82:Y83)*'IP1'!$E$119)</f>
        <v>-119798.95839120536</v>
      </c>
      <c r="Z84" s="64">
        <f>-(SUM(W82:W83)*'IP1'!$E$122+SUM(Balances!X82:X83)*'IP1'!$E$121+SUM(Balances!Y82:Y83)*'IP1'!$E$120+SUM(Balances!Z82:Z83)*'IP1'!$E$119)</f>
        <v>-54291.03605484376</v>
      </c>
      <c r="AA84" s="61"/>
      <c r="AB84" s="61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</row>
    <row r="85" spans="1:76" s="7" customFormat="1">
      <c r="A85" s="52" t="s">
        <v>37</v>
      </c>
      <c r="B85" s="127">
        <f t="shared" ref="B85:Z85" si="33">SUM(B81:B84)</f>
        <v>45000</v>
      </c>
      <c r="C85" s="65">
        <f t="shared" si="33"/>
        <v>53483.522269419649</v>
      </c>
      <c r="D85" s="65">
        <f t="shared" si="33"/>
        <v>19733.522269419649</v>
      </c>
      <c r="E85" s="65">
        <f t="shared" si="33"/>
        <v>54182.520982366084</v>
      </c>
      <c r="F85" s="65">
        <f t="shared" si="33"/>
        <v>59200.56680825894</v>
      </c>
      <c r="G85" s="60">
        <f t="shared" si="33"/>
        <v>108365.04196473218</v>
      </c>
      <c r="H85" s="60">
        <f t="shared" si="33"/>
        <v>108365.0419647322</v>
      </c>
      <c r="I85" s="60">
        <f t="shared" si="33"/>
        <v>112128.57633415185</v>
      </c>
      <c r="J85" s="60">
        <f t="shared" si="33"/>
        <v>112128.57633415185</v>
      </c>
      <c r="K85" s="60">
        <f t="shared" si="33"/>
        <v>108365.0419647322</v>
      </c>
      <c r="L85" s="60">
        <f t="shared" si="33"/>
        <v>107110.53050825899</v>
      </c>
      <c r="M85" s="60">
        <f t="shared" si="33"/>
        <v>19733.522269419715</v>
      </c>
      <c r="N85" s="60">
        <f t="shared" si="33"/>
        <v>94904.076977678647</v>
      </c>
      <c r="O85" s="60">
        <f t="shared" si="33"/>
        <v>20876.624496361692</v>
      </c>
      <c r="P85" s="60">
        <f t="shared" si="33"/>
        <v>20876.624496361692</v>
      </c>
      <c r="Q85" s="60">
        <f t="shared" si="33"/>
        <v>57110.023080602761</v>
      </c>
      <c r="R85" s="60">
        <f t="shared" si="33"/>
        <v>62629.873489084915</v>
      </c>
      <c r="S85" s="60">
        <f t="shared" si="33"/>
        <v>114220.04616120545</v>
      </c>
      <c r="T85" s="60">
        <f t="shared" si="33"/>
        <v>114220.04616120545</v>
      </c>
      <c r="U85" s="60">
        <f t="shared" si="33"/>
        <v>118359.93396756705</v>
      </c>
      <c r="V85" s="60">
        <f t="shared" si="33"/>
        <v>118359.93396756705</v>
      </c>
      <c r="W85" s="60">
        <f t="shared" si="33"/>
        <v>114220.04616120545</v>
      </c>
      <c r="X85" s="60">
        <f t="shared" si="33"/>
        <v>112840.08355908492</v>
      </c>
      <c r="Y85" s="60">
        <f t="shared" si="33"/>
        <v>20876.624496361692</v>
      </c>
      <c r="Z85" s="60">
        <f t="shared" si="33"/>
        <v>100243.23467544651</v>
      </c>
      <c r="AA85" s="59"/>
      <c r="AB85" s="59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</row>
    <row r="86" spans="1:76">
      <c r="C86" s="57"/>
      <c r="D86" s="57"/>
      <c r="E86" s="57"/>
      <c r="F86" s="6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5"/>
      <c r="AB86" s="55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</row>
    <row r="87" spans="1:76">
      <c r="A87" s="15" t="s">
        <v>100</v>
      </c>
      <c r="C87" s="57"/>
      <c r="D87" s="57"/>
      <c r="E87" s="57"/>
      <c r="F87" s="6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5"/>
      <c r="AB87" s="55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</row>
    <row r="88" spans="1:76">
      <c r="A88" s="54" t="s">
        <v>51</v>
      </c>
      <c r="B88" s="85">
        <f>'IP2'!D18</f>
        <v>0</v>
      </c>
      <c r="C88" s="56">
        <f>B93</f>
        <v>0</v>
      </c>
      <c r="D88" s="56">
        <f>C93</f>
        <v>74314.076059218758</v>
      </c>
      <c r="E88" s="56">
        <f>D93</f>
        <v>30264.701059218743</v>
      </c>
      <c r="F88" s="56">
        <f>E93</f>
        <v>30271.953177656251</v>
      </c>
      <c r="G88" s="56">
        <f>F93</f>
        <v>57291.978177656223</v>
      </c>
      <c r="H88" s="56">
        <f t="shared" ref="H88:Z88" si="34">G93</f>
        <v>37911.906355312472</v>
      </c>
      <c r="I88" s="56">
        <f t="shared" si="34"/>
        <v>36528.156355312465</v>
      </c>
      <c r="J88" s="56">
        <f t="shared" si="34"/>
        <v>67805.518855312446</v>
      </c>
      <c r="K88" s="56">
        <f t="shared" si="34"/>
        <v>38977.393855312446</v>
      </c>
      <c r="L88" s="56">
        <f t="shared" si="34"/>
        <v>36528.156355312443</v>
      </c>
      <c r="M88" s="56">
        <f t="shared" si="34"/>
        <v>61772.368855312423</v>
      </c>
      <c r="N88" s="56">
        <f t="shared" si="34"/>
        <v>27958.451059218685</v>
      </c>
      <c r="O88" s="56">
        <f t="shared" si="34"/>
        <v>35745.017796093685</v>
      </c>
      <c r="P88" s="56">
        <f t="shared" si="34"/>
        <v>99838.014915140549</v>
      </c>
      <c r="Q88" s="56">
        <f t="shared" si="34"/>
        <v>35378.327415140535</v>
      </c>
      <c r="R88" s="56">
        <f t="shared" si="34"/>
        <v>35417.669745421794</v>
      </c>
      <c r="S88" s="56">
        <f t="shared" si="34"/>
        <v>70749.419745421794</v>
      </c>
      <c r="T88" s="56">
        <f t="shared" si="34"/>
        <v>43513.96449084366</v>
      </c>
      <c r="U88" s="56">
        <f t="shared" si="34"/>
        <v>42014.901990843668</v>
      </c>
      <c r="V88" s="56">
        <f t="shared" si="34"/>
        <v>81544.026990843675</v>
      </c>
      <c r="W88" s="56">
        <f t="shared" si="34"/>
        <v>44759.33949084366</v>
      </c>
      <c r="X88" s="56">
        <f t="shared" si="34"/>
        <v>42014.901990843668</v>
      </c>
      <c r="Y88" s="56">
        <f t="shared" si="34"/>
        <v>75271.026990843646</v>
      </c>
      <c r="Z88" s="56">
        <f t="shared" si="34"/>
        <v>33072.077415140506</v>
      </c>
      <c r="AA88" s="55"/>
      <c r="AB88" s="55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</row>
    <row r="89" spans="1:76">
      <c r="A89" s="54" t="s">
        <v>1</v>
      </c>
      <c r="C89" s="66">
        <f>SUMPRODUCT(($A87=OH!$D$2:$D$62)*(OH!E$2:E$62))</f>
        <v>80557.264020833347</v>
      </c>
      <c r="D89" s="66">
        <f>SUMPRODUCT(($A87=OH!$D$2:$D$62)*(OH!F$2:F$62))</f>
        <v>32807.264020833332</v>
      </c>
      <c r="E89" s="66">
        <f>SUMPRODUCT(($A87=OH!$D$2:$D$62)*(OH!G$2:G$62))</f>
        <v>32815.12539583334</v>
      </c>
      <c r="F89" s="66">
        <f>SUMPRODUCT(($A87=OH!$D$2:$D$62)*(OH!H$2:H$62))</f>
        <v>62105.125395833318</v>
      </c>
      <c r="G89" s="66">
        <f>SUMPRODUCT(($A87=OH!$D$2:$D$62)*(OH!I$2:I$62))</f>
        <v>41096.917458333337</v>
      </c>
      <c r="H89" s="66">
        <f>SUMPRODUCT(($A87=OH!$D$2:$D$62)*(OH!J$2:J$62))</f>
        <v>39596.917458333337</v>
      </c>
      <c r="I89" s="66">
        <f>SUMPRODUCT(($A87=OH!$D$2:$D$62)*(OH!K$2:K$62))</f>
        <v>73501.917458333322</v>
      </c>
      <c r="J89" s="66">
        <f>SUMPRODUCT(($A87=OH!$D$2:$D$62)*(OH!L$2:L$62))</f>
        <v>42251.91745833333</v>
      </c>
      <c r="K89" s="66">
        <f>SUMPRODUCT(($A87=OH!$D$2:$D$62)*(OH!M$2:M$62))</f>
        <v>39596.917458333337</v>
      </c>
      <c r="L89" s="66">
        <f>SUMPRODUCT(($A87=OH!$D$2:$D$62)*(OH!N$2:N$62))</f>
        <v>66961.917458333308</v>
      </c>
      <c r="M89" s="66">
        <f>SUMPRODUCT(($A87=OH!$D$2:$D$62)*(OH!O$2:O$62))</f>
        <v>30307.264020833336</v>
      </c>
      <c r="N89" s="66">
        <f>SUMPRODUCT(($A87=OH!$D$2:$D$62)*(OH!P$2:P$62))</f>
        <v>38747.98677083334</v>
      </c>
      <c r="O89" s="66">
        <f>SUMPRODUCT(($A87=OH!$D$2:$D$62)*(OH!Q$2:Q$62))</f>
        <v>108225.4904229167</v>
      </c>
      <c r="P89" s="66">
        <f>SUMPRODUCT(($A87=OH!$D$2:$D$62)*(OH!R$2:R$62))</f>
        <v>38350.490422916664</v>
      </c>
      <c r="Q89" s="66">
        <f>SUMPRODUCT(($A87=OH!$D$2:$D$62)*(OH!S$2:S$62))</f>
        <v>38393.137935416671</v>
      </c>
      <c r="R89" s="66">
        <f>SUMPRODUCT(($A87=OH!$D$2:$D$62)*(OH!T$2:T$62))</f>
        <v>76693.137935416671</v>
      </c>
      <c r="S89" s="66">
        <f>SUMPRODUCT(($A87=OH!$D$2:$D$62)*(OH!U$2:U$62))</f>
        <v>47169.609204166663</v>
      </c>
      <c r="T89" s="66">
        <f>SUMPRODUCT(($A87=OH!$D$2:$D$62)*(OH!V$2:V$62))</f>
        <v>45544.609204166671</v>
      </c>
      <c r="U89" s="66">
        <f>SUMPRODUCT(($A87=OH!$D$2:$D$62)*(OH!W$2:W$62))</f>
        <v>88394.6092041667</v>
      </c>
      <c r="V89" s="66">
        <f>SUMPRODUCT(($A87=OH!$D$2:$D$62)*(OH!X$2:X$62))</f>
        <v>48519.609204166663</v>
      </c>
      <c r="W89" s="66">
        <f>SUMPRODUCT(($A87=OH!$D$2:$D$62)*(OH!Y$2:Y$62))</f>
        <v>45544.609204166671</v>
      </c>
      <c r="X89" s="66">
        <f>SUMPRODUCT(($A87=OH!$D$2:$D$62)*(OH!Z$2:Z$62))</f>
        <v>81594.609204166671</v>
      </c>
      <c r="Y89" s="66">
        <f>SUMPRODUCT(($A87=OH!$D$2:$D$62)*(OH!AA$2:AA$62))</f>
        <v>35850.490422916664</v>
      </c>
      <c r="Z89" s="66">
        <f>SUMPRODUCT(($A87=OH!$D$2:$D$62)*(OH!AB$2:AB$62))</f>
        <v>44810.785447916671</v>
      </c>
      <c r="AA89" s="55"/>
      <c r="AB89" s="55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</row>
    <row r="90" spans="1:76">
      <c r="A90" s="54" t="s">
        <v>173</v>
      </c>
      <c r="B90" s="50">
        <f>VAT!C67</f>
        <v>0</v>
      </c>
      <c r="C90" s="66">
        <f>VAT!D67</f>
        <v>18528.17072479166</v>
      </c>
      <c r="D90" s="66">
        <f>VAT!E67</f>
        <v>7545.6707247916675</v>
      </c>
      <c r="E90" s="66">
        <f>VAT!F67</f>
        <v>7547.4788410416668</v>
      </c>
      <c r="F90" s="66">
        <f>VAT!G67</f>
        <v>14284.178841041668</v>
      </c>
      <c r="G90" s="66">
        <f>VAT!H67</f>
        <v>9452.2910154166657</v>
      </c>
      <c r="H90" s="66">
        <f>VAT!I67</f>
        <v>9107.2910154166657</v>
      </c>
      <c r="I90" s="66">
        <f>VAT!J67</f>
        <v>16905.441015416669</v>
      </c>
      <c r="J90" s="66">
        <f>VAT!K67</f>
        <v>9717.9410154166671</v>
      </c>
      <c r="K90" s="66">
        <f>VAT!L67</f>
        <v>9107.2910154166657</v>
      </c>
      <c r="L90" s="66">
        <f>VAT!M67</f>
        <v>15401.24101541667</v>
      </c>
      <c r="M90" s="66">
        <f>VAT!N67</f>
        <v>6970.6707247916656</v>
      </c>
      <c r="N90" s="66">
        <f>VAT!O67</f>
        <v>8912.0369572916661</v>
      </c>
      <c r="O90" s="66">
        <f>VAT!D138</f>
        <v>24891.86279727082</v>
      </c>
      <c r="P90" s="66">
        <f>VAT!E138</f>
        <v>8820.6127972708346</v>
      </c>
      <c r="Q90" s="66">
        <f>VAT!F138</f>
        <v>8830.4217251458322</v>
      </c>
      <c r="R90" s="66">
        <f>VAT!G138</f>
        <v>17639.421725145836</v>
      </c>
      <c r="S90" s="66">
        <f>VAT!H138</f>
        <v>10849.010116958336</v>
      </c>
      <c r="T90" s="66">
        <f>VAT!I138</f>
        <v>10475.260116958336</v>
      </c>
      <c r="U90" s="66">
        <f>VAT!J138</f>
        <v>20330.760116958329</v>
      </c>
      <c r="V90" s="66">
        <f>VAT!K138</f>
        <v>11159.510116958336</v>
      </c>
      <c r="W90" s="66">
        <f>VAT!L138</f>
        <v>10475.260116958336</v>
      </c>
      <c r="X90" s="66">
        <f>VAT!M138</f>
        <v>18766.760116958332</v>
      </c>
      <c r="Y90" s="66">
        <f>VAT!N138</f>
        <v>8245.6127972708346</v>
      </c>
      <c r="Z90" s="66">
        <f>VAT!O138</f>
        <v>10306.480653020835</v>
      </c>
      <c r="AA90" s="55"/>
      <c r="AB90" s="55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</row>
    <row r="91" spans="1:76">
      <c r="A91" s="54" t="s">
        <v>92</v>
      </c>
      <c r="C91" s="57"/>
      <c r="D91" s="57"/>
      <c r="E91" s="57"/>
      <c r="F91" s="55">
        <v>0</v>
      </c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5"/>
      <c r="AB91" s="55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</row>
    <row r="92" spans="1:76">
      <c r="A92" s="54" t="s">
        <v>64</v>
      </c>
      <c r="C92" s="64">
        <f>-(SUM(Balances!C89:C90)*'IP1'!$F$119)-(('IP2'!D18-'IP2'!E18))</f>
        <v>-24771.358686406253</v>
      </c>
      <c r="D92" s="64">
        <f>-(SUM(Balances!C89:C90)*'IP1'!$F$120+SUM(Balances!D89:D90)*'IP1'!$F$119)-(('IP2'!E18-'IP2'!F18))</f>
        <v>-84402.309745625011</v>
      </c>
      <c r="E92" s="64">
        <f>-(SUM(Balances!C89:C90)*'IP1'!$F$121+SUM(Balances!D89:D90)*'IP1'!$F$120+SUM(Balances!E89:E90)*'IP1'!$F$119)-(('IP2'!F18-'IP2'!G18))</f>
        <v>-40355.352118437499</v>
      </c>
      <c r="F92" s="64">
        <f>-(SUM(C89:C90)*'IP1'!$F$122+SUM(Balances!D89:D90)*'IP1'!$F$121+SUM(Balances!E89:E90)*'IP1'!$F$120+SUM(Balances!F89:F90)*'IP1'!$F$119)-(('IP2'!G18-'IP2'!H18))</f>
        <v>-49369.279236875002</v>
      </c>
      <c r="G92" s="64">
        <f>-(SUM(D89:D90)*'IP1'!$F$122+SUM(Balances!E89:E90)*'IP1'!$F$121+SUM(Balances!F89:F90)*'IP1'!$F$120+SUM(Balances!G89:G90)*'IP1'!$F$119)</f>
        <v>-69929.280296093741</v>
      </c>
      <c r="H92" s="64">
        <f>-(SUM(E89:E90)*'IP1'!$F$122+SUM(Balances!F89:F90)*'IP1'!$F$121+SUM(Balances!G89:G90)*'IP1'!$F$120+SUM(Balances!H89:H90)*'IP1'!$F$119)</f>
        <v>-50087.958473750004</v>
      </c>
      <c r="I92" s="64">
        <f>-(SUM(F89:F90)*'IP1'!$F$122+SUM(Balances!G89:G90)*'IP1'!$F$121+SUM(Balances!H89:H90)*'IP1'!$F$120+SUM(Balances!I89:I90)*'IP1'!$F$119)</f>
        <v>-59129.995973750003</v>
      </c>
      <c r="J92" s="64">
        <f>-(SUM(G89:G90)*'IP1'!$F$122+SUM(Balances!H89:H90)*'IP1'!$F$121+SUM(Balances!I89:I90)*'IP1'!$F$120+SUM(Balances!J89:J90)*'IP1'!$F$119)</f>
        <v>-80797.983473749991</v>
      </c>
      <c r="K92" s="64">
        <f>-(SUM(H89:H90)*'IP1'!$F$122+SUM(Balances!I89:I90)*'IP1'!$F$121+SUM(Balances!J89:J90)*'IP1'!$F$120+SUM(Balances!K89:K90)*'IP1'!$F$119)</f>
        <v>-51153.44597375</v>
      </c>
      <c r="L92" s="64">
        <f>-(SUM(I89:I90)*'IP1'!$F$122+SUM(Balances!J89:J90)*'IP1'!$F$121+SUM(Balances!K89:K90)*'IP1'!$F$120+SUM(Balances!L89:L90)*'IP1'!$F$119)</f>
        <v>-57118.94597375</v>
      </c>
      <c r="M92" s="64">
        <f>-(SUM(J89:J90)*'IP1'!$F$122+SUM(Balances!K89:K90)*'IP1'!$F$121+SUM(Balances!L89:L90)*'IP1'!$F$120+SUM(Balances!M89:M90)*'IP1'!$F$119)</f>
        <v>-71091.852541718734</v>
      </c>
      <c r="N92" s="64">
        <f>-(SUM(K89:K90)*'IP1'!$F$122+SUM(Balances!L89:L90)*'IP1'!$F$121+SUM(Balances!M89:M90)*'IP1'!$F$120+SUM(Balances!N89:N90)*'IP1'!$F$119)</f>
        <v>-39873.456991250001</v>
      </c>
      <c r="O92" s="64">
        <f>-(SUM(L89:L90)*'IP1'!$F$122+SUM(Balances!M89:M90)*'IP1'!$F$121+SUM(Balances!N89:N90)*'IP1'!$F$120+SUM(Balances!O89:O90)*'IP1'!$F$119)</f>
        <v>-69024.356101140642</v>
      </c>
      <c r="P92" s="64">
        <f>-(SUM(M89:M90)*'IP1'!$F$122+SUM(Balances!N89:N90)*'IP1'!$F$121+SUM(Balances!O89:O90)*'IP1'!$F$120+SUM(Balances!P89:P90)*'IP1'!$F$119)</f>
        <v>-111630.79072018752</v>
      </c>
      <c r="Q92" s="64">
        <f>-(SUM(N89:N90)*'IP1'!$F$122+SUM(Balances!O89:O90)*'IP1'!$F$121+SUM(Balances!P89:P90)*'IP1'!$F$120+SUM(Balances!Q89:Q90)*'IP1'!$F$119)</f>
        <v>-47184.217330281244</v>
      </c>
      <c r="R92" s="64">
        <f>-(SUM(O89:O90)*'IP1'!$F$122+SUM(Balances!P89:P90)*'IP1'!$F$121+SUM(Balances!Q89:Q90)*'IP1'!$F$120+SUM(Balances!R89:R90)*'IP1'!$F$119)</f>
        <v>-59000.809660562503</v>
      </c>
      <c r="S92" s="64">
        <f>-(SUM(P89:P90)*'IP1'!$F$122+SUM(Balances!Q89:Q90)*'IP1'!$F$121+SUM(Balances!R89:R90)*'IP1'!$F$120+SUM(Balances!S89:S90)*'IP1'!$F$119)</f>
        <v>-85254.074575703125</v>
      </c>
      <c r="T92" s="64">
        <f>-(SUM(Q89:Q90)*'IP1'!$F$122+SUM(Balances!R89:R90)*'IP1'!$F$121+SUM(Balances!S89:S90)*'IP1'!$F$120+SUM(Balances!T89:T90)*'IP1'!$F$119)</f>
        <v>-57518.931821124999</v>
      </c>
      <c r="U92" s="64">
        <f>-(SUM(R89:R90)*'IP1'!$F$122+SUM(Balances!S89:S90)*'IP1'!$F$121+SUM(Balances!T89:T90)*'IP1'!$F$120+SUM(Balances!U89:U90)*'IP1'!$F$119)</f>
        <v>-69196.244321125007</v>
      </c>
      <c r="V92" s="64">
        <f>-(SUM(S89:S90)*'IP1'!$F$122+SUM(Balances!T89:T90)*'IP1'!$F$121+SUM(Balances!U89:U90)*'IP1'!$F$120+SUM(Balances!V89:V90)*'IP1'!$F$119)</f>
        <v>-96463.806821125021</v>
      </c>
      <c r="W92" s="64">
        <f>-(SUM(T89:T90)*'IP1'!$F$122+SUM(Balances!U89:U90)*'IP1'!$F$121+SUM(Balances!V89:V90)*'IP1'!$F$120+SUM(Balances!W89:W90)*'IP1'!$F$119)</f>
        <v>-58764.306821124999</v>
      </c>
      <c r="X92" s="64">
        <f>-(SUM(U89:U90)*'IP1'!$F$122+SUM(Balances!V89:V90)*'IP1'!$F$121+SUM(Balances!W89:W90)*'IP1'!$F$120+SUM(Balances!X89:X90)*'IP1'!$F$119)</f>
        <v>-67105.244321125007</v>
      </c>
      <c r="Y92" s="64">
        <f>-(SUM(V89:V90)*'IP1'!$F$122+SUM(Balances!W89:W90)*'IP1'!$F$121+SUM(Balances!X89:X90)*'IP1'!$F$120+SUM(Balances!Y89:Y90)*'IP1'!$F$119)</f>
        <v>-86295.052795890631</v>
      </c>
      <c r="Z92" s="64">
        <f>-(SUM(W89:W90)*'IP1'!$F$122+SUM(Balances!X89:X90)*'IP1'!$F$121+SUM(Balances!Y89:Y90)*'IP1'!$F$120+SUM(Balances!Z89:Z90)*'IP1'!$F$119)</f>
        <v>-46851.393940374997</v>
      </c>
      <c r="AA92" s="61"/>
      <c r="AB92" s="61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</row>
    <row r="93" spans="1:76" s="7" customFormat="1">
      <c r="A93" s="52" t="s">
        <v>37</v>
      </c>
      <c r="B93" s="65">
        <f>SUM(B88:B92)</f>
        <v>0</v>
      </c>
      <c r="C93" s="65">
        <f>SUM(C88:C92)</f>
        <v>74314.076059218758</v>
      </c>
      <c r="D93" s="65">
        <f>SUM(D88:D92)</f>
        <v>30264.701059218743</v>
      </c>
      <c r="E93" s="65">
        <f>SUM(E88:E92)</f>
        <v>30271.953177656251</v>
      </c>
      <c r="F93" s="65">
        <f>SUM(F88:F92)</f>
        <v>57291.978177656223</v>
      </c>
      <c r="G93" s="60">
        <f t="shared" ref="G93:Z93" si="35">SUM(G88:G92)</f>
        <v>37911.906355312472</v>
      </c>
      <c r="H93" s="60">
        <f t="shared" si="35"/>
        <v>36528.156355312465</v>
      </c>
      <c r="I93" s="60">
        <f t="shared" si="35"/>
        <v>67805.518855312446</v>
      </c>
      <c r="J93" s="60">
        <f t="shared" si="35"/>
        <v>38977.393855312446</v>
      </c>
      <c r="K93" s="60">
        <f t="shared" si="35"/>
        <v>36528.156355312443</v>
      </c>
      <c r="L93" s="60">
        <f t="shared" si="35"/>
        <v>61772.368855312423</v>
      </c>
      <c r="M93" s="60">
        <f t="shared" si="35"/>
        <v>27958.451059218685</v>
      </c>
      <c r="N93" s="60">
        <f t="shared" si="35"/>
        <v>35745.017796093685</v>
      </c>
      <c r="O93" s="60">
        <f t="shared" si="35"/>
        <v>99838.014915140549</v>
      </c>
      <c r="P93" s="60">
        <f t="shared" si="35"/>
        <v>35378.327415140535</v>
      </c>
      <c r="Q93" s="60">
        <f t="shared" si="35"/>
        <v>35417.669745421794</v>
      </c>
      <c r="R93" s="60">
        <f t="shared" si="35"/>
        <v>70749.419745421794</v>
      </c>
      <c r="S93" s="60">
        <f t="shared" si="35"/>
        <v>43513.96449084366</v>
      </c>
      <c r="T93" s="60">
        <f t="shared" si="35"/>
        <v>42014.901990843668</v>
      </c>
      <c r="U93" s="60">
        <f t="shared" si="35"/>
        <v>81544.026990843675</v>
      </c>
      <c r="V93" s="60">
        <f t="shared" si="35"/>
        <v>44759.33949084366</v>
      </c>
      <c r="W93" s="60">
        <f t="shared" si="35"/>
        <v>42014.901990843668</v>
      </c>
      <c r="X93" s="60">
        <f t="shared" si="35"/>
        <v>75271.026990843646</v>
      </c>
      <c r="Y93" s="60">
        <f t="shared" si="35"/>
        <v>33072.077415140506</v>
      </c>
      <c r="Z93" s="60">
        <f t="shared" si="35"/>
        <v>41337.949575703009</v>
      </c>
      <c r="AA93" s="59"/>
      <c r="AB93" s="59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</row>
    <row r="94" spans="1:76">
      <c r="C94" s="57"/>
      <c r="D94" s="57"/>
      <c r="E94" s="57"/>
      <c r="F94" s="6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5"/>
      <c r="AB94" s="55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</row>
    <row r="95" spans="1:76">
      <c r="A95" s="63" t="s">
        <v>62</v>
      </c>
      <c r="C95" s="57"/>
      <c r="D95" s="57"/>
      <c r="E95" s="57"/>
      <c r="F95" s="6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5"/>
      <c r="AB95" s="55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</row>
    <row r="96" spans="1:76">
      <c r="A96" s="54" t="s">
        <v>51</v>
      </c>
      <c r="B96" s="85">
        <f>'IP2'!D19</f>
        <v>0</v>
      </c>
      <c r="C96" s="56">
        <f>'IP2'!D19</f>
        <v>0</v>
      </c>
      <c r="D96" s="56">
        <f>C99</f>
        <v>0</v>
      </c>
      <c r="E96" s="56">
        <f t="shared" ref="E96:Z96" si="36">D99</f>
        <v>0</v>
      </c>
      <c r="F96" s="56">
        <f t="shared" si="36"/>
        <v>0</v>
      </c>
      <c r="G96" s="56">
        <f t="shared" si="36"/>
        <v>0</v>
      </c>
      <c r="H96" s="56">
        <f t="shared" si="36"/>
        <v>0</v>
      </c>
      <c r="I96" s="56">
        <f t="shared" si="36"/>
        <v>0</v>
      </c>
      <c r="J96" s="56">
        <f t="shared" si="36"/>
        <v>0</v>
      </c>
      <c r="K96" s="56">
        <f t="shared" si="36"/>
        <v>0</v>
      </c>
      <c r="L96" s="56">
        <f t="shared" si="36"/>
        <v>0</v>
      </c>
      <c r="M96" s="56">
        <f t="shared" si="36"/>
        <v>0</v>
      </c>
      <c r="N96" s="56">
        <f t="shared" si="36"/>
        <v>0</v>
      </c>
      <c r="O96" s="56">
        <f t="shared" si="36"/>
        <v>0</v>
      </c>
      <c r="P96" s="56">
        <f t="shared" si="36"/>
        <v>0</v>
      </c>
      <c r="Q96" s="56">
        <f t="shared" si="36"/>
        <v>0</v>
      </c>
      <c r="R96" s="56">
        <f t="shared" si="36"/>
        <v>0</v>
      </c>
      <c r="S96" s="56">
        <f t="shared" si="36"/>
        <v>0</v>
      </c>
      <c r="T96" s="56">
        <f t="shared" si="36"/>
        <v>0</v>
      </c>
      <c r="U96" s="56">
        <f t="shared" si="36"/>
        <v>0</v>
      </c>
      <c r="V96" s="56">
        <f t="shared" si="36"/>
        <v>0</v>
      </c>
      <c r="W96" s="56">
        <f t="shared" si="36"/>
        <v>0</v>
      </c>
      <c r="X96" s="56">
        <f t="shared" si="36"/>
        <v>0</v>
      </c>
      <c r="Y96" s="56">
        <f t="shared" si="36"/>
        <v>0</v>
      </c>
      <c r="Z96" s="56">
        <f t="shared" si="36"/>
        <v>0</v>
      </c>
      <c r="AA96" s="55"/>
      <c r="AB96" s="55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</row>
    <row r="97" spans="1:76">
      <c r="A97" s="54" t="s">
        <v>63</v>
      </c>
      <c r="C97" s="66">
        <f>SUMPRODUCT(($A95=OH!$D$2:$D$62)*(OH!E$2:E$62))</f>
        <v>46666.666666666664</v>
      </c>
      <c r="D97" s="66">
        <f>SUMPRODUCT(($A95=OH!$D$2:$D$62)*(OH!F$2:F$62))</f>
        <v>46666.666666666664</v>
      </c>
      <c r="E97" s="66">
        <f>SUMPRODUCT(($A95=OH!$D$2:$D$62)*(OH!G$2:G$62))</f>
        <v>46666.666666666664</v>
      </c>
      <c r="F97" s="66">
        <f>SUMPRODUCT(($A95=OH!$D$2:$D$62)*(OH!H$2:H$62))</f>
        <v>46666.666666666664</v>
      </c>
      <c r="G97" s="66">
        <f>SUMPRODUCT(($A95=OH!$D$2:$D$62)*(OH!I$2:I$62))</f>
        <v>46666.666666666664</v>
      </c>
      <c r="H97" s="66">
        <f>SUMPRODUCT(($A95=OH!$D$2:$D$62)*(OH!J$2:J$62))</f>
        <v>46666.666666666664</v>
      </c>
      <c r="I97" s="66">
        <f>SUMPRODUCT(($A95=OH!$D$2:$D$62)*(OH!K$2:K$62))</f>
        <v>46666.666666666664</v>
      </c>
      <c r="J97" s="66">
        <f>SUMPRODUCT(($A95=OH!$D$2:$D$62)*(OH!L$2:L$62))</f>
        <v>46666.666666666664</v>
      </c>
      <c r="K97" s="66">
        <f>SUMPRODUCT(($A95=OH!$D$2:$D$62)*(OH!M$2:M$62))</f>
        <v>46666.666666666664</v>
      </c>
      <c r="L97" s="66">
        <f>SUMPRODUCT(($A95=OH!$D$2:$D$62)*(OH!N$2:N$62))</f>
        <v>46666.666666666664</v>
      </c>
      <c r="M97" s="66">
        <f>SUMPRODUCT(($A95=OH!$D$2:$D$62)*(OH!O$2:O$62))</f>
        <v>46666.666666666664</v>
      </c>
      <c r="N97" s="66">
        <f>SUMPRODUCT(($A95=OH!$D$2:$D$62)*(OH!P$2:P$62))</f>
        <v>46666.666666666664</v>
      </c>
      <c r="O97" s="66">
        <f>SUMPRODUCT(($A95=OH!$D$2:$D$62)*(OH!Q$2:Q$62))</f>
        <v>48333.333333333336</v>
      </c>
      <c r="P97" s="66">
        <f>SUMPRODUCT(($A95=OH!$D$2:$D$62)*(OH!R$2:R$62))</f>
        <v>48333.333333333336</v>
      </c>
      <c r="Q97" s="66">
        <f>SUMPRODUCT(($A95=OH!$D$2:$D$62)*(OH!S$2:S$62))</f>
        <v>48333.333333333336</v>
      </c>
      <c r="R97" s="66">
        <f>SUMPRODUCT(($A95=OH!$D$2:$D$62)*(OH!T$2:T$62))</f>
        <v>48333.333333333336</v>
      </c>
      <c r="S97" s="66">
        <f>SUMPRODUCT(($A95=OH!$D$2:$D$62)*(OH!U$2:U$62))</f>
        <v>48333.333333333336</v>
      </c>
      <c r="T97" s="66">
        <f>SUMPRODUCT(($A95=OH!$D$2:$D$62)*(OH!V$2:V$62))</f>
        <v>48333.333333333336</v>
      </c>
      <c r="U97" s="66">
        <f>SUMPRODUCT(($A95=OH!$D$2:$D$62)*(OH!W$2:W$62))</f>
        <v>48333.333333333336</v>
      </c>
      <c r="V97" s="66">
        <f>SUMPRODUCT(($A95=OH!$D$2:$D$62)*(OH!X$2:X$62))</f>
        <v>48333.333333333336</v>
      </c>
      <c r="W97" s="66">
        <f>SUMPRODUCT(($A95=OH!$D$2:$D$62)*(OH!Y$2:Y$62))</f>
        <v>48333.333333333336</v>
      </c>
      <c r="X97" s="66">
        <f>SUMPRODUCT(($A95=OH!$D$2:$D$62)*(OH!Z$2:Z$62))</f>
        <v>48333.333333333336</v>
      </c>
      <c r="Y97" s="66">
        <f>SUMPRODUCT(($A95=OH!$D$2:$D$62)*(OH!AA$2:AA$62))</f>
        <v>48333.333333333336</v>
      </c>
      <c r="Z97" s="66">
        <f>SUMPRODUCT(($A95=OH!$D$2:$D$62)*(OH!AB$2:AB$62))</f>
        <v>48333.333333333336</v>
      </c>
      <c r="AA97" s="55"/>
      <c r="AB97" s="55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</row>
    <row r="98" spans="1:76">
      <c r="A98" s="54" t="s">
        <v>64</v>
      </c>
      <c r="C98" s="66">
        <f>SUM(C96:C97)</f>
        <v>46666.666666666664</v>
      </c>
      <c r="D98" s="66">
        <f t="shared" ref="D98:Z98" si="37">SUM(D96:D97)</f>
        <v>46666.666666666664</v>
      </c>
      <c r="E98" s="66">
        <f t="shared" si="37"/>
        <v>46666.666666666664</v>
      </c>
      <c r="F98" s="66">
        <f t="shared" si="37"/>
        <v>46666.666666666664</v>
      </c>
      <c r="G98" s="66">
        <f t="shared" si="37"/>
        <v>46666.666666666664</v>
      </c>
      <c r="H98" s="66">
        <f t="shared" si="37"/>
        <v>46666.666666666664</v>
      </c>
      <c r="I98" s="66">
        <f t="shared" si="37"/>
        <v>46666.666666666664</v>
      </c>
      <c r="J98" s="66">
        <f t="shared" si="37"/>
        <v>46666.666666666664</v>
      </c>
      <c r="K98" s="66">
        <f t="shared" si="37"/>
        <v>46666.666666666664</v>
      </c>
      <c r="L98" s="66">
        <f t="shared" si="37"/>
        <v>46666.666666666664</v>
      </c>
      <c r="M98" s="66">
        <f t="shared" si="37"/>
        <v>46666.666666666664</v>
      </c>
      <c r="N98" s="66">
        <f t="shared" si="37"/>
        <v>46666.666666666664</v>
      </c>
      <c r="O98" s="66">
        <f t="shared" si="37"/>
        <v>48333.333333333336</v>
      </c>
      <c r="P98" s="66">
        <f t="shared" si="37"/>
        <v>48333.333333333336</v>
      </c>
      <c r="Q98" s="66">
        <f t="shared" si="37"/>
        <v>48333.333333333336</v>
      </c>
      <c r="R98" s="66">
        <f t="shared" si="37"/>
        <v>48333.333333333336</v>
      </c>
      <c r="S98" s="66">
        <f t="shared" si="37"/>
        <v>48333.333333333336</v>
      </c>
      <c r="T98" s="66">
        <f t="shared" si="37"/>
        <v>48333.333333333336</v>
      </c>
      <c r="U98" s="66">
        <f t="shared" si="37"/>
        <v>48333.333333333336</v>
      </c>
      <c r="V98" s="66">
        <f t="shared" si="37"/>
        <v>48333.333333333336</v>
      </c>
      <c r="W98" s="66">
        <f t="shared" si="37"/>
        <v>48333.333333333336</v>
      </c>
      <c r="X98" s="66">
        <f t="shared" si="37"/>
        <v>48333.333333333336</v>
      </c>
      <c r="Y98" s="66">
        <f t="shared" si="37"/>
        <v>48333.333333333336</v>
      </c>
      <c r="Z98" s="66">
        <f t="shared" si="37"/>
        <v>48333.333333333336</v>
      </c>
      <c r="AA98" s="55"/>
      <c r="AB98" s="55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</row>
    <row r="99" spans="1:76" s="7" customFormat="1">
      <c r="A99" s="52" t="s">
        <v>37</v>
      </c>
      <c r="B99" s="127">
        <f>B96</f>
        <v>0</v>
      </c>
      <c r="C99" s="59">
        <f>SUM(C96:C97)-C98</f>
        <v>0</v>
      </c>
      <c r="D99" s="59">
        <f t="shared" ref="D99:Z99" si="38">SUM(D96:D97)-D98</f>
        <v>0</v>
      </c>
      <c r="E99" s="59">
        <f t="shared" si="38"/>
        <v>0</v>
      </c>
      <c r="F99" s="59">
        <f t="shared" si="38"/>
        <v>0</v>
      </c>
      <c r="G99" s="59">
        <f t="shared" si="38"/>
        <v>0</v>
      </c>
      <c r="H99" s="59">
        <f t="shared" si="38"/>
        <v>0</v>
      </c>
      <c r="I99" s="59">
        <f t="shared" si="38"/>
        <v>0</v>
      </c>
      <c r="J99" s="59">
        <f t="shared" si="38"/>
        <v>0</v>
      </c>
      <c r="K99" s="59">
        <f t="shared" si="38"/>
        <v>0</v>
      </c>
      <c r="L99" s="59">
        <f t="shared" si="38"/>
        <v>0</v>
      </c>
      <c r="M99" s="59">
        <f t="shared" si="38"/>
        <v>0</v>
      </c>
      <c r="N99" s="59">
        <f t="shared" si="38"/>
        <v>0</v>
      </c>
      <c r="O99" s="59">
        <f t="shared" si="38"/>
        <v>0</v>
      </c>
      <c r="P99" s="59">
        <f t="shared" si="38"/>
        <v>0</v>
      </c>
      <c r="Q99" s="59">
        <f t="shared" si="38"/>
        <v>0</v>
      </c>
      <c r="R99" s="59">
        <f t="shared" si="38"/>
        <v>0</v>
      </c>
      <c r="S99" s="59">
        <f t="shared" si="38"/>
        <v>0</v>
      </c>
      <c r="T99" s="59">
        <f t="shared" si="38"/>
        <v>0</v>
      </c>
      <c r="U99" s="59">
        <f t="shared" si="38"/>
        <v>0</v>
      </c>
      <c r="V99" s="59">
        <f t="shared" si="38"/>
        <v>0</v>
      </c>
      <c r="W99" s="59">
        <f t="shared" si="38"/>
        <v>0</v>
      </c>
      <c r="X99" s="59">
        <f t="shared" si="38"/>
        <v>0</v>
      </c>
      <c r="Y99" s="59">
        <f t="shared" si="38"/>
        <v>0</v>
      </c>
      <c r="Z99" s="59">
        <f t="shared" si="38"/>
        <v>0</v>
      </c>
      <c r="AA99" s="59"/>
      <c r="AB99" s="59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</row>
    <row r="100" spans="1:76">
      <c r="A100" s="52"/>
      <c r="C100" s="57"/>
      <c r="D100" s="57"/>
      <c r="E100" s="57"/>
      <c r="F100" s="55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5"/>
      <c r="AB100" s="55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</row>
    <row r="101" spans="1:76">
      <c r="A101" s="63" t="s">
        <v>65</v>
      </c>
      <c r="C101" s="57"/>
      <c r="D101" s="57"/>
      <c r="E101" s="57"/>
      <c r="F101" s="55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5"/>
      <c r="AB101" s="55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</row>
    <row r="102" spans="1:76">
      <c r="A102" s="54" t="s">
        <v>51</v>
      </c>
      <c r="C102" s="56">
        <f>'IP2'!D20</f>
        <v>0</v>
      </c>
      <c r="D102" s="56">
        <f>C105</f>
        <v>7000</v>
      </c>
      <c r="E102" s="56">
        <f t="shared" ref="E102:Z102" si="39">D105</f>
        <v>7000</v>
      </c>
      <c r="F102" s="56">
        <f t="shared" si="39"/>
        <v>7000</v>
      </c>
      <c r="G102" s="56">
        <f t="shared" si="39"/>
        <v>7000</v>
      </c>
      <c r="H102" s="56">
        <f t="shared" si="39"/>
        <v>7000</v>
      </c>
      <c r="I102" s="56">
        <f t="shared" si="39"/>
        <v>7000</v>
      </c>
      <c r="J102" s="56">
        <f t="shared" si="39"/>
        <v>7000</v>
      </c>
      <c r="K102" s="56">
        <f t="shared" si="39"/>
        <v>7000</v>
      </c>
      <c r="L102" s="56">
        <f t="shared" si="39"/>
        <v>7000</v>
      </c>
      <c r="M102" s="56">
        <f t="shared" si="39"/>
        <v>7000</v>
      </c>
      <c r="N102" s="56">
        <f t="shared" si="39"/>
        <v>7000</v>
      </c>
      <c r="O102" s="56">
        <f t="shared" si="39"/>
        <v>7000</v>
      </c>
      <c r="P102" s="56">
        <f t="shared" si="39"/>
        <v>7250</v>
      </c>
      <c r="Q102" s="56">
        <f t="shared" si="39"/>
        <v>7250</v>
      </c>
      <c r="R102" s="56">
        <f t="shared" si="39"/>
        <v>7250</v>
      </c>
      <c r="S102" s="56">
        <f t="shared" si="39"/>
        <v>7250</v>
      </c>
      <c r="T102" s="56">
        <f t="shared" si="39"/>
        <v>7250</v>
      </c>
      <c r="U102" s="56">
        <f t="shared" si="39"/>
        <v>7250</v>
      </c>
      <c r="V102" s="56">
        <f t="shared" si="39"/>
        <v>7250</v>
      </c>
      <c r="W102" s="56">
        <f t="shared" si="39"/>
        <v>7250</v>
      </c>
      <c r="X102" s="56">
        <f t="shared" si="39"/>
        <v>7250</v>
      </c>
      <c r="Y102" s="56">
        <f t="shared" si="39"/>
        <v>7250</v>
      </c>
      <c r="Z102" s="56">
        <f t="shared" si="39"/>
        <v>7250</v>
      </c>
      <c r="AA102" s="55"/>
      <c r="AB102" s="55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</row>
    <row r="103" spans="1:76">
      <c r="A103" s="54" t="s">
        <v>67</v>
      </c>
      <c r="B103" s="85">
        <f>'IP2'!D20</f>
        <v>0</v>
      </c>
      <c r="C103" s="66">
        <f>SUMPRODUCT(($A101=OH!$D$2:$D$62)*(OH!E$2:E$62))</f>
        <v>7000</v>
      </c>
      <c r="D103" s="66">
        <f>SUMPRODUCT(($A101=OH!$D$2:$D$62)*(OH!F$2:F$62))</f>
        <v>7000</v>
      </c>
      <c r="E103" s="66">
        <f>SUMPRODUCT(($A101=OH!$D$2:$D$62)*(OH!G$2:G$62))</f>
        <v>7000</v>
      </c>
      <c r="F103" s="66">
        <f>SUMPRODUCT(($A101=OH!$D$2:$D$62)*(OH!H$2:H$62))</f>
        <v>7000</v>
      </c>
      <c r="G103" s="66">
        <f>SUMPRODUCT(($A101=OH!$D$2:$D$62)*(OH!I$2:I$62))</f>
        <v>7000</v>
      </c>
      <c r="H103" s="66">
        <f>SUMPRODUCT(($A101=OH!$D$2:$D$62)*(OH!J$2:J$62))</f>
        <v>7000</v>
      </c>
      <c r="I103" s="66">
        <f>SUMPRODUCT(($A101=OH!$D$2:$D$62)*(OH!K$2:K$62))</f>
        <v>7000</v>
      </c>
      <c r="J103" s="66">
        <f>SUMPRODUCT(($A101=OH!$D$2:$D$62)*(OH!L$2:L$62))</f>
        <v>7000</v>
      </c>
      <c r="K103" s="66">
        <f>SUMPRODUCT(($A101=OH!$D$2:$D$62)*(OH!M$2:M$62))</f>
        <v>7000</v>
      </c>
      <c r="L103" s="66">
        <f>SUMPRODUCT(($A101=OH!$D$2:$D$62)*(OH!N$2:N$62))</f>
        <v>7000</v>
      </c>
      <c r="M103" s="66">
        <f>SUMPRODUCT(($A101=OH!$D$2:$D$62)*(OH!O$2:O$62))</f>
        <v>7000</v>
      </c>
      <c r="N103" s="66">
        <f>SUMPRODUCT(($A101=OH!$D$2:$D$62)*(OH!P$2:P$62))</f>
        <v>7000</v>
      </c>
      <c r="O103" s="66">
        <f>SUMPRODUCT(($A101=OH!$D$2:$D$62)*(OH!Q$2:Q$62))</f>
        <v>7250</v>
      </c>
      <c r="P103" s="66">
        <f>SUMPRODUCT(($A101=OH!$D$2:$D$62)*(OH!R$2:R$62))</f>
        <v>7250</v>
      </c>
      <c r="Q103" s="66">
        <f>SUMPRODUCT(($A101=OH!$D$2:$D$62)*(OH!S$2:S$62))</f>
        <v>7250</v>
      </c>
      <c r="R103" s="66">
        <f>SUMPRODUCT(($A101=OH!$D$2:$D$62)*(OH!T$2:T$62))</f>
        <v>7250</v>
      </c>
      <c r="S103" s="66">
        <f>SUMPRODUCT(($A101=OH!$D$2:$D$62)*(OH!U$2:U$62))</f>
        <v>7250</v>
      </c>
      <c r="T103" s="66">
        <f>SUMPRODUCT(($A101=OH!$D$2:$D$62)*(OH!V$2:V$62))</f>
        <v>7250</v>
      </c>
      <c r="U103" s="66">
        <f>SUMPRODUCT(($A101=OH!$D$2:$D$62)*(OH!W$2:W$62))</f>
        <v>7250</v>
      </c>
      <c r="V103" s="66">
        <f>SUMPRODUCT(($A101=OH!$D$2:$D$62)*(OH!X$2:X$62))</f>
        <v>7250</v>
      </c>
      <c r="W103" s="66">
        <f>SUMPRODUCT(($A101=OH!$D$2:$D$62)*(OH!Y$2:Y$62))</f>
        <v>7250</v>
      </c>
      <c r="X103" s="66">
        <f>SUMPRODUCT(($A101=OH!$D$2:$D$62)*(OH!Z$2:Z$62))</f>
        <v>7250</v>
      </c>
      <c r="Y103" s="66">
        <f>SUMPRODUCT(($A101=OH!$D$2:$D$62)*(OH!AA$2:AA$62))</f>
        <v>7250</v>
      </c>
      <c r="Z103" s="66">
        <f>SUMPRODUCT(($A101=OH!$D$2:$D$62)*(OH!AB$2:AB$62))</f>
        <v>7250</v>
      </c>
      <c r="AA103" s="55"/>
      <c r="AB103" s="55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</row>
    <row r="104" spans="1:76">
      <c r="A104" s="54" t="s">
        <v>64</v>
      </c>
      <c r="C104" s="56">
        <f>C102</f>
        <v>0</v>
      </c>
      <c r="D104" s="56">
        <f t="shared" ref="D104:Z104" si="40">D102</f>
        <v>7000</v>
      </c>
      <c r="E104" s="56">
        <f t="shared" si="40"/>
        <v>7000</v>
      </c>
      <c r="F104" s="56">
        <f t="shared" si="40"/>
        <v>7000</v>
      </c>
      <c r="G104" s="56">
        <f t="shared" si="40"/>
        <v>7000</v>
      </c>
      <c r="H104" s="56">
        <f t="shared" si="40"/>
        <v>7000</v>
      </c>
      <c r="I104" s="56">
        <f t="shared" si="40"/>
        <v>7000</v>
      </c>
      <c r="J104" s="56">
        <f t="shared" si="40"/>
        <v>7000</v>
      </c>
      <c r="K104" s="56">
        <f t="shared" si="40"/>
        <v>7000</v>
      </c>
      <c r="L104" s="56">
        <f t="shared" si="40"/>
        <v>7000</v>
      </c>
      <c r="M104" s="56">
        <f t="shared" si="40"/>
        <v>7000</v>
      </c>
      <c r="N104" s="56">
        <f t="shared" si="40"/>
        <v>7000</v>
      </c>
      <c r="O104" s="56">
        <f t="shared" si="40"/>
        <v>7000</v>
      </c>
      <c r="P104" s="56">
        <f t="shared" si="40"/>
        <v>7250</v>
      </c>
      <c r="Q104" s="56">
        <f t="shared" si="40"/>
        <v>7250</v>
      </c>
      <c r="R104" s="56">
        <f t="shared" si="40"/>
        <v>7250</v>
      </c>
      <c r="S104" s="56">
        <f t="shared" si="40"/>
        <v>7250</v>
      </c>
      <c r="T104" s="56">
        <f t="shared" si="40"/>
        <v>7250</v>
      </c>
      <c r="U104" s="56">
        <f t="shared" si="40"/>
        <v>7250</v>
      </c>
      <c r="V104" s="56">
        <f t="shared" si="40"/>
        <v>7250</v>
      </c>
      <c r="W104" s="56">
        <f t="shared" si="40"/>
        <v>7250</v>
      </c>
      <c r="X104" s="56">
        <f t="shared" si="40"/>
        <v>7250</v>
      </c>
      <c r="Y104" s="56">
        <f t="shared" si="40"/>
        <v>7250</v>
      </c>
      <c r="Z104" s="56">
        <f t="shared" si="40"/>
        <v>7250</v>
      </c>
      <c r="AA104" s="55"/>
      <c r="AB104" s="55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</row>
    <row r="105" spans="1:76" s="7" customFormat="1">
      <c r="A105" s="52" t="s">
        <v>37</v>
      </c>
      <c r="B105" s="127">
        <f>B103</f>
        <v>0</v>
      </c>
      <c r="C105" s="59">
        <f>SUM(C102:C103)-C104</f>
        <v>7000</v>
      </c>
      <c r="D105" s="59">
        <f>SUM(D102:D103)-D104</f>
        <v>7000</v>
      </c>
      <c r="E105" s="59">
        <f t="shared" ref="E105:Z105" si="41">SUM(E102:E103)-E104</f>
        <v>7000</v>
      </c>
      <c r="F105" s="59">
        <f t="shared" si="41"/>
        <v>7000</v>
      </c>
      <c r="G105" s="59">
        <f t="shared" si="41"/>
        <v>7000</v>
      </c>
      <c r="H105" s="59">
        <f t="shared" si="41"/>
        <v>7000</v>
      </c>
      <c r="I105" s="59">
        <f t="shared" si="41"/>
        <v>7000</v>
      </c>
      <c r="J105" s="59">
        <f t="shared" si="41"/>
        <v>7000</v>
      </c>
      <c r="K105" s="59">
        <f t="shared" si="41"/>
        <v>7000</v>
      </c>
      <c r="L105" s="59">
        <f t="shared" si="41"/>
        <v>7000</v>
      </c>
      <c r="M105" s="59">
        <f t="shared" si="41"/>
        <v>7000</v>
      </c>
      <c r="N105" s="59">
        <f t="shared" si="41"/>
        <v>7000</v>
      </c>
      <c r="O105" s="59">
        <f t="shared" si="41"/>
        <v>7250</v>
      </c>
      <c r="P105" s="59">
        <f t="shared" si="41"/>
        <v>7250</v>
      </c>
      <c r="Q105" s="59">
        <f t="shared" si="41"/>
        <v>7250</v>
      </c>
      <c r="R105" s="59">
        <f t="shared" si="41"/>
        <v>7250</v>
      </c>
      <c r="S105" s="59">
        <f t="shared" si="41"/>
        <v>7250</v>
      </c>
      <c r="T105" s="59">
        <f t="shared" si="41"/>
        <v>7250</v>
      </c>
      <c r="U105" s="59">
        <f t="shared" si="41"/>
        <v>7250</v>
      </c>
      <c r="V105" s="59">
        <f t="shared" si="41"/>
        <v>7250</v>
      </c>
      <c r="W105" s="59">
        <f t="shared" si="41"/>
        <v>7250</v>
      </c>
      <c r="X105" s="59">
        <f t="shared" si="41"/>
        <v>7250</v>
      </c>
      <c r="Y105" s="59">
        <f t="shared" si="41"/>
        <v>7250</v>
      </c>
      <c r="Z105" s="59">
        <f t="shared" si="41"/>
        <v>7250</v>
      </c>
      <c r="AA105" s="59"/>
      <c r="AB105" s="59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</row>
    <row r="106" spans="1:76" s="7" customFormat="1">
      <c r="A106" s="52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</row>
    <row r="107" spans="1:76">
      <c r="A107" s="63" t="s">
        <v>173</v>
      </c>
      <c r="C107" s="57"/>
      <c r="D107" s="57"/>
      <c r="E107" s="57"/>
      <c r="F107" s="55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5"/>
      <c r="AB107" s="55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</row>
    <row r="108" spans="1:76">
      <c r="A108" s="54" t="s">
        <v>35</v>
      </c>
      <c r="B108" s="50">
        <f>'IP2'!D22</f>
        <v>0</v>
      </c>
      <c r="C108" s="56">
        <f>B111</f>
        <v>0</v>
      </c>
      <c r="D108" s="56">
        <f t="shared" ref="D108:Z108" si="42">C111</f>
        <v>-15531.187706041659</v>
      </c>
      <c r="E108" s="56">
        <f t="shared" si="42"/>
        <v>-20079.875412083326</v>
      </c>
      <c r="F108" s="56">
        <f t="shared" si="42"/>
        <v>-2201.0725526488095</v>
      </c>
      <c r="G108" s="56">
        <f t="shared" si="42"/>
        <v>-7494.3023374404784</v>
      </c>
      <c r="H108" s="56">
        <f t="shared" si="42"/>
        <v>1240.521561369047</v>
      </c>
      <c r="I108" s="56">
        <f t="shared" si="42"/>
        <v>2826.0431227380941</v>
      </c>
      <c r="J108" s="56">
        <f t="shared" si="42"/>
        <v>-3479.2213627380988</v>
      </c>
      <c r="K108" s="56">
        <f t="shared" si="42"/>
        <v>229.05727452380415</v>
      </c>
      <c r="L108" s="56">
        <f t="shared" si="42"/>
        <v>1585.521561369047</v>
      </c>
      <c r="M108" s="56">
        <f t="shared" si="42"/>
        <v>-4034.0425692261961</v>
      </c>
      <c r="N108" s="56">
        <f t="shared" si="42"/>
        <v>-3973.6877060416646</v>
      </c>
      <c r="O108" s="56">
        <f t="shared" si="42"/>
        <v>-634.21664547618275</v>
      </c>
      <c r="P108" s="56">
        <f t="shared" si="42"/>
        <v>-18828.72401012796</v>
      </c>
      <c r="Q108" s="56">
        <f t="shared" si="42"/>
        <v>-21586.198020255935</v>
      </c>
      <c r="R108" s="56">
        <f t="shared" si="42"/>
        <v>2657.3876362827432</v>
      </c>
      <c r="S108" s="56">
        <f t="shared" si="42"/>
        <v>3207.3822725654791</v>
      </c>
      <c r="T108" s="56">
        <f t="shared" si="42"/>
        <v>12126.608605898811</v>
      </c>
      <c r="U108" s="56">
        <f t="shared" si="42"/>
        <v>24626.967211797622</v>
      </c>
      <c r="V108" s="56">
        <f t="shared" si="42"/>
        <v>7671.0638558988176</v>
      </c>
      <c r="W108" s="56">
        <f t="shared" si="42"/>
        <v>24513.377711797628</v>
      </c>
      <c r="X108" s="56">
        <f t="shared" si="42"/>
        <v>12500.358605898815</v>
      </c>
      <c r="Y108" s="56">
        <f t="shared" si="42"/>
        <v>15033.815461797629</v>
      </c>
      <c r="Z108" s="56">
        <f t="shared" si="42"/>
        <v>-2182.4740101279767</v>
      </c>
      <c r="AA108" s="55"/>
      <c r="AB108" s="55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</row>
    <row r="109" spans="1:76">
      <c r="A109" s="54" t="s">
        <v>93</v>
      </c>
      <c r="C109" s="55">
        <f>VAT!D69</f>
        <v>-15531.187706041659</v>
      </c>
      <c r="D109" s="55">
        <f>VAT!E69</f>
        <v>-4548.6877060416664</v>
      </c>
      <c r="E109" s="55">
        <f>VAT!F69</f>
        <v>-2201.0725526488104</v>
      </c>
      <c r="F109" s="55">
        <f>VAT!G69</f>
        <v>-5293.2297847916689</v>
      </c>
      <c r="G109" s="55">
        <f>VAT!H69</f>
        <v>1240.521561369047</v>
      </c>
      <c r="H109" s="55">
        <f>VAT!I69</f>
        <v>1585.521561369047</v>
      </c>
      <c r="I109" s="55">
        <f>VAT!J69</f>
        <v>-3479.2213627380988</v>
      </c>
      <c r="J109" s="55">
        <f>VAT!K69</f>
        <v>3708.278637261903</v>
      </c>
      <c r="K109" s="55">
        <f>VAT!L69</f>
        <v>1585.521561369047</v>
      </c>
      <c r="L109" s="55">
        <f>VAT!M69</f>
        <v>-5619.5641305952431</v>
      </c>
      <c r="M109" s="55">
        <f>VAT!N69</f>
        <v>-3973.6877060416646</v>
      </c>
      <c r="N109" s="55">
        <f>VAT!O69</f>
        <v>3339.4710605654818</v>
      </c>
      <c r="O109" s="56">
        <f>VAT!D140</f>
        <v>-18828.72401012796</v>
      </c>
      <c r="P109" s="56">
        <f>VAT!E140</f>
        <v>-2757.4740101279767</v>
      </c>
      <c r="Q109" s="56">
        <f>VAT!F140</f>
        <v>2657.3876362827414</v>
      </c>
      <c r="R109" s="56">
        <f>VAT!G140</f>
        <v>549.99463628273588</v>
      </c>
      <c r="S109" s="56">
        <f>VAT!H140</f>
        <v>12126.608605898811</v>
      </c>
      <c r="T109" s="56">
        <f>VAT!I140</f>
        <v>12500.358605898811</v>
      </c>
      <c r="U109" s="56">
        <f>VAT!J140</f>
        <v>7671.0638558988176</v>
      </c>
      <c r="V109" s="56">
        <f>VAT!K140</f>
        <v>16842.31385589881</v>
      </c>
      <c r="W109" s="56">
        <f>VAT!L140</f>
        <v>12500.358605898811</v>
      </c>
      <c r="X109" s="56">
        <f>VAT!M140</f>
        <v>2533.456855898814</v>
      </c>
      <c r="Y109" s="56">
        <f>VAT!N140</f>
        <v>-2182.4740101279767</v>
      </c>
      <c r="Z109" s="56">
        <f>VAT!O140</f>
        <v>14983.00803269346</v>
      </c>
      <c r="AA109" s="55"/>
      <c r="AB109" s="55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</row>
    <row r="110" spans="1:76">
      <c r="A110" s="54" t="s">
        <v>94</v>
      </c>
      <c r="C110" s="56">
        <f>ISODD(MONTH(C$1))*C108</f>
        <v>0</v>
      </c>
      <c r="D110" s="56">
        <f t="shared" ref="D110:Z110" si="43">ISODD(MONTH(D$1))*D108</f>
        <v>0</v>
      </c>
      <c r="E110" s="56">
        <f t="shared" si="43"/>
        <v>-20079.875412083326</v>
      </c>
      <c r="F110" s="56">
        <f t="shared" si="43"/>
        <v>0</v>
      </c>
      <c r="G110" s="56">
        <f t="shared" si="43"/>
        <v>-7494.3023374404784</v>
      </c>
      <c r="H110" s="56">
        <f t="shared" si="43"/>
        <v>0</v>
      </c>
      <c r="I110" s="56">
        <f t="shared" si="43"/>
        <v>2826.0431227380941</v>
      </c>
      <c r="J110" s="56">
        <f t="shared" si="43"/>
        <v>0</v>
      </c>
      <c r="K110" s="56">
        <f t="shared" si="43"/>
        <v>229.05727452380415</v>
      </c>
      <c r="L110" s="56">
        <f t="shared" si="43"/>
        <v>0</v>
      </c>
      <c r="M110" s="56">
        <f t="shared" si="43"/>
        <v>-4034.0425692261961</v>
      </c>
      <c r="N110" s="56">
        <f t="shared" si="43"/>
        <v>0</v>
      </c>
      <c r="O110" s="56">
        <f t="shared" si="43"/>
        <v>-634.21664547618275</v>
      </c>
      <c r="P110" s="56">
        <f t="shared" si="43"/>
        <v>0</v>
      </c>
      <c r="Q110" s="56">
        <f t="shared" si="43"/>
        <v>-21586.198020255935</v>
      </c>
      <c r="R110" s="56">
        <f t="shared" si="43"/>
        <v>0</v>
      </c>
      <c r="S110" s="56">
        <f t="shared" si="43"/>
        <v>3207.3822725654791</v>
      </c>
      <c r="T110" s="56">
        <f t="shared" si="43"/>
        <v>0</v>
      </c>
      <c r="U110" s="56">
        <f t="shared" si="43"/>
        <v>24626.967211797622</v>
      </c>
      <c r="V110" s="56">
        <f t="shared" si="43"/>
        <v>0</v>
      </c>
      <c r="W110" s="56">
        <f t="shared" si="43"/>
        <v>24513.377711797628</v>
      </c>
      <c r="X110" s="56">
        <f t="shared" si="43"/>
        <v>0</v>
      </c>
      <c r="Y110" s="56">
        <f t="shared" si="43"/>
        <v>15033.815461797629</v>
      </c>
      <c r="Z110" s="56">
        <f t="shared" si="43"/>
        <v>0</v>
      </c>
      <c r="AA110" s="55"/>
      <c r="AB110" s="55"/>
      <c r="AC110" s="51"/>
      <c r="AD110" s="51"/>
      <c r="AE110" s="51"/>
      <c r="AF110" s="51"/>
      <c r="AG110" s="51"/>
      <c r="AH110" s="51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</row>
    <row r="111" spans="1:76" s="7" customFormat="1">
      <c r="A111" s="52" t="s">
        <v>37</v>
      </c>
      <c r="B111" s="128">
        <f>B108</f>
        <v>0</v>
      </c>
      <c r="C111" s="59">
        <f>SUM(C108:C109)-C110</f>
        <v>-15531.187706041659</v>
      </c>
      <c r="D111" s="59">
        <f>SUM(D108:D109)-D110</f>
        <v>-20079.875412083326</v>
      </c>
      <c r="E111" s="59">
        <f t="shared" ref="E111:N111" si="44">SUM(E108:E109)-E110</f>
        <v>-2201.0725526488095</v>
      </c>
      <c r="F111" s="59">
        <f t="shared" si="44"/>
        <v>-7494.3023374404784</v>
      </c>
      <c r="G111" s="59">
        <f t="shared" si="44"/>
        <v>1240.521561369047</v>
      </c>
      <c r="H111" s="59">
        <f t="shared" si="44"/>
        <v>2826.0431227380941</v>
      </c>
      <c r="I111" s="59">
        <f t="shared" si="44"/>
        <v>-3479.2213627380988</v>
      </c>
      <c r="J111" s="59">
        <f t="shared" si="44"/>
        <v>229.05727452380415</v>
      </c>
      <c r="K111" s="59">
        <f t="shared" si="44"/>
        <v>1585.521561369047</v>
      </c>
      <c r="L111" s="59">
        <f t="shared" si="44"/>
        <v>-4034.0425692261961</v>
      </c>
      <c r="M111" s="59">
        <f t="shared" si="44"/>
        <v>-3973.6877060416646</v>
      </c>
      <c r="N111" s="59">
        <f t="shared" si="44"/>
        <v>-634.21664547618275</v>
      </c>
      <c r="O111" s="59">
        <f t="shared" ref="O111:Z111" si="45">SUM(O108:O109)-O110</f>
        <v>-18828.72401012796</v>
      </c>
      <c r="P111" s="59">
        <f t="shared" si="45"/>
        <v>-21586.198020255935</v>
      </c>
      <c r="Q111" s="59">
        <f t="shared" si="45"/>
        <v>2657.3876362827432</v>
      </c>
      <c r="R111" s="59">
        <f t="shared" si="45"/>
        <v>3207.3822725654791</v>
      </c>
      <c r="S111" s="59">
        <f t="shared" si="45"/>
        <v>12126.608605898811</v>
      </c>
      <c r="T111" s="59">
        <f t="shared" si="45"/>
        <v>24626.967211797622</v>
      </c>
      <c r="U111" s="59">
        <f t="shared" si="45"/>
        <v>7671.0638558988176</v>
      </c>
      <c r="V111" s="59">
        <f t="shared" si="45"/>
        <v>24513.377711797628</v>
      </c>
      <c r="W111" s="59">
        <f t="shared" si="45"/>
        <v>12500.358605898815</v>
      </c>
      <c r="X111" s="59">
        <f t="shared" si="45"/>
        <v>15033.815461797629</v>
      </c>
      <c r="Y111" s="59">
        <f t="shared" si="45"/>
        <v>-2182.4740101279767</v>
      </c>
      <c r="Z111" s="59">
        <f t="shared" si="45"/>
        <v>12800.534022565484</v>
      </c>
      <c r="AA111" s="59"/>
      <c r="AB111" s="59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</row>
    <row r="112" spans="1:76">
      <c r="C112" s="57"/>
      <c r="D112" s="57"/>
      <c r="E112" s="57"/>
      <c r="F112" s="55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5"/>
      <c r="AB112" s="55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</row>
    <row r="113" spans="1:76">
      <c r="A113" s="63" t="s">
        <v>60</v>
      </c>
      <c r="C113" s="57"/>
      <c r="D113" s="57"/>
      <c r="E113" s="57"/>
      <c r="F113" s="55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5"/>
      <c r="AB113" s="55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</row>
    <row r="114" spans="1:76">
      <c r="A114" s="54" t="s">
        <v>35</v>
      </c>
      <c r="B114" s="85">
        <f>'IP2'!D21</f>
        <v>0</v>
      </c>
      <c r="C114" s="56">
        <f>'IP2'!D21</f>
        <v>0</v>
      </c>
      <c r="D114" s="56">
        <f>C117</f>
        <v>0</v>
      </c>
      <c r="E114" s="56">
        <f>D117</f>
        <v>0</v>
      </c>
      <c r="F114" s="56">
        <f>E117</f>
        <v>0</v>
      </c>
      <c r="G114" s="56">
        <f>F117</f>
        <v>0</v>
      </c>
      <c r="H114" s="56">
        <f t="shared" ref="H114:Z114" si="46">G117</f>
        <v>0</v>
      </c>
      <c r="I114" s="56">
        <f t="shared" si="46"/>
        <v>0</v>
      </c>
      <c r="J114" s="56">
        <f t="shared" si="46"/>
        <v>0</v>
      </c>
      <c r="K114" s="56">
        <f t="shared" si="46"/>
        <v>0</v>
      </c>
      <c r="L114" s="56">
        <f t="shared" si="46"/>
        <v>0</v>
      </c>
      <c r="M114" s="56">
        <f t="shared" si="46"/>
        <v>0</v>
      </c>
      <c r="N114" s="56">
        <f t="shared" si="46"/>
        <v>0</v>
      </c>
      <c r="O114" s="56">
        <f t="shared" si="46"/>
        <v>0</v>
      </c>
      <c r="P114" s="56">
        <f t="shared" si="46"/>
        <v>0</v>
      </c>
      <c r="Q114" s="56">
        <f t="shared" si="46"/>
        <v>0</v>
      </c>
      <c r="R114" s="56">
        <f t="shared" si="46"/>
        <v>0</v>
      </c>
      <c r="S114" s="56">
        <f t="shared" si="46"/>
        <v>0</v>
      </c>
      <c r="T114" s="56">
        <f t="shared" si="46"/>
        <v>0</v>
      </c>
      <c r="U114" s="56">
        <f t="shared" si="46"/>
        <v>0</v>
      </c>
      <c r="V114" s="56">
        <f t="shared" si="46"/>
        <v>0</v>
      </c>
      <c r="W114" s="56">
        <f t="shared" si="46"/>
        <v>0</v>
      </c>
      <c r="X114" s="56">
        <f t="shared" si="46"/>
        <v>0</v>
      </c>
      <c r="Y114" s="56">
        <f t="shared" si="46"/>
        <v>0</v>
      </c>
      <c r="Z114" s="56">
        <f t="shared" si="46"/>
        <v>0</v>
      </c>
      <c r="AA114" s="55"/>
      <c r="AB114" s="55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</row>
    <row r="115" spans="1:76">
      <c r="A115" s="54" t="s">
        <v>93</v>
      </c>
      <c r="C115" s="55">
        <f>'P&amp;L'!C28</f>
        <v>0</v>
      </c>
      <c r="D115" s="55">
        <f>'P&amp;L'!D28</f>
        <v>0</v>
      </c>
      <c r="E115" s="55">
        <f>'P&amp;L'!E28</f>
        <v>0</v>
      </c>
      <c r="F115" s="55">
        <f>'P&amp;L'!F28</f>
        <v>0</v>
      </c>
      <c r="G115" s="56">
        <f>'P&amp;L'!G28</f>
        <v>0</v>
      </c>
      <c r="H115" s="56">
        <f>'P&amp;L'!H28</f>
        <v>0</v>
      </c>
      <c r="I115" s="56">
        <f>'P&amp;L'!I28</f>
        <v>0</v>
      </c>
      <c r="J115" s="56">
        <f>'P&amp;L'!J28</f>
        <v>0</v>
      </c>
      <c r="K115" s="56">
        <f>'P&amp;L'!K28</f>
        <v>0</v>
      </c>
      <c r="L115" s="56">
        <f>'P&amp;L'!L28</f>
        <v>0</v>
      </c>
      <c r="M115" s="56">
        <f>'P&amp;L'!M28</f>
        <v>0</v>
      </c>
      <c r="N115" s="56">
        <f>'P&amp;L'!N28</f>
        <v>0</v>
      </c>
      <c r="O115" s="56">
        <f>'P&amp;L'!C60</f>
        <v>0</v>
      </c>
      <c r="P115" s="56">
        <f>'P&amp;L'!D60</f>
        <v>0</v>
      </c>
      <c r="Q115" s="56">
        <f>'P&amp;L'!E60</f>
        <v>0</v>
      </c>
      <c r="R115" s="56">
        <f>'P&amp;L'!F60</f>
        <v>0</v>
      </c>
      <c r="S115" s="56">
        <f>'P&amp;L'!G60</f>
        <v>0</v>
      </c>
      <c r="T115" s="56">
        <f>'P&amp;L'!H60</f>
        <v>0</v>
      </c>
      <c r="U115" s="56">
        <f>'P&amp;L'!I60</f>
        <v>0</v>
      </c>
      <c r="V115" s="56">
        <f>'P&amp;L'!J60</f>
        <v>0</v>
      </c>
      <c r="W115" s="56">
        <f>'P&amp;L'!K60</f>
        <v>0</v>
      </c>
      <c r="X115" s="56">
        <f>'P&amp;L'!L60</f>
        <v>0</v>
      </c>
      <c r="Y115" s="56">
        <f>'P&amp;L'!M60</f>
        <v>0</v>
      </c>
      <c r="Z115" s="56">
        <f>'P&amp;L'!N60</f>
        <v>0</v>
      </c>
      <c r="AA115" s="55"/>
      <c r="AB115" s="55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</row>
    <row r="116" spans="1:76">
      <c r="A116" s="54" t="s">
        <v>94</v>
      </c>
      <c r="C116" s="64">
        <f t="shared" ref="C116:K116" si="47">IF(MONTH(C1)=10,IF($B$117&gt;0,-$B$117,0),0)</f>
        <v>0</v>
      </c>
      <c r="D116" s="64">
        <f t="shared" si="47"/>
        <v>0</v>
      </c>
      <c r="E116" s="64">
        <f t="shared" si="47"/>
        <v>0</v>
      </c>
      <c r="F116" s="64">
        <f t="shared" si="47"/>
        <v>0</v>
      </c>
      <c r="G116" s="64">
        <f t="shared" si="47"/>
        <v>0</v>
      </c>
      <c r="H116" s="64">
        <f t="shared" si="47"/>
        <v>0</v>
      </c>
      <c r="I116" s="64">
        <f t="shared" si="47"/>
        <v>0</v>
      </c>
      <c r="J116" s="64">
        <f t="shared" si="47"/>
        <v>0</v>
      </c>
      <c r="K116" s="64">
        <f t="shared" si="47"/>
        <v>0</v>
      </c>
      <c r="L116" s="64">
        <f>IF(MONTH(L1)=10,IF($B$117&gt;0,-$B$117,0),0)</f>
        <v>0</v>
      </c>
      <c r="M116" s="64">
        <f t="shared" ref="M116:Z116" si="48">IF(MONTH(M1)=10,IF(C117&gt;0,-C117,0),0)</f>
        <v>0</v>
      </c>
      <c r="N116" s="64">
        <f t="shared" si="48"/>
        <v>0</v>
      </c>
      <c r="O116" s="64">
        <f t="shared" si="48"/>
        <v>0</v>
      </c>
      <c r="P116" s="64">
        <f t="shared" si="48"/>
        <v>0</v>
      </c>
      <c r="Q116" s="64">
        <f t="shared" si="48"/>
        <v>0</v>
      </c>
      <c r="R116" s="64">
        <f t="shared" si="48"/>
        <v>0</v>
      </c>
      <c r="S116" s="64">
        <f t="shared" si="48"/>
        <v>0</v>
      </c>
      <c r="T116" s="64">
        <f t="shared" si="48"/>
        <v>0</v>
      </c>
      <c r="U116" s="64">
        <f t="shared" si="48"/>
        <v>0</v>
      </c>
      <c r="V116" s="64">
        <f t="shared" si="48"/>
        <v>0</v>
      </c>
      <c r="W116" s="64">
        <f t="shared" si="48"/>
        <v>0</v>
      </c>
      <c r="X116" s="64">
        <f t="shared" si="48"/>
        <v>0</v>
      </c>
      <c r="Y116" s="64">
        <f t="shared" si="48"/>
        <v>0</v>
      </c>
      <c r="Z116" s="64">
        <f t="shared" si="48"/>
        <v>0</v>
      </c>
      <c r="AA116" s="55"/>
      <c r="AB116" s="55"/>
      <c r="AC116" s="51"/>
      <c r="AD116" s="51"/>
      <c r="AE116" s="51"/>
      <c r="AF116" s="51"/>
      <c r="AG116" s="51"/>
      <c r="AH116" s="51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</row>
    <row r="117" spans="1:76" s="7" customFormat="1">
      <c r="A117" s="52" t="s">
        <v>37</v>
      </c>
      <c r="B117" s="127">
        <f>B114</f>
        <v>0</v>
      </c>
      <c r="C117" s="59">
        <f>SUM(C114:C116)</f>
        <v>0</v>
      </c>
      <c r="D117" s="59">
        <f>SUM(D114:D116)</f>
        <v>0</v>
      </c>
      <c r="E117" s="59">
        <f>SUM(E114:E116)</f>
        <v>0</v>
      </c>
      <c r="F117" s="59">
        <f>SUM(F114:F116)</f>
        <v>0</v>
      </c>
      <c r="G117" s="60">
        <f t="shared" ref="G117:Z117" si="49">SUM(G114:G116)</f>
        <v>0</v>
      </c>
      <c r="H117" s="60">
        <f t="shared" si="49"/>
        <v>0</v>
      </c>
      <c r="I117" s="60">
        <f t="shared" si="49"/>
        <v>0</v>
      </c>
      <c r="J117" s="60">
        <f t="shared" si="49"/>
        <v>0</v>
      </c>
      <c r="K117" s="60">
        <f t="shared" si="49"/>
        <v>0</v>
      </c>
      <c r="L117" s="60">
        <f t="shared" si="49"/>
        <v>0</v>
      </c>
      <c r="M117" s="60">
        <f t="shared" si="49"/>
        <v>0</v>
      </c>
      <c r="N117" s="60">
        <f t="shared" si="49"/>
        <v>0</v>
      </c>
      <c r="O117" s="60">
        <f t="shared" si="49"/>
        <v>0</v>
      </c>
      <c r="P117" s="60">
        <f t="shared" si="49"/>
        <v>0</v>
      </c>
      <c r="Q117" s="60">
        <f t="shared" si="49"/>
        <v>0</v>
      </c>
      <c r="R117" s="60">
        <f t="shared" si="49"/>
        <v>0</v>
      </c>
      <c r="S117" s="60">
        <f t="shared" si="49"/>
        <v>0</v>
      </c>
      <c r="T117" s="60">
        <f t="shared" si="49"/>
        <v>0</v>
      </c>
      <c r="U117" s="60">
        <f t="shared" si="49"/>
        <v>0</v>
      </c>
      <c r="V117" s="60">
        <f t="shared" si="49"/>
        <v>0</v>
      </c>
      <c r="W117" s="60">
        <f t="shared" si="49"/>
        <v>0</v>
      </c>
      <c r="X117" s="60">
        <f t="shared" si="49"/>
        <v>0</v>
      </c>
      <c r="Y117" s="60">
        <f t="shared" si="49"/>
        <v>0</v>
      </c>
      <c r="Z117" s="60">
        <f t="shared" si="49"/>
        <v>0</v>
      </c>
      <c r="AA117" s="59"/>
      <c r="AB117" s="59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</row>
    <row r="118" spans="1:76" s="7" customFormat="1">
      <c r="A118" s="52" t="s">
        <v>264</v>
      </c>
      <c r="B118" s="59">
        <f>IF(B117&lt;0,0,B117)</f>
        <v>0</v>
      </c>
      <c r="C118" s="59">
        <f>IF(C117&gt;0,C117,0)</f>
        <v>0</v>
      </c>
      <c r="D118" s="59">
        <f t="shared" ref="D118:K118" si="50">IF(D117&gt;0,D117,0)</f>
        <v>0</v>
      </c>
      <c r="E118" s="59">
        <f t="shared" si="50"/>
        <v>0</v>
      </c>
      <c r="F118" s="59">
        <f t="shared" si="50"/>
        <v>0</v>
      </c>
      <c r="G118" s="59">
        <f t="shared" si="50"/>
        <v>0</v>
      </c>
      <c r="H118" s="59">
        <f t="shared" si="50"/>
        <v>0</v>
      </c>
      <c r="I118" s="59">
        <f t="shared" si="50"/>
        <v>0</v>
      </c>
      <c r="J118" s="59">
        <f t="shared" si="50"/>
        <v>0</v>
      </c>
      <c r="K118" s="59">
        <f t="shared" si="50"/>
        <v>0</v>
      </c>
      <c r="L118" s="59">
        <f>IF(L117&lt;0,0,L117)</f>
        <v>0</v>
      </c>
      <c r="M118" s="59">
        <f>IF(M117&lt;0,0,M117)</f>
        <v>0</v>
      </c>
      <c r="N118" s="59">
        <f t="shared" ref="N118:Z118" si="51">IF(N117&lt;0,0,N117)</f>
        <v>0</v>
      </c>
      <c r="O118" s="59">
        <f t="shared" si="51"/>
        <v>0</v>
      </c>
      <c r="P118" s="59">
        <f t="shared" si="51"/>
        <v>0</v>
      </c>
      <c r="Q118" s="59">
        <f t="shared" si="51"/>
        <v>0</v>
      </c>
      <c r="R118" s="59">
        <f t="shared" si="51"/>
        <v>0</v>
      </c>
      <c r="S118" s="59">
        <f t="shared" si="51"/>
        <v>0</v>
      </c>
      <c r="T118" s="59">
        <f t="shared" si="51"/>
        <v>0</v>
      </c>
      <c r="U118" s="59">
        <f t="shared" si="51"/>
        <v>0</v>
      </c>
      <c r="V118" s="59">
        <f t="shared" si="51"/>
        <v>0</v>
      </c>
      <c r="W118" s="59">
        <f t="shared" si="51"/>
        <v>0</v>
      </c>
      <c r="X118" s="59">
        <f t="shared" si="51"/>
        <v>0</v>
      </c>
      <c r="Y118" s="59">
        <f t="shared" si="51"/>
        <v>0</v>
      </c>
      <c r="Z118" s="59">
        <f t="shared" si="51"/>
        <v>0</v>
      </c>
      <c r="AA118" s="59"/>
      <c r="AB118" s="59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</row>
    <row r="119" spans="1:76">
      <c r="C119" s="57"/>
      <c r="D119" s="57"/>
      <c r="E119" s="57"/>
      <c r="F119" s="55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5"/>
      <c r="AB119" s="55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</row>
    <row r="120" spans="1:76">
      <c r="A120" s="63" t="s">
        <v>423</v>
      </c>
      <c r="C120" s="57"/>
      <c r="D120" s="57"/>
      <c r="E120" s="57"/>
      <c r="F120" s="6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5"/>
      <c r="AB120" s="55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</row>
    <row r="121" spans="1:76">
      <c r="A121" s="54" t="s">
        <v>51</v>
      </c>
      <c r="B121" s="85">
        <f>'IP2'!D14</f>
        <v>0</v>
      </c>
      <c r="C121" s="56">
        <f>'IP2'!D14</f>
        <v>0</v>
      </c>
      <c r="D121" s="56">
        <f t="shared" ref="D121:Z121" si="52">C123</f>
        <v>0</v>
      </c>
      <c r="E121" s="56">
        <f t="shared" si="52"/>
        <v>0</v>
      </c>
      <c r="F121" s="56">
        <f t="shared" si="52"/>
        <v>0</v>
      </c>
      <c r="G121" s="56">
        <f t="shared" si="52"/>
        <v>0</v>
      </c>
      <c r="H121" s="56">
        <f t="shared" si="52"/>
        <v>0</v>
      </c>
      <c r="I121" s="56">
        <f t="shared" si="52"/>
        <v>0</v>
      </c>
      <c r="J121" s="56">
        <f t="shared" si="52"/>
        <v>0</v>
      </c>
      <c r="K121" s="56">
        <f t="shared" si="52"/>
        <v>0</v>
      </c>
      <c r="L121" s="56">
        <f t="shared" si="52"/>
        <v>0</v>
      </c>
      <c r="M121" s="56">
        <f t="shared" si="52"/>
        <v>0</v>
      </c>
      <c r="N121" s="56">
        <f t="shared" si="52"/>
        <v>0</v>
      </c>
      <c r="O121" s="56">
        <f t="shared" si="52"/>
        <v>0</v>
      </c>
      <c r="P121" s="56">
        <f t="shared" si="52"/>
        <v>0</v>
      </c>
      <c r="Q121" s="56">
        <f t="shared" si="52"/>
        <v>0</v>
      </c>
      <c r="R121" s="56">
        <f t="shared" si="52"/>
        <v>0</v>
      </c>
      <c r="S121" s="56">
        <f t="shared" si="52"/>
        <v>0</v>
      </c>
      <c r="T121" s="56">
        <f t="shared" si="52"/>
        <v>0</v>
      </c>
      <c r="U121" s="56">
        <f t="shared" si="52"/>
        <v>0</v>
      </c>
      <c r="V121" s="56">
        <f t="shared" si="52"/>
        <v>0</v>
      </c>
      <c r="W121" s="56">
        <f t="shared" si="52"/>
        <v>0</v>
      </c>
      <c r="X121" s="56">
        <f t="shared" si="52"/>
        <v>0</v>
      </c>
      <c r="Y121" s="56">
        <f t="shared" si="52"/>
        <v>0</v>
      </c>
      <c r="Z121" s="56">
        <f t="shared" si="52"/>
        <v>0</v>
      </c>
      <c r="AA121" s="55"/>
      <c r="AB121" s="55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</row>
    <row r="122" spans="1:76">
      <c r="A122" s="54" t="s">
        <v>423</v>
      </c>
      <c r="C122" s="56">
        <f>'IP2'!E14</f>
        <v>0</v>
      </c>
      <c r="D122" s="56">
        <f>'IP2'!F14</f>
        <v>0</v>
      </c>
      <c r="E122" s="56">
        <f>'IP2'!G14</f>
        <v>0</v>
      </c>
      <c r="F122" s="56">
        <f>'IP2'!H14</f>
        <v>0</v>
      </c>
      <c r="G122" s="56">
        <f>'IP2'!I14</f>
        <v>0</v>
      </c>
      <c r="H122" s="56">
        <f>'IP2'!J14</f>
        <v>0</v>
      </c>
      <c r="I122" s="56">
        <f>'IP2'!K14</f>
        <v>0</v>
      </c>
      <c r="J122" s="56">
        <f>'IP2'!L14</f>
        <v>0</v>
      </c>
      <c r="K122" s="56">
        <f>'IP2'!M14</f>
        <v>0</v>
      </c>
      <c r="L122" s="56">
        <f>'IP2'!N14</f>
        <v>0</v>
      </c>
      <c r="M122" s="56">
        <f>'IP2'!O14</f>
        <v>0</v>
      </c>
      <c r="N122" s="56">
        <f>'IP2'!P14</f>
        <v>0</v>
      </c>
      <c r="O122" s="56">
        <f>'IP2'!Q14</f>
        <v>0</v>
      </c>
      <c r="P122" s="56">
        <f>'IP2'!R14</f>
        <v>0</v>
      </c>
      <c r="Q122" s="56">
        <f>'IP2'!S14</f>
        <v>0</v>
      </c>
      <c r="R122" s="56">
        <f>'IP2'!T14</f>
        <v>0</v>
      </c>
      <c r="S122" s="56">
        <f>'IP2'!U14</f>
        <v>0</v>
      </c>
      <c r="T122" s="56">
        <f>'IP2'!V14</f>
        <v>0</v>
      </c>
      <c r="U122" s="56">
        <f>'IP2'!W14</f>
        <v>0</v>
      </c>
      <c r="V122" s="56">
        <f>'IP2'!X14</f>
        <v>0</v>
      </c>
      <c r="W122" s="56">
        <f>'IP2'!Y14</f>
        <v>0</v>
      </c>
      <c r="X122" s="56">
        <f>'IP2'!Z14</f>
        <v>0</v>
      </c>
      <c r="Y122" s="56">
        <f>'IP2'!AA14</f>
        <v>0</v>
      </c>
      <c r="Z122" s="56">
        <f>'IP2'!AB14</f>
        <v>0</v>
      </c>
      <c r="AA122" s="55"/>
      <c r="AB122" s="55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</row>
    <row r="123" spans="1:76" s="7" customFormat="1">
      <c r="A123" s="52" t="s">
        <v>37</v>
      </c>
      <c r="B123" s="127">
        <f>B121</f>
        <v>0</v>
      </c>
      <c r="C123" s="59">
        <f t="shared" ref="C123:Z123" si="53">SUM(C121:C122)</f>
        <v>0</v>
      </c>
      <c r="D123" s="59">
        <f t="shared" si="53"/>
        <v>0</v>
      </c>
      <c r="E123" s="59">
        <f t="shared" si="53"/>
        <v>0</v>
      </c>
      <c r="F123" s="59">
        <f t="shared" si="53"/>
        <v>0</v>
      </c>
      <c r="G123" s="60">
        <f t="shared" si="53"/>
        <v>0</v>
      </c>
      <c r="H123" s="60">
        <f t="shared" si="53"/>
        <v>0</v>
      </c>
      <c r="I123" s="60">
        <f t="shared" si="53"/>
        <v>0</v>
      </c>
      <c r="J123" s="60">
        <f t="shared" si="53"/>
        <v>0</v>
      </c>
      <c r="K123" s="60">
        <f t="shared" si="53"/>
        <v>0</v>
      </c>
      <c r="L123" s="60">
        <f t="shared" si="53"/>
        <v>0</v>
      </c>
      <c r="M123" s="60">
        <f t="shared" si="53"/>
        <v>0</v>
      </c>
      <c r="N123" s="60">
        <f t="shared" si="53"/>
        <v>0</v>
      </c>
      <c r="O123" s="60">
        <f t="shared" si="53"/>
        <v>0</v>
      </c>
      <c r="P123" s="60">
        <f t="shared" si="53"/>
        <v>0</v>
      </c>
      <c r="Q123" s="60">
        <f t="shared" si="53"/>
        <v>0</v>
      </c>
      <c r="R123" s="60">
        <f t="shared" si="53"/>
        <v>0</v>
      </c>
      <c r="S123" s="60">
        <f t="shared" si="53"/>
        <v>0</v>
      </c>
      <c r="T123" s="60">
        <f t="shared" si="53"/>
        <v>0</v>
      </c>
      <c r="U123" s="60">
        <f t="shared" si="53"/>
        <v>0</v>
      </c>
      <c r="V123" s="60">
        <f t="shared" si="53"/>
        <v>0</v>
      </c>
      <c r="W123" s="60">
        <f t="shared" si="53"/>
        <v>0</v>
      </c>
      <c r="X123" s="60">
        <f t="shared" si="53"/>
        <v>0</v>
      </c>
      <c r="Y123" s="60">
        <f t="shared" si="53"/>
        <v>0</v>
      </c>
      <c r="Z123" s="60">
        <f t="shared" si="53"/>
        <v>0</v>
      </c>
      <c r="AA123" s="59"/>
      <c r="AB123" s="59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</row>
    <row r="124" spans="1:76" s="7" customFormat="1">
      <c r="A124" s="52"/>
      <c r="B124" s="127"/>
      <c r="C124" s="59"/>
      <c r="D124" s="59"/>
      <c r="E124" s="59"/>
      <c r="F124" s="59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59"/>
      <c r="AB124" s="59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</row>
    <row r="125" spans="1:76" s="7" customFormat="1">
      <c r="A125" s="63" t="s">
        <v>424</v>
      </c>
      <c r="B125" s="127"/>
      <c r="C125" s="59"/>
      <c r="D125" s="59"/>
      <c r="E125" s="59"/>
      <c r="F125" s="59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59"/>
      <c r="AB125" s="59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</row>
    <row r="126" spans="1:76" s="7" customFormat="1">
      <c r="A126" s="54" t="s">
        <v>51</v>
      </c>
      <c r="B126" s="127"/>
      <c r="C126" s="59">
        <v>0</v>
      </c>
      <c r="D126" s="59"/>
      <c r="E126" s="59"/>
      <c r="F126" s="59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59"/>
      <c r="AB126" s="59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</row>
    <row r="127" spans="1:76" s="7" customFormat="1">
      <c r="A127" s="54" t="s">
        <v>424</v>
      </c>
      <c r="B127" s="59"/>
      <c r="C127" s="59">
        <f>'IP1'!$D$91*VLOOKUP('IP1'!$G$91,Pattern,COLUMN(C127),0)/VLOOKUP('IP1'!$G$91,Pattern,2,0)</f>
        <v>3125</v>
      </c>
      <c r="D127" s="59">
        <f>'IP1'!$D$91*VLOOKUP('IP1'!$G$91,Pattern,COLUMN(D127),0)/VLOOKUP('IP1'!$G$91,Pattern,2,0)</f>
        <v>3125</v>
      </c>
      <c r="E127" s="59">
        <f>'IP1'!$D$91*VLOOKUP('IP1'!$G$91,Pattern,COLUMN(E127),0)/VLOOKUP('IP1'!$G$91,Pattern,2,0)</f>
        <v>3125</v>
      </c>
      <c r="F127" s="59">
        <f>'IP1'!$D$91*VLOOKUP('IP1'!$G$91,Pattern,COLUMN(F127),0)/VLOOKUP('IP1'!$G$91,Pattern,2,0)</f>
        <v>3125</v>
      </c>
      <c r="G127" s="59">
        <f>'IP1'!$D$91*VLOOKUP('IP1'!$G$91,Pattern,COLUMN(G127),0)/VLOOKUP('IP1'!$G$91,Pattern,2,0)</f>
        <v>3125</v>
      </c>
      <c r="H127" s="59">
        <f>'IP1'!$D$91*VLOOKUP('IP1'!$G$91,Pattern,COLUMN(H127),0)/VLOOKUP('IP1'!$G$91,Pattern,2,0)</f>
        <v>3125</v>
      </c>
      <c r="I127" s="59">
        <f>'IP1'!$D$91*VLOOKUP('IP1'!$G$91,Pattern,COLUMN(I127),0)/VLOOKUP('IP1'!$G$91,Pattern,2,0)</f>
        <v>3125</v>
      </c>
      <c r="J127" s="59">
        <f>'IP1'!$D$91*VLOOKUP('IP1'!$G$91,Pattern,COLUMN(J127),0)/VLOOKUP('IP1'!$G$91,Pattern,2,0)</f>
        <v>3125</v>
      </c>
      <c r="K127" s="59">
        <f>'IP1'!$D$91*VLOOKUP('IP1'!$G$91,Pattern,COLUMN(K127),0)/VLOOKUP('IP1'!$G$91,Pattern,2,0)</f>
        <v>3125</v>
      </c>
      <c r="L127" s="59">
        <f>'IP1'!$D$91*VLOOKUP('IP1'!$G$91,Pattern,COLUMN(L127),0)/VLOOKUP('IP1'!$G$91,Pattern,2,0)</f>
        <v>3125</v>
      </c>
      <c r="M127" s="59">
        <f>'IP1'!$D$91*VLOOKUP('IP1'!$G$91,Pattern,COLUMN(M127),0)/VLOOKUP('IP1'!$G$91,Pattern,2,0)</f>
        <v>3125</v>
      </c>
      <c r="N127" s="59">
        <f>'IP1'!$D$91*VLOOKUP('IP1'!$G$91,Pattern,COLUMN(N127),0)/VLOOKUP('IP1'!$G$91,Pattern,2,0)</f>
        <v>3125</v>
      </c>
      <c r="O127" s="59">
        <f>'IP1'!$E$91*VLOOKUP('IP1'!$G$91,Pattern,(COLUMN(O127)-12),0)/VLOOKUP('IP1'!$G$91,Pattern,2,0)</f>
        <v>6250</v>
      </c>
      <c r="P127" s="59">
        <f>'IP1'!$E$91*VLOOKUP('IP1'!$G$91,Pattern,(COLUMN(P127)-12),0)/VLOOKUP('IP1'!$G$91,Pattern,2,0)</f>
        <v>6250</v>
      </c>
      <c r="Q127" s="59">
        <f>'IP1'!$E$91*VLOOKUP('IP1'!$G$91,Pattern,(COLUMN(Q127)-12),0)/VLOOKUP('IP1'!$G$91,Pattern,2,0)</f>
        <v>6250</v>
      </c>
      <c r="R127" s="59">
        <f>'IP1'!$E$91*VLOOKUP('IP1'!$G$91,Pattern,(COLUMN(R127)-12),0)/VLOOKUP('IP1'!$G$91,Pattern,2,0)</f>
        <v>6250</v>
      </c>
      <c r="S127" s="59">
        <f>'IP1'!$E$91*VLOOKUP('IP1'!$G$91,Pattern,(COLUMN(S127)-12),0)/VLOOKUP('IP1'!$G$91,Pattern,2,0)</f>
        <v>6250</v>
      </c>
      <c r="T127" s="59">
        <f>'IP1'!$E$91*VLOOKUP('IP1'!$G$91,Pattern,(COLUMN(T127)-12),0)/VLOOKUP('IP1'!$G$91,Pattern,2,0)</f>
        <v>6250</v>
      </c>
      <c r="U127" s="59">
        <f>'IP1'!$E$91*VLOOKUP('IP1'!$G$91,Pattern,(COLUMN(U127)-12),0)/VLOOKUP('IP1'!$G$91,Pattern,2,0)</f>
        <v>6250</v>
      </c>
      <c r="V127" s="59">
        <f>'IP1'!$E$91*VLOOKUP('IP1'!$G$91,Pattern,(COLUMN(V127)-12),0)/VLOOKUP('IP1'!$G$91,Pattern,2,0)</f>
        <v>6250</v>
      </c>
      <c r="W127" s="59">
        <f>'IP1'!$E$91*VLOOKUP('IP1'!$G$91,Pattern,(COLUMN(W127)-12),0)/VLOOKUP('IP1'!$G$91,Pattern,2,0)</f>
        <v>6250</v>
      </c>
      <c r="X127" s="59">
        <f>'IP1'!$E$91*VLOOKUP('IP1'!$G$91,Pattern,(COLUMN(X127)-12),0)/VLOOKUP('IP1'!$G$91,Pattern,2,0)</f>
        <v>6250</v>
      </c>
      <c r="Y127" s="59">
        <f>'IP1'!$E$91*VLOOKUP('IP1'!$G$91,Pattern,(COLUMN(Y127)-12),0)/VLOOKUP('IP1'!$G$91,Pattern,2,0)</f>
        <v>6250</v>
      </c>
      <c r="Z127" s="59">
        <f>'IP1'!$E$91*VLOOKUP('IP1'!$G$91,Pattern,(COLUMN(Z127)-12),0)/VLOOKUP('IP1'!$G$91,Pattern,2,0)</f>
        <v>6250</v>
      </c>
      <c r="AA127" s="59"/>
      <c r="AB127" s="59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</row>
    <row r="128" spans="1:76" s="7" customFormat="1">
      <c r="A128" s="52" t="s">
        <v>37</v>
      </c>
      <c r="B128" s="127"/>
      <c r="C128" s="59"/>
      <c r="D128" s="59"/>
      <c r="E128" s="59"/>
      <c r="F128" s="59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59"/>
      <c r="AB128" s="59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</row>
    <row r="129" spans="1:76">
      <c r="C129" s="57"/>
      <c r="D129" s="57"/>
      <c r="E129" s="57"/>
      <c r="F129" s="55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5"/>
      <c r="AB129" s="55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</row>
    <row r="130" spans="1:76">
      <c r="A130" s="63" t="s">
        <v>159</v>
      </c>
      <c r="C130" s="57"/>
      <c r="D130" s="57"/>
      <c r="E130" s="57"/>
      <c r="F130" s="6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5"/>
      <c r="AB130" s="55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</row>
    <row r="131" spans="1:76">
      <c r="A131" s="54" t="s">
        <v>51</v>
      </c>
      <c r="B131" s="85">
        <f>'IP2'!D23</f>
        <v>-20000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5"/>
      <c r="AB131" s="55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</row>
    <row r="132" spans="1:76" s="7" customFormat="1">
      <c r="A132" s="52" t="s">
        <v>37</v>
      </c>
      <c r="B132" s="127">
        <f>B131</f>
        <v>-20000</v>
      </c>
      <c r="C132" s="59"/>
      <c r="D132" s="59"/>
      <c r="E132" s="59"/>
      <c r="F132" s="59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59"/>
      <c r="AB132" s="59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</row>
    <row r="133" spans="1:76" s="7" customFormat="1">
      <c r="A133" s="52"/>
      <c r="B133" s="127"/>
      <c r="C133" s="59"/>
      <c r="D133" s="59"/>
      <c r="E133" s="59"/>
      <c r="F133" s="59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59"/>
      <c r="AB133" s="59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</row>
    <row r="134" spans="1:76" s="7" customFormat="1">
      <c r="A134" s="63" t="s">
        <v>101</v>
      </c>
      <c r="B134" s="127"/>
      <c r="C134" s="59"/>
      <c r="D134" s="59"/>
      <c r="E134" s="59"/>
      <c r="F134" s="59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59"/>
      <c r="AB134" s="59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</row>
    <row r="135" spans="1:76" s="7" customFormat="1">
      <c r="A135" s="54" t="s">
        <v>283</v>
      </c>
      <c r="B135" s="85">
        <f>XLoan!E32</f>
        <v>0</v>
      </c>
      <c r="C135" s="59"/>
      <c r="D135" s="59"/>
      <c r="E135" s="59"/>
      <c r="F135" s="59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59"/>
      <c r="AB135" s="59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</row>
    <row r="136" spans="1:76" s="7" customFormat="1">
      <c r="A136" s="54" t="s">
        <v>284</v>
      </c>
      <c r="B136" s="85">
        <f>XLoan!E33</f>
        <v>0</v>
      </c>
      <c r="C136" s="59"/>
      <c r="D136" s="59"/>
      <c r="E136" s="59"/>
      <c r="F136" s="59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59"/>
      <c r="AB136" s="59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</row>
    <row r="137" spans="1:76" s="7" customFormat="1">
      <c r="A137" s="52" t="s">
        <v>37</v>
      </c>
      <c r="B137" s="127">
        <f>SUM(B135:B136)</f>
        <v>0</v>
      </c>
      <c r="C137" s="59"/>
      <c r="D137" s="59"/>
      <c r="E137" s="59"/>
      <c r="F137" s="59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59"/>
      <c r="AB137" s="59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</row>
    <row r="138" spans="1:76" s="7" customFormat="1">
      <c r="A138" s="52"/>
      <c r="B138" s="127"/>
      <c r="C138" s="59"/>
      <c r="D138" s="59"/>
      <c r="E138" s="59"/>
      <c r="F138" s="59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59"/>
      <c r="AB138" s="59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</row>
    <row r="139" spans="1:76" s="7" customFormat="1">
      <c r="A139" s="63" t="s">
        <v>150</v>
      </c>
      <c r="B139" s="127"/>
      <c r="C139" s="59"/>
      <c r="D139" s="59"/>
      <c r="E139" s="59"/>
      <c r="F139" s="59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59"/>
      <c r="AB139" s="59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</row>
    <row r="140" spans="1:76" s="7" customFormat="1">
      <c r="A140" s="54" t="s">
        <v>283</v>
      </c>
      <c r="B140" s="85">
        <f>XLease!D15</f>
        <v>0</v>
      </c>
      <c r="C140" s="59"/>
      <c r="D140" s="59"/>
      <c r="E140" s="59"/>
      <c r="F140" s="59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59"/>
      <c r="AB140" s="59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</row>
    <row r="141" spans="1:76" s="7" customFormat="1">
      <c r="A141" s="54" t="s">
        <v>284</v>
      </c>
      <c r="B141" s="85">
        <f>XLease!D16</f>
        <v>0</v>
      </c>
      <c r="C141" s="59"/>
      <c r="D141" s="59"/>
      <c r="E141" s="59"/>
      <c r="F141" s="59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59"/>
      <c r="AB141" s="59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</row>
    <row r="142" spans="1:76" s="7" customFormat="1">
      <c r="A142" s="52" t="s">
        <v>37</v>
      </c>
      <c r="B142" s="127">
        <f>SUM(B140:B141)</f>
        <v>0</v>
      </c>
      <c r="C142" s="59"/>
      <c r="D142" s="59"/>
      <c r="E142" s="59"/>
      <c r="F142" s="59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59"/>
      <c r="AB142" s="59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</row>
    <row r="143" spans="1:76">
      <c r="C143" s="57"/>
      <c r="D143" s="57"/>
      <c r="E143" s="57"/>
      <c r="F143" s="6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5"/>
      <c r="AB143" s="55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</row>
    <row r="144" spans="1:76">
      <c r="A144" s="63" t="s">
        <v>265</v>
      </c>
      <c r="C144" s="57"/>
      <c r="D144" s="57"/>
      <c r="E144" s="57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5"/>
      <c r="AB144" s="55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</row>
    <row r="145" spans="1:76">
      <c r="A145" s="54" t="s">
        <v>51</v>
      </c>
      <c r="B145" s="50">
        <f>B65+B74+B78-B85-B93-B99-B105-B111-B118+B132-B123-B137-B142</f>
        <v>7130000</v>
      </c>
      <c r="C145" s="57"/>
      <c r="D145" s="57"/>
      <c r="E145" s="57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5"/>
      <c r="AB145" s="55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</row>
    <row r="146" spans="1:76">
      <c r="A146" s="52" t="s">
        <v>37</v>
      </c>
      <c r="C146" s="57"/>
      <c r="D146" s="57"/>
      <c r="E146" s="57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5"/>
      <c r="AB146" s="55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</row>
    <row r="147" spans="1:76">
      <c r="C147" s="57"/>
      <c r="D147" s="57"/>
      <c r="E147" s="57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5"/>
      <c r="AB147" s="55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</row>
    <row r="148" spans="1:76">
      <c r="C148" s="57"/>
      <c r="D148" s="57"/>
      <c r="E148" s="57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5"/>
      <c r="AB148" s="55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</row>
    <row r="149" spans="1:76">
      <c r="C149" s="57"/>
      <c r="D149" s="57"/>
      <c r="E149" s="57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5"/>
      <c r="AB149" s="55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</row>
    <row r="150" spans="1:76">
      <c r="C150" s="57"/>
      <c r="D150" s="57"/>
      <c r="E150" s="57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5"/>
      <c r="AB150" s="55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</row>
    <row r="151" spans="1:76">
      <c r="C151" s="57"/>
      <c r="D151" s="57"/>
      <c r="E151" s="57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5"/>
      <c r="AB151" s="55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</row>
    <row r="152" spans="1:76">
      <c r="C152" s="57"/>
      <c r="D152" s="57"/>
      <c r="E152" s="57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5"/>
      <c r="AB152" s="55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</row>
    <row r="153" spans="1:76">
      <c r="C153" s="57"/>
      <c r="D153" s="57"/>
      <c r="E153" s="57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5"/>
      <c r="AB153" s="55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</row>
    <row r="154" spans="1:76">
      <c r="C154" s="57"/>
      <c r="D154" s="57"/>
      <c r="E154" s="57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5"/>
      <c r="AB154" s="55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</row>
    <row r="155" spans="1:76">
      <c r="C155" s="57"/>
      <c r="D155" s="57"/>
      <c r="E155" s="57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5"/>
      <c r="AB155" s="55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</row>
    <row r="156" spans="1:76">
      <c r="C156" s="57"/>
      <c r="D156" s="57"/>
      <c r="E156" s="57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5"/>
      <c r="AB156" s="55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</row>
    <row r="157" spans="1:76">
      <c r="C157" s="57"/>
      <c r="D157" s="57"/>
      <c r="E157" s="57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5"/>
      <c r="AB157" s="55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</row>
    <row r="158" spans="1:76">
      <c r="C158" s="57"/>
      <c r="D158" s="57"/>
      <c r="E158" s="57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5"/>
      <c r="AB158" s="55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</row>
    <row r="159" spans="1:76">
      <c r="C159" s="57"/>
      <c r="D159" s="57"/>
      <c r="E159" s="57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5"/>
      <c r="AB159" s="55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</row>
    <row r="160" spans="1:76">
      <c r="C160" s="57"/>
      <c r="D160" s="57"/>
      <c r="E160" s="57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5"/>
      <c r="AB160" s="55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</row>
    <row r="161" spans="3:76">
      <c r="C161" s="57"/>
      <c r="D161" s="57"/>
      <c r="E161" s="57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5"/>
      <c r="AB161" s="55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</row>
    <row r="162" spans="3:76">
      <c r="C162" s="57"/>
      <c r="D162" s="57"/>
      <c r="E162" s="57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5"/>
      <c r="AB162" s="55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</row>
    <row r="163" spans="3:76">
      <c r="C163" s="57"/>
      <c r="D163" s="57"/>
      <c r="E163" s="57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5"/>
      <c r="AB163" s="55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</row>
    <row r="164" spans="3:76">
      <c r="C164" s="57"/>
      <c r="D164" s="57"/>
      <c r="E164" s="57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5"/>
      <c r="AB164" s="55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</row>
    <row r="165" spans="3:76">
      <c r="C165" s="57"/>
      <c r="D165" s="57"/>
      <c r="E165" s="57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5"/>
      <c r="AB165" s="55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</row>
    <row r="166" spans="3:76">
      <c r="C166" s="57"/>
      <c r="D166" s="57"/>
      <c r="E166" s="57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5"/>
      <c r="AB166" s="55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</row>
    <row r="167" spans="3:76">
      <c r="C167" s="57"/>
      <c r="D167" s="57"/>
      <c r="E167" s="57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5"/>
      <c r="AB167" s="55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</row>
    <row r="168" spans="3:76">
      <c r="C168" s="57"/>
      <c r="D168" s="57"/>
      <c r="E168" s="57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5"/>
      <c r="AB168" s="55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</row>
    <row r="169" spans="3:76">
      <c r="C169" s="57"/>
      <c r="D169" s="57"/>
      <c r="E169" s="57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5"/>
      <c r="AB169" s="55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</row>
    <row r="170" spans="3:76">
      <c r="C170" s="57"/>
      <c r="D170" s="57"/>
      <c r="E170" s="57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5"/>
      <c r="AB170" s="55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</row>
    <row r="171" spans="3:76">
      <c r="C171" s="57"/>
      <c r="D171" s="57"/>
      <c r="E171" s="57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5"/>
      <c r="AB171" s="55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</row>
    <row r="172" spans="3:76">
      <c r="C172" s="57"/>
      <c r="D172" s="57"/>
      <c r="E172" s="57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5"/>
      <c r="AB172" s="55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</row>
    <row r="173" spans="3:76">
      <c r="C173" s="57"/>
      <c r="D173" s="57"/>
      <c r="E173" s="57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5"/>
      <c r="AB173" s="55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</row>
    <row r="174" spans="3:76">
      <c r="C174" s="57"/>
      <c r="D174" s="57"/>
      <c r="E174" s="57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5"/>
      <c r="AB174" s="55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</row>
    <row r="175" spans="3:76">
      <c r="C175" s="57"/>
      <c r="D175" s="57"/>
      <c r="E175" s="57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5"/>
      <c r="AB175" s="55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</row>
    <row r="176" spans="3:76">
      <c r="C176" s="57"/>
      <c r="D176" s="57"/>
      <c r="E176" s="57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5"/>
      <c r="AB176" s="55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</row>
    <row r="177" spans="3:76">
      <c r="C177" s="57"/>
      <c r="D177" s="57"/>
      <c r="E177" s="57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5"/>
      <c r="AB177" s="55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</row>
    <row r="178" spans="3:76">
      <c r="C178" s="57"/>
      <c r="D178" s="57"/>
      <c r="E178" s="57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5"/>
      <c r="AB178" s="55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</row>
    <row r="179" spans="3:76">
      <c r="C179" s="57"/>
      <c r="D179" s="57"/>
      <c r="E179" s="57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5"/>
      <c r="AB179" s="55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</row>
    <row r="180" spans="3:76">
      <c r="C180" s="57"/>
      <c r="D180" s="57"/>
      <c r="E180" s="57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5"/>
      <c r="AB180" s="55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</row>
    <row r="181" spans="3:76">
      <c r="C181" s="57"/>
      <c r="D181" s="57"/>
      <c r="E181" s="57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5"/>
      <c r="AB181" s="55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</row>
    <row r="182" spans="3:76">
      <c r="C182" s="57"/>
      <c r="D182" s="57"/>
      <c r="E182" s="57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5"/>
      <c r="AB182" s="55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</row>
    <row r="183" spans="3:76">
      <c r="C183" s="57"/>
      <c r="D183" s="57"/>
      <c r="E183" s="57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5"/>
      <c r="AB183" s="55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</row>
    <row r="184" spans="3:76">
      <c r="C184" s="57"/>
      <c r="D184" s="57"/>
      <c r="E184" s="57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5"/>
      <c r="AB184" s="55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</row>
    <row r="185" spans="3:76">
      <c r="C185" s="57"/>
      <c r="D185" s="57"/>
      <c r="E185" s="57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5"/>
      <c r="AB185" s="55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</row>
    <row r="186" spans="3:76">
      <c r="C186" s="57"/>
      <c r="D186" s="57"/>
      <c r="E186" s="57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5"/>
      <c r="AB186" s="55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</row>
    <row r="187" spans="3:76">
      <c r="C187" s="57"/>
      <c r="D187" s="57"/>
      <c r="E187" s="57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5"/>
      <c r="AB187" s="55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</row>
    <row r="188" spans="3:76">
      <c r="C188" s="57"/>
      <c r="D188" s="57"/>
      <c r="E188" s="57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5"/>
      <c r="AB188" s="55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</row>
    <row r="189" spans="3:76">
      <c r="C189" s="57"/>
      <c r="D189" s="57"/>
      <c r="E189" s="57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5"/>
      <c r="AB189" s="55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</row>
    <row r="190" spans="3:76">
      <c r="C190" s="57"/>
      <c r="D190" s="57"/>
      <c r="E190" s="57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5"/>
      <c r="AB190" s="55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</row>
    <row r="191" spans="3:76">
      <c r="C191" s="57"/>
      <c r="D191" s="57"/>
      <c r="E191" s="57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5"/>
      <c r="AB191" s="55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</row>
    <row r="192" spans="3:76">
      <c r="C192" s="57"/>
      <c r="D192" s="57"/>
      <c r="E192" s="57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5"/>
      <c r="AB192" s="55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</row>
    <row r="193" spans="3:76">
      <c r="C193" s="57"/>
      <c r="D193" s="57"/>
      <c r="E193" s="57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5"/>
      <c r="AB193" s="55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</row>
    <row r="194" spans="3:76">
      <c r="C194" s="57"/>
      <c r="D194" s="57"/>
      <c r="E194" s="57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5"/>
      <c r="AB194" s="55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</row>
    <row r="195" spans="3:76">
      <c r="C195" s="57"/>
      <c r="D195" s="57"/>
      <c r="E195" s="57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5"/>
      <c r="AB195" s="55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</row>
    <row r="196" spans="3:76">
      <c r="C196" s="57"/>
      <c r="D196" s="57"/>
      <c r="E196" s="57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5"/>
      <c r="AB196" s="55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</row>
    <row r="197" spans="3:76">
      <c r="C197" s="57"/>
      <c r="D197" s="57"/>
      <c r="E197" s="57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5"/>
      <c r="AB197" s="55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</row>
    <row r="198" spans="3:76">
      <c r="C198" s="57"/>
      <c r="D198" s="57"/>
      <c r="E198" s="57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5"/>
      <c r="AB198" s="55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</row>
    <row r="199" spans="3:76">
      <c r="C199" s="57"/>
      <c r="D199" s="57"/>
      <c r="E199" s="57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5"/>
      <c r="AB199" s="55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</row>
    <row r="200" spans="3:76">
      <c r="C200" s="57"/>
      <c r="D200" s="57"/>
      <c r="E200" s="57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5"/>
      <c r="AB200" s="55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</row>
    <row r="201" spans="3:76">
      <c r="C201" s="57"/>
      <c r="D201" s="57"/>
      <c r="E201" s="57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5"/>
      <c r="AB201" s="55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</row>
    <row r="202" spans="3:76">
      <c r="C202" s="57"/>
      <c r="D202" s="57"/>
      <c r="E202" s="57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5"/>
      <c r="AB202" s="55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</row>
    <row r="203" spans="3:76">
      <c r="C203" s="57"/>
      <c r="D203" s="57"/>
      <c r="E203" s="57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5"/>
      <c r="AB203" s="55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</row>
    <row r="204" spans="3:76">
      <c r="C204" s="57"/>
      <c r="D204" s="57"/>
      <c r="E204" s="57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5"/>
      <c r="AB204" s="55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</row>
    <row r="205" spans="3:76">
      <c r="C205" s="57"/>
      <c r="D205" s="57"/>
      <c r="E205" s="57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5"/>
      <c r="AB205" s="55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</row>
    <row r="206" spans="3:76">
      <c r="C206" s="57"/>
      <c r="D206" s="57"/>
      <c r="E206" s="57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5"/>
      <c r="AB206" s="55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</row>
    <row r="207" spans="3:76">
      <c r="C207" s="57"/>
      <c r="D207" s="57"/>
      <c r="E207" s="57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5"/>
      <c r="AB207" s="55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</row>
    <row r="208" spans="3:76">
      <c r="C208" s="57"/>
      <c r="D208" s="57"/>
      <c r="E208" s="57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5"/>
      <c r="AB208" s="55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</row>
    <row r="209" spans="3:76">
      <c r="C209" s="57"/>
      <c r="D209" s="57"/>
      <c r="E209" s="57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5"/>
      <c r="AB209" s="55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</row>
    <row r="210" spans="3:76">
      <c r="C210" s="57"/>
      <c r="D210" s="57"/>
      <c r="E210" s="57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5"/>
      <c r="AB210" s="55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</row>
    <row r="211" spans="3:76">
      <c r="C211" s="57"/>
      <c r="D211" s="57"/>
      <c r="E211" s="57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5"/>
      <c r="AB211" s="55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</row>
    <row r="212" spans="3:76">
      <c r="C212" s="57"/>
      <c r="D212" s="57"/>
      <c r="E212" s="57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5"/>
      <c r="AB212" s="55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</row>
    <row r="213" spans="3:76">
      <c r="C213" s="57"/>
      <c r="D213" s="57"/>
      <c r="E213" s="57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5"/>
      <c r="AB213" s="55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</row>
    <row r="214" spans="3:76">
      <c r="C214" s="57"/>
      <c r="D214" s="57"/>
      <c r="E214" s="57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5"/>
      <c r="AB214" s="55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</row>
    <row r="215" spans="3:76">
      <c r="C215" s="57"/>
      <c r="D215" s="57"/>
      <c r="E215" s="57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5"/>
      <c r="AB215" s="55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</row>
    <row r="216" spans="3:76">
      <c r="C216" s="57"/>
      <c r="D216" s="57"/>
      <c r="E216" s="57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5"/>
      <c r="AB216" s="55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</row>
    <row r="217" spans="3:76">
      <c r="C217" s="57"/>
      <c r="D217" s="57"/>
      <c r="E217" s="57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5"/>
      <c r="AB217" s="55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</row>
    <row r="218" spans="3:76">
      <c r="C218" s="57"/>
      <c r="D218" s="57"/>
      <c r="E218" s="57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5"/>
      <c r="AB218" s="55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</row>
    <row r="219" spans="3:76">
      <c r="C219" s="57"/>
      <c r="D219" s="57"/>
      <c r="E219" s="57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5"/>
      <c r="AB219" s="55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</row>
    <row r="220" spans="3:76">
      <c r="C220" s="57"/>
      <c r="D220" s="57"/>
      <c r="E220" s="57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5"/>
      <c r="AB220" s="55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</row>
    <row r="221" spans="3:76">
      <c r="C221" s="57"/>
      <c r="D221" s="57"/>
      <c r="E221" s="57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5"/>
      <c r="AB221" s="55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</row>
    <row r="222" spans="3:76">
      <c r="C222" s="57"/>
      <c r="D222" s="57"/>
      <c r="E222" s="57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5"/>
      <c r="AB222" s="55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</row>
    <row r="223" spans="3:76">
      <c r="C223" s="57"/>
      <c r="D223" s="57"/>
      <c r="E223" s="57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5"/>
      <c r="AB223" s="55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</row>
    <row r="224" spans="3:76">
      <c r="C224" s="57"/>
      <c r="D224" s="57"/>
      <c r="E224" s="57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5"/>
      <c r="AB224" s="55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</row>
    <row r="225" spans="3:76">
      <c r="C225" s="57"/>
      <c r="D225" s="57"/>
      <c r="E225" s="57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5"/>
      <c r="AB225" s="55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</row>
    <row r="226" spans="3:76">
      <c r="C226" s="57"/>
      <c r="D226" s="57"/>
      <c r="E226" s="57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5"/>
      <c r="AB226" s="55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</row>
    <row r="227" spans="3:76">
      <c r="C227" s="57"/>
      <c r="D227" s="57"/>
      <c r="E227" s="57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5"/>
      <c r="AB227" s="55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</row>
    <row r="228" spans="3:76">
      <c r="C228" s="57"/>
      <c r="D228" s="57"/>
      <c r="E228" s="57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5"/>
      <c r="AB228" s="55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</row>
    <row r="229" spans="3:76">
      <c r="C229" s="57"/>
      <c r="D229" s="57"/>
      <c r="E229" s="57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5"/>
      <c r="AB229" s="55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</row>
    <row r="230" spans="3:76">
      <c r="C230" s="57"/>
      <c r="D230" s="57"/>
      <c r="E230" s="57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5"/>
      <c r="AB230" s="55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</row>
    <row r="231" spans="3:76">
      <c r="C231" s="57"/>
      <c r="D231" s="57"/>
      <c r="E231" s="57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5"/>
      <c r="AB231" s="55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</row>
    <row r="232" spans="3:76">
      <c r="C232" s="57"/>
      <c r="D232" s="57"/>
      <c r="E232" s="57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5"/>
      <c r="AB232" s="55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</row>
    <row r="233" spans="3:76">
      <c r="C233" s="57"/>
      <c r="D233" s="57"/>
      <c r="E233" s="57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5"/>
      <c r="AB233" s="55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</row>
    <row r="234" spans="3:76">
      <c r="C234" s="57"/>
      <c r="D234" s="57"/>
      <c r="E234" s="57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5"/>
      <c r="AB234" s="55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</row>
    <row r="235" spans="3:76">
      <c r="C235" s="57"/>
      <c r="D235" s="57"/>
      <c r="E235" s="57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5"/>
      <c r="AB235" s="55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</row>
    <row r="236" spans="3:76">
      <c r="C236" s="57"/>
      <c r="D236" s="57"/>
      <c r="E236" s="57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5"/>
      <c r="AB236" s="55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</row>
    <row r="237" spans="3:76">
      <c r="C237" s="57"/>
      <c r="D237" s="57"/>
      <c r="E237" s="57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5"/>
      <c r="AB237" s="55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</row>
    <row r="238" spans="3:76">
      <c r="C238" s="57"/>
      <c r="D238" s="57"/>
      <c r="E238" s="57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5"/>
      <c r="AB238" s="55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</row>
    <row r="239" spans="3:76">
      <c r="C239" s="57"/>
      <c r="D239" s="57"/>
      <c r="E239" s="57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5"/>
      <c r="AB239" s="55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</row>
    <row r="240" spans="3:76">
      <c r="C240" s="57"/>
      <c r="D240" s="57"/>
      <c r="E240" s="57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5"/>
      <c r="AB240" s="55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</row>
    <row r="241" spans="3:76">
      <c r="C241" s="57"/>
      <c r="D241" s="57"/>
      <c r="E241" s="57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5"/>
      <c r="AB241" s="55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</row>
    <row r="242" spans="3:76">
      <c r="C242" s="57"/>
      <c r="D242" s="57"/>
      <c r="E242" s="57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5"/>
      <c r="AB242" s="55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</row>
    <row r="243" spans="3:76">
      <c r="C243" s="57"/>
      <c r="D243" s="57"/>
      <c r="E243" s="57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5"/>
      <c r="AB243" s="55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</row>
    <row r="244" spans="3:76">
      <c r="C244" s="57"/>
      <c r="D244" s="57"/>
      <c r="E244" s="57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5"/>
      <c r="AB244" s="55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</row>
    <row r="245" spans="3:76">
      <c r="C245" s="57"/>
      <c r="D245" s="57"/>
      <c r="E245" s="57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5"/>
      <c r="AB245" s="55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</row>
    <row r="246" spans="3:76">
      <c r="C246" s="57"/>
      <c r="D246" s="57"/>
      <c r="E246" s="57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5"/>
      <c r="AB246" s="55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</row>
    <row r="247" spans="3:76">
      <c r="C247" s="57"/>
      <c r="D247" s="57"/>
      <c r="E247" s="57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5"/>
      <c r="AB247" s="55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</row>
    <row r="248" spans="3:76">
      <c r="C248" s="57"/>
      <c r="D248" s="57"/>
      <c r="E248" s="57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5"/>
      <c r="AB248" s="55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</row>
    <row r="249" spans="3:76">
      <c r="C249" s="57"/>
      <c r="D249" s="57"/>
      <c r="E249" s="57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5"/>
      <c r="AB249" s="55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</row>
    <row r="250" spans="3:76">
      <c r="F250" s="18"/>
      <c r="G250" s="18"/>
      <c r="H250" s="18"/>
      <c r="I250" s="18"/>
      <c r="J250" s="18"/>
      <c r="K250" s="18"/>
      <c r="L250" s="18"/>
      <c r="M250" s="18"/>
      <c r="N250" s="18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</row>
    <row r="251" spans="3:76">
      <c r="F251" s="18"/>
      <c r="G251" s="18"/>
      <c r="H251" s="18"/>
      <c r="I251" s="18"/>
      <c r="J251" s="18"/>
      <c r="K251" s="18"/>
      <c r="L251" s="18"/>
      <c r="M251" s="18"/>
      <c r="N251" s="18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</row>
    <row r="252" spans="3:76">
      <c r="F252" s="18"/>
      <c r="G252" s="18"/>
      <c r="H252" s="18"/>
      <c r="I252" s="18"/>
      <c r="J252" s="18"/>
      <c r="K252" s="18"/>
      <c r="L252" s="18"/>
      <c r="M252" s="18"/>
      <c r="N252" s="18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</row>
    <row r="253" spans="3:76">
      <c r="F253" s="18"/>
      <c r="G253" s="18"/>
      <c r="H253" s="18"/>
      <c r="I253" s="18"/>
      <c r="J253" s="18"/>
      <c r="K253" s="18"/>
      <c r="L253" s="18"/>
      <c r="M253" s="18"/>
      <c r="N253" s="18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</row>
    <row r="254" spans="3:76">
      <c r="F254" s="18"/>
      <c r="G254" s="18"/>
      <c r="H254" s="18"/>
      <c r="I254" s="18"/>
      <c r="J254" s="18"/>
      <c r="K254" s="18"/>
      <c r="L254" s="18"/>
      <c r="M254" s="18"/>
      <c r="N254" s="18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</row>
    <row r="255" spans="3:76">
      <c r="F255" s="18"/>
      <c r="G255" s="18"/>
      <c r="H255" s="18"/>
      <c r="I255" s="18"/>
      <c r="J255" s="18"/>
      <c r="K255" s="18"/>
      <c r="L255" s="18"/>
      <c r="M255" s="18"/>
      <c r="N255" s="18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</row>
    <row r="256" spans="3:76">
      <c r="F256" s="18"/>
      <c r="G256" s="18"/>
      <c r="H256" s="18"/>
      <c r="I256" s="18"/>
      <c r="J256" s="18"/>
      <c r="K256" s="18"/>
      <c r="L256" s="18"/>
      <c r="M256" s="18"/>
      <c r="N256" s="18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</row>
    <row r="257" spans="6:76">
      <c r="F257" s="18"/>
      <c r="G257" s="18"/>
      <c r="H257" s="18"/>
      <c r="I257" s="18"/>
      <c r="J257" s="18"/>
      <c r="K257" s="18"/>
      <c r="L257" s="18"/>
      <c r="M257" s="18"/>
      <c r="N257" s="18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</row>
    <row r="258" spans="6:76">
      <c r="F258" s="18"/>
      <c r="G258" s="18"/>
      <c r="H258" s="18"/>
      <c r="I258" s="18"/>
      <c r="J258" s="18"/>
      <c r="K258" s="18"/>
      <c r="L258" s="18"/>
      <c r="M258" s="18"/>
      <c r="N258" s="18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</row>
    <row r="259" spans="6:76">
      <c r="F259" s="18"/>
      <c r="G259" s="18"/>
      <c r="H259" s="18"/>
      <c r="I259" s="18"/>
      <c r="J259" s="18"/>
      <c r="K259" s="18"/>
      <c r="L259" s="18"/>
      <c r="M259" s="18"/>
      <c r="N259" s="18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</row>
    <row r="260" spans="6:76">
      <c r="F260" s="18"/>
      <c r="G260" s="18"/>
      <c r="H260" s="18"/>
      <c r="I260" s="18"/>
      <c r="J260" s="18"/>
      <c r="K260" s="18"/>
      <c r="L260" s="18"/>
      <c r="M260" s="18"/>
      <c r="N260" s="18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</row>
    <row r="261" spans="6:76">
      <c r="F261" s="18"/>
      <c r="G261" s="18"/>
      <c r="H261" s="18"/>
      <c r="I261" s="18"/>
      <c r="J261" s="18"/>
      <c r="K261" s="18"/>
      <c r="L261" s="18"/>
      <c r="M261" s="18"/>
      <c r="N261" s="18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</row>
    <row r="262" spans="6:76">
      <c r="F262" s="18"/>
      <c r="G262" s="18"/>
      <c r="H262" s="18"/>
      <c r="I262" s="18"/>
      <c r="J262" s="18"/>
      <c r="K262" s="18"/>
      <c r="L262" s="18"/>
      <c r="M262" s="18"/>
      <c r="N262" s="18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</row>
    <row r="263" spans="6:76">
      <c r="F263" s="18"/>
      <c r="G263" s="18"/>
      <c r="H263" s="18"/>
      <c r="I263" s="18"/>
      <c r="J263" s="18"/>
      <c r="K263" s="18"/>
      <c r="L263" s="18"/>
      <c r="M263" s="18"/>
      <c r="N263" s="18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</row>
    <row r="264" spans="6:76">
      <c r="F264" s="18"/>
      <c r="G264" s="18"/>
      <c r="H264" s="18"/>
      <c r="I264" s="18"/>
      <c r="J264" s="18"/>
      <c r="K264" s="18"/>
      <c r="L264" s="18"/>
      <c r="M264" s="18"/>
      <c r="N264" s="18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</row>
    <row r="265" spans="6:76">
      <c r="F265" s="18"/>
      <c r="G265" s="18"/>
      <c r="H265" s="18"/>
      <c r="I265" s="18"/>
      <c r="J265" s="18"/>
      <c r="K265" s="18"/>
      <c r="L265" s="18"/>
      <c r="M265" s="18"/>
      <c r="N265" s="18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</row>
    <row r="266" spans="6:76">
      <c r="F266" s="18"/>
      <c r="G266" s="18"/>
      <c r="H266" s="18"/>
      <c r="I266" s="18"/>
      <c r="J266" s="18"/>
      <c r="K266" s="18"/>
      <c r="L266" s="18"/>
      <c r="M266" s="18"/>
      <c r="N266" s="18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</row>
    <row r="267" spans="6:76">
      <c r="F267" s="18"/>
      <c r="G267" s="18"/>
      <c r="H267" s="18"/>
      <c r="I267" s="18"/>
      <c r="J267" s="18"/>
      <c r="K267" s="18"/>
      <c r="L267" s="18"/>
      <c r="M267" s="18"/>
      <c r="N267" s="18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</row>
    <row r="268" spans="6:76">
      <c r="F268" s="18"/>
      <c r="G268" s="18"/>
      <c r="H268" s="18"/>
      <c r="I268" s="18"/>
      <c r="J268" s="18"/>
      <c r="K268" s="18"/>
      <c r="L268" s="18"/>
      <c r="M268" s="18"/>
      <c r="N268" s="18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</row>
    <row r="269" spans="6:76">
      <c r="F269" s="18"/>
      <c r="G269" s="18"/>
      <c r="H269" s="18"/>
      <c r="I269" s="18"/>
      <c r="J269" s="18"/>
      <c r="K269" s="18"/>
      <c r="L269" s="18"/>
      <c r="M269" s="18"/>
      <c r="N269" s="18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</row>
    <row r="270" spans="6:76">
      <c r="F270" s="18"/>
      <c r="G270" s="18"/>
      <c r="H270" s="18"/>
      <c r="I270" s="18"/>
      <c r="J270" s="18"/>
      <c r="K270" s="18"/>
      <c r="L270" s="18"/>
      <c r="M270" s="18"/>
      <c r="N270" s="18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</row>
    <row r="271" spans="6:76">
      <c r="F271" s="18"/>
      <c r="G271" s="18"/>
      <c r="H271" s="18"/>
      <c r="I271" s="18"/>
      <c r="J271" s="18"/>
      <c r="K271" s="18"/>
      <c r="L271" s="18"/>
      <c r="M271" s="18"/>
      <c r="N271" s="18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</row>
    <row r="272" spans="6:76">
      <c r="F272" s="18"/>
      <c r="G272" s="18"/>
      <c r="H272" s="18"/>
      <c r="I272" s="18"/>
      <c r="J272" s="18"/>
      <c r="K272" s="18"/>
      <c r="L272" s="18"/>
      <c r="M272" s="18"/>
      <c r="N272" s="18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</row>
    <row r="273" spans="6:76">
      <c r="F273" s="18"/>
      <c r="G273" s="18"/>
      <c r="H273" s="18"/>
      <c r="I273" s="18"/>
      <c r="J273" s="18"/>
      <c r="K273" s="18"/>
      <c r="L273" s="18"/>
      <c r="M273" s="18"/>
      <c r="N273" s="18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</row>
    <row r="274" spans="6:76">
      <c r="F274" s="18"/>
      <c r="G274" s="18"/>
      <c r="H274" s="18"/>
      <c r="I274" s="18"/>
      <c r="J274" s="18"/>
      <c r="K274" s="18"/>
      <c r="L274" s="18"/>
      <c r="M274" s="18"/>
      <c r="N274" s="18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</row>
    <row r="275" spans="6:76">
      <c r="F275" s="18"/>
      <c r="G275" s="18"/>
      <c r="H275" s="18"/>
      <c r="I275" s="18"/>
      <c r="J275" s="18"/>
      <c r="K275" s="18"/>
      <c r="L275" s="18"/>
      <c r="M275" s="18"/>
      <c r="N275" s="18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</row>
    <row r="276" spans="6:76">
      <c r="F276" s="18"/>
      <c r="G276" s="18"/>
      <c r="H276" s="18"/>
      <c r="I276" s="18"/>
      <c r="J276" s="18"/>
      <c r="K276" s="18"/>
      <c r="L276" s="18"/>
      <c r="M276" s="18"/>
      <c r="N276" s="18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</row>
    <row r="277" spans="6:76">
      <c r="F277" s="18"/>
      <c r="G277" s="18"/>
      <c r="H277" s="18"/>
      <c r="I277" s="18"/>
      <c r="J277" s="18"/>
      <c r="K277" s="18"/>
      <c r="L277" s="18"/>
      <c r="M277" s="18"/>
      <c r="N277" s="18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</row>
    <row r="278" spans="6:76">
      <c r="F278" s="18"/>
      <c r="G278" s="18"/>
      <c r="H278" s="18"/>
      <c r="I278" s="18"/>
      <c r="J278" s="18"/>
      <c r="K278" s="18"/>
      <c r="L278" s="18"/>
      <c r="M278" s="18"/>
      <c r="N278" s="18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</row>
    <row r="279" spans="6:76">
      <c r="F279" s="18"/>
      <c r="G279" s="18"/>
      <c r="H279" s="18"/>
      <c r="I279" s="18"/>
      <c r="J279" s="18"/>
      <c r="K279" s="18"/>
      <c r="L279" s="18"/>
      <c r="M279" s="18"/>
      <c r="N279" s="18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</row>
    <row r="280" spans="6:76">
      <c r="F280" s="18"/>
      <c r="G280" s="18"/>
      <c r="H280" s="18"/>
      <c r="I280" s="18"/>
      <c r="J280" s="18"/>
      <c r="K280" s="18"/>
      <c r="L280" s="18"/>
      <c r="M280" s="18"/>
      <c r="N280" s="18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</row>
    <row r="281" spans="6:76">
      <c r="F281" s="18"/>
      <c r="G281" s="18"/>
      <c r="H281" s="18"/>
      <c r="I281" s="18"/>
      <c r="J281" s="18"/>
      <c r="K281" s="18"/>
      <c r="L281" s="18"/>
      <c r="M281" s="18"/>
      <c r="N281" s="18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</row>
    <row r="282" spans="6:76">
      <c r="F282" s="18"/>
      <c r="G282" s="18"/>
      <c r="H282" s="18"/>
      <c r="I282" s="18"/>
      <c r="J282" s="18"/>
      <c r="K282" s="18"/>
      <c r="L282" s="18"/>
      <c r="M282" s="18"/>
      <c r="N282" s="18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</row>
    <row r="283" spans="6:76">
      <c r="F283" s="18"/>
      <c r="G283" s="18"/>
      <c r="H283" s="18"/>
      <c r="I283" s="18"/>
      <c r="J283" s="18"/>
      <c r="K283" s="18"/>
      <c r="L283" s="18"/>
      <c r="M283" s="18"/>
      <c r="N283" s="18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</row>
    <row r="284" spans="6:76">
      <c r="F284" s="18"/>
      <c r="G284" s="18"/>
      <c r="H284" s="18"/>
      <c r="I284" s="18"/>
      <c r="J284" s="18"/>
      <c r="K284" s="18"/>
      <c r="L284" s="18"/>
      <c r="M284" s="18"/>
      <c r="N284" s="18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</row>
    <row r="285" spans="6:76">
      <c r="F285" s="18"/>
      <c r="G285" s="18"/>
      <c r="H285" s="18"/>
      <c r="I285" s="18"/>
      <c r="J285" s="18"/>
      <c r="K285" s="18"/>
      <c r="L285" s="18"/>
      <c r="M285" s="18"/>
      <c r="N285" s="18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</row>
    <row r="286" spans="6:76">
      <c r="F286" s="18"/>
      <c r="G286" s="18"/>
      <c r="H286" s="18"/>
      <c r="I286" s="18"/>
      <c r="J286" s="18"/>
      <c r="K286" s="18"/>
      <c r="L286" s="18"/>
      <c r="M286" s="18"/>
      <c r="N286" s="18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</row>
    <row r="287" spans="6:76">
      <c r="F287" s="18"/>
      <c r="G287" s="18"/>
      <c r="H287" s="18"/>
      <c r="I287" s="18"/>
      <c r="J287" s="18"/>
      <c r="K287" s="18"/>
      <c r="L287" s="18"/>
      <c r="M287" s="18"/>
      <c r="N287" s="18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</row>
    <row r="288" spans="6:76">
      <c r="F288" s="18"/>
      <c r="G288" s="18"/>
      <c r="H288" s="18"/>
      <c r="I288" s="18"/>
      <c r="J288" s="18"/>
      <c r="K288" s="18"/>
      <c r="L288" s="18"/>
      <c r="M288" s="18"/>
      <c r="N288" s="18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</row>
    <row r="289" spans="6:38">
      <c r="F289" s="18"/>
      <c r="G289" s="18"/>
      <c r="H289" s="18"/>
      <c r="I289" s="18"/>
      <c r="J289" s="18"/>
      <c r="K289" s="18"/>
      <c r="L289" s="18"/>
      <c r="M289" s="18"/>
      <c r="N289" s="18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</row>
    <row r="290" spans="6:38">
      <c r="F290" s="18"/>
      <c r="G290" s="18"/>
      <c r="H290" s="18"/>
      <c r="I290" s="18"/>
      <c r="J290" s="18"/>
      <c r="K290" s="18"/>
      <c r="L290" s="18"/>
      <c r="M290" s="18"/>
      <c r="N290" s="18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</row>
    <row r="291" spans="6:38">
      <c r="F291" s="18"/>
      <c r="G291" s="18"/>
      <c r="H291" s="18"/>
      <c r="I291" s="18"/>
      <c r="J291" s="18"/>
      <c r="K291" s="18"/>
      <c r="L291" s="18"/>
      <c r="M291" s="18"/>
      <c r="N291" s="18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</row>
    <row r="292" spans="6:38">
      <c r="F292" s="18"/>
      <c r="G292" s="18"/>
      <c r="H292" s="18"/>
      <c r="I292" s="18"/>
      <c r="J292" s="18"/>
      <c r="K292" s="18"/>
      <c r="L292" s="18"/>
      <c r="M292" s="18"/>
      <c r="N292" s="18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</row>
    <row r="293" spans="6:38">
      <c r="F293" s="18"/>
      <c r="G293" s="18"/>
      <c r="H293" s="18"/>
      <c r="I293" s="18"/>
      <c r="J293" s="18"/>
      <c r="K293" s="18"/>
      <c r="L293" s="18"/>
      <c r="M293" s="18"/>
      <c r="N293" s="18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</row>
    <row r="294" spans="6:38">
      <c r="F294" s="18"/>
      <c r="G294" s="18"/>
      <c r="H294" s="18"/>
      <c r="I294" s="18"/>
      <c r="J294" s="18"/>
      <c r="K294" s="18"/>
      <c r="L294" s="18"/>
      <c r="M294" s="18"/>
      <c r="N294" s="18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</row>
    <row r="295" spans="6:38">
      <c r="F295" s="18"/>
      <c r="G295" s="18"/>
      <c r="H295" s="18"/>
      <c r="I295" s="18"/>
      <c r="J295" s="18"/>
      <c r="K295" s="18"/>
      <c r="L295" s="18"/>
      <c r="M295" s="18"/>
      <c r="N295" s="18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</row>
    <row r="296" spans="6:38">
      <c r="F296" s="18"/>
      <c r="G296" s="18"/>
      <c r="H296" s="18"/>
      <c r="I296" s="18"/>
      <c r="J296" s="18"/>
      <c r="K296" s="18"/>
      <c r="L296" s="18"/>
      <c r="M296" s="18"/>
      <c r="N296" s="18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</row>
    <row r="297" spans="6:38">
      <c r="F297" s="18"/>
      <c r="G297" s="18"/>
      <c r="H297" s="18"/>
      <c r="I297" s="18"/>
      <c r="J297" s="18"/>
      <c r="K297" s="18"/>
      <c r="L297" s="18"/>
      <c r="M297" s="18"/>
      <c r="N297" s="18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</row>
    <row r="298" spans="6:38">
      <c r="F298" s="18"/>
      <c r="G298" s="18"/>
      <c r="H298" s="18"/>
      <c r="I298" s="18"/>
      <c r="J298" s="18"/>
      <c r="K298" s="18"/>
      <c r="L298" s="18"/>
      <c r="M298" s="18"/>
      <c r="N298" s="18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</row>
    <row r="299" spans="6:38">
      <c r="F299" s="18"/>
      <c r="G299" s="18"/>
      <c r="H299" s="18"/>
      <c r="I299" s="18"/>
      <c r="J299" s="18"/>
      <c r="K299" s="18"/>
      <c r="L299" s="18"/>
      <c r="M299" s="18"/>
      <c r="N299" s="18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</row>
    <row r="300" spans="6:38">
      <c r="F300" s="18"/>
      <c r="G300" s="18"/>
      <c r="H300" s="18"/>
      <c r="I300" s="18"/>
      <c r="J300" s="18"/>
      <c r="K300" s="18"/>
      <c r="L300" s="18"/>
      <c r="M300" s="18"/>
      <c r="N300" s="18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</row>
    <row r="301" spans="6:38">
      <c r="F301" s="18"/>
      <c r="G301" s="18"/>
      <c r="H301" s="18"/>
      <c r="I301" s="18"/>
      <c r="J301" s="18"/>
      <c r="K301" s="18"/>
      <c r="L301" s="18"/>
      <c r="M301" s="18"/>
      <c r="N301" s="18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</row>
    <row r="302" spans="6:38">
      <c r="F302" s="18"/>
      <c r="G302" s="18"/>
      <c r="H302" s="18"/>
      <c r="I302" s="18"/>
      <c r="J302" s="18"/>
      <c r="K302" s="18"/>
      <c r="L302" s="18"/>
      <c r="M302" s="18"/>
      <c r="N302" s="18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</row>
    <row r="303" spans="6:38">
      <c r="F303" s="18"/>
      <c r="G303" s="18"/>
      <c r="H303" s="18"/>
      <c r="I303" s="18"/>
      <c r="J303" s="18"/>
      <c r="K303" s="18"/>
      <c r="L303" s="18"/>
      <c r="M303" s="18"/>
      <c r="N303" s="18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</row>
    <row r="304" spans="6:38">
      <c r="F304" s="18"/>
      <c r="G304" s="18"/>
      <c r="H304" s="18"/>
      <c r="I304" s="18"/>
      <c r="J304" s="18"/>
      <c r="K304" s="18"/>
      <c r="L304" s="18"/>
      <c r="M304" s="18"/>
      <c r="N304" s="18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</row>
    <row r="305" spans="6:38">
      <c r="F305" s="18"/>
      <c r="G305" s="18"/>
      <c r="H305" s="18"/>
      <c r="I305" s="18"/>
      <c r="J305" s="18"/>
      <c r="K305" s="18"/>
      <c r="L305" s="18"/>
      <c r="M305" s="18"/>
      <c r="N305" s="18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</row>
    <row r="306" spans="6:38">
      <c r="F306" s="18"/>
      <c r="G306" s="18"/>
      <c r="H306" s="18"/>
      <c r="I306" s="18"/>
      <c r="J306" s="18"/>
      <c r="K306" s="18"/>
      <c r="L306" s="18"/>
      <c r="M306" s="18"/>
      <c r="N306" s="18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</row>
    <row r="307" spans="6:38">
      <c r="F307" s="18"/>
      <c r="G307" s="18"/>
      <c r="H307" s="18"/>
      <c r="I307" s="18"/>
      <c r="J307" s="18"/>
      <c r="K307" s="18"/>
      <c r="L307" s="18"/>
      <c r="M307" s="18"/>
      <c r="N307" s="18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</row>
    <row r="308" spans="6:38">
      <c r="F308" s="18"/>
      <c r="G308" s="18"/>
      <c r="H308" s="18"/>
      <c r="I308" s="18"/>
      <c r="J308" s="18"/>
      <c r="K308" s="18"/>
      <c r="L308" s="18"/>
      <c r="M308" s="18"/>
      <c r="N308" s="18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</row>
    <row r="309" spans="6:38">
      <c r="F309" s="18"/>
      <c r="G309" s="18"/>
      <c r="H309" s="18"/>
      <c r="I309" s="18"/>
      <c r="J309" s="18"/>
      <c r="K309" s="18"/>
      <c r="L309" s="18"/>
      <c r="M309" s="18"/>
      <c r="N309" s="18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</row>
    <row r="310" spans="6:38">
      <c r="F310" s="18"/>
      <c r="G310" s="18"/>
      <c r="H310" s="18"/>
      <c r="I310" s="18"/>
      <c r="J310" s="18"/>
      <c r="K310" s="18"/>
      <c r="L310" s="18"/>
      <c r="M310" s="18"/>
      <c r="N310" s="18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</row>
    <row r="311" spans="6:38">
      <c r="F311" s="18"/>
      <c r="G311" s="18"/>
      <c r="H311" s="18"/>
      <c r="I311" s="18"/>
      <c r="J311" s="18"/>
      <c r="K311" s="18"/>
      <c r="L311" s="18"/>
      <c r="M311" s="18"/>
      <c r="N311" s="18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</row>
    <row r="312" spans="6:38">
      <c r="F312" s="18"/>
      <c r="G312" s="18"/>
      <c r="H312" s="18"/>
      <c r="I312" s="18"/>
      <c r="J312" s="18"/>
      <c r="K312" s="18"/>
      <c r="L312" s="18"/>
      <c r="M312" s="18"/>
      <c r="N312" s="18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</row>
    <row r="313" spans="6:38">
      <c r="F313" s="18"/>
      <c r="G313" s="18"/>
      <c r="H313" s="18"/>
      <c r="I313" s="18"/>
      <c r="J313" s="18"/>
      <c r="K313" s="18"/>
      <c r="L313" s="18"/>
      <c r="M313" s="18"/>
      <c r="N313" s="18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</row>
    <row r="314" spans="6:38">
      <c r="F314" s="18"/>
      <c r="G314" s="18"/>
      <c r="H314" s="18"/>
      <c r="I314" s="18"/>
      <c r="J314" s="18"/>
      <c r="K314" s="18"/>
      <c r="L314" s="18"/>
      <c r="M314" s="18"/>
      <c r="N314" s="18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</row>
    <row r="315" spans="6:38">
      <c r="F315" s="18"/>
      <c r="G315" s="18"/>
      <c r="H315" s="18"/>
      <c r="I315" s="18"/>
      <c r="J315" s="18"/>
      <c r="K315" s="18"/>
      <c r="L315" s="18"/>
      <c r="M315" s="18"/>
      <c r="N315" s="18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</row>
    <row r="316" spans="6:38">
      <c r="F316" s="18"/>
      <c r="G316" s="18"/>
      <c r="H316" s="18"/>
      <c r="I316" s="18"/>
      <c r="J316" s="18"/>
      <c r="K316" s="18"/>
      <c r="L316" s="18"/>
      <c r="M316" s="18"/>
      <c r="N316" s="18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</row>
    <row r="317" spans="6:38">
      <c r="F317" s="18"/>
      <c r="G317" s="18"/>
      <c r="H317" s="18"/>
      <c r="I317" s="18"/>
      <c r="J317" s="18"/>
      <c r="K317" s="18"/>
      <c r="L317" s="18"/>
      <c r="M317" s="18"/>
      <c r="N317" s="18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</row>
    <row r="318" spans="6:38">
      <c r="F318" s="18"/>
      <c r="G318" s="18"/>
      <c r="H318" s="18"/>
      <c r="I318" s="18"/>
      <c r="J318" s="18"/>
      <c r="K318" s="18"/>
      <c r="L318" s="18"/>
      <c r="M318" s="18"/>
      <c r="N318" s="18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</row>
    <row r="319" spans="6:38">
      <c r="F319" s="18"/>
      <c r="G319" s="18"/>
      <c r="H319" s="18"/>
      <c r="I319" s="18"/>
      <c r="J319" s="18"/>
      <c r="K319" s="18"/>
      <c r="L319" s="18"/>
      <c r="M319" s="18"/>
      <c r="N319" s="18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</row>
    <row r="320" spans="6:38">
      <c r="F320" s="18"/>
      <c r="G320" s="18"/>
      <c r="H320" s="18"/>
      <c r="I320" s="18"/>
      <c r="J320" s="18"/>
      <c r="K320" s="18"/>
      <c r="L320" s="18"/>
      <c r="M320" s="18"/>
      <c r="N320" s="18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</row>
    <row r="321" spans="6:38">
      <c r="F321" s="18"/>
      <c r="G321" s="18"/>
      <c r="H321" s="18"/>
      <c r="I321" s="18"/>
      <c r="J321" s="18"/>
      <c r="K321" s="18"/>
      <c r="L321" s="18"/>
      <c r="M321" s="18"/>
      <c r="N321" s="18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</row>
    <row r="322" spans="6:38">
      <c r="F322" s="18"/>
      <c r="G322" s="18"/>
      <c r="H322" s="18"/>
      <c r="I322" s="18"/>
      <c r="J322" s="18"/>
      <c r="K322" s="18"/>
      <c r="L322" s="18"/>
      <c r="M322" s="18"/>
      <c r="N322" s="18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</row>
    <row r="323" spans="6:38">
      <c r="F323" s="18"/>
      <c r="G323" s="18"/>
      <c r="H323" s="18"/>
      <c r="I323" s="18"/>
      <c r="J323" s="18"/>
      <c r="K323" s="18"/>
      <c r="L323" s="18"/>
      <c r="M323" s="18"/>
      <c r="N323" s="18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</row>
    <row r="324" spans="6:38">
      <c r="F324" s="18"/>
      <c r="G324" s="18"/>
      <c r="H324" s="18"/>
      <c r="I324" s="18"/>
      <c r="J324" s="18"/>
      <c r="K324" s="18"/>
      <c r="L324" s="18"/>
      <c r="M324" s="18"/>
      <c r="N324" s="18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</row>
    <row r="325" spans="6:38">
      <c r="F325" s="18"/>
      <c r="G325" s="18"/>
      <c r="H325" s="18"/>
      <c r="I325" s="18"/>
      <c r="J325" s="18"/>
      <c r="K325" s="18"/>
      <c r="L325" s="18"/>
      <c r="M325" s="18"/>
      <c r="N325" s="18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</row>
    <row r="326" spans="6:38">
      <c r="F326" s="18"/>
      <c r="G326" s="18"/>
      <c r="H326" s="18"/>
      <c r="I326" s="18"/>
      <c r="J326" s="18"/>
      <c r="K326" s="18"/>
      <c r="L326" s="18"/>
      <c r="M326" s="18"/>
      <c r="N326" s="18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</row>
    <row r="327" spans="6:38">
      <c r="F327" s="18"/>
      <c r="G327" s="18"/>
      <c r="H327" s="18"/>
      <c r="I327" s="18"/>
      <c r="J327" s="18"/>
      <c r="K327" s="18"/>
      <c r="L327" s="18"/>
      <c r="M327" s="18"/>
      <c r="N327" s="18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</row>
    <row r="328" spans="6:38">
      <c r="F328" s="18"/>
      <c r="G328" s="18"/>
      <c r="H328" s="18"/>
      <c r="I328" s="18"/>
      <c r="J328" s="18"/>
      <c r="K328" s="18"/>
      <c r="L328" s="18"/>
      <c r="M328" s="18"/>
      <c r="N328" s="18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</row>
    <row r="329" spans="6:38">
      <c r="F329" s="18"/>
      <c r="G329" s="18"/>
      <c r="H329" s="18"/>
      <c r="I329" s="18"/>
      <c r="J329" s="18"/>
      <c r="K329" s="18"/>
      <c r="L329" s="18"/>
      <c r="M329" s="18"/>
      <c r="N329" s="18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</row>
    <row r="330" spans="6:38">
      <c r="F330" s="18"/>
      <c r="G330" s="18"/>
      <c r="H330" s="18"/>
      <c r="I330" s="18"/>
      <c r="J330" s="18"/>
      <c r="K330" s="18"/>
      <c r="L330" s="18"/>
      <c r="M330" s="18"/>
      <c r="N330" s="18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</row>
    <row r="331" spans="6:38">
      <c r="F331" s="18"/>
      <c r="G331" s="18"/>
      <c r="H331" s="18"/>
      <c r="I331" s="18"/>
      <c r="J331" s="18"/>
      <c r="K331" s="18"/>
      <c r="L331" s="18"/>
      <c r="M331" s="18"/>
      <c r="N331" s="18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</row>
    <row r="332" spans="6:38">
      <c r="F332" s="18"/>
      <c r="G332" s="18"/>
      <c r="H332" s="18"/>
      <c r="I332" s="18"/>
      <c r="J332" s="18"/>
      <c r="K332" s="18"/>
      <c r="L332" s="18"/>
      <c r="M332" s="18"/>
      <c r="N332" s="18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</row>
    <row r="333" spans="6:38">
      <c r="F333" s="18"/>
      <c r="G333" s="18"/>
      <c r="H333" s="18"/>
      <c r="I333" s="18"/>
      <c r="J333" s="18"/>
      <c r="K333" s="18"/>
      <c r="L333" s="18"/>
      <c r="M333" s="18"/>
      <c r="N333" s="18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</row>
    <row r="334" spans="6:38">
      <c r="F334" s="18"/>
      <c r="G334" s="18"/>
      <c r="H334" s="18"/>
      <c r="I334" s="18"/>
      <c r="J334" s="18"/>
      <c r="K334" s="18"/>
      <c r="L334" s="18"/>
      <c r="M334" s="18"/>
      <c r="N334" s="18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</row>
    <row r="335" spans="6:38">
      <c r="F335" s="18"/>
      <c r="G335" s="18"/>
      <c r="H335" s="18"/>
      <c r="I335" s="18"/>
      <c r="J335" s="18"/>
      <c r="K335" s="18"/>
      <c r="L335" s="18"/>
      <c r="M335" s="18"/>
      <c r="N335" s="18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</row>
    <row r="336" spans="6:38">
      <c r="F336" s="18"/>
      <c r="G336" s="18"/>
      <c r="H336" s="18"/>
      <c r="I336" s="18"/>
      <c r="J336" s="18"/>
      <c r="K336" s="18"/>
      <c r="L336" s="18"/>
      <c r="M336" s="18"/>
      <c r="N336" s="18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</row>
    <row r="337" spans="6:38">
      <c r="F337" s="18"/>
      <c r="G337" s="18"/>
      <c r="H337" s="18"/>
      <c r="I337" s="18"/>
      <c r="J337" s="18"/>
      <c r="K337" s="18"/>
      <c r="L337" s="18"/>
      <c r="M337" s="18"/>
      <c r="N337" s="18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</row>
    <row r="338" spans="6:38">
      <c r="F338" s="18"/>
      <c r="G338" s="18"/>
      <c r="H338" s="18"/>
      <c r="I338" s="18"/>
      <c r="J338" s="18"/>
      <c r="K338" s="18"/>
      <c r="L338" s="18"/>
      <c r="M338" s="18"/>
      <c r="N338" s="18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</row>
    <row r="339" spans="6:38">
      <c r="F339" s="18"/>
      <c r="G339" s="18"/>
      <c r="H339" s="18"/>
      <c r="I339" s="18"/>
      <c r="J339" s="18"/>
      <c r="K339" s="18"/>
      <c r="L339" s="18"/>
      <c r="M339" s="18"/>
      <c r="N339" s="18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</row>
    <row r="340" spans="6:38">
      <c r="F340" s="18"/>
      <c r="G340" s="18"/>
      <c r="H340" s="18"/>
      <c r="I340" s="18"/>
      <c r="J340" s="18"/>
      <c r="K340" s="18"/>
      <c r="L340" s="18"/>
      <c r="M340" s="18"/>
      <c r="N340" s="18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</row>
    <row r="341" spans="6:38">
      <c r="F341" s="18"/>
      <c r="G341" s="18"/>
      <c r="H341" s="18"/>
      <c r="I341" s="18"/>
      <c r="J341" s="18"/>
      <c r="K341" s="18"/>
      <c r="L341" s="18"/>
      <c r="M341" s="18"/>
      <c r="N341" s="18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</row>
    <row r="342" spans="6:38">
      <c r="F342" s="18"/>
      <c r="G342" s="18"/>
      <c r="H342" s="18"/>
      <c r="I342" s="18"/>
      <c r="J342" s="18"/>
      <c r="K342" s="18"/>
      <c r="L342" s="18"/>
      <c r="M342" s="18"/>
      <c r="N342" s="18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</row>
    <row r="343" spans="6:38">
      <c r="F343" s="18"/>
      <c r="G343" s="18"/>
      <c r="H343" s="18"/>
      <c r="I343" s="18"/>
      <c r="J343" s="18"/>
      <c r="K343" s="18"/>
      <c r="L343" s="18"/>
      <c r="M343" s="18"/>
      <c r="N343" s="18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</row>
    <row r="344" spans="6:38">
      <c r="F344" s="18"/>
      <c r="G344" s="18"/>
      <c r="H344" s="18"/>
      <c r="I344" s="18"/>
      <c r="J344" s="18"/>
      <c r="K344" s="18"/>
      <c r="L344" s="18"/>
      <c r="M344" s="18"/>
      <c r="N344" s="18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</row>
    <row r="345" spans="6:38">
      <c r="F345" s="18"/>
      <c r="G345" s="18"/>
      <c r="H345" s="18"/>
      <c r="I345" s="18"/>
      <c r="J345" s="18"/>
      <c r="K345" s="18"/>
      <c r="L345" s="18"/>
      <c r="M345" s="18"/>
      <c r="N345" s="18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</row>
    <row r="346" spans="6:38">
      <c r="F346" s="18"/>
      <c r="G346" s="18"/>
      <c r="H346" s="18"/>
      <c r="I346" s="18"/>
      <c r="J346" s="18"/>
      <c r="K346" s="18"/>
      <c r="L346" s="18"/>
      <c r="M346" s="18"/>
      <c r="N346" s="18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</row>
    <row r="347" spans="6:38">
      <c r="F347" s="18"/>
      <c r="G347" s="18"/>
      <c r="H347" s="18"/>
      <c r="I347" s="18"/>
      <c r="J347" s="18"/>
      <c r="K347" s="18"/>
      <c r="L347" s="18"/>
      <c r="M347" s="18"/>
      <c r="N347" s="18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</row>
    <row r="348" spans="6:38">
      <c r="F348" s="18"/>
      <c r="G348" s="18"/>
      <c r="H348" s="18"/>
      <c r="I348" s="18"/>
      <c r="J348" s="18"/>
      <c r="K348" s="18"/>
      <c r="L348" s="18"/>
      <c r="M348" s="18"/>
      <c r="N348" s="18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</row>
    <row r="349" spans="6:38">
      <c r="F349" s="18"/>
      <c r="G349" s="18"/>
      <c r="H349" s="18"/>
      <c r="I349" s="18"/>
      <c r="J349" s="18"/>
      <c r="K349" s="18"/>
      <c r="L349" s="18"/>
      <c r="M349" s="18"/>
      <c r="N349" s="18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</row>
    <row r="350" spans="6:38">
      <c r="F350" s="18"/>
      <c r="G350" s="18"/>
      <c r="H350" s="18"/>
      <c r="I350" s="18"/>
      <c r="J350" s="18"/>
      <c r="K350" s="18"/>
      <c r="L350" s="18"/>
      <c r="M350" s="18"/>
      <c r="N350" s="18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</row>
    <row r="351" spans="6:38">
      <c r="F351" s="18"/>
      <c r="G351" s="18"/>
      <c r="H351" s="18"/>
      <c r="I351" s="18"/>
      <c r="J351" s="18"/>
      <c r="K351" s="18"/>
      <c r="L351" s="18"/>
      <c r="M351" s="18"/>
      <c r="N351" s="18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</row>
    <row r="352" spans="6:38">
      <c r="F352" s="18"/>
      <c r="G352" s="18"/>
      <c r="H352" s="18"/>
      <c r="I352" s="18"/>
      <c r="J352" s="18"/>
      <c r="K352" s="18"/>
      <c r="L352" s="18"/>
      <c r="M352" s="18"/>
      <c r="N352" s="18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</row>
    <row r="353" spans="6:38">
      <c r="F353" s="18"/>
      <c r="G353" s="18"/>
      <c r="H353" s="18"/>
      <c r="I353" s="18"/>
      <c r="J353" s="18"/>
      <c r="K353" s="18"/>
      <c r="L353" s="18"/>
      <c r="M353" s="18"/>
      <c r="N353" s="18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</row>
    <row r="354" spans="6:38">
      <c r="F354" s="18"/>
      <c r="G354" s="18"/>
      <c r="H354" s="18"/>
      <c r="I354" s="18"/>
      <c r="J354" s="18"/>
      <c r="K354" s="18"/>
      <c r="L354" s="18"/>
      <c r="M354" s="18"/>
      <c r="N354" s="18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</row>
    <row r="355" spans="6:38">
      <c r="F355" s="18"/>
      <c r="G355" s="18"/>
      <c r="H355" s="18"/>
      <c r="I355" s="18"/>
      <c r="J355" s="18"/>
      <c r="K355" s="18"/>
      <c r="L355" s="18"/>
      <c r="M355" s="18"/>
      <c r="N355" s="18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</row>
    <row r="356" spans="6:38">
      <c r="F356" s="18"/>
      <c r="G356" s="18"/>
      <c r="H356" s="18"/>
      <c r="I356" s="18"/>
      <c r="J356" s="18"/>
      <c r="K356" s="18"/>
      <c r="L356" s="18"/>
      <c r="M356" s="18"/>
      <c r="N356" s="18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</row>
    <row r="357" spans="6:38">
      <c r="F357" s="18"/>
      <c r="G357" s="18"/>
      <c r="H357" s="18"/>
      <c r="I357" s="18"/>
      <c r="J357" s="18"/>
      <c r="K357" s="18"/>
      <c r="L357" s="18"/>
      <c r="M357" s="18"/>
      <c r="N357" s="18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</row>
    <row r="358" spans="6:38">
      <c r="F358" s="18"/>
      <c r="G358" s="18"/>
      <c r="H358" s="18"/>
      <c r="I358" s="18"/>
      <c r="J358" s="18"/>
      <c r="K358" s="18"/>
      <c r="L358" s="18"/>
      <c r="M358" s="18"/>
      <c r="N358" s="18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</row>
    <row r="359" spans="6:38">
      <c r="F359" s="18"/>
      <c r="G359" s="18"/>
      <c r="H359" s="18"/>
      <c r="I359" s="18"/>
      <c r="J359" s="18"/>
      <c r="K359" s="18"/>
      <c r="L359" s="18"/>
      <c r="M359" s="18"/>
      <c r="N359" s="18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</row>
    <row r="360" spans="6:38">
      <c r="F360" s="18"/>
      <c r="G360" s="18"/>
      <c r="H360" s="18"/>
      <c r="I360" s="18"/>
      <c r="J360" s="18"/>
      <c r="K360" s="18"/>
      <c r="L360" s="18"/>
      <c r="M360" s="18"/>
      <c r="N360" s="18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</row>
    <row r="361" spans="6:38">
      <c r="F361" s="18"/>
      <c r="G361" s="18"/>
      <c r="H361" s="18"/>
      <c r="I361" s="18"/>
      <c r="J361" s="18"/>
      <c r="K361" s="18"/>
      <c r="L361" s="18"/>
      <c r="M361" s="18"/>
      <c r="N361" s="18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</row>
    <row r="362" spans="6:38">
      <c r="F362" s="18"/>
      <c r="G362" s="18"/>
      <c r="H362" s="18"/>
      <c r="I362" s="18"/>
      <c r="J362" s="18"/>
      <c r="K362" s="18"/>
      <c r="L362" s="18"/>
      <c r="M362" s="18"/>
      <c r="N362" s="18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</row>
    <row r="363" spans="6:38">
      <c r="F363" s="18"/>
      <c r="G363" s="18"/>
      <c r="H363" s="18"/>
      <c r="I363" s="18"/>
      <c r="J363" s="18"/>
      <c r="K363" s="18"/>
      <c r="L363" s="18"/>
      <c r="M363" s="18"/>
      <c r="N363" s="18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</row>
    <row r="364" spans="6:38">
      <c r="F364" s="18"/>
      <c r="G364" s="18"/>
      <c r="H364" s="18"/>
      <c r="I364" s="18"/>
      <c r="J364" s="18"/>
      <c r="K364" s="18"/>
      <c r="L364" s="18"/>
      <c r="M364" s="18"/>
      <c r="N364" s="18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</row>
    <row r="365" spans="6:38">
      <c r="F365" s="18"/>
      <c r="G365" s="18"/>
      <c r="H365" s="18"/>
      <c r="I365" s="18"/>
      <c r="J365" s="18"/>
      <c r="K365" s="18"/>
      <c r="L365" s="18"/>
      <c r="M365" s="18"/>
      <c r="N365" s="18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</row>
    <row r="366" spans="6:38">
      <c r="F366" s="18"/>
      <c r="G366" s="18"/>
      <c r="H366" s="18"/>
      <c r="I366" s="18"/>
      <c r="J366" s="18"/>
      <c r="K366" s="18"/>
      <c r="L366" s="18"/>
      <c r="M366" s="18"/>
      <c r="N366" s="18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</row>
    <row r="367" spans="6:38">
      <c r="F367" s="18"/>
      <c r="G367" s="18"/>
      <c r="H367" s="18"/>
      <c r="I367" s="18"/>
      <c r="J367" s="18"/>
      <c r="K367" s="18"/>
      <c r="L367" s="18"/>
      <c r="M367" s="18"/>
      <c r="N367" s="18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</row>
    <row r="368" spans="6:38">
      <c r="F368" s="18"/>
      <c r="G368" s="18"/>
      <c r="H368" s="18"/>
      <c r="I368" s="18"/>
      <c r="J368" s="18"/>
      <c r="K368" s="18"/>
      <c r="L368" s="18"/>
      <c r="M368" s="18"/>
      <c r="N368" s="18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</row>
    <row r="369" spans="6:38">
      <c r="F369" s="18"/>
      <c r="G369" s="18"/>
      <c r="H369" s="18"/>
      <c r="I369" s="18"/>
      <c r="J369" s="18"/>
      <c r="K369" s="18"/>
      <c r="L369" s="18"/>
      <c r="M369" s="18"/>
      <c r="N369" s="18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</row>
    <row r="370" spans="6:38">
      <c r="F370" s="18"/>
      <c r="G370" s="18"/>
      <c r="H370" s="18"/>
      <c r="I370" s="18"/>
      <c r="J370" s="18"/>
      <c r="K370" s="18"/>
      <c r="L370" s="18"/>
      <c r="M370" s="18"/>
      <c r="N370" s="18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</row>
    <row r="371" spans="6:38">
      <c r="F371" s="18"/>
      <c r="G371" s="18"/>
      <c r="H371" s="18"/>
      <c r="I371" s="18"/>
      <c r="J371" s="18"/>
      <c r="K371" s="18"/>
      <c r="L371" s="18"/>
      <c r="M371" s="18"/>
      <c r="N371" s="18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</row>
    <row r="372" spans="6:38">
      <c r="F372" s="18"/>
      <c r="G372" s="18"/>
      <c r="H372" s="18"/>
      <c r="I372" s="18"/>
      <c r="J372" s="18"/>
      <c r="K372" s="18"/>
      <c r="L372" s="18"/>
      <c r="M372" s="18"/>
      <c r="N372" s="18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</row>
    <row r="373" spans="6:38">
      <c r="F373" s="18"/>
      <c r="G373" s="18"/>
      <c r="H373" s="18"/>
      <c r="I373" s="18"/>
      <c r="J373" s="18"/>
      <c r="K373" s="18"/>
      <c r="L373" s="18"/>
      <c r="M373" s="18"/>
      <c r="N373" s="18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</row>
    <row r="374" spans="6:38">
      <c r="F374" s="18"/>
      <c r="G374" s="18"/>
      <c r="H374" s="18"/>
      <c r="I374" s="18"/>
      <c r="J374" s="18"/>
      <c r="K374" s="18"/>
      <c r="L374" s="18"/>
      <c r="M374" s="18"/>
      <c r="N374" s="18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</row>
    <row r="375" spans="6:38">
      <c r="F375" s="18"/>
      <c r="G375" s="18"/>
      <c r="H375" s="18"/>
      <c r="I375" s="18"/>
      <c r="J375" s="18"/>
      <c r="K375" s="18"/>
      <c r="L375" s="18"/>
      <c r="M375" s="18"/>
      <c r="N375" s="18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</row>
    <row r="376" spans="6:38">
      <c r="F376" s="18"/>
      <c r="G376" s="18"/>
      <c r="H376" s="18"/>
      <c r="I376" s="18"/>
      <c r="J376" s="18"/>
      <c r="K376" s="18"/>
      <c r="L376" s="18"/>
      <c r="M376" s="18"/>
      <c r="N376" s="18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</row>
    <row r="377" spans="6:38">
      <c r="F377" s="18"/>
      <c r="G377" s="18"/>
      <c r="H377" s="18"/>
      <c r="I377" s="18"/>
      <c r="J377" s="18"/>
      <c r="K377" s="18"/>
      <c r="L377" s="18"/>
      <c r="M377" s="18"/>
      <c r="N377" s="18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</row>
    <row r="378" spans="6:38">
      <c r="F378" s="18"/>
      <c r="G378" s="18"/>
      <c r="H378" s="18"/>
      <c r="I378" s="18"/>
      <c r="J378" s="18"/>
      <c r="K378" s="18"/>
      <c r="L378" s="18"/>
      <c r="M378" s="18"/>
      <c r="N378" s="18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</row>
    <row r="379" spans="6:38">
      <c r="F379" s="18"/>
      <c r="G379" s="18"/>
      <c r="H379" s="18"/>
      <c r="I379" s="18"/>
      <c r="J379" s="18"/>
      <c r="K379" s="18"/>
      <c r="L379" s="18"/>
      <c r="M379" s="18"/>
      <c r="N379" s="18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</row>
    <row r="380" spans="6:38">
      <c r="F380" s="18"/>
      <c r="G380" s="18"/>
      <c r="H380" s="18"/>
      <c r="I380" s="18"/>
      <c r="J380" s="18"/>
      <c r="K380" s="18"/>
      <c r="L380" s="18"/>
      <c r="M380" s="18"/>
      <c r="N380" s="18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</row>
    <row r="381" spans="6:38">
      <c r="F381" s="18"/>
      <c r="G381" s="18"/>
      <c r="H381" s="18"/>
      <c r="I381" s="18"/>
      <c r="J381" s="18"/>
      <c r="K381" s="18"/>
      <c r="L381" s="18"/>
      <c r="M381" s="18"/>
      <c r="N381" s="18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</row>
    <row r="382" spans="6:38">
      <c r="F382" s="18"/>
      <c r="G382" s="18"/>
      <c r="H382" s="18"/>
      <c r="I382" s="18"/>
      <c r="J382" s="18"/>
      <c r="K382" s="18"/>
      <c r="L382" s="18"/>
      <c r="M382" s="18"/>
      <c r="N382" s="18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</row>
    <row r="383" spans="6:38">
      <c r="F383" s="18"/>
      <c r="G383" s="18"/>
      <c r="H383" s="18"/>
      <c r="I383" s="18"/>
      <c r="J383" s="18"/>
      <c r="K383" s="18"/>
      <c r="L383" s="18"/>
      <c r="M383" s="18"/>
      <c r="N383" s="18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</row>
    <row r="384" spans="6:38">
      <c r="F384" s="18"/>
      <c r="G384" s="18"/>
      <c r="H384" s="18"/>
      <c r="I384" s="18"/>
      <c r="J384" s="18"/>
      <c r="K384" s="18"/>
      <c r="L384" s="18"/>
      <c r="M384" s="18"/>
      <c r="N384" s="18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</row>
    <row r="385" spans="6:38">
      <c r="F385" s="18"/>
      <c r="G385" s="18"/>
      <c r="H385" s="18"/>
      <c r="I385" s="18"/>
      <c r="J385" s="18"/>
      <c r="K385" s="18"/>
      <c r="L385" s="18"/>
      <c r="M385" s="18"/>
      <c r="N385" s="18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</row>
    <row r="386" spans="6:38">
      <c r="F386" s="18"/>
      <c r="G386" s="18"/>
      <c r="H386" s="18"/>
      <c r="I386" s="18"/>
      <c r="J386" s="18"/>
      <c r="K386" s="18"/>
      <c r="L386" s="18"/>
      <c r="M386" s="18"/>
      <c r="N386" s="18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</row>
    <row r="387" spans="6:38">
      <c r="F387" s="18"/>
      <c r="G387" s="18"/>
      <c r="H387" s="18"/>
      <c r="I387" s="18"/>
      <c r="J387" s="18"/>
      <c r="K387" s="18"/>
      <c r="L387" s="18"/>
      <c r="M387" s="18"/>
      <c r="N387" s="18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</row>
    <row r="388" spans="6:38">
      <c r="F388" s="18"/>
      <c r="G388" s="18"/>
      <c r="H388" s="18"/>
      <c r="I388" s="18"/>
      <c r="J388" s="18"/>
      <c r="K388" s="18"/>
      <c r="L388" s="18"/>
      <c r="M388" s="18"/>
      <c r="N388" s="18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</row>
    <row r="389" spans="6:38">
      <c r="F389" s="18"/>
      <c r="G389" s="18"/>
      <c r="H389" s="18"/>
      <c r="I389" s="18"/>
      <c r="J389" s="18"/>
      <c r="K389" s="18"/>
      <c r="L389" s="18"/>
      <c r="M389" s="18"/>
      <c r="N389" s="18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</row>
    <row r="390" spans="6:38">
      <c r="F390" s="18"/>
      <c r="G390" s="18"/>
      <c r="H390" s="18"/>
      <c r="I390" s="18"/>
      <c r="J390" s="18"/>
      <c r="K390" s="18"/>
      <c r="L390" s="18"/>
      <c r="M390" s="18"/>
      <c r="N390" s="18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</row>
    <row r="391" spans="6:38">
      <c r="F391" s="18"/>
      <c r="G391" s="18"/>
      <c r="H391" s="18"/>
      <c r="I391" s="18"/>
      <c r="J391" s="18"/>
      <c r="K391" s="18"/>
      <c r="L391" s="18"/>
      <c r="M391" s="18"/>
      <c r="N391" s="18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</row>
    <row r="392" spans="6:38">
      <c r="F392" s="18"/>
      <c r="G392" s="18"/>
      <c r="H392" s="18"/>
      <c r="I392" s="18"/>
      <c r="J392" s="18"/>
      <c r="K392" s="18"/>
      <c r="L392" s="18"/>
      <c r="M392" s="18"/>
      <c r="N392" s="18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</row>
    <row r="393" spans="6:38">
      <c r="F393" s="18"/>
      <c r="G393" s="18"/>
      <c r="H393" s="18"/>
      <c r="I393" s="18"/>
      <c r="J393" s="18"/>
      <c r="K393" s="18"/>
      <c r="L393" s="18"/>
      <c r="M393" s="18"/>
      <c r="N393" s="18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</row>
    <row r="394" spans="6:38">
      <c r="F394" s="18"/>
      <c r="G394" s="18"/>
      <c r="H394" s="18"/>
      <c r="I394" s="18"/>
      <c r="J394" s="18"/>
      <c r="K394" s="18"/>
      <c r="L394" s="18"/>
      <c r="M394" s="18"/>
      <c r="N394" s="18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</row>
    <row r="395" spans="6:38">
      <c r="F395" s="18"/>
      <c r="G395" s="18"/>
      <c r="H395" s="18"/>
      <c r="I395" s="18"/>
      <c r="J395" s="18"/>
      <c r="K395" s="18"/>
      <c r="L395" s="18"/>
      <c r="M395" s="18"/>
      <c r="N395" s="18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</row>
    <row r="396" spans="6:38">
      <c r="F396" s="18"/>
      <c r="G396" s="18"/>
      <c r="H396" s="18"/>
      <c r="I396" s="18"/>
      <c r="J396" s="18"/>
      <c r="K396" s="18"/>
      <c r="L396" s="18"/>
      <c r="M396" s="18"/>
      <c r="N396" s="18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</row>
    <row r="397" spans="6:38">
      <c r="F397" s="18"/>
      <c r="G397" s="18"/>
      <c r="H397" s="18"/>
      <c r="I397" s="18"/>
      <c r="J397" s="18"/>
      <c r="K397" s="18"/>
      <c r="L397" s="18"/>
      <c r="M397" s="18"/>
      <c r="N397" s="18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</row>
    <row r="398" spans="6:38">
      <c r="F398" s="18"/>
      <c r="G398" s="18"/>
      <c r="H398" s="18"/>
      <c r="I398" s="18"/>
      <c r="J398" s="18"/>
      <c r="K398" s="18"/>
      <c r="L398" s="18"/>
      <c r="M398" s="18"/>
      <c r="N398" s="18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</row>
    <row r="399" spans="6:38">
      <c r="F399" s="18"/>
      <c r="G399" s="18"/>
      <c r="H399" s="18"/>
      <c r="I399" s="18"/>
      <c r="J399" s="18"/>
      <c r="K399" s="18"/>
      <c r="L399" s="18"/>
      <c r="M399" s="18"/>
      <c r="N399" s="18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</row>
    <row r="400" spans="6:38">
      <c r="F400" s="18"/>
      <c r="G400" s="18"/>
      <c r="H400" s="18"/>
      <c r="I400" s="18"/>
      <c r="J400" s="18"/>
      <c r="K400" s="18"/>
      <c r="L400" s="18"/>
      <c r="M400" s="18"/>
      <c r="N400" s="18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</row>
    <row r="401" spans="6:38">
      <c r="F401" s="18"/>
      <c r="G401" s="18"/>
      <c r="H401" s="18"/>
      <c r="I401" s="18"/>
      <c r="J401" s="18"/>
      <c r="K401" s="18"/>
      <c r="L401" s="18"/>
      <c r="M401" s="18"/>
      <c r="N401" s="18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</row>
    <row r="402" spans="6:38">
      <c r="F402" s="18"/>
      <c r="G402" s="18"/>
      <c r="H402" s="18"/>
      <c r="I402" s="18"/>
      <c r="J402" s="18"/>
      <c r="K402" s="18"/>
      <c r="L402" s="18"/>
      <c r="M402" s="18"/>
      <c r="N402" s="18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</row>
    <row r="403" spans="6:38">
      <c r="F403" s="18"/>
      <c r="G403" s="18"/>
      <c r="H403" s="18"/>
      <c r="I403" s="18"/>
      <c r="J403" s="18"/>
      <c r="K403" s="18"/>
      <c r="L403" s="18"/>
      <c r="M403" s="18"/>
      <c r="N403" s="18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</row>
    <row r="404" spans="6:38">
      <c r="F404" s="18"/>
      <c r="G404" s="18"/>
      <c r="H404" s="18"/>
      <c r="I404" s="18"/>
      <c r="J404" s="18"/>
      <c r="K404" s="18"/>
      <c r="L404" s="18"/>
      <c r="M404" s="18"/>
      <c r="N404" s="18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</row>
    <row r="405" spans="6:38">
      <c r="F405" s="18"/>
      <c r="G405" s="18"/>
      <c r="H405" s="18"/>
      <c r="I405" s="18"/>
      <c r="J405" s="18"/>
      <c r="K405" s="18"/>
      <c r="L405" s="18"/>
      <c r="M405" s="18"/>
      <c r="N405" s="18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</row>
    <row r="406" spans="6:38">
      <c r="F406" s="18"/>
      <c r="G406" s="18"/>
      <c r="H406" s="18"/>
      <c r="I406" s="18"/>
      <c r="J406" s="18"/>
      <c r="K406" s="18"/>
      <c r="L406" s="18"/>
      <c r="M406" s="18"/>
      <c r="N406" s="18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</row>
    <row r="407" spans="6:38">
      <c r="F407" s="18"/>
      <c r="G407" s="18"/>
      <c r="H407" s="18"/>
      <c r="I407" s="18"/>
      <c r="J407" s="18"/>
      <c r="K407" s="18"/>
      <c r="L407" s="18"/>
      <c r="M407" s="18"/>
      <c r="N407" s="18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</row>
    <row r="408" spans="6:38">
      <c r="F408" s="18"/>
      <c r="G408" s="18"/>
      <c r="H408" s="18"/>
      <c r="I408" s="18"/>
      <c r="J408" s="18"/>
      <c r="K408" s="18"/>
      <c r="L408" s="18"/>
      <c r="M408" s="18"/>
      <c r="N408" s="18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</row>
    <row r="409" spans="6:38">
      <c r="F409" s="18"/>
      <c r="G409" s="18"/>
      <c r="H409" s="18"/>
      <c r="I409" s="18"/>
      <c r="J409" s="18"/>
      <c r="K409" s="18"/>
      <c r="L409" s="18"/>
      <c r="M409" s="18"/>
      <c r="N409" s="18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</row>
    <row r="410" spans="6:38">
      <c r="F410" s="18"/>
      <c r="G410" s="18"/>
      <c r="H410" s="18"/>
      <c r="I410" s="18"/>
      <c r="J410" s="18"/>
      <c r="K410" s="18"/>
      <c r="L410" s="18"/>
      <c r="M410" s="18"/>
      <c r="N410" s="18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scale="53" pageOrder="overThenDown" orientation="landscape" horizontalDpi="300" r:id="rId1"/>
  <headerFooter alignWithMargins="0">
    <oddFooter>&amp;A&amp;RPage &amp;P</oddFooter>
  </headerFooter>
  <colBreaks count="1" manualBreakCount="1">
    <brk id="26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">
    <tabColor rgb="FFFF0000"/>
  </sheetPr>
  <dimension ref="A1:N115"/>
  <sheetViews>
    <sheetView zoomScale="113" zoomScaleNormal="113" workbookViewId="0"/>
  </sheetViews>
  <sheetFormatPr defaultColWidth="9.109375" defaultRowHeight="13.8"/>
  <cols>
    <col min="1" max="1" width="23.33203125" style="1" bestFit="1" customWidth="1"/>
    <col min="2" max="13" width="10.33203125" style="1" bestFit="1" customWidth="1"/>
    <col min="14" max="14" width="15.109375" style="1" customWidth="1"/>
    <col min="15" max="25" width="9.88671875" style="1" bestFit="1" customWidth="1"/>
    <col min="26" max="16384" width="9.109375" style="1"/>
  </cols>
  <sheetData>
    <row r="1" spans="1:14">
      <c r="A1" s="91" t="s">
        <v>170</v>
      </c>
      <c r="B1" s="13">
        <f>DATEVALUE(1&amp;"/"&amp;'IP1'!$B$3&amp;"/"&amp;'IP1'!$B$4)</f>
        <v>41275</v>
      </c>
      <c r="C1" s="13">
        <f>DATE(YEAR(B1),MONTH(B1)+1,1)</f>
        <v>41306</v>
      </c>
      <c r="D1" s="13">
        <f t="shared" ref="D1:M1" si="0">DATE(YEAR(C1),MONTH(C1)+1,1)</f>
        <v>41334</v>
      </c>
      <c r="E1" s="13">
        <f t="shared" si="0"/>
        <v>41365</v>
      </c>
      <c r="F1" s="13">
        <f t="shared" si="0"/>
        <v>41395</v>
      </c>
      <c r="G1" s="13">
        <f t="shared" si="0"/>
        <v>41426</v>
      </c>
      <c r="H1" s="13">
        <f t="shared" si="0"/>
        <v>41456</v>
      </c>
      <c r="I1" s="13">
        <f t="shared" si="0"/>
        <v>41487</v>
      </c>
      <c r="J1" s="13">
        <f t="shared" si="0"/>
        <v>41518</v>
      </c>
      <c r="K1" s="13">
        <f t="shared" si="0"/>
        <v>41548</v>
      </c>
      <c r="L1" s="13">
        <f t="shared" si="0"/>
        <v>41579</v>
      </c>
      <c r="M1" s="13">
        <f t="shared" si="0"/>
        <v>41609</v>
      </c>
      <c r="N1" s="13" t="s">
        <v>171</v>
      </c>
    </row>
    <row r="2" spans="1:14">
      <c r="A2" s="1" t="s">
        <v>440</v>
      </c>
      <c r="B2" s="85">
        <f>SUMPRODUCT(($A2=OH!$C$2:$C$62)*(OH!E$2:E$62))</f>
        <v>1250</v>
      </c>
      <c r="C2" s="85">
        <f>SUMPRODUCT(($A2=OH!$C$2:$C$62)*(OH!F$2:F$62))</f>
        <v>0</v>
      </c>
      <c r="D2" s="85">
        <f>SUMPRODUCT(($A2=OH!$C$2:$C$62)*(OH!G$2:G$62))</f>
        <v>0</v>
      </c>
      <c r="E2" s="85">
        <f>SUMPRODUCT(($A2=OH!$C$2:$C$62)*(OH!H$2:H$62))</f>
        <v>1250</v>
      </c>
      <c r="F2" s="85">
        <f>SUMPRODUCT(($A2=OH!$C$2:$C$62)*(OH!I$2:I$62))</f>
        <v>0</v>
      </c>
      <c r="G2" s="85">
        <f>SUMPRODUCT(($A2=OH!$C$2:$C$62)*(OH!J$2:J$62))</f>
        <v>0</v>
      </c>
      <c r="H2" s="85">
        <f>SUMPRODUCT(($A2=OH!$C$2:$C$62)*(OH!K$2:K$62))</f>
        <v>1250</v>
      </c>
      <c r="I2" s="85">
        <f>SUMPRODUCT(($A2=OH!$C$2:$C$62)*(OH!L$2:L$62))</f>
        <v>0</v>
      </c>
      <c r="J2" s="85">
        <f>SUMPRODUCT(($A2=OH!$C$2:$C$62)*(OH!M$2:M$62))</f>
        <v>0</v>
      </c>
      <c r="K2" s="85">
        <f>SUMPRODUCT(($A2=OH!$C$2:$C$62)*(OH!N$2:N$62))</f>
        <v>1250</v>
      </c>
      <c r="L2" s="85">
        <f>SUMPRODUCT(($A2=OH!$C$2:$C$62)*(OH!O$2:O$62))</f>
        <v>0</v>
      </c>
      <c r="M2" s="85">
        <f>SUMPRODUCT(($A2=OH!$C$2:$C$62)*(OH!P$2:P$62))</f>
        <v>0</v>
      </c>
      <c r="N2" s="121">
        <f>SUM(B2:M2)</f>
        <v>5000</v>
      </c>
    </row>
    <row r="3" spans="1:14">
      <c r="A3" s="1" t="s">
        <v>30</v>
      </c>
      <c r="B3" s="85">
        <f>SUMPRODUCT(($A3=OH!$C$2:$C$62)*(OH!E$2:E$62))</f>
        <v>148.9306875</v>
      </c>
      <c r="C3" s="85">
        <f>SUMPRODUCT(($A3=OH!$C$2:$C$62)*(OH!F$2:F$62))</f>
        <v>148.9306875</v>
      </c>
      <c r="D3" s="85">
        <f>SUMPRODUCT(($A3=OH!$C$2:$C$62)*(OH!G$2:G$62))</f>
        <v>446.79206249999999</v>
      </c>
      <c r="E3" s="85">
        <f>SUMPRODUCT(($A3=OH!$C$2:$C$62)*(OH!H$2:H$62))</f>
        <v>446.79206249999999</v>
      </c>
      <c r="F3" s="85">
        <f>SUMPRODUCT(($A3=OH!$C$2:$C$62)*(OH!I$2:I$62))</f>
        <v>893.58412499999997</v>
      </c>
      <c r="G3" s="85">
        <f>SUMPRODUCT(($A3=OH!$C$2:$C$62)*(OH!J$2:J$62))</f>
        <v>893.58412499999997</v>
      </c>
      <c r="H3" s="85">
        <f>SUMPRODUCT(($A3=OH!$C$2:$C$62)*(OH!K$2:K$62))</f>
        <v>893.58412499999997</v>
      </c>
      <c r="I3" s="85">
        <f>SUMPRODUCT(($A3=OH!$C$2:$C$62)*(OH!L$2:L$62))</f>
        <v>893.58412499999997</v>
      </c>
      <c r="J3" s="85">
        <f>SUMPRODUCT(($A3=OH!$C$2:$C$62)*(OH!M$2:M$62))</f>
        <v>893.58412499999997</v>
      </c>
      <c r="K3" s="85">
        <f>SUMPRODUCT(($A3=OH!$C$2:$C$62)*(OH!N$2:N$62))</f>
        <v>893.58412499999997</v>
      </c>
      <c r="L3" s="85">
        <f>SUMPRODUCT(($A3=OH!$C$2:$C$62)*(OH!O$2:O$62))</f>
        <v>148.9306875</v>
      </c>
      <c r="M3" s="85">
        <f>SUMPRODUCT(($A3=OH!$C$2:$C$62)*(OH!P$2:P$62))</f>
        <v>744.65343750000011</v>
      </c>
      <c r="N3" s="121">
        <f t="shared" ref="N3:N56" si="1">SUM(B3:M3)</f>
        <v>7446.5343750000011</v>
      </c>
    </row>
    <row r="4" spans="1:14">
      <c r="A4" s="1" t="s">
        <v>452</v>
      </c>
      <c r="B4" s="85">
        <f>SUMPRODUCT(($A4=OH!$C$2:$C$62)*(OH!E$2:E$62))</f>
        <v>250</v>
      </c>
      <c r="C4" s="85">
        <f>SUMPRODUCT(($A4=OH!$C$2:$C$62)*(OH!F$2:F$62))</f>
        <v>0</v>
      </c>
      <c r="D4" s="85">
        <f>SUMPRODUCT(($A4=OH!$C$2:$C$62)*(OH!G$2:G$62))</f>
        <v>0</v>
      </c>
      <c r="E4" s="85">
        <f>SUMPRODUCT(($A4=OH!$C$2:$C$62)*(OH!H$2:H$62))</f>
        <v>250</v>
      </c>
      <c r="F4" s="85">
        <f>SUMPRODUCT(($A4=OH!$C$2:$C$62)*(OH!I$2:I$62))</f>
        <v>0</v>
      </c>
      <c r="G4" s="85">
        <f>SUMPRODUCT(($A4=OH!$C$2:$C$62)*(OH!J$2:J$62))</f>
        <v>0</v>
      </c>
      <c r="H4" s="85">
        <f>SUMPRODUCT(($A4=OH!$C$2:$C$62)*(OH!K$2:K$62))</f>
        <v>250</v>
      </c>
      <c r="I4" s="85">
        <f>SUMPRODUCT(($A4=OH!$C$2:$C$62)*(OH!L$2:L$62))</f>
        <v>0</v>
      </c>
      <c r="J4" s="85">
        <f>SUMPRODUCT(($A4=OH!$C$2:$C$62)*(OH!M$2:M$62))</f>
        <v>0</v>
      </c>
      <c r="K4" s="85">
        <f>SUMPRODUCT(($A4=OH!$C$2:$C$62)*(OH!N$2:N$62))</f>
        <v>250</v>
      </c>
      <c r="L4" s="85">
        <f>SUMPRODUCT(($A4=OH!$C$2:$C$62)*(OH!O$2:O$62))</f>
        <v>0</v>
      </c>
      <c r="M4" s="85">
        <f>SUMPRODUCT(($A4=OH!$C$2:$C$62)*(OH!P$2:P$62))</f>
        <v>0</v>
      </c>
      <c r="N4" s="121">
        <f t="shared" si="1"/>
        <v>1000</v>
      </c>
    </row>
    <row r="5" spans="1:14">
      <c r="A5" s="1" t="s">
        <v>451</v>
      </c>
      <c r="B5" s="85">
        <f>SUMPRODUCT(($A5=OH!$C$2:$C$62)*(OH!E$2:E$62))</f>
        <v>11500</v>
      </c>
      <c r="C5" s="85">
        <f>SUMPRODUCT(($A5=OH!$C$2:$C$62)*(OH!F$2:F$62))</f>
        <v>0</v>
      </c>
      <c r="D5" s="85">
        <f>SUMPRODUCT(($A5=OH!$C$2:$C$62)*(OH!G$2:G$62))</f>
        <v>0</v>
      </c>
      <c r="E5" s="85">
        <f>SUMPRODUCT(($A5=OH!$C$2:$C$62)*(OH!H$2:H$62))</f>
        <v>0</v>
      </c>
      <c r="F5" s="85">
        <f>SUMPRODUCT(($A5=OH!$C$2:$C$62)*(OH!I$2:I$62))</f>
        <v>0</v>
      </c>
      <c r="G5" s="85">
        <f>SUMPRODUCT(($A5=OH!$C$2:$C$62)*(OH!J$2:J$62))</f>
        <v>0</v>
      </c>
      <c r="H5" s="85">
        <f>SUMPRODUCT(($A5=OH!$C$2:$C$62)*(OH!K$2:K$62))</f>
        <v>0</v>
      </c>
      <c r="I5" s="85">
        <f>SUMPRODUCT(($A5=OH!$C$2:$C$62)*(OH!L$2:L$62))</f>
        <v>0</v>
      </c>
      <c r="J5" s="85">
        <f>SUMPRODUCT(($A5=OH!$C$2:$C$62)*(OH!M$2:M$62))</f>
        <v>0</v>
      </c>
      <c r="K5" s="85">
        <f>SUMPRODUCT(($A5=OH!$C$2:$C$62)*(OH!N$2:N$62))</f>
        <v>0</v>
      </c>
      <c r="L5" s="85">
        <f>SUMPRODUCT(($A5=OH!$C$2:$C$62)*(OH!O$2:O$62))</f>
        <v>0</v>
      </c>
      <c r="M5" s="85">
        <f>SUMPRODUCT(($A5=OH!$C$2:$C$62)*(OH!P$2:P$62))</f>
        <v>0</v>
      </c>
      <c r="N5" s="121">
        <f t="shared" si="1"/>
        <v>11500</v>
      </c>
    </row>
    <row r="6" spans="1:14">
      <c r="A6" s="1" t="s">
        <v>464</v>
      </c>
      <c r="B6" s="85">
        <f>SUMPRODUCT(($A6=OH!$C$2:$C$62)*(OH!E$2:E$62))</f>
        <v>200</v>
      </c>
      <c r="C6" s="85">
        <f>SUMPRODUCT(($A6=OH!$C$2:$C$62)*(OH!F$2:F$62))</f>
        <v>200</v>
      </c>
      <c r="D6" s="85">
        <f>SUMPRODUCT(($A6=OH!$C$2:$C$62)*(OH!G$2:G$62))</f>
        <v>200</v>
      </c>
      <c r="E6" s="85">
        <f>SUMPRODUCT(($A6=OH!$C$2:$C$62)*(OH!H$2:H$62))</f>
        <v>200</v>
      </c>
      <c r="F6" s="85">
        <f>SUMPRODUCT(($A6=OH!$C$2:$C$62)*(OH!I$2:I$62))</f>
        <v>200</v>
      </c>
      <c r="G6" s="85">
        <f>SUMPRODUCT(($A6=OH!$C$2:$C$62)*(OH!J$2:J$62))</f>
        <v>200</v>
      </c>
      <c r="H6" s="85">
        <f>SUMPRODUCT(($A6=OH!$C$2:$C$62)*(OH!K$2:K$62))</f>
        <v>200</v>
      </c>
      <c r="I6" s="85">
        <f>SUMPRODUCT(($A6=OH!$C$2:$C$62)*(OH!L$2:L$62))</f>
        <v>200</v>
      </c>
      <c r="J6" s="85">
        <f>SUMPRODUCT(($A6=OH!$C$2:$C$62)*(OH!M$2:M$62))</f>
        <v>200</v>
      </c>
      <c r="K6" s="85">
        <f>SUMPRODUCT(($A6=OH!$C$2:$C$62)*(OH!N$2:N$62))</f>
        <v>200</v>
      </c>
      <c r="L6" s="85">
        <f>SUMPRODUCT(($A6=OH!$C$2:$C$62)*(OH!O$2:O$62))</f>
        <v>200</v>
      </c>
      <c r="M6" s="85">
        <f>SUMPRODUCT(($A6=OH!$C$2:$C$62)*(OH!P$2:P$62))</f>
        <v>200</v>
      </c>
      <c r="N6" s="121">
        <f t="shared" si="1"/>
        <v>2400</v>
      </c>
    </row>
    <row r="7" spans="1:14">
      <c r="A7" s="1" t="s">
        <v>481</v>
      </c>
      <c r="B7" s="85">
        <f>SUMPRODUCT(($A7=OH!$C$2:$C$62)*(OH!E$2:E$62))</f>
        <v>1666.6666666666667</v>
      </c>
      <c r="C7" s="85">
        <f>SUMPRODUCT(($A7=OH!$C$2:$C$62)*(OH!F$2:F$62))</f>
        <v>1666.6666666666667</v>
      </c>
      <c r="D7" s="85">
        <f>SUMPRODUCT(($A7=OH!$C$2:$C$62)*(OH!G$2:G$62))</f>
        <v>1666.6666666666667</v>
      </c>
      <c r="E7" s="85">
        <f>SUMPRODUCT(($A7=OH!$C$2:$C$62)*(OH!H$2:H$62))</f>
        <v>1666.6666666666667</v>
      </c>
      <c r="F7" s="85">
        <f>SUMPRODUCT(($A7=OH!$C$2:$C$62)*(OH!I$2:I$62))</f>
        <v>1666.6666666666667</v>
      </c>
      <c r="G7" s="85">
        <f>SUMPRODUCT(($A7=OH!$C$2:$C$62)*(OH!J$2:J$62))</f>
        <v>1666.6666666666667</v>
      </c>
      <c r="H7" s="85">
        <f>SUMPRODUCT(($A7=OH!$C$2:$C$62)*(OH!K$2:K$62))</f>
        <v>1666.6666666666667</v>
      </c>
      <c r="I7" s="85">
        <f>SUMPRODUCT(($A7=OH!$C$2:$C$62)*(OH!L$2:L$62))</f>
        <v>1666.6666666666667</v>
      </c>
      <c r="J7" s="85">
        <f>SUMPRODUCT(($A7=OH!$C$2:$C$62)*(OH!M$2:M$62))</f>
        <v>1666.6666666666667</v>
      </c>
      <c r="K7" s="85">
        <f>SUMPRODUCT(($A7=OH!$C$2:$C$62)*(OH!N$2:N$62))</f>
        <v>1666.6666666666667</v>
      </c>
      <c r="L7" s="85">
        <f>SUMPRODUCT(($A7=OH!$C$2:$C$62)*(OH!O$2:O$62))</f>
        <v>1666.6666666666667</v>
      </c>
      <c r="M7" s="85">
        <f>SUMPRODUCT(($A7=OH!$C$2:$C$62)*(OH!P$2:P$62))</f>
        <v>1666.6666666666667</v>
      </c>
      <c r="N7" s="121">
        <f t="shared" si="1"/>
        <v>20000</v>
      </c>
    </row>
    <row r="8" spans="1:14">
      <c r="A8" s="1" t="s">
        <v>486</v>
      </c>
      <c r="B8" s="85">
        <f>SUMPRODUCT(($A8=OH!$C$2:$C$62)*(OH!E$2:E$62))</f>
        <v>400</v>
      </c>
      <c r="C8" s="85">
        <f>SUMPRODUCT(($A8=OH!$C$2:$C$62)*(OH!F$2:F$62))</f>
        <v>400</v>
      </c>
      <c r="D8" s="85">
        <f>SUMPRODUCT(($A8=OH!$C$2:$C$62)*(OH!G$2:G$62))</f>
        <v>1200</v>
      </c>
      <c r="E8" s="85">
        <f>SUMPRODUCT(($A8=OH!$C$2:$C$62)*(OH!H$2:H$62))</f>
        <v>1200</v>
      </c>
      <c r="F8" s="85">
        <f>SUMPRODUCT(($A8=OH!$C$2:$C$62)*(OH!I$2:I$62))</f>
        <v>2400</v>
      </c>
      <c r="G8" s="85">
        <f>SUMPRODUCT(($A8=OH!$C$2:$C$62)*(OH!J$2:J$62))</f>
        <v>2400</v>
      </c>
      <c r="H8" s="85">
        <f>SUMPRODUCT(($A8=OH!$C$2:$C$62)*(OH!K$2:K$62))</f>
        <v>2400</v>
      </c>
      <c r="I8" s="85">
        <f>SUMPRODUCT(($A8=OH!$C$2:$C$62)*(OH!L$2:L$62))</f>
        <v>2400</v>
      </c>
      <c r="J8" s="85">
        <f>SUMPRODUCT(($A8=OH!$C$2:$C$62)*(OH!M$2:M$62))</f>
        <v>2400</v>
      </c>
      <c r="K8" s="85">
        <f>SUMPRODUCT(($A8=OH!$C$2:$C$62)*(OH!N$2:N$62))</f>
        <v>2400</v>
      </c>
      <c r="L8" s="85">
        <f>SUMPRODUCT(($A8=OH!$C$2:$C$62)*(OH!O$2:O$62))</f>
        <v>400</v>
      </c>
      <c r="M8" s="85">
        <f>SUMPRODUCT(($A8=OH!$C$2:$C$62)*(OH!P$2:P$62))</f>
        <v>2000</v>
      </c>
      <c r="N8" s="121">
        <f t="shared" si="1"/>
        <v>20000</v>
      </c>
    </row>
    <row r="9" spans="1:14">
      <c r="A9" s="1" t="s">
        <v>31</v>
      </c>
      <c r="B9" s="85">
        <f>SUMPRODUCT(($A9=OH!$C$2:$C$62)*(OH!E$2:E$62))</f>
        <v>4166.666666666667</v>
      </c>
      <c r="C9" s="85">
        <f>SUMPRODUCT(($A9=OH!$C$2:$C$62)*(OH!F$2:F$62))</f>
        <v>4166.666666666667</v>
      </c>
      <c r="D9" s="85">
        <f>SUMPRODUCT(($A9=OH!$C$2:$C$62)*(OH!G$2:G$62))</f>
        <v>4166.666666666667</v>
      </c>
      <c r="E9" s="85">
        <f>SUMPRODUCT(($A9=OH!$C$2:$C$62)*(OH!H$2:H$62))</f>
        <v>4166.666666666667</v>
      </c>
      <c r="F9" s="85">
        <f>SUMPRODUCT(($A9=OH!$C$2:$C$62)*(OH!I$2:I$62))</f>
        <v>4166.666666666667</v>
      </c>
      <c r="G9" s="85">
        <f>SUMPRODUCT(($A9=OH!$C$2:$C$62)*(OH!J$2:J$62))</f>
        <v>4166.666666666667</v>
      </c>
      <c r="H9" s="85">
        <f>SUMPRODUCT(($A9=OH!$C$2:$C$62)*(OH!K$2:K$62))</f>
        <v>4166.666666666667</v>
      </c>
      <c r="I9" s="85">
        <f>SUMPRODUCT(($A9=OH!$C$2:$C$62)*(OH!L$2:L$62))</f>
        <v>4166.666666666667</v>
      </c>
      <c r="J9" s="85">
        <f>SUMPRODUCT(($A9=OH!$C$2:$C$62)*(OH!M$2:M$62))</f>
        <v>4166.666666666667</v>
      </c>
      <c r="K9" s="85">
        <f>SUMPRODUCT(($A9=OH!$C$2:$C$62)*(OH!N$2:N$62))</f>
        <v>4166.666666666667</v>
      </c>
      <c r="L9" s="85">
        <f>SUMPRODUCT(($A9=OH!$C$2:$C$62)*(OH!O$2:O$62))</f>
        <v>4166.666666666667</v>
      </c>
      <c r="M9" s="85">
        <f>SUMPRODUCT(($A9=OH!$C$2:$C$62)*(OH!P$2:P$62))</f>
        <v>4166.666666666667</v>
      </c>
      <c r="N9" s="121">
        <f t="shared" si="1"/>
        <v>49999.999999999993</v>
      </c>
    </row>
    <row r="10" spans="1:14">
      <c r="A10" s="1" t="s">
        <v>453</v>
      </c>
      <c r="B10" s="85">
        <f>SUMPRODUCT(($A10=OH!$C$2:$C$62)*(OH!E$2:E$62))</f>
        <v>400</v>
      </c>
      <c r="C10" s="85">
        <f>SUMPRODUCT(($A10=OH!$C$2:$C$62)*(OH!F$2:F$62))</f>
        <v>400</v>
      </c>
      <c r="D10" s="85">
        <f>SUMPRODUCT(($A10=OH!$C$2:$C$62)*(OH!G$2:G$62))</f>
        <v>1200</v>
      </c>
      <c r="E10" s="85">
        <f>SUMPRODUCT(($A10=OH!$C$2:$C$62)*(OH!H$2:H$62))</f>
        <v>1200</v>
      </c>
      <c r="F10" s="85">
        <f>SUMPRODUCT(($A10=OH!$C$2:$C$62)*(OH!I$2:I$62))</f>
        <v>2400</v>
      </c>
      <c r="G10" s="85">
        <f>SUMPRODUCT(($A10=OH!$C$2:$C$62)*(OH!J$2:J$62))</f>
        <v>2400</v>
      </c>
      <c r="H10" s="85">
        <f>SUMPRODUCT(($A10=OH!$C$2:$C$62)*(OH!K$2:K$62))</f>
        <v>2400</v>
      </c>
      <c r="I10" s="85">
        <f>SUMPRODUCT(($A10=OH!$C$2:$C$62)*(OH!L$2:L$62))</f>
        <v>2400</v>
      </c>
      <c r="J10" s="85">
        <f>SUMPRODUCT(($A10=OH!$C$2:$C$62)*(OH!M$2:M$62))</f>
        <v>2400</v>
      </c>
      <c r="K10" s="85">
        <f>SUMPRODUCT(($A10=OH!$C$2:$C$62)*(OH!N$2:N$62))</f>
        <v>2400</v>
      </c>
      <c r="L10" s="85">
        <f>SUMPRODUCT(($A10=OH!$C$2:$C$62)*(OH!O$2:O$62))</f>
        <v>400</v>
      </c>
      <c r="M10" s="85">
        <f>SUMPRODUCT(($A10=OH!$C$2:$C$62)*(OH!P$2:P$62))</f>
        <v>2000</v>
      </c>
      <c r="N10" s="121">
        <f t="shared" si="1"/>
        <v>20000</v>
      </c>
    </row>
    <row r="11" spans="1:14">
      <c r="A11" s="1" t="s">
        <v>487</v>
      </c>
      <c r="B11" s="85">
        <f>SUMPRODUCT(($A11=OH!$C$2:$C$62)*(OH!E$2:E$62))</f>
        <v>1080</v>
      </c>
      <c r="C11" s="85">
        <f>SUMPRODUCT(($A11=OH!$C$2:$C$62)*(OH!F$2:F$62))</f>
        <v>1080</v>
      </c>
      <c r="D11" s="85">
        <f>SUMPRODUCT(($A11=OH!$C$2:$C$62)*(OH!G$2:G$62))</f>
        <v>1800</v>
      </c>
      <c r="E11" s="85">
        <f>SUMPRODUCT(($A11=OH!$C$2:$C$62)*(OH!H$2:H$62))</f>
        <v>3240</v>
      </c>
      <c r="F11" s="85">
        <f>SUMPRODUCT(($A11=OH!$C$2:$C$62)*(OH!I$2:I$62))</f>
        <v>3600</v>
      </c>
      <c r="G11" s="85">
        <f>SUMPRODUCT(($A11=OH!$C$2:$C$62)*(OH!J$2:J$62))</f>
        <v>3600</v>
      </c>
      <c r="H11" s="85">
        <f>SUMPRODUCT(($A11=OH!$C$2:$C$62)*(OH!K$2:K$62))</f>
        <v>4680</v>
      </c>
      <c r="I11" s="85">
        <f>SUMPRODUCT(($A11=OH!$C$2:$C$62)*(OH!L$2:L$62))</f>
        <v>4680</v>
      </c>
      <c r="J11" s="85">
        <f>SUMPRODUCT(($A11=OH!$C$2:$C$62)*(OH!M$2:M$62))</f>
        <v>3600</v>
      </c>
      <c r="K11" s="85">
        <f>SUMPRODUCT(($A11=OH!$C$2:$C$62)*(OH!N$2:N$62))</f>
        <v>3240</v>
      </c>
      <c r="L11" s="85">
        <f>SUMPRODUCT(($A11=OH!$C$2:$C$62)*(OH!O$2:O$62))</f>
        <v>1080</v>
      </c>
      <c r="M11" s="85">
        <f>SUMPRODUCT(($A11=OH!$C$2:$C$62)*(OH!P$2:P$62))</f>
        <v>4320</v>
      </c>
      <c r="N11" s="121">
        <f t="shared" si="1"/>
        <v>36000</v>
      </c>
    </row>
    <row r="12" spans="1:14">
      <c r="A12" s="1" t="s">
        <v>454</v>
      </c>
      <c r="B12" s="85">
        <f>SUMPRODUCT(($A12=OH!$C$2:$C$62)*(OH!E$2:E$62))</f>
        <v>0</v>
      </c>
      <c r="C12" s="85">
        <f>SUMPRODUCT(($A12=OH!$C$2:$C$62)*(OH!F$2:F$62))</f>
        <v>250</v>
      </c>
      <c r="D12" s="85">
        <f>SUMPRODUCT(($A12=OH!$C$2:$C$62)*(OH!G$2:G$62))</f>
        <v>0</v>
      </c>
      <c r="E12" s="85">
        <f>SUMPRODUCT(($A12=OH!$C$2:$C$62)*(OH!H$2:H$62))</f>
        <v>0</v>
      </c>
      <c r="F12" s="85">
        <f>SUMPRODUCT(($A12=OH!$C$2:$C$62)*(OH!I$2:I$62))</f>
        <v>250</v>
      </c>
      <c r="G12" s="85">
        <f>SUMPRODUCT(($A12=OH!$C$2:$C$62)*(OH!J$2:J$62))</f>
        <v>0</v>
      </c>
      <c r="H12" s="85">
        <f>SUMPRODUCT(($A12=OH!$C$2:$C$62)*(OH!K$2:K$62))</f>
        <v>0</v>
      </c>
      <c r="I12" s="85">
        <f>SUMPRODUCT(($A12=OH!$C$2:$C$62)*(OH!L$2:L$62))</f>
        <v>250</v>
      </c>
      <c r="J12" s="85">
        <f>SUMPRODUCT(($A12=OH!$C$2:$C$62)*(OH!M$2:M$62))</f>
        <v>0</v>
      </c>
      <c r="K12" s="85">
        <f>SUMPRODUCT(($A12=OH!$C$2:$C$62)*(OH!N$2:N$62))</f>
        <v>0</v>
      </c>
      <c r="L12" s="85">
        <f>SUMPRODUCT(($A12=OH!$C$2:$C$62)*(OH!O$2:O$62))</f>
        <v>250</v>
      </c>
      <c r="M12" s="85">
        <f>SUMPRODUCT(($A12=OH!$C$2:$C$62)*(OH!P$2:P$62))</f>
        <v>0</v>
      </c>
      <c r="N12" s="121">
        <f t="shared" si="1"/>
        <v>1000</v>
      </c>
    </row>
    <row r="13" spans="1:14">
      <c r="A13" s="1" t="s">
        <v>477</v>
      </c>
      <c r="B13" s="85">
        <f>SUMPRODUCT(($A13=OH!$C$2:$C$62)*(OH!E$2:E$62))</f>
        <v>625</v>
      </c>
      <c r="C13" s="85">
        <f>SUMPRODUCT(($A13=OH!$C$2:$C$62)*(OH!F$2:F$62))</f>
        <v>625</v>
      </c>
      <c r="D13" s="85">
        <f>SUMPRODUCT(($A13=OH!$C$2:$C$62)*(OH!G$2:G$62))</f>
        <v>625</v>
      </c>
      <c r="E13" s="85">
        <f>SUMPRODUCT(($A13=OH!$C$2:$C$62)*(OH!H$2:H$62))</f>
        <v>625</v>
      </c>
      <c r="F13" s="85">
        <f>SUMPRODUCT(($A13=OH!$C$2:$C$62)*(OH!I$2:I$62))</f>
        <v>625</v>
      </c>
      <c r="G13" s="85">
        <f>SUMPRODUCT(($A13=OH!$C$2:$C$62)*(OH!J$2:J$62))</f>
        <v>625</v>
      </c>
      <c r="H13" s="85">
        <f>SUMPRODUCT(($A13=OH!$C$2:$C$62)*(OH!K$2:K$62))</f>
        <v>625</v>
      </c>
      <c r="I13" s="85">
        <f>SUMPRODUCT(($A13=OH!$C$2:$C$62)*(OH!L$2:L$62))</f>
        <v>625</v>
      </c>
      <c r="J13" s="85">
        <f>SUMPRODUCT(($A13=OH!$C$2:$C$62)*(OH!M$2:M$62))</f>
        <v>625</v>
      </c>
      <c r="K13" s="85">
        <f>SUMPRODUCT(($A13=OH!$C$2:$C$62)*(OH!N$2:N$62))</f>
        <v>625</v>
      </c>
      <c r="L13" s="85">
        <f>SUMPRODUCT(($A13=OH!$C$2:$C$62)*(OH!O$2:O$62))</f>
        <v>625</v>
      </c>
      <c r="M13" s="85">
        <f>SUMPRODUCT(($A13=OH!$C$2:$C$62)*(OH!P$2:P$62))</f>
        <v>625</v>
      </c>
      <c r="N13" s="121">
        <f t="shared" si="1"/>
        <v>7500</v>
      </c>
    </row>
    <row r="14" spans="1:14">
      <c r="A14" s="1" t="s">
        <v>444</v>
      </c>
      <c r="B14" s="85">
        <f>SUMPRODUCT(($A14=OH!$C$2:$C$62)*(OH!E$2:E$62))</f>
        <v>12500</v>
      </c>
      <c r="C14" s="85">
        <f>SUMPRODUCT(($A14=OH!$C$2:$C$62)*(OH!F$2:F$62))</f>
        <v>0</v>
      </c>
      <c r="D14" s="85">
        <f>SUMPRODUCT(($A14=OH!$C$2:$C$62)*(OH!G$2:G$62))</f>
        <v>0</v>
      </c>
      <c r="E14" s="85">
        <f>SUMPRODUCT(($A14=OH!$C$2:$C$62)*(OH!H$2:H$62))</f>
        <v>12500</v>
      </c>
      <c r="F14" s="85">
        <f>SUMPRODUCT(($A14=OH!$C$2:$C$62)*(OH!I$2:I$62))</f>
        <v>0</v>
      </c>
      <c r="G14" s="85">
        <f>SUMPRODUCT(($A14=OH!$C$2:$C$62)*(OH!J$2:J$62))</f>
        <v>0</v>
      </c>
      <c r="H14" s="85">
        <f>SUMPRODUCT(($A14=OH!$C$2:$C$62)*(OH!K$2:K$62))</f>
        <v>12500</v>
      </c>
      <c r="I14" s="85">
        <f>SUMPRODUCT(($A14=OH!$C$2:$C$62)*(OH!L$2:L$62))</f>
        <v>0</v>
      </c>
      <c r="J14" s="85">
        <f>SUMPRODUCT(($A14=OH!$C$2:$C$62)*(OH!M$2:M$62))</f>
        <v>0</v>
      </c>
      <c r="K14" s="85">
        <f>SUMPRODUCT(($A14=OH!$C$2:$C$62)*(OH!N$2:N$62))</f>
        <v>12500</v>
      </c>
      <c r="L14" s="85">
        <f>SUMPRODUCT(($A14=OH!$C$2:$C$62)*(OH!O$2:O$62))</f>
        <v>0</v>
      </c>
      <c r="M14" s="85">
        <f>SUMPRODUCT(($A14=OH!$C$2:$C$62)*(OH!P$2:P$62))</f>
        <v>0</v>
      </c>
      <c r="N14" s="121">
        <f t="shared" si="1"/>
        <v>50000</v>
      </c>
    </row>
    <row r="15" spans="1:14">
      <c r="A15" s="1" t="s">
        <v>465</v>
      </c>
      <c r="B15" s="85">
        <f>SUMPRODUCT(($A15=OH!$C$2:$C$62)*(OH!E$2:E$62))</f>
        <v>541.66666666666663</v>
      </c>
      <c r="C15" s="85">
        <f>SUMPRODUCT(($A15=OH!$C$2:$C$62)*(OH!F$2:F$62))</f>
        <v>541.66666666666663</v>
      </c>
      <c r="D15" s="85">
        <f>SUMPRODUCT(($A15=OH!$C$2:$C$62)*(OH!G$2:G$62))</f>
        <v>541.66666666666663</v>
      </c>
      <c r="E15" s="85">
        <f>SUMPRODUCT(($A15=OH!$C$2:$C$62)*(OH!H$2:H$62))</f>
        <v>541.66666666666663</v>
      </c>
      <c r="F15" s="85">
        <f>SUMPRODUCT(($A15=OH!$C$2:$C$62)*(OH!I$2:I$62))</f>
        <v>541.66666666666663</v>
      </c>
      <c r="G15" s="85">
        <f>SUMPRODUCT(($A15=OH!$C$2:$C$62)*(OH!J$2:J$62))</f>
        <v>541.66666666666663</v>
      </c>
      <c r="H15" s="85">
        <f>SUMPRODUCT(($A15=OH!$C$2:$C$62)*(OH!K$2:K$62))</f>
        <v>541.66666666666663</v>
      </c>
      <c r="I15" s="85">
        <f>SUMPRODUCT(($A15=OH!$C$2:$C$62)*(OH!L$2:L$62))</f>
        <v>541.66666666666663</v>
      </c>
      <c r="J15" s="85">
        <f>SUMPRODUCT(($A15=OH!$C$2:$C$62)*(OH!M$2:M$62))</f>
        <v>541.66666666666663</v>
      </c>
      <c r="K15" s="85">
        <f>SUMPRODUCT(($A15=OH!$C$2:$C$62)*(OH!N$2:N$62))</f>
        <v>541.66666666666663</v>
      </c>
      <c r="L15" s="85">
        <f>SUMPRODUCT(($A15=OH!$C$2:$C$62)*(OH!O$2:O$62))</f>
        <v>541.66666666666663</v>
      </c>
      <c r="M15" s="85">
        <f>SUMPRODUCT(($A15=OH!$C$2:$C$62)*(OH!P$2:P$62))</f>
        <v>541.66666666666663</v>
      </c>
      <c r="N15" s="121">
        <f t="shared" si="1"/>
        <v>6500.0000000000009</v>
      </c>
    </row>
    <row r="16" spans="1:14">
      <c r="A16" s="1" t="s">
        <v>441</v>
      </c>
      <c r="B16" s="85">
        <f>SUMPRODUCT(($A16=OH!$C$2:$C$62)*(OH!E$2:E$62))</f>
        <v>1250</v>
      </c>
      <c r="C16" s="85">
        <f>SUMPRODUCT(($A16=OH!$C$2:$C$62)*(OH!F$2:F$62))</f>
        <v>0</v>
      </c>
      <c r="D16" s="85">
        <f>SUMPRODUCT(($A16=OH!$C$2:$C$62)*(OH!G$2:G$62))</f>
        <v>0</v>
      </c>
      <c r="E16" s="85">
        <f>SUMPRODUCT(($A16=OH!$C$2:$C$62)*(OH!H$2:H$62))</f>
        <v>1250</v>
      </c>
      <c r="F16" s="85">
        <f>SUMPRODUCT(($A16=OH!$C$2:$C$62)*(OH!I$2:I$62))</f>
        <v>0</v>
      </c>
      <c r="G16" s="85">
        <f>SUMPRODUCT(($A16=OH!$C$2:$C$62)*(OH!J$2:J$62))</f>
        <v>0</v>
      </c>
      <c r="H16" s="85">
        <f>SUMPRODUCT(($A16=OH!$C$2:$C$62)*(OH!K$2:K$62))</f>
        <v>1250</v>
      </c>
      <c r="I16" s="85">
        <f>SUMPRODUCT(($A16=OH!$C$2:$C$62)*(OH!L$2:L$62))</f>
        <v>0</v>
      </c>
      <c r="J16" s="85">
        <f>SUMPRODUCT(($A16=OH!$C$2:$C$62)*(OH!M$2:M$62))</f>
        <v>0</v>
      </c>
      <c r="K16" s="85">
        <f>SUMPRODUCT(($A16=OH!$C$2:$C$62)*(OH!N$2:N$62))</f>
        <v>1250</v>
      </c>
      <c r="L16" s="85">
        <f>SUMPRODUCT(($A16=OH!$C$2:$C$62)*(OH!O$2:O$62))</f>
        <v>0</v>
      </c>
      <c r="M16" s="85">
        <f>SUMPRODUCT(($A16=OH!$C$2:$C$62)*(OH!P$2:P$62))</f>
        <v>0</v>
      </c>
      <c r="N16" s="121">
        <f t="shared" si="1"/>
        <v>5000</v>
      </c>
    </row>
    <row r="17" spans="1:14">
      <c r="A17" s="1" t="s">
        <v>466</v>
      </c>
      <c r="B17" s="85">
        <f>SUMPRODUCT(($A17=OH!$C$2:$C$62)*(OH!E$2:E$62))</f>
        <v>0</v>
      </c>
      <c r="C17" s="85">
        <f>SUMPRODUCT(($A17=OH!$C$2:$C$62)*(OH!F$2:F$62))</f>
        <v>2500</v>
      </c>
      <c r="D17" s="85">
        <f>SUMPRODUCT(($A17=OH!$C$2:$C$62)*(OH!G$2:G$62))</f>
        <v>0</v>
      </c>
      <c r="E17" s="85">
        <f>SUMPRODUCT(($A17=OH!$C$2:$C$62)*(OH!H$2:H$62))</f>
        <v>0</v>
      </c>
      <c r="F17" s="85">
        <f>SUMPRODUCT(($A17=OH!$C$2:$C$62)*(OH!I$2:I$62))</f>
        <v>0</v>
      </c>
      <c r="G17" s="85">
        <f>SUMPRODUCT(($A17=OH!$C$2:$C$62)*(OH!J$2:J$62))</f>
        <v>0</v>
      </c>
      <c r="H17" s="85">
        <f>SUMPRODUCT(($A17=OH!$C$2:$C$62)*(OH!K$2:K$62))</f>
        <v>0</v>
      </c>
      <c r="I17" s="85">
        <f>SUMPRODUCT(($A17=OH!$C$2:$C$62)*(OH!L$2:L$62))</f>
        <v>0</v>
      </c>
      <c r="J17" s="85">
        <f>SUMPRODUCT(($A17=OH!$C$2:$C$62)*(OH!M$2:M$62))</f>
        <v>0</v>
      </c>
      <c r="K17" s="85">
        <f>SUMPRODUCT(($A17=OH!$C$2:$C$62)*(OH!N$2:N$62))</f>
        <v>0</v>
      </c>
      <c r="L17" s="85">
        <f>SUMPRODUCT(($A17=OH!$C$2:$C$62)*(OH!O$2:O$62))</f>
        <v>0</v>
      </c>
      <c r="M17" s="85">
        <f>SUMPRODUCT(($A17=OH!$C$2:$C$62)*(OH!P$2:P$62))</f>
        <v>0</v>
      </c>
      <c r="N17" s="121">
        <f t="shared" si="1"/>
        <v>2500</v>
      </c>
    </row>
    <row r="18" spans="1:14">
      <c r="A18" s="1" t="s">
        <v>445</v>
      </c>
      <c r="B18" s="85">
        <f>SUMPRODUCT(($A18=OH!$C$2:$C$62)*(OH!E$2:E$62))</f>
        <v>12500</v>
      </c>
      <c r="C18" s="85">
        <f>SUMPRODUCT(($A18=OH!$C$2:$C$62)*(OH!F$2:F$62))</f>
        <v>0</v>
      </c>
      <c r="D18" s="85">
        <f>SUMPRODUCT(($A18=OH!$C$2:$C$62)*(OH!G$2:G$62))</f>
        <v>0</v>
      </c>
      <c r="E18" s="85">
        <f>SUMPRODUCT(($A18=OH!$C$2:$C$62)*(OH!H$2:H$62))</f>
        <v>12500</v>
      </c>
      <c r="F18" s="85">
        <f>SUMPRODUCT(($A18=OH!$C$2:$C$62)*(OH!I$2:I$62))</f>
        <v>0</v>
      </c>
      <c r="G18" s="85">
        <f>SUMPRODUCT(($A18=OH!$C$2:$C$62)*(OH!J$2:J$62))</f>
        <v>0</v>
      </c>
      <c r="H18" s="85">
        <f>SUMPRODUCT(($A18=OH!$C$2:$C$62)*(OH!K$2:K$62))</f>
        <v>12500</v>
      </c>
      <c r="I18" s="85">
        <f>SUMPRODUCT(($A18=OH!$C$2:$C$62)*(OH!L$2:L$62))</f>
        <v>0</v>
      </c>
      <c r="J18" s="85">
        <f>SUMPRODUCT(($A18=OH!$C$2:$C$62)*(OH!M$2:M$62))</f>
        <v>0</v>
      </c>
      <c r="K18" s="85">
        <f>SUMPRODUCT(($A18=OH!$C$2:$C$62)*(OH!N$2:N$62))</f>
        <v>12500</v>
      </c>
      <c r="L18" s="85">
        <f>SUMPRODUCT(($A18=OH!$C$2:$C$62)*(OH!O$2:O$62))</f>
        <v>0</v>
      </c>
      <c r="M18" s="85">
        <f>SUMPRODUCT(($A18=OH!$C$2:$C$62)*(OH!P$2:P$62))</f>
        <v>0</v>
      </c>
      <c r="N18" s="121">
        <f t="shared" si="1"/>
        <v>50000</v>
      </c>
    </row>
    <row r="19" spans="1:14">
      <c r="A19" s="1" t="s">
        <v>467</v>
      </c>
      <c r="B19" s="85">
        <f>SUMPRODUCT(($A19=OH!$C$2:$C$62)*(OH!E$2:E$62))</f>
        <v>1458.3333333333333</v>
      </c>
      <c r="C19" s="85">
        <f>SUMPRODUCT(($A19=OH!$C$2:$C$62)*(OH!F$2:F$62))</f>
        <v>1458.3333333333333</v>
      </c>
      <c r="D19" s="85">
        <f>SUMPRODUCT(($A19=OH!$C$2:$C$62)*(OH!G$2:G$62))</f>
        <v>1458.3333333333333</v>
      </c>
      <c r="E19" s="85">
        <f>SUMPRODUCT(($A19=OH!$C$2:$C$62)*(OH!H$2:H$62))</f>
        <v>1458.3333333333333</v>
      </c>
      <c r="F19" s="85">
        <f>SUMPRODUCT(($A19=OH!$C$2:$C$62)*(OH!I$2:I$62))</f>
        <v>1458.3333333333333</v>
      </c>
      <c r="G19" s="85">
        <f>SUMPRODUCT(($A19=OH!$C$2:$C$62)*(OH!J$2:J$62))</f>
        <v>1458.3333333333333</v>
      </c>
      <c r="H19" s="85">
        <f>SUMPRODUCT(($A19=OH!$C$2:$C$62)*(OH!K$2:K$62))</f>
        <v>1458.3333333333333</v>
      </c>
      <c r="I19" s="85">
        <f>SUMPRODUCT(($A19=OH!$C$2:$C$62)*(OH!L$2:L$62))</f>
        <v>1458.3333333333333</v>
      </c>
      <c r="J19" s="85">
        <f>SUMPRODUCT(($A19=OH!$C$2:$C$62)*(OH!M$2:M$62))</f>
        <v>1458.3333333333333</v>
      </c>
      <c r="K19" s="85">
        <f>SUMPRODUCT(($A19=OH!$C$2:$C$62)*(OH!N$2:N$62))</f>
        <v>1458.3333333333333</v>
      </c>
      <c r="L19" s="85">
        <f>SUMPRODUCT(($A19=OH!$C$2:$C$62)*(OH!O$2:O$62))</f>
        <v>1458.3333333333333</v>
      </c>
      <c r="M19" s="85">
        <f>SUMPRODUCT(($A19=OH!$C$2:$C$62)*(OH!P$2:P$62))</f>
        <v>1458.3333333333333</v>
      </c>
      <c r="N19" s="121">
        <f t="shared" si="1"/>
        <v>17500.000000000004</v>
      </c>
    </row>
    <row r="20" spans="1:14">
      <c r="A20" s="1" t="s">
        <v>478</v>
      </c>
      <c r="B20" s="85">
        <f>SUMPRODUCT(($A20=OH!$C$2:$C$62)*(OH!E$2:E$62))</f>
        <v>2083.3333333333335</v>
      </c>
      <c r="C20" s="85">
        <f>SUMPRODUCT(($A20=OH!$C$2:$C$62)*(OH!F$2:F$62))</f>
        <v>2083.3333333333335</v>
      </c>
      <c r="D20" s="85">
        <f>SUMPRODUCT(($A20=OH!$C$2:$C$62)*(OH!G$2:G$62))</f>
        <v>2083.3333333333335</v>
      </c>
      <c r="E20" s="85">
        <f>SUMPRODUCT(($A20=OH!$C$2:$C$62)*(OH!H$2:H$62))</f>
        <v>2083.3333333333335</v>
      </c>
      <c r="F20" s="85">
        <f>SUMPRODUCT(($A20=OH!$C$2:$C$62)*(OH!I$2:I$62))</f>
        <v>2083.3333333333335</v>
      </c>
      <c r="G20" s="85">
        <f>SUMPRODUCT(($A20=OH!$C$2:$C$62)*(OH!J$2:J$62))</f>
        <v>2083.3333333333335</v>
      </c>
      <c r="H20" s="85">
        <f>SUMPRODUCT(($A20=OH!$C$2:$C$62)*(OH!K$2:K$62))</f>
        <v>2083.3333333333335</v>
      </c>
      <c r="I20" s="85">
        <f>SUMPRODUCT(($A20=OH!$C$2:$C$62)*(OH!L$2:L$62))</f>
        <v>2083.3333333333335</v>
      </c>
      <c r="J20" s="85">
        <f>SUMPRODUCT(($A20=OH!$C$2:$C$62)*(OH!M$2:M$62))</f>
        <v>2083.3333333333335</v>
      </c>
      <c r="K20" s="85">
        <f>SUMPRODUCT(($A20=OH!$C$2:$C$62)*(OH!N$2:N$62))</f>
        <v>2083.3333333333335</v>
      </c>
      <c r="L20" s="85">
        <f>SUMPRODUCT(($A20=OH!$C$2:$C$62)*(OH!O$2:O$62))</f>
        <v>2083.3333333333335</v>
      </c>
      <c r="M20" s="85">
        <f>SUMPRODUCT(($A20=OH!$C$2:$C$62)*(OH!P$2:P$62))</f>
        <v>2083.3333333333335</v>
      </c>
      <c r="N20" s="121">
        <f t="shared" si="1"/>
        <v>24999.999999999996</v>
      </c>
    </row>
    <row r="21" spans="1:14">
      <c r="A21" s="1" t="s">
        <v>455</v>
      </c>
      <c r="B21" s="85">
        <f>SUMPRODUCT(($A21=OH!$C$2:$C$62)*(OH!E$2:E$62))</f>
        <v>833.33333333333337</v>
      </c>
      <c r="C21" s="85">
        <f>SUMPRODUCT(($A21=OH!$C$2:$C$62)*(OH!F$2:F$62))</f>
        <v>833.33333333333337</v>
      </c>
      <c r="D21" s="85">
        <f>SUMPRODUCT(($A21=OH!$C$2:$C$62)*(OH!G$2:G$62))</f>
        <v>833.33333333333337</v>
      </c>
      <c r="E21" s="85">
        <f>SUMPRODUCT(($A21=OH!$C$2:$C$62)*(OH!H$2:H$62))</f>
        <v>833.33333333333337</v>
      </c>
      <c r="F21" s="85">
        <f>SUMPRODUCT(($A21=OH!$C$2:$C$62)*(OH!I$2:I$62))</f>
        <v>833.33333333333337</v>
      </c>
      <c r="G21" s="85">
        <f>SUMPRODUCT(($A21=OH!$C$2:$C$62)*(OH!J$2:J$62))</f>
        <v>833.33333333333337</v>
      </c>
      <c r="H21" s="85">
        <f>SUMPRODUCT(($A21=OH!$C$2:$C$62)*(OH!K$2:K$62))</f>
        <v>833.33333333333337</v>
      </c>
      <c r="I21" s="85">
        <f>SUMPRODUCT(($A21=OH!$C$2:$C$62)*(OH!L$2:L$62))</f>
        <v>833.33333333333337</v>
      </c>
      <c r="J21" s="85">
        <f>SUMPRODUCT(($A21=OH!$C$2:$C$62)*(OH!M$2:M$62))</f>
        <v>833.33333333333337</v>
      </c>
      <c r="K21" s="85">
        <f>SUMPRODUCT(($A21=OH!$C$2:$C$62)*(OH!N$2:N$62))</f>
        <v>833.33333333333337</v>
      </c>
      <c r="L21" s="85">
        <f>SUMPRODUCT(($A21=OH!$C$2:$C$62)*(OH!O$2:O$62))</f>
        <v>833.33333333333337</v>
      </c>
      <c r="M21" s="85">
        <f>SUMPRODUCT(($A21=OH!$C$2:$C$62)*(OH!P$2:P$62))</f>
        <v>833.33333333333337</v>
      </c>
      <c r="N21" s="121">
        <f t="shared" si="1"/>
        <v>10000</v>
      </c>
    </row>
    <row r="22" spans="1:14">
      <c r="A22" s="1" t="s">
        <v>468</v>
      </c>
      <c r="B22" s="85">
        <f>SUMPRODUCT(($A22=OH!$C$2:$C$62)*(OH!E$2:E$62))</f>
        <v>416.66666666666669</v>
      </c>
      <c r="C22" s="85">
        <f>SUMPRODUCT(($A22=OH!$C$2:$C$62)*(OH!F$2:F$62))</f>
        <v>416.66666666666669</v>
      </c>
      <c r="D22" s="85">
        <f>SUMPRODUCT(($A22=OH!$C$2:$C$62)*(OH!G$2:G$62))</f>
        <v>416.66666666666669</v>
      </c>
      <c r="E22" s="85">
        <f>SUMPRODUCT(($A22=OH!$C$2:$C$62)*(OH!H$2:H$62))</f>
        <v>416.66666666666669</v>
      </c>
      <c r="F22" s="85">
        <f>SUMPRODUCT(($A22=OH!$C$2:$C$62)*(OH!I$2:I$62))</f>
        <v>416.66666666666669</v>
      </c>
      <c r="G22" s="85">
        <f>SUMPRODUCT(($A22=OH!$C$2:$C$62)*(OH!J$2:J$62))</f>
        <v>416.66666666666669</v>
      </c>
      <c r="H22" s="85">
        <f>SUMPRODUCT(($A22=OH!$C$2:$C$62)*(OH!K$2:K$62))</f>
        <v>416.66666666666669</v>
      </c>
      <c r="I22" s="85">
        <f>SUMPRODUCT(($A22=OH!$C$2:$C$62)*(OH!L$2:L$62))</f>
        <v>416.66666666666669</v>
      </c>
      <c r="J22" s="85">
        <f>SUMPRODUCT(($A22=OH!$C$2:$C$62)*(OH!M$2:M$62))</f>
        <v>416.66666666666669</v>
      </c>
      <c r="K22" s="85">
        <f>SUMPRODUCT(($A22=OH!$C$2:$C$62)*(OH!N$2:N$62))</f>
        <v>416.66666666666669</v>
      </c>
      <c r="L22" s="85">
        <f>SUMPRODUCT(($A22=OH!$C$2:$C$62)*(OH!O$2:O$62))</f>
        <v>416.66666666666669</v>
      </c>
      <c r="M22" s="85">
        <f>SUMPRODUCT(($A22=OH!$C$2:$C$62)*(OH!P$2:P$62))</f>
        <v>416.66666666666669</v>
      </c>
      <c r="N22" s="121">
        <f t="shared" si="1"/>
        <v>5000</v>
      </c>
    </row>
    <row r="23" spans="1:14">
      <c r="A23" s="1" t="s">
        <v>482</v>
      </c>
      <c r="B23" s="85">
        <f>SUMPRODUCT(($A23=OH!$C$2:$C$62)*(OH!E$2:E$62))</f>
        <v>200</v>
      </c>
      <c r="C23" s="85">
        <f>SUMPRODUCT(($A23=OH!$C$2:$C$62)*(OH!F$2:F$62))</f>
        <v>200</v>
      </c>
      <c r="D23" s="85">
        <f>SUMPRODUCT(($A23=OH!$C$2:$C$62)*(OH!G$2:G$62))</f>
        <v>600</v>
      </c>
      <c r="E23" s="85">
        <f>SUMPRODUCT(($A23=OH!$C$2:$C$62)*(OH!H$2:H$62))</f>
        <v>600</v>
      </c>
      <c r="F23" s="85">
        <f>SUMPRODUCT(($A23=OH!$C$2:$C$62)*(OH!I$2:I$62))</f>
        <v>1200</v>
      </c>
      <c r="G23" s="85">
        <f>SUMPRODUCT(($A23=OH!$C$2:$C$62)*(OH!J$2:J$62))</f>
        <v>1200</v>
      </c>
      <c r="H23" s="85">
        <f>SUMPRODUCT(($A23=OH!$C$2:$C$62)*(OH!K$2:K$62))</f>
        <v>1200</v>
      </c>
      <c r="I23" s="85">
        <f>SUMPRODUCT(($A23=OH!$C$2:$C$62)*(OH!L$2:L$62))</f>
        <v>1200</v>
      </c>
      <c r="J23" s="85">
        <f>SUMPRODUCT(($A23=OH!$C$2:$C$62)*(OH!M$2:M$62))</f>
        <v>1200</v>
      </c>
      <c r="K23" s="85">
        <f>SUMPRODUCT(($A23=OH!$C$2:$C$62)*(OH!N$2:N$62))</f>
        <v>1200</v>
      </c>
      <c r="L23" s="85">
        <f>SUMPRODUCT(($A23=OH!$C$2:$C$62)*(OH!O$2:O$62))</f>
        <v>200</v>
      </c>
      <c r="M23" s="85">
        <f>SUMPRODUCT(($A23=OH!$C$2:$C$62)*(OH!P$2:P$62))</f>
        <v>1000</v>
      </c>
      <c r="N23" s="121">
        <f t="shared" si="1"/>
        <v>10000</v>
      </c>
    </row>
    <row r="24" spans="1:14">
      <c r="A24" s="1" t="s">
        <v>469</v>
      </c>
      <c r="B24" s="85">
        <f>SUMPRODUCT(($A24=OH!$C$2:$C$62)*(OH!E$2:E$62))</f>
        <v>416.66666666666669</v>
      </c>
      <c r="C24" s="85">
        <f>SUMPRODUCT(($A24=OH!$C$2:$C$62)*(OH!F$2:F$62))</f>
        <v>416.66666666666669</v>
      </c>
      <c r="D24" s="85">
        <f>SUMPRODUCT(($A24=OH!$C$2:$C$62)*(OH!G$2:G$62))</f>
        <v>416.66666666666669</v>
      </c>
      <c r="E24" s="85">
        <f>SUMPRODUCT(($A24=OH!$C$2:$C$62)*(OH!H$2:H$62))</f>
        <v>416.66666666666669</v>
      </c>
      <c r="F24" s="85">
        <f>SUMPRODUCT(($A24=OH!$C$2:$C$62)*(OH!I$2:I$62))</f>
        <v>416.66666666666669</v>
      </c>
      <c r="G24" s="85">
        <f>SUMPRODUCT(($A24=OH!$C$2:$C$62)*(OH!J$2:J$62))</f>
        <v>416.66666666666669</v>
      </c>
      <c r="H24" s="85">
        <f>SUMPRODUCT(($A24=OH!$C$2:$C$62)*(OH!K$2:K$62))</f>
        <v>416.66666666666669</v>
      </c>
      <c r="I24" s="85">
        <f>SUMPRODUCT(($A24=OH!$C$2:$C$62)*(OH!L$2:L$62))</f>
        <v>416.66666666666669</v>
      </c>
      <c r="J24" s="85">
        <f>SUMPRODUCT(($A24=OH!$C$2:$C$62)*(OH!M$2:M$62))</f>
        <v>416.66666666666669</v>
      </c>
      <c r="K24" s="85">
        <f>SUMPRODUCT(($A24=OH!$C$2:$C$62)*(OH!N$2:N$62))</f>
        <v>416.66666666666669</v>
      </c>
      <c r="L24" s="85">
        <f>SUMPRODUCT(($A24=OH!$C$2:$C$62)*(OH!O$2:O$62))</f>
        <v>416.66666666666669</v>
      </c>
      <c r="M24" s="85">
        <f>SUMPRODUCT(($A24=OH!$C$2:$C$62)*(OH!P$2:P$62))</f>
        <v>416.66666666666669</v>
      </c>
      <c r="N24" s="121">
        <f t="shared" si="1"/>
        <v>5000</v>
      </c>
    </row>
    <row r="25" spans="1:14">
      <c r="A25" s="1" t="s">
        <v>456</v>
      </c>
      <c r="B25" s="85">
        <f>SUMPRODUCT(($A25=OH!$C$2:$C$62)*(OH!E$2:E$62))</f>
        <v>0</v>
      </c>
      <c r="C25" s="85">
        <f>SUMPRODUCT(($A25=OH!$C$2:$C$62)*(OH!F$2:F$62))</f>
        <v>1250</v>
      </c>
      <c r="D25" s="85">
        <f>SUMPRODUCT(($A25=OH!$C$2:$C$62)*(OH!G$2:G$62))</f>
        <v>0</v>
      </c>
      <c r="E25" s="85">
        <f>SUMPRODUCT(($A25=OH!$C$2:$C$62)*(OH!H$2:H$62))</f>
        <v>0</v>
      </c>
      <c r="F25" s="85">
        <f>SUMPRODUCT(($A25=OH!$C$2:$C$62)*(OH!I$2:I$62))</f>
        <v>1250</v>
      </c>
      <c r="G25" s="85">
        <f>SUMPRODUCT(($A25=OH!$C$2:$C$62)*(OH!J$2:J$62))</f>
        <v>0</v>
      </c>
      <c r="H25" s="85">
        <f>SUMPRODUCT(($A25=OH!$C$2:$C$62)*(OH!K$2:K$62))</f>
        <v>0</v>
      </c>
      <c r="I25" s="85">
        <f>SUMPRODUCT(($A25=OH!$C$2:$C$62)*(OH!L$2:L$62))</f>
        <v>1250</v>
      </c>
      <c r="J25" s="85">
        <f>SUMPRODUCT(($A25=OH!$C$2:$C$62)*(OH!M$2:M$62))</f>
        <v>0</v>
      </c>
      <c r="K25" s="85">
        <f>SUMPRODUCT(($A25=OH!$C$2:$C$62)*(OH!N$2:N$62))</f>
        <v>0</v>
      </c>
      <c r="L25" s="85">
        <f>SUMPRODUCT(($A25=OH!$C$2:$C$62)*(OH!O$2:O$62))</f>
        <v>1250</v>
      </c>
      <c r="M25" s="85">
        <f>SUMPRODUCT(($A25=OH!$C$2:$C$62)*(OH!P$2:P$62))</f>
        <v>0</v>
      </c>
      <c r="N25" s="121">
        <f t="shared" si="1"/>
        <v>5000</v>
      </c>
    </row>
    <row r="26" spans="1:14">
      <c r="A26" s="1" t="s">
        <v>483</v>
      </c>
      <c r="B26" s="85">
        <f>SUMPRODUCT(($A26=OH!$C$2:$C$62)*(OH!E$2:E$62))</f>
        <v>20</v>
      </c>
      <c r="C26" s="85">
        <f>SUMPRODUCT(($A26=OH!$C$2:$C$62)*(OH!F$2:F$62))</f>
        <v>20</v>
      </c>
      <c r="D26" s="85">
        <f>SUMPRODUCT(($A26=OH!$C$2:$C$62)*(OH!G$2:G$62))</f>
        <v>60</v>
      </c>
      <c r="E26" s="85">
        <f>SUMPRODUCT(($A26=OH!$C$2:$C$62)*(OH!H$2:H$62))</f>
        <v>60</v>
      </c>
      <c r="F26" s="85">
        <f>SUMPRODUCT(($A26=OH!$C$2:$C$62)*(OH!I$2:I$62))</f>
        <v>120</v>
      </c>
      <c r="G26" s="85">
        <f>SUMPRODUCT(($A26=OH!$C$2:$C$62)*(OH!J$2:J$62))</f>
        <v>120</v>
      </c>
      <c r="H26" s="85">
        <f>SUMPRODUCT(($A26=OH!$C$2:$C$62)*(OH!K$2:K$62))</f>
        <v>120</v>
      </c>
      <c r="I26" s="85">
        <f>SUMPRODUCT(($A26=OH!$C$2:$C$62)*(OH!L$2:L$62))</f>
        <v>120</v>
      </c>
      <c r="J26" s="85">
        <f>SUMPRODUCT(($A26=OH!$C$2:$C$62)*(OH!M$2:M$62))</f>
        <v>120</v>
      </c>
      <c r="K26" s="85">
        <f>SUMPRODUCT(($A26=OH!$C$2:$C$62)*(OH!N$2:N$62))</f>
        <v>120</v>
      </c>
      <c r="L26" s="85">
        <f>SUMPRODUCT(($A26=OH!$C$2:$C$62)*(OH!O$2:O$62))</f>
        <v>20</v>
      </c>
      <c r="M26" s="85">
        <f>SUMPRODUCT(($A26=OH!$C$2:$C$62)*(OH!P$2:P$62))</f>
        <v>100</v>
      </c>
      <c r="N26" s="121">
        <f t="shared" si="1"/>
        <v>1000</v>
      </c>
    </row>
    <row r="27" spans="1:14">
      <c r="A27" s="1" t="s">
        <v>470</v>
      </c>
      <c r="B27" s="85">
        <f>SUMPRODUCT(($A27=OH!$C$2:$C$62)*(OH!E$2:E$62))</f>
        <v>625</v>
      </c>
      <c r="C27" s="85">
        <f>SUMPRODUCT(($A27=OH!$C$2:$C$62)*(OH!F$2:F$62))</f>
        <v>625</v>
      </c>
      <c r="D27" s="85">
        <f>SUMPRODUCT(($A27=OH!$C$2:$C$62)*(OH!G$2:G$62))</f>
        <v>625</v>
      </c>
      <c r="E27" s="85">
        <f>SUMPRODUCT(($A27=OH!$C$2:$C$62)*(OH!H$2:H$62))</f>
        <v>625</v>
      </c>
      <c r="F27" s="85">
        <f>SUMPRODUCT(($A27=OH!$C$2:$C$62)*(OH!I$2:I$62))</f>
        <v>625</v>
      </c>
      <c r="G27" s="85">
        <f>SUMPRODUCT(($A27=OH!$C$2:$C$62)*(OH!J$2:J$62))</f>
        <v>625</v>
      </c>
      <c r="H27" s="85">
        <f>SUMPRODUCT(($A27=OH!$C$2:$C$62)*(OH!K$2:K$62))</f>
        <v>625</v>
      </c>
      <c r="I27" s="85">
        <f>SUMPRODUCT(($A27=OH!$C$2:$C$62)*(OH!L$2:L$62))</f>
        <v>625</v>
      </c>
      <c r="J27" s="85">
        <f>SUMPRODUCT(($A27=OH!$C$2:$C$62)*(OH!M$2:M$62))</f>
        <v>625</v>
      </c>
      <c r="K27" s="85">
        <f>SUMPRODUCT(($A27=OH!$C$2:$C$62)*(OH!N$2:N$62))</f>
        <v>625</v>
      </c>
      <c r="L27" s="85">
        <f>SUMPRODUCT(($A27=OH!$C$2:$C$62)*(OH!O$2:O$62))</f>
        <v>625</v>
      </c>
      <c r="M27" s="85">
        <f>SUMPRODUCT(($A27=OH!$C$2:$C$62)*(OH!P$2:P$62))</f>
        <v>625</v>
      </c>
      <c r="N27" s="121">
        <f t="shared" si="1"/>
        <v>7500</v>
      </c>
    </row>
    <row r="28" spans="1:14">
      <c r="A28" s="1" t="s">
        <v>484</v>
      </c>
      <c r="B28" s="85">
        <f>SUMPRODUCT(($A28=OH!$C$2:$C$62)*(OH!E$2:E$62))</f>
        <v>100</v>
      </c>
      <c r="C28" s="85">
        <f>SUMPRODUCT(($A28=OH!$C$2:$C$62)*(OH!F$2:F$62))</f>
        <v>100</v>
      </c>
      <c r="D28" s="85">
        <f>SUMPRODUCT(($A28=OH!$C$2:$C$62)*(OH!G$2:G$62))</f>
        <v>300</v>
      </c>
      <c r="E28" s="85">
        <f>SUMPRODUCT(($A28=OH!$C$2:$C$62)*(OH!H$2:H$62))</f>
        <v>300</v>
      </c>
      <c r="F28" s="85">
        <f>SUMPRODUCT(($A28=OH!$C$2:$C$62)*(OH!I$2:I$62))</f>
        <v>600</v>
      </c>
      <c r="G28" s="85">
        <f>SUMPRODUCT(($A28=OH!$C$2:$C$62)*(OH!J$2:J$62))</f>
        <v>600</v>
      </c>
      <c r="H28" s="85">
        <f>SUMPRODUCT(($A28=OH!$C$2:$C$62)*(OH!K$2:K$62))</f>
        <v>600</v>
      </c>
      <c r="I28" s="85">
        <f>SUMPRODUCT(($A28=OH!$C$2:$C$62)*(OH!L$2:L$62))</f>
        <v>600</v>
      </c>
      <c r="J28" s="85">
        <f>SUMPRODUCT(($A28=OH!$C$2:$C$62)*(OH!M$2:M$62))</f>
        <v>600</v>
      </c>
      <c r="K28" s="85">
        <f>SUMPRODUCT(($A28=OH!$C$2:$C$62)*(OH!N$2:N$62))</f>
        <v>600</v>
      </c>
      <c r="L28" s="85">
        <f>SUMPRODUCT(($A28=OH!$C$2:$C$62)*(OH!O$2:O$62))</f>
        <v>100</v>
      </c>
      <c r="M28" s="85">
        <f>SUMPRODUCT(($A28=OH!$C$2:$C$62)*(OH!P$2:P$62))</f>
        <v>500</v>
      </c>
      <c r="N28" s="121">
        <f t="shared" si="1"/>
        <v>5000</v>
      </c>
    </row>
    <row r="29" spans="1:14">
      <c r="A29" s="1" t="s">
        <v>457</v>
      </c>
      <c r="B29" s="85">
        <f>SUMPRODUCT(($A29=OH!$C$2:$C$62)*(OH!E$2:E$62))</f>
        <v>75</v>
      </c>
      <c r="C29" s="85">
        <f>SUMPRODUCT(($A29=OH!$C$2:$C$62)*(OH!F$2:F$62))</f>
        <v>75</v>
      </c>
      <c r="D29" s="85">
        <f>SUMPRODUCT(($A29=OH!$C$2:$C$62)*(OH!G$2:G$62))</f>
        <v>125</v>
      </c>
      <c r="E29" s="85">
        <f>SUMPRODUCT(($A29=OH!$C$2:$C$62)*(OH!H$2:H$62))</f>
        <v>225</v>
      </c>
      <c r="F29" s="85">
        <f>SUMPRODUCT(($A29=OH!$C$2:$C$62)*(OH!I$2:I$62))</f>
        <v>250</v>
      </c>
      <c r="G29" s="85">
        <f>SUMPRODUCT(($A29=OH!$C$2:$C$62)*(OH!J$2:J$62))</f>
        <v>250</v>
      </c>
      <c r="H29" s="85">
        <f>SUMPRODUCT(($A29=OH!$C$2:$C$62)*(OH!K$2:K$62))</f>
        <v>325</v>
      </c>
      <c r="I29" s="85">
        <f>SUMPRODUCT(($A29=OH!$C$2:$C$62)*(OH!L$2:L$62))</f>
        <v>325</v>
      </c>
      <c r="J29" s="85">
        <f>SUMPRODUCT(($A29=OH!$C$2:$C$62)*(OH!M$2:M$62))</f>
        <v>250</v>
      </c>
      <c r="K29" s="85">
        <f>SUMPRODUCT(($A29=OH!$C$2:$C$62)*(OH!N$2:N$62))</f>
        <v>225</v>
      </c>
      <c r="L29" s="85">
        <f>SUMPRODUCT(($A29=OH!$C$2:$C$62)*(OH!O$2:O$62))</f>
        <v>75</v>
      </c>
      <c r="M29" s="85">
        <f>SUMPRODUCT(($A29=OH!$C$2:$C$62)*(OH!P$2:P$62))</f>
        <v>300</v>
      </c>
      <c r="N29" s="121">
        <f t="shared" si="1"/>
        <v>2500</v>
      </c>
    </row>
    <row r="30" spans="1:14">
      <c r="A30" s="1" t="s">
        <v>4</v>
      </c>
      <c r="B30" s="85">
        <f>SUMPRODUCT(($A30=OH!$C$2:$C$62)*(OH!E$2:E$62))</f>
        <v>0</v>
      </c>
      <c r="C30" s="85">
        <f>SUMPRODUCT(($A30=OH!$C$2:$C$62)*(OH!F$2:F$62))</f>
        <v>1250</v>
      </c>
      <c r="D30" s="85">
        <f>SUMPRODUCT(($A30=OH!$C$2:$C$62)*(OH!G$2:G$62))</f>
        <v>0</v>
      </c>
      <c r="E30" s="85">
        <f>SUMPRODUCT(($A30=OH!$C$2:$C$62)*(OH!H$2:H$62))</f>
        <v>0</v>
      </c>
      <c r="F30" s="85">
        <f>SUMPRODUCT(($A30=OH!$C$2:$C$62)*(OH!I$2:I$62))</f>
        <v>1250</v>
      </c>
      <c r="G30" s="85">
        <f>SUMPRODUCT(($A30=OH!$C$2:$C$62)*(OH!J$2:J$62))</f>
        <v>0</v>
      </c>
      <c r="H30" s="85">
        <f>SUMPRODUCT(($A30=OH!$C$2:$C$62)*(OH!K$2:K$62))</f>
        <v>0</v>
      </c>
      <c r="I30" s="85">
        <f>SUMPRODUCT(($A30=OH!$C$2:$C$62)*(OH!L$2:L$62))</f>
        <v>1250</v>
      </c>
      <c r="J30" s="85">
        <f>SUMPRODUCT(($A30=OH!$C$2:$C$62)*(OH!M$2:M$62))</f>
        <v>0</v>
      </c>
      <c r="K30" s="85">
        <f>SUMPRODUCT(($A30=OH!$C$2:$C$62)*(OH!N$2:N$62))</f>
        <v>0</v>
      </c>
      <c r="L30" s="85">
        <f>SUMPRODUCT(($A30=OH!$C$2:$C$62)*(OH!O$2:O$62))</f>
        <v>1250</v>
      </c>
      <c r="M30" s="85">
        <f>SUMPRODUCT(($A30=OH!$C$2:$C$62)*(OH!P$2:P$62))</f>
        <v>0</v>
      </c>
      <c r="N30" s="121">
        <f t="shared" si="1"/>
        <v>5000</v>
      </c>
    </row>
    <row r="31" spans="1:14">
      <c r="A31" s="1" t="s">
        <v>442</v>
      </c>
      <c r="B31" s="85">
        <f>SUMPRODUCT(($A31=OH!$C$2:$C$62)*(OH!E$2:E$62))</f>
        <v>0</v>
      </c>
      <c r="C31" s="85">
        <f>SUMPRODUCT(($A31=OH!$C$2:$C$62)*(OH!F$2:F$62))</f>
        <v>0</v>
      </c>
      <c r="D31" s="85">
        <f>SUMPRODUCT(($A31=OH!$C$2:$C$62)*(OH!G$2:G$62))</f>
        <v>1250</v>
      </c>
      <c r="E31" s="85">
        <f>SUMPRODUCT(($A31=OH!$C$2:$C$62)*(OH!H$2:H$62))</f>
        <v>0</v>
      </c>
      <c r="F31" s="85">
        <f>SUMPRODUCT(($A31=OH!$C$2:$C$62)*(OH!I$2:I$62))</f>
        <v>0</v>
      </c>
      <c r="G31" s="85">
        <f>SUMPRODUCT(($A31=OH!$C$2:$C$62)*(OH!J$2:J$62))</f>
        <v>1250</v>
      </c>
      <c r="H31" s="85">
        <f>SUMPRODUCT(($A31=OH!$C$2:$C$62)*(OH!K$2:K$62))</f>
        <v>0</v>
      </c>
      <c r="I31" s="85">
        <f>SUMPRODUCT(($A31=OH!$C$2:$C$62)*(OH!L$2:L$62))</f>
        <v>0</v>
      </c>
      <c r="J31" s="85">
        <f>SUMPRODUCT(($A31=OH!$C$2:$C$62)*(OH!M$2:M$62))</f>
        <v>1250</v>
      </c>
      <c r="K31" s="85">
        <f>SUMPRODUCT(($A31=OH!$C$2:$C$62)*(OH!N$2:N$62))</f>
        <v>0</v>
      </c>
      <c r="L31" s="85">
        <f>SUMPRODUCT(($A31=OH!$C$2:$C$62)*(OH!O$2:O$62))</f>
        <v>0</v>
      </c>
      <c r="M31" s="85">
        <f>SUMPRODUCT(($A31=OH!$C$2:$C$62)*(OH!P$2:P$62))</f>
        <v>1250</v>
      </c>
      <c r="N31" s="121">
        <f t="shared" si="1"/>
        <v>5000</v>
      </c>
    </row>
    <row r="32" spans="1:14">
      <c r="A32" s="1" t="s">
        <v>485</v>
      </c>
      <c r="B32" s="85">
        <f>SUMPRODUCT(($A32=OH!$C$2:$C$62)*(OH!E$2:E$62))</f>
        <v>350</v>
      </c>
      <c r="C32" s="85">
        <f>SUMPRODUCT(($A32=OH!$C$2:$C$62)*(OH!F$2:F$62))</f>
        <v>350</v>
      </c>
      <c r="D32" s="85">
        <f>SUMPRODUCT(($A32=OH!$C$2:$C$62)*(OH!G$2:G$62))</f>
        <v>1050</v>
      </c>
      <c r="E32" s="85">
        <f>SUMPRODUCT(($A32=OH!$C$2:$C$62)*(OH!H$2:H$62))</f>
        <v>1050</v>
      </c>
      <c r="F32" s="85">
        <f>SUMPRODUCT(($A32=OH!$C$2:$C$62)*(OH!I$2:I$62))</f>
        <v>2100</v>
      </c>
      <c r="G32" s="85">
        <f>SUMPRODUCT(($A32=OH!$C$2:$C$62)*(OH!J$2:J$62))</f>
        <v>2100</v>
      </c>
      <c r="H32" s="85">
        <f>SUMPRODUCT(($A32=OH!$C$2:$C$62)*(OH!K$2:K$62))</f>
        <v>2100</v>
      </c>
      <c r="I32" s="85">
        <f>SUMPRODUCT(($A32=OH!$C$2:$C$62)*(OH!L$2:L$62))</f>
        <v>2100</v>
      </c>
      <c r="J32" s="85">
        <f>SUMPRODUCT(($A32=OH!$C$2:$C$62)*(OH!M$2:M$62))</f>
        <v>2100</v>
      </c>
      <c r="K32" s="85">
        <f>SUMPRODUCT(($A32=OH!$C$2:$C$62)*(OH!N$2:N$62))</f>
        <v>2100</v>
      </c>
      <c r="L32" s="85">
        <f>SUMPRODUCT(($A32=OH!$C$2:$C$62)*(OH!O$2:O$62))</f>
        <v>350</v>
      </c>
      <c r="M32" s="85">
        <f>SUMPRODUCT(($A32=OH!$C$2:$C$62)*(OH!P$2:P$62))</f>
        <v>1750</v>
      </c>
      <c r="N32" s="121">
        <f t="shared" si="1"/>
        <v>17500</v>
      </c>
    </row>
    <row r="33" spans="1:14">
      <c r="A33" s="1" t="s">
        <v>446</v>
      </c>
      <c r="B33" s="85">
        <f>SUMPRODUCT(($A33=OH!$C$2:$C$62)*(OH!E$2:E$62))</f>
        <v>0</v>
      </c>
      <c r="C33" s="85">
        <f>SUMPRODUCT(($A33=OH!$C$2:$C$62)*(OH!F$2:F$62))</f>
        <v>0</v>
      </c>
      <c r="D33" s="85">
        <f>SUMPRODUCT(($A33=OH!$C$2:$C$62)*(OH!G$2:G$62))</f>
        <v>0</v>
      </c>
      <c r="E33" s="85">
        <f>SUMPRODUCT(($A33=OH!$C$2:$C$62)*(OH!H$2:H$62))</f>
        <v>0</v>
      </c>
      <c r="F33" s="85">
        <f>SUMPRODUCT(($A33=OH!$C$2:$C$62)*(OH!I$2:I$62))</f>
        <v>0</v>
      </c>
      <c r="G33" s="85">
        <f>SUMPRODUCT(($A33=OH!$C$2:$C$62)*(OH!J$2:J$62))</f>
        <v>0</v>
      </c>
      <c r="H33" s="85">
        <f>SUMPRODUCT(($A33=OH!$C$2:$C$62)*(OH!K$2:K$62))</f>
        <v>0</v>
      </c>
      <c r="I33" s="85">
        <f>SUMPRODUCT(($A33=OH!$C$2:$C$62)*(OH!L$2:L$62))</f>
        <v>0</v>
      </c>
      <c r="J33" s="85">
        <f>SUMPRODUCT(($A33=OH!$C$2:$C$62)*(OH!M$2:M$62))</f>
        <v>0</v>
      </c>
      <c r="K33" s="85">
        <f>SUMPRODUCT(($A33=OH!$C$2:$C$62)*(OH!N$2:N$62))</f>
        <v>0</v>
      </c>
      <c r="L33" s="85">
        <f>SUMPRODUCT(($A33=OH!$C$2:$C$62)*(OH!O$2:O$62))</f>
        <v>0</v>
      </c>
      <c r="M33" s="85">
        <f>SUMPRODUCT(($A33=OH!$C$2:$C$62)*(OH!P$2:P$62))</f>
        <v>0</v>
      </c>
      <c r="N33" s="121">
        <f t="shared" si="1"/>
        <v>0</v>
      </c>
    </row>
    <row r="34" spans="1:14">
      <c r="A34" s="1" t="s">
        <v>471</v>
      </c>
      <c r="B34" s="85">
        <f>SUMPRODUCT(($A34=OH!$C$2:$C$62)*(OH!E$2:E$62))</f>
        <v>833.33333333333337</v>
      </c>
      <c r="C34" s="85">
        <f>SUMPRODUCT(($A34=OH!$C$2:$C$62)*(OH!F$2:F$62))</f>
        <v>833.33333333333337</v>
      </c>
      <c r="D34" s="85">
        <f>SUMPRODUCT(($A34=OH!$C$2:$C$62)*(OH!G$2:G$62))</f>
        <v>833.33333333333337</v>
      </c>
      <c r="E34" s="85">
        <f>SUMPRODUCT(($A34=OH!$C$2:$C$62)*(OH!H$2:H$62))</f>
        <v>833.33333333333337</v>
      </c>
      <c r="F34" s="85">
        <f>SUMPRODUCT(($A34=OH!$C$2:$C$62)*(OH!I$2:I$62))</f>
        <v>833.33333333333337</v>
      </c>
      <c r="G34" s="85">
        <f>SUMPRODUCT(($A34=OH!$C$2:$C$62)*(OH!J$2:J$62))</f>
        <v>833.33333333333337</v>
      </c>
      <c r="H34" s="85">
        <f>SUMPRODUCT(($A34=OH!$C$2:$C$62)*(OH!K$2:K$62))</f>
        <v>833.33333333333337</v>
      </c>
      <c r="I34" s="85">
        <f>SUMPRODUCT(($A34=OH!$C$2:$C$62)*(OH!L$2:L$62))</f>
        <v>833.33333333333337</v>
      </c>
      <c r="J34" s="85">
        <f>SUMPRODUCT(($A34=OH!$C$2:$C$62)*(OH!M$2:M$62))</f>
        <v>833.33333333333337</v>
      </c>
      <c r="K34" s="85">
        <f>SUMPRODUCT(($A34=OH!$C$2:$C$62)*(OH!N$2:N$62))</f>
        <v>833.33333333333337</v>
      </c>
      <c r="L34" s="85">
        <f>SUMPRODUCT(($A34=OH!$C$2:$C$62)*(OH!O$2:O$62))</f>
        <v>833.33333333333337</v>
      </c>
      <c r="M34" s="85">
        <f>SUMPRODUCT(($A34=OH!$C$2:$C$62)*(OH!P$2:P$62))</f>
        <v>833.33333333333337</v>
      </c>
      <c r="N34" s="121">
        <f t="shared" si="1"/>
        <v>10000</v>
      </c>
    </row>
    <row r="35" spans="1:14">
      <c r="A35" s="1" t="s">
        <v>460</v>
      </c>
      <c r="B35" s="85">
        <f>SUMPRODUCT(($A35=OH!$C$2:$C$62)*(OH!E$2:E$62))</f>
        <v>416.66666666666669</v>
      </c>
      <c r="C35" s="85">
        <f>SUMPRODUCT(($A35=OH!$C$2:$C$62)*(OH!F$2:F$62))</f>
        <v>416.66666666666669</v>
      </c>
      <c r="D35" s="85">
        <f>SUMPRODUCT(($A35=OH!$C$2:$C$62)*(OH!G$2:G$62))</f>
        <v>416.66666666666669</v>
      </c>
      <c r="E35" s="85">
        <f>SUMPRODUCT(($A35=OH!$C$2:$C$62)*(OH!H$2:H$62))</f>
        <v>416.66666666666669</v>
      </c>
      <c r="F35" s="85">
        <f>SUMPRODUCT(($A35=OH!$C$2:$C$62)*(OH!I$2:I$62))</f>
        <v>416.66666666666669</v>
      </c>
      <c r="G35" s="85">
        <f>SUMPRODUCT(($A35=OH!$C$2:$C$62)*(OH!J$2:J$62))</f>
        <v>416.66666666666669</v>
      </c>
      <c r="H35" s="85">
        <f>SUMPRODUCT(($A35=OH!$C$2:$C$62)*(OH!K$2:K$62))</f>
        <v>416.66666666666669</v>
      </c>
      <c r="I35" s="85">
        <f>SUMPRODUCT(($A35=OH!$C$2:$C$62)*(OH!L$2:L$62))</f>
        <v>416.66666666666669</v>
      </c>
      <c r="J35" s="85">
        <f>SUMPRODUCT(($A35=OH!$C$2:$C$62)*(OH!M$2:M$62))</f>
        <v>416.66666666666669</v>
      </c>
      <c r="K35" s="85">
        <f>SUMPRODUCT(($A35=OH!$C$2:$C$62)*(OH!N$2:N$62))</f>
        <v>416.66666666666669</v>
      </c>
      <c r="L35" s="85">
        <f>SUMPRODUCT(($A35=OH!$C$2:$C$62)*(OH!O$2:O$62))</f>
        <v>416.66666666666669</v>
      </c>
      <c r="M35" s="85">
        <f>SUMPRODUCT(($A35=OH!$C$2:$C$62)*(OH!P$2:P$62))</f>
        <v>416.66666666666669</v>
      </c>
      <c r="N35" s="121">
        <f t="shared" si="1"/>
        <v>5000</v>
      </c>
    </row>
    <row r="36" spans="1:14">
      <c r="A36" s="1" t="s">
        <v>2</v>
      </c>
      <c r="B36" s="85">
        <f>SUMPRODUCT(($A36=OH!$C$2:$C$62)*(OH!E$2:E$62))</f>
        <v>83.333333333333329</v>
      </c>
      <c r="C36" s="85">
        <f>SUMPRODUCT(($A36=OH!$C$2:$C$62)*(OH!F$2:F$62))</f>
        <v>83.333333333333329</v>
      </c>
      <c r="D36" s="85">
        <f>SUMPRODUCT(($A36=OH!$C$2:$C$62)*(OH!G$2:G$62))</f>
        <v>83.333333333333329</v>
      </c>
      <c r="E36" s="85">
        <f>SUMPRODUCT(($A36=OH!$C$2:$C$62)*(OH!H$2:H$62))</f>
        <v>83.333333333333329</v>
      </c>
      <c r="F36" s="85">
        <f>SUMPRODUCT(($A36=OH!$C$2:$C$62)*(OH!I$2:I$62))</f>
        <v>83.333333333333329</v>
      </c>
      <c r="G36" s="85">
        <f>SUMPRODUCT(($A36=OH!$C$2:$C$62)*(OH!J$2:J$62))</f>
        <v>83.333333333333329</v>
      </c>
      <c r="H36" s="85">
        <f>SUMPRODUCT(($A36=OH!$C$2:$C$62)*(OH!K$2:K$62))</f>
        <v>83.333333333333329</v>
      </c>
      <c r="I36" s="85">
        <f>SUMPRODUCT(($A36=OH!$C$2:$C$62)*(OH!L$2:L$62))</f>
        <v>83.333333333333329</v>
      </c>
      <c r="J36" s="85">
        <f>SUMPRODUCT(($A36=OH!$C$2:$C$62)*(OH!M$2:M$62))</f>
        <v>83.333333333333329</v>
      </c>
      <c r="K36" s="85">
        <f>SUMPRODUCT(($A36=OH!$C$2:$C$62)*(OH!N$2:N$62))</f>
        <v>83.333333333333329</v>
      </c>
      <c r="L36" s="85">
        <f>SUMPRODUCT(($A36=OH!$C$2:$C$62)*(OH!O$2:O$62))</f>
        <v>83.333333333333329</v>
      </c>
      <c r="M36" s="85">
        <f>SUMPRODUCT(($A36=OH!$C$2:$C$62)*(OH!P$2:P$62))</f>
        <v>83.333333333333329</v>
      </c>
      <c r="N36" s="121">
        <f t="shared" si="1"/>
        <v>1000.0000000000001</v>
      </c>
    </row>
    <row r="37" spans="1:14">
      <c r="A37" s="1" t="s">
        <v>472</v>
      </c>
      <c r="B37" s="85">
        <f>SUMPRODUCT(($A37=OH!$C$2:$C$62)*(OH!E$2:E$62))</f>
        <v>208.33333333333334</v>
      </c>
      <c r="C37" s="85">
        <f>SUMPRODUCT(($A37=OH!$C$2:$C$62)*(OH!F$2:F$62))</f>
        <v>208.33333333333334</v>
      </c>
      <c r="D37" s="85">
        <f>SUMPRODUCT(($A37=OH!$C$2:$C$62)*(OH!G$2:G$62))</f>
        <v>208.33333333333334</v>
      </c>
      <c r="E37" s="85">
        <f>SUMPRODUCT(($A37=OH!$C$2:$C$62)*(OH!H$2:H$62))</f>
        <v>208.33333333333334</v>
      </c>
      <c r="F37" s="85">
        <f>SUMPRODUCT(($A37=OH!$C$2:$C$62)*(OH!I$2:I$62))</f>
        <v>208.33333333333334</v>
      </c>
      <c r="G37" s="85">
        <f>SUMPRODUCT(($A37=OH!$C$2:$C$62)*(OH!J$2:J$62))</f>
        <v>208.33333333333334</v>
      </c>
      <c r="H37" s="85">
        <f>SUMPRODUCT(($A37=OH!$C$2:$C$62)*(OH!K$2:K$62))</f>
        <v>208.33333333333334</v>
      </c>
      <c r="I37" s="85">
        <f>SUMPRODUCT(($A37=OH!$C$2:$C$62)*(OH!L$2:L$62))</f>
        <v>208.33333333333334</v>
      </c>
      <c r="J37" s="85">
        <f>SUMPRODUCT(($A37=OH!$C$2:$C$62)*(OH!M$2:M$62))</f>
        <v>208.33333333333334</v>
      </c>
      <c r="K37" s="85">
        <f>SUMPRODUCT(($A37=OH!$C$2:$C$62)*(OH!N$2:N$62))</f>
        <v>208.33333333333334</v>
      </c>
      <c r="L37" s="85">
        <f>SUMPRODUCT(($A37=OH!$C$2:$C$62)*(OH!O$2:O$62))</f>
        <v>208.33333333333334</v>
      </c>
      <c r="M37" s="85">
        <f>SUMPRODUCT(($A37=OH!$C$2:$C$62)*(OH!P$2:P$62))</f>
        <v>208.33333333333334</v>
      </c>
      <c r="N37" s="121">
        <f t="shared" si="1"/>
        <v>2500</v>
      </c>
    </row>
    <row r="38" spans="1:14">
      <c r="A38" s="1" t="s">
        <v>25</v>
      </c>
      <c r="B38" s="85">
        <f>SUMPRODUCT(($A38=OH!$C$2:$C$62)*(OH!E$2:E$62))</f>
        <v>7000</v>
      </c>
      <c r="C38" s="85">
        <f>SUMPRODUCT(($A38=OH!$C$2:$C$62)*(OH!F$2:F$62))</f>
        <v>7000</v>
      </c>
      <c r="D38" s="85">
        <f>SUMPRODUCT(($A38=OH!$C$2:$C$62)*(OH!G$2:G$62))</f>
        <v>7000</v>
      </c>
      <c r="E38" s="85">
        <f>SUMPRODUCT(($A38=OH!$C$2:$C$62)*(OH!H$2:H$62))</f>
        <v>7000</v>
      </c>
      <c r="F38" s="85">
        <f>SUMPRODUCT(($A38=OH!$C$2:$C$62)*(OH!I$2:I$62))</f>
        <v>7000</v>
      </c>
      <c r="G38" s="85">
        <f>SUMPRODUCT(($A38=OH!$C$2:$C$62)*(OH!J$2:J$62))</f>
        <v>7000</v>
      </c>
      <c r="H38" s="85">
        <f>SUMPRODUCT(($A38=OH!$C$2:$C$62)*(OH!K$2:K$62))</f>
        <v>7000</v>
      </c>
      <c r="I38" s="85">
        <f>SUMPRODUCT(($A38=OH!$C$2:$C$62)*(OH!L$2:L$62))</f>
        <v>7000</v>
      </c>
      <c r="J38" s="85">
        <f>SUMPRODUCT(($A38=OH!$C$2:$C$62)*(OH!M$2:M$62))</f>
        <v>7000</v>
      </c>
      <c r="K38" s="85">
        <f>SUMPRODUCT(($A38=OH!$C$2:$C$62)*(OH!N$2:N$62))</f>
        <v>7000</v>
      </c>
      <c r="L38" s="85">
        <f>SUMPRODUCT(($A38=OH!$C$2:$C$62)*(OH!O$2:O$62))</f>
        <v>7000</v>
      </c>
      <c r="M38" s="85">
        <f>SUMPRODUCT(($A38=OH!$C$2:$C$62)*(OH!P$2:P$62))</f>
        <v>7000</v>
      </c>
      <c r="N38" s="121">
        <f t="shared" si="1"/>
        <v>84000</v>
      </c>
    </row>
    <row r="39" spans="1:14">
      <c r="A39" s="1" t="s">
        <v>458</v>
      </c>
      <c r="B39" s="85">
        <f>SUMPRODUCT(($A39=OH!$C$2:$C$62)*(OH!E$2:E$62))</f>
        <v>41.666666666666664</v>
      </c>
      <c r="C39" s="85">
        <f>SUMPRODUCT(($A39=OH!$C$2:$C$62)*(OH!F$2:F$62))</f>
        <v>41.666666666666664</v>
      </c>
      <c r="D39" s="85">
        <f>SUMPRODUCT(($A39=OH!$C$2:$C$62)*(OH!G$2:G$62))</f>
        <v>41.666666666666664</v>
      </c>
      <c r="E39" s="85">
        <f>SUMPRODUCT(($A39=OH!$C$2:$C$62)*(OH!H$2:H$62))</f>
        <v>41.666666666666664</v>
      </c>
      <c r="F39" s="85">
        <f>SUMPRODUCT(($A39=OH!$C$2:$C$62)*(OH!I$2:I$62))</f>
        <v>41.666666666666664</v>
      </c>
      <c r="G39" s="85">
        <f>SUMPRODUCT(($A39=OH!$C$2:$C$62)*(OH!J$2:J$62))</f>
        <v>41.666666666666664</v>
      </c>
      <c r="H39" s="85">
        <f>SUMPRODUCT(($A39=OH!$C$2:$C$62)*(OH!K$2:K$62))</f>
        <v>41.666666666666664</v>
      </c>
      <c r="I39" s="85">
        <f>SUMPRODUCT(($A39=OH!$C$2:$C$62)*(OH!L$2:L$62))</f>
        <v>41.666666666666664</v>
      </c>
      <c r="J39" s="85">
        <f>SUMPRODUCT(($A39=OH!$C$2:$C$62)*(OH!M$2:M$62))</f>
        <v>41.666666666666664</v>
      </c>
      <c r="K39" s="85">
        <f>SUMPRODUCT(($A39=OH!$C$2:$C$62)*(OH!N$2:N$62))</f>
        <v>41.666666666666664</v>
      </c>
      <c r="L39" s="85">
        <f>SUMPRODUCT(($A39=OH!$C$2:$C$62)*(OH!O$2:O$62))</f>
        <v>41.666666666666664</v>
      </c>
      <c r="M39" s="85">
        <f>SUMPRODUCT(($A39=OH!$C$2:$C$62)*(OH!P$2:P$62))</f>
        <v>41.666666666666664</v>
      </c>
      <c r="N39" s="121">
        <f t="shared" si="1"/>
        <v>500.00000000000006</v>
      </c>
    </row>
    <row r="40" spans="1:14">
      <c r="A40" s="1" t="s">
        <v>459</v>
      </c>
      <c r="B40" s="85">
        <f>SUMPRODUCT(($A40=OH!$C$2:$C$62)*(OH!E$2:E$62))</f>
        <v>208.33333333333334</v>
      </c>
      <c r="C40" s="85">
        <f>SUMPRODUCT(($A40=OH!$C$2:$C$62)*(OH!F$2:F$62))</f>
        <v>208.33333333333334</v>
      </c>
      <c r="D40" s="85">
        <f>SUMPRODUCT(($A40=OH!$C$2:$C$62)*(OH!G$2:G$62))</f>
        <v>208.33333333333334</v>
      </c>
      <c r="E40" s="85">
        <f>SUMPRODUCT(($A40=OH!$C$2:$C$62)*(OH!H$2:H$62))</f>
        <v>208.33333333333334</v>
      </c>
      <c r="F40" s="85">
        <f>SUMPRODUCT(($A40=OH!$C$2:$C$62)*(OH!I$2:I$62))</f>
        <v>208.33333333333334</v>
      </c>
      <c r="G40" s="85">
        <f>SUMPRODUCT(($A40=OH!$C$2:$C$62)*(OH!J$2:J$62))</f>
        <v>208.33333333333334</v>
      </c>
      <c r="H40" s="85">
        <f>SUMPRODUCT(($A40=OH!$C$2:$C$62)*(OH!K$2:K$62))</f>
        <v>208.33333333333334</v>
      </c>
      <c r="I40" s="85">
        <f>SUMPRODUCT(($A40=OH!$C$2:$C$62)*(OH!L$2:L$62))</f>
        <v>208.33333333333334</v>
      </c>
      <c r="J40" s="85">
        <f>SUMPRODUCT(($A40=OH!$C$2:$C$62)*(OH!M$2:M$62))</f>
        <v>208.33333333333334</v>
      </c>
      <c r="K40" s="85">
        <f>SUMPRODUCT(($A40=OH!$C$2:$C$62)*(OH!N$2:N$62))</f>
        <v>208.33333333333334</v>
      </c>
      <c r="L40" s="85">
        <f>SUMPRODUCT(($A40=OH!$C$2:$C$62)*(OH!O$2:O$62))</f>
        <v>208.33333333333334</v>
      </c>
      <c r="M40" s="85">
        <f>SUMPRODUCT(($A40=OH!$C$2:$C$62)*(OH!P$2:P$62))</f>
        <v>208.33333333333334</v>
      </c>
      <c r="N40" s="121">
        <f t="shared" si="1"/>
        <v>2500</v>
      </c>
    </row>
    <row r="41" spans="1:14">
      <c r="A41" s="1" t="s">
        <v>488</v>
      </c>
      <c r="B41" s="85">
        <f>SUMPRODUCT(($A41=OH!$C$2:$C$62)*(OH!E$2:E$62))</f>
        <v>625</v>
      </c>
      <c r="C41" s="85">
        <f>SUMPRODUCT(($A41=OH!$C$2:$C$62)*(OH!F$2:F$62))</f>
        <v>625</v>
      </c>
      <c r="D41" s="85">
        <f>SUMPRODUCT(($A41=OH!$C$2:$C$62)*(OH!G$2:G$62))</f>
        <v>625</v>
      </c>
      <c r="E41" s="85">
        <f>SUMPRODUCT(($A41=OH!$C$2:$C$62)*(OH!H$2:H$62))</f>
        <v>625</v>
      </c>
      <c r="F41" s="85">
        <f>SUMPRODUCT(($A41=OH!$C$2:$C$62)*(OH!I$2:I$62))</f>
        <v>625</v>
      </c>
      <c r="G41" s="85">
        <f>SUMPRODUCT(($A41=OH!$C$2:$C$62)*(OH!J$2:J$62))</f>
        <v>625</v>
      </c>
      <c r="H41" s="85">
        <f>SUMPRODUCT(($A41=OH!$C$2:$C$62)*(OH!K$2:K$62))</f>
        <v>625</v>
      </c>
      <c r="I41" s="85">
        <f>SUMPRODUCT(($A41=OH!$C$2:$C$62)*(OH!L$2:L$62))</f>
        <v>625</v>
      </c>
      <c r="J41" s="85">
        <f>SUMPRODUCT(($A41=OH!$C$2:$C$62)*(OH!M$2:M$62))</f>
        <v>625</v>
      </c>
      <c r="K41" s="85">
        <f>SUMPRODUCT(($A41=OH!$C$2:$C$62)*(OH!N$2:N$62))</f>
        <v>625</v>
      </c>
      <c r="L41" s="85">
        <f>SUMPRODUCT(($A41=OH!$C$2:$C$62)*(OH!O$2:O$62))</f>
        <v>625</v>
      </c>
      <c r="M41" s="85">
        <f>SUMPRODUCT(($A41=OH!$C$2:$C$62)*(OH!P$2:P$62))</f>
        <v>625</v>
      </c>
      <c r="N41" s="121">
        <f t="shared" si="1"/>
        <v>7500</v>
      </c>
    </row>
    <row r="42" spans="1:14">
      <c r="A42" s="1" t="s">
        <v>450</v>
      </c>
      <c r="B42" s="85">
        <f>SUMPRODUCT(($A42=OH!$C$2:$C$62)*(OH!E$2:E$62))</f>
        <v>7500</v>
      </c>
      <c r="C42" s="85">
        <f>SUMPRODUCT(($A42=OH!$C$2:$C$62)*(OH!F$2:F$62))</f>
        <v>0</v>
      </c>
      <c r="D42" s="85">
        <f>SUMPRODUCT(($A42=OH!$C$2:$C$62)*(OH!G$2:G$62))</f>
        <v>0</v>
      </c>
      <c r="E42" s="85">
        <f>SUMPRODUCT(($A42=OH!$C$2:$C$62)*(OH!H$2:H$62))</f>
        <v>0</v>
      </c>
      <c r="F42" s="85">
        <f>SUMPRODUCT(($A42=OH!$C$2:$C$62)*(OH!I$2:I$62))</f>
        <v>0</v>
      </c>
      <c r="G42" s="85">
        <f>SUMPRODUCT(($A42=OH!$C$2:$C$62)*(OH!J$2:J$62))</f>
        <v>0</v>
      </c>
      <c r="H42" s="85">
        <f>SUMPRODUCT(($A42=OH!$C$2:$C$62)*(OH!K$2:K$62))</f>
        <v>0</v>
      </c>
      <c r="I42" s="85">
        <f>SUMPRODUCT(($A42=OH!$C$2:$C$62)*(OH!L$2:L$62))</f>
        <v>0</v>
      </c>
      <c r="J42" s="85">
        <f>SUMPRODUCT(($A42=OH!$C$2:$C$62)*(OH!M$2:M$62))</f>
        <v>0</v>
      </c>
      <c r="K42" s="85">
        <f>SUMPRODUCT(($A42=OH!$C$2:$C$62)*(OH!N$2:N$62))</f>
        <v>0</v>
      </c>
      <c r="L42" s="85">
        <f>SUMPRODUCT(($A42=OH!$C$2:$C$62)*(OH!O$2:O$62))</f>
        <v>0</v>
      </c>
      <c r="M42" s="85">
        <f>SUMPRODUCT(($A42=OH!$C$2:$C$62)*(OH!P$2:P$62))</f>
        <v>0</v>
      </c>
      <c r="N42" s="121">
        <f t="shared" si="1"/>
        <v>7500</v>
      </c>
    </row>
    <row r="43" spans="1:14">
      <c r="A43" s="1" t="s">
        <v>473</v>
      </c>
      <c r="B43" s="85">
        <f>SUMPRODUCT(($A43=OH!$C$2:$C$62)*(OH!E$2:E$62))</f>
        <v>416.66666666666669</v>
      </c>
      <c r="C43" s="85">
        <f>SUMPRODUCT(($A43=OH!$C$2:$C$62)*(OH!F$2:F$62))</f>
        <v>416.66666666666669</v>
      </c>
      <c r="D43" s="85">
        <f>SUMPRODUCT(($A43=OH!$C$2:$C$62)*(OH!G$2:G$62))</f>
        <v>416.66666666666669</v>
      </c>
      <c r="E43" s="85">
        <f>SUMPRODUCT(($A43=OH!$C$2:$C$62)*(OH!H$2:H$62))</f>
        <v>416.66666666666669</v>
      </c>
      <c r="F43" s="85">
        <f>SUMPRODUCT(($A43=OH!$C$2:$C$62)*(OH!I$2:I$62))</f>
        <v>416.66666666666669</v>
      </c>
      <c r="G43" s="85">
        <f>SUMPRODUCT(($A43=OH!$C$2:$C$62)*(OH!J$2:J$62))</f>
        <v>416.66666666666669</v>
      </c>
      <c r="H43" s="85">
        <f>SUMPRODUCT(($A43=OH!$C$2:$C$62)*(OH!K$2:K$62))</f>
        <v>416.66666666666669</v>
      </c>
      <c r="I43" s="85">
        <f>SUMPRODUCT(($A43=OH!$C$2:$C$62)*(OH!L$2:L$62))</f>
        <v>416.66666666666669</v>
      </c>
      <c r="J43" s="85">
        <f>SUMPRODUCT(($A43=OH!$C$2:$C$62)*(OH!M$2:M$62))</f>
        <v>416.66666666666669</v>
      </c>
      <c r="K43" s="85">
        <f>SUMPRODUCT(($A43=OH!$C$2:$C$62)*(OH!N$2:N$62))</f>
        <v>416.66666666666669</v>
      </c>
      <c r="L43" s="85">
        <f>SUMPRODUCT(($A43=OH!$C$2:$C$62)*(OH!O$2:O$62))</f>
        <v>416.66666666666669</v>
      </c>
      <c r="M43" s="85">
        <f>SUMPRODUCT(($A43=OH!$C$2:$C$62)*(OH!P$2:P$62))</f>
        <v>416.66666666666669</v>
      </c>
      <c r="N43" s="121">
        <f t="shared" si="1"/>
        <v>5000</v>
      </c>
    </row>
    <row r="44" spans="1:14">
      <c r="A44" s="1" t="s">
        <v>449</v>
      </c>
      <c r="B44" s="85">
        <f>SUMPRODUCT(($A44=OH!$C$2:$C$62)*(OH!E$2:E$62))</f>
        <v>0</v>
      </c>
      <c r="C44" s="85">
        <f>SUMPRODUCT(($A44=OH!$C$2:$C$62)*(OH!F$2:F$62))</f>
        <v>0</v>
      </c>
      <c r="D44" s="85">
        <f>SUMPRODUCT(($A44=OH!$C$2:$C$62)*(OH!G$2:G$62))</f>
        <v>0</v>
      </c>
      <c r="E44" s="85">
        <f>SUMPRODUCT(($A44=OH!$C$2:$C$62)*(OH!H$2:H$62))</f>
        <v>0</v>
      </c>
      <c r="F44" s="85">
        <f>SUMPRODUCT(($A44=OH!$C$2:$C$62)*(OH!I$2:I$62))</f>
        <v>0</v>
      </c>
      <c r="G44" s="85">
        <f>SUMPRODUCT(($A44=OH!$C$2:$C$62)*(OH!J$2:J$62))</f>
        <v>0</v>
      </c>
      <c r="H44" s="85">
        <f>SUMPRODUCT(($A44=OH!$C$2:$C$62)*(OH!K$2:K$62))</f>
        <v>0</v>
      </c>
      <c r="I44" s="85">
        <f>SUMPRODUCT(($A44=OH!$C$2:$C$62)*(OH!L$2:L$62))</f>
        <v>0</v>
      </c>
      <c r="J44" s="85">
        <f>SUMPRODUCT(($A44=OH!$C$2:$C$62)*(OH!M$2:M$62))</f>
        <v>0</v>
      </c>
      <c r="K44" s="85">
        <f>SUMPRODUCT(($A44=OH!$C$2:$C$62)*(OH!N$2:N$62))</f>
        <v>0</v>
      </c>
      <c r="L44" s="85">
        <f>SUMPRODUCT(($A44=OH!$C$2:$C$62)*(OH!O$2:O$62))</f>
        <v>0</v>
      </c>
      <c r="M44" s="85">
        <f>SUMPRODUCT(($A44=OH!$C$2:$C$62)*(OH!P$2:P$62))</f>
        <v>0</v>
      </c>
      <c r="N44" s="121">
        <f t="shared" si="1"/>
        <v>0</v>
      </c>
    </row>
    <row r="45" spans="1:14">
      <c r="A45" s="1" t="s">
        <v>29</v>
      </c>
      <c r="B45" s="85">
        <f>SUMPRODUCT(($A45=OH!$C$2:$C$62)*(OH!E$2:E$62))</f>
        <v>1250</v>
      </c>
      <c r="C45" s="85">
        <f>SUMPRODUCT(($A45=OH!$C$2:$C$62)*(OH!F$2:F$62))</f>
        <v>0</v>
      </c>
      <c r="D45" s="85">
        <f>SUMPRODUCT(($A45=OH!$C$2:$C$62)*(OH!G$2:G$62))</f>
        <v>0</v>
      </c>
      <c r="E45" s="85">
        <f>SUMPRODUCT(($A45=OH!$C$2:$C$62)*(OH!H$2:H$62))</f>
        <v>1250</v>
      </c>
      <c r="F45" s="85">
        <f>SUMPRODUCT(($A45=OH!$C$2:$C$62)*(OH!I$2:I$62))</f>
        <v>0</v>
      </c>
      <c r="G45" s="85">
        <f>SUMPRODUCT(($A45=OH!$C$2:$C$62)*(OH!J$2:J$62))</f>
        <v>0</v>
      </c>
      <c r="H45" s="85">
        <f>SUMPRODUCT(($A45=OH!$C$2:$C$62)*(OH!K$2:K$62))</f>
        <v>1250</v>
      </c>
      <c r="I45" s="85">
        <f>SUMPRODUCT(($A45=OH!$C$2:$C$62)*(OH!L$2:L$62))</f>
        <v>0</v>
      </c>
      <c r="J45" s="85">
        <f>SUMPRODUCT(($A45=OH!$C$2:$C$62)*(OH!M$2:M$62))</f>
        <v>0</v>
      </c>
      <c r="K45" s="85">
        <f>SUMPRODUCT(($A45=OH!$C$2:$C$62)*(OH!N$2:N$62))</f>
        <v>1250</v>
      </c>
      <c r="L45" s="85">
        <f>SUMPRODUCT(($A45=OH!$C$2:$C$62)*(OH!O$2:O$62))</f>
        <v>0</v>
      </c>
      <c r="M45" s="85">
        <f>SUMPRODUCT(($A45=OH!$C$2:$C$62)*(OH!P$2:P$62))</f>
        <v>0</v>
      </c>
      <c r="N45" s="121">
        <f t="shared" si="1"/>
        <v>5000</v>
      </c>
    </row>
    <row r="46" spans="1:14">
      <c r="A46" s="1" t="s">
        <v>489</v>
      </c>
      <c r="B46" s="85">
        <f>SUMPRODUCT(($A46=OH!$C$2:$C$62)*(OH!E$2:E$62))</f>
        <v>833.33333333333337</v>
      </c>
      <c r="C46" s="85">
        <f>SUMPRODUCT(($A46=OH!$C$2:$C$62)*(OH!F$2:F$62))</f>
        <v>833.33333333333337</v>
      </c>
      <c r="D46" s="85">
        <f>SUMPRODUCT(($A46=OH!$C$2:$C$62)*(OH!G$2:G$62))</f>
        <v>833.33333333333337</v>
      </c>
      <c r="E46" s="85">
        <f>SUMPRODUCT(($A46=OH!$C$2:$C$62)*(OH!H$2:H$62))</f>
        <v>833.33333333333337</v>
      </c>
      <c r="F46" s="85">
        <f>SUMPRODUCT(($A46=OH!$C$2:$C$62)*(OH!I$2:I$62))</f>
        <v>833.33333333333337</v>
      </c>
      <c r="G46" s="85">
        <f>SUMPRODUCT(($A46=OH!$C$2:$C$62)*(OH!J$2:J$62))</f>
        <v>833.33333333333337</v>
      </c>
      <c r="H46" s="85">
        <f>SUMPRODUCT(($A46=OH!$C$2:$C$62)*(OH!K$2:K$62))</f>
        <v>833.33333333333337</v>
      </c>
      <c r="I46" s="85">
        <f>SUMPRODUCT(($A46=OH!$C$2:$C$62)*(OH!L$2:L$62))</f>
        <v>833.33333333333337</v>
      </c>
      <c r="J46" s="85">
        <f>SUMPRODUCT(($A46=OH!$C$2:$C$62)*(OH!M$2:M$62))</f>
        <v>833.33333333333337</v>
      </c>
      <c r="K46" s="85">
        <f>SUMPRODUCT(($A46=OH!$C$2:$C$62)*(OH!N$2:N$62))</f>
        <v>833.33333333333337</v>
      </c>
      <c r="L46" s="85">
        <f>SUMPRODUCT(($A46=OH!$C$2:$C$62)*(OH!O$2:O$62))</f>
        <v>833.33333333333337</v>
      </c>
      <c r="M46" s="85">
        <f>SUMPRODUCT(($A46=OH!$C$2:$C$62)*(OH!P$2:P$62))</f>
        <v>833.33333333333337</v>
      </c>
      <c r="N46" s="121">
        <f t="shared" si="1"/>
        <v>10000</v>
      </c>
    </row>
    <row r="47" spans="1:14">
      <c r="A47" s="1" t="s">
        <v>479</v>
      </c>
      <c r="B47" s="85">
        <f>SUMPRODUCT(($A47=OH!$C$2:$C$62)*(OH!E$2:E$62))</f>
        <v>541.66666666666663</v>
      </c>
      <c r="C47" s="85">
        <f>SUMPRODUCT(($A47=OH!$C$2:$C$62)*(OH!F$2:F$62))</f>
        <v>541.66666666666663</v>
      </c>
      <c r="D47" s="85">
        <f>SUMPRODUCT(($A47=OH!$C$2:$C$62)*(OH!G$2:G$62))</f>
        <v>541.66666666666663</v>
      </c>
      <c r="E47" s="85">
        <f>SUMPRODUCT(($A47=OH!$C$2:$C$62)*(OH!H$2:H$62))</f>
        <v>541.66666666666663</v>
      </c>
      <c r="F47" s="85">
        <f>SUMPRODUCT(($A47=OH!$C$2:$C$62)*(OH!I$2:I$62))</f>
        <v>541.66666666666663</v>
      </c>
      <c r="G47" s="85">
        <f>SUMPRODUCT(($A47=OH!$C$2:$C$62)*(OH!J$2:J$62))</f>
        <v>541.66666666666663</v>
      </c>
      <c r="H47" s="85">
        <f>SUMPRODUCT(($A47=OH!$C$2:$C$62)*(OH!K$2:K$62))</f>
        <v>541.66666666666663</v>
      </c>
      <c r="I47" s="85">
        <f>SUMPRODUCT(($A47=OH!$C$2:$C$62)*(OH!L$2:L$62))</f>
        <v>541.66666666666663</v>
      </c>
      <c r="J47" s="85">
        <f>SUMPRODUCT(($A47=OH!$C$2:$C$62)*(OH!M$2:M$62))</f>
        <v>541.66666666666663</v>
      </c>
      <c r="K47" s="85">
        <f>SUMPRODUCT(($A47=OH!$C$2:$C$62)*(OH!N$2:N$62))</f>
        <v>541.66666666666663</v>
      </c>
      <c r="L47" s="85">
        <f>SUMPRODUCT(($A47=OH!$C$2:$C$62)*(OH!O$2:O$62))</f>
        <v>541.66666666666663</v>
      </c>
      <c r="M47" s="85">
        <f>SUMPRODUCT(($A47=OH!$C$2:$C$62)*(OH!P$2:P$62))</f>
        <v>541.66666666666663</v>
      </c>
      <c r="N47" s="121">
        <f t="shared" si="1"/>
        <v>6500.0000000000009</v>
      </c>
    </row>
    <row r="48" spans="1:14">
      <c r="A48" s="1" t="s">
        <v>474</v>
      </c>
      <c r="B48" s="85">
        <f>SUMPRODUCT(($A48=OH!$C$2:$C$62)*(OH!E$2:E$62))</f>
        <v>4166.666666666667</v>
      </c>
      <c r="C48" s="85">
        <f>SUMPRODUCT(($A48=OH!$C$2:$C$62)*(OH!F$2:F$62))</f>
        <v>4166.666666666667</v>
      </c>
      <c r="D48" s="85">
        <f>SUMPRODUCT(($A48=OH!$C$2:$C$62)*(OH!G$2:G$62))</f>
        <v>4166.666666666667</v>
      </c>
      <c r="E48" s="85">
        <f>SUMPRODUCT(($A48=OH!$C$2:$C$62)*(OH!H$2:H$62))</f>
        <v>4166.666666666667</v>
      </c>
      <c r="F48" s="85">
        <f>SUMPRODUCT(($A48=OH!$C$2:$C$62)*(OH!I$2:I$62))</f>
        <v>4166.666666666667</v>
      </c>
      <c r="G48" s="85">
        <f>SUMPRODUCT(($A48=OH!$C$2:$C$62)*(OH!J$2:J$62))</f>
        <v>4166.666666666667</v>
      </c>
      <c r="H48" s="85">
        <f>SUMPRODUCT(($A48=OH!$C$2:$C$62)*(OH!K$2:K$62))</f>
        <v>4166.666666666667</v>
      </c>
      <c r="I48" s="85">
        <f>SUMPRODUCT(($A48=OH!$C$2:$C$62)*(OH!L$2:L$62))</f>
        <v>4166.666666666667</v>
      </c>
      <c r="J48" s="85">
        <f>SUMPRODUCT(($A48=OH!$C$2:$C$62)*(OH!M$2:M$62))</f>
        <v>4166.666666666667</v>
      </c>
      <c r="K48" s="85">
        <f>SUMPRODUCT(($A48=OH!$C$2:$C$62)*(OH!N$2:N$62))</f>
        <v>4166.666666666667</v>
      </c>
      <c r="L48" s="85">
        <f>SUMPRODUCT(($A48=OH!$C$2:$C$62)*(OH!O$2:O$62))</f>
        <v>4166.666666666667</v>
      </c>
      <c r="M48" s="85">
        <f>SUMPRODUCT(($A48=OH!$C$2:$C$62)*(OH!P$2:P$62))</f>
        <v>4166.666666666667</v>
      </c>
      <c r="N48" s="121">
        <f t="shared" si="1"/>
        <v>49999.999999999993</v>
      </c>
    </row>
    <row r="49" spans="1:14">
      <c r="A49" s="1" t="s">
        <v>490</v>
      </c>
      <c r="B49" s="85">
        <f>SUMPRODUCT(($A49=OH!$C$2:$C$62)*(OH!E$2:E$62))</f>
        <v>416.66666666666669</v>
      </c>
      <c r="C49" s="85">
        <f>SUMPRODUCT(($A49=OH!$C$2:$C$62)*(OH!F$2:F$62))</f>
        <v>416.66666666666669</v>
      </c>
      <c r="D49" s="85">
        <f>SUMPRODUCT(($A49=OH!$C$2:$C$62)*(OH!G$2:G$62))</f>
        <v>416.66666666666669</v>
      </c>
      <c r="E49" s="85">
        <f>SUMPRODUCT(($A49=OH!$C$2:$C$62)*(OH!H$2:H$62))</f>
        <v>416.66666666666669</v>
      </c>
      <c r="F49" s="85">
        <f>SUMPRODUCT(($A49=OH!$C$2:$C$62)*(OH!I$2:I$62))</f>
        <v>416.66666666666669</v>
      </c>
      <c r="G49" s="85">
        <f>SUMPRODUCT(($A49=OH!$C$2:$C$62)*(OH!J$2:J$62))</f>
        <v>416.66666666666669</v>
      </c>
      <c r="H49" s="85">
        <f>SUMPRODUCT(($A49=OH!$C$2:$C$62)*(OH!K$2:K$62))</f>
        <v>416.66666666666669</v>
      </c>
      <c r="I49" s="85">
        <f>SUMPRODUCT(($A49=OH!$C$2:$C$62)*(OH!L$2:L$62))</f>
        <v>416.66666666666669</v>
      </c>
      <c r="J49" s="85">
        <f>SUMPRODUCT(($A49=OH!$C$2:$C$62)*(OH!M$2:M$62))</f>
        <v>416.66666666666669</v>
      </c>
      <c r="K49" s="85">
        <f>SUMPRODUCT(($A49=OH!$C$2:$C$62)*(OH!N$2:N$62))</f>
        <v>416.66666666666669</v>
      </c>
      <c r="L49" s="85">
        <f>SUMPRODUCT(($A49=OH!$C$2:$C$62)*(OH!O$2:O$62))</f>
        <v>416.66666666666669</v>
      </c>
      <c r="M49" s="85">
        <f>SUMPRODUCT(($A49=OH!$C$2:$C$62)*(OH!P$2:P$62))</f>
        <v>416.66666666666669</v>
      </c>
      <c r="N49" s="121">
        <f t="shared" si="1"/>
        <v>5000</v>
      </c>
    </row>
    <row r="50" spans="1:14">
      <c r="A50" s="1" t="s">
        <v>475</v>
      </c>
      <c r="B50" s="85">
        <f>SUMPRODUCT(($A50=OH!$C$2:$C$62)*(OH!E$2:E$62))</f>
        <v>1041.6666666666667</v>
      </c>
      <c r="C50" s="85">
        <f>SUMPRODUCT(($A50=OH!$C$2:$C$62)*(OH!F$2:F$62))</f>
        <v>1041.6666666666667</v>
      </c>
      <c r="D50" s="85">
        <f>SUMPRODUCT(($A50=OH!$C$2:$C$62)*(OH!G$2:G$62))</f>
        <v>1041.6666666666667</v>
      </c>
      <c r="E50" s="85">
        <f>SUMPRODUCT(($A50=OH!$C$2:$C$62)*(OH!H$2:H$62))</f>
        <v>1041.6666666666667</v>
      </c>
      <c r="F50" s="85">
        <f>SUMPRODUCT(($A50=OH!$C$2:$C$62)*(OH!I$2:I$62))</f>
        <v>1041.6666666666667</v>
      </c>
      <c r="G50" s="85">
        <f>SUMPRODUCT(($A50=OH!$C$2:$C$62)*(OH!J$2:J$62))</f>
        <v>1041.6666666666667</v>
      </c>
      <c r="H50" s="85">
        <f>SUMPRODUCT(($A50=OH!$C$2:$C$62)*(OH!K$2:K$62))</f>
        <v>1041.6666666666667</v>
      </c>
      <c r="I50" s="85">
        <f>SUMPRODUCT(($A50=OH!$C$2:$C$62)*(OH!L$2:L$62))</f>
        <v>1041.6666666666667</v>
      </c>
      <c r="J50" s="85">
        <f>SUMPRODUCT(($A50=OH!$C$2:$C$62)*(OH!M$2:M$62))</f>
        <v>1041.6666666666667</v>
      </c>
      <c r="K50" s="85">
        <f>SUMPRODUCT(($A50=OH!$C$2:$C$62)*(OH!N$2:N$62))</f>
        <v>1041.6666666666667</v>
      </c>
      <c r="L50" s="85">
        <f>SUMPRODUCT(($A50=OH!$C$2:$C$62)*(OH!O$2:O$62))</f>
        <v>1041.6666666666667</v>
      </c>
      <c r="M50" s="85">
        <f>SUMPRODUCT(($A50=OH!$C$2:$C$62)*(OH!P$2:P$62))</f>
        <v>1041.6666666666667</v>
      </c>
      <c r="N50" s="121">
        <f t="shared" si="1"/>
        <v>12499.999999999998</v>
      </c>
    </row>
    <row r="51" spans="1:14">
      <c r="A51" s="1" t="s">
        <v>461</v>
      </c>
      <c r="B51" s="85">
        <f>SUMPRODUCT(($A51=OH!$C$2:$C$62)*(OH!E$2:E$62))</f>
        <v>833.33333333333337</v>
      </c>
      <c r="C51" s="85">
        <f>SUMPRODUCT(($A51=OH!$C$2:$C$62)*(OH!F$2:F$62))</f>
        <v>833.33333333333337</v>
      </c>
      <c r="D51" s="85">
        <f>SUMPRODUCT(($A51=OH!$C$2:$C$62)*(OH!G$2:G$62))</f>
        <v>833.33333333333337</v>
      </c>
      <c r="E51" s="85">
        <f>SUMPRODUCT(($A51=OH!$C$2:$C$62)*(OH!H$2:H$62))</f>
        <v>833.33333333333337</v>
      </c>
      <c r="F51" s="85">
        <f>SUMPRODUCT(($A51=OH!$C$2:$C$62)*(OH!I$2:I$62))</f>
        <v>833.33333333333337</v>
      </c>
      <c r="G51" s="85">
        <f>SUMPRODUCT(($A51=OH!$C$2:$C$62)*(OH!J$2:J$62))</f>
        <v>833.33333333333337</v>
      </c>
      <c r="H51" s="85">
        <f>SUMPRODUCT(($A51=OH!$C$2:$C$62)*(OH!K$2:K$62))</f>
        <v>833.33333333333337</v>
      </c>
      <c r="I51" s="85">
        <f>SUMPRODUCT(($A51=OH!$C$2:$C$62)*(OH!L$2:L$62))</f>
        <v>833.33333333333337</v>
      </c>
      <c r="J51" s="85">
        <f>SUMPRODUCT(($A51=OH!$C$2:$C$62)*(OH!M$2:M$62))</f>
        <v>833.33333333333337</v>
      </c>
      <c r="K51" s="85">
        <f>SUMPRODUCT(($A51=OH!$C$2:$C$62)*(OH!N$2:N$62))</f>
        <v>833.33333333333337</v>
      </c>
      <c r="L51" s="85">
        <f>SUMPRODUCT(($A51=OH!$C$2:$C$62)*(OH!O$2:O$62))</f>
        <v>833.33333333333337</v>
      </c>
      <c r="M51" s="85">
        <f>SUMPRODUCT(($A51=OH!$C$2:$C$62)*(OH!P$2:P$62))</f>
        <v>833.33333333333337</v>
      </c>
      <c r="N51" s="121">
        <f t="shared" si="1"/>
        <v>10000</v>
      </c>
    </row>
    <row r="52" spans="1:14">
      <c r="A52" s="1" t="s">
        <v>462</v>
      </c>
      <c r="B52" s="85">
        <f>SUMPRODUCT(($A52=OH!$C$2:$C$62)*(OH!E$2:E$62))</f>
        <v>416.66666666666669</v>
      </c>
      <c r="C52" s="85">
        <f>SUMPRODUCT(($A52=OH!$C$2:$C$62)*(OH!F$2:F$62))</f>
        <v>416.66666666666669</v>
      </c>
      <c r="D52" s="85">
        <f>SUMPRODUCT(($A52=OH!$C$2:$C$62)*(OH!G$2:G$62))</f>
        <v>416.66666666666669</v>
      </c>
      <c r="E52" s="85">
        <f>SUMPRODUCT(($A52=OH!$C$2:$C$62)*(OH!H$2:H$62))</f>
        <v>416.66666666666669</v>
      </c>
      <c r="F52" s="85">
        <f>SUMPRODUCT(($A52=OH!$C$2:$C$62)*(OH!I$2:I$62))</f>
        <v>416.66666666666669</v>
      </c>
      <c r="G52" s="85">
        <f>SUMPRODUCT(($A52=OH!$C$2:$C$62)*(OH!J$2:J$62))</f>
        <v>416.66666666666669</v>
      </c>
      <c r="H52" s="85">
        <f>SUMPRODUCT(($A52=OH!$C$2:$C$62)*(OH!K$2:K$62))</f>
        <v>416.66666666666669</v>
      </c>
      <c r="I52" s="85">
        <f>SUMPRODUCT(($A52=OH!$C$2:$C$62)*(OH!L$2:L$62))</f>
        <v>416.66666666666669</v>
      </c>
      <c r="J52" s="85">
        <f>SUMPRODUCT(($A52=OH!$C$2:$C$62)*(OH!M$2:M$62))</f>
        <v>416.66666666666669</v>
      </c>
      <c r="K52" s="85">
        <f>SUMPRODUCT(($A52=OH!$C$2:$C$62)*(OH!N$2:N$62))</f>
        <v>416.66666666666669</v>
      </c>
      <c r="L52" s="85">
        <f>SUMPRODUCT(($A52=OH!$C$2:$C$62)*(OH!O$2:O$62))</f>
        <v>416.66666666666669</v>
      </c>
      <c r="M52" s="85">
        <f>SUMPRODUCT(($A52=OH!$C$2:$C$62)*(OH!P$2:P$62))</f>
        <v>416.66666666666669</v>
      </c>
      <c r="N52" s="121">
        <f t="shared" si="1"/>
        <v>5000</v>
      </c>
    </row>
    <row r="53" spans="1:14">
      <c r="A53" s="1" t="s">
        <v>3</v>
      </c>
      <c r="B53" s="85">
        <f>SUMPRODUCT(($A53=OH!$C$2:$C$62)*(OH!E$2:E$62))</f>
        <v>5000</v>
      </c>
      <c r="C53" s="85">
        <f>SUMPRODUCT(($A53=OH!$C$2:$C$62)*(OH!F$2:F$62))</f>
        <v>0</v>
      </c>
      <c r="D53" s="85">
        <f>SUMPRODUCT(($A53=OH!$C$2:$C$62)*(OH!G$2:G$62))</f>
        <v>0</v>
      </c>
      <c r="E53" s="85">
        <f>SUMPRODUCT(($A53=OH!$C$2:$C$62)*(OH!H$2:H$62))</f>
        <v>0</v>
      </c>
      <c r="F53" s="85">
        <f>SUMPRODUCT(($A53=OH!$C$2:$C$62)*(OH!I$2:I$62))</f>
        <v>0</v>
      </c>
      <c r="G53" s="85">
        <f>SUMPRODUCT(($A53=OH!$C$2:$C$62)*(OH!J$2:J$62))</f>
        <v>0</v>
      </c>
      <c r="H53" s="85">
        <f>SUMPRODUCT(($A53=OH!$C$2:$C$62)*(OH!K$2:K$62))</f>
        <v>5000</v>
      </c>
      <c r="I53" s="85">
        <f>SUMPRODUCT(($A53=OH!$C$2:$C$62)*(OH!L$2:L$62))</f>
        <v>0</v>
      </c>
      <c r="J53" s="85">
        <f>SUMPRODUCT(($A53=OH!$C$2:$C$62)*(OH!M$2:M$62))</f>
        <v>0</v>
      </c>
      <c r="K53" s="85">
        <f>SUMPRODUCT(($A53=OH!$C$2:$C$62)*(OH!N$2:N$62))</f>
        <v>0</v>
      </c>
      <c r="L53" s="85">
        <f>SUMPRODUCT(($A53=OH!$C$2:$C$62)*(OH!O$2:O$62))</f>
        <v>0</v>
      </c>
      <c r="M53" s="85">
        <f>SUMPRODUCT(($A53=OH!$C$2:$C$62)*(OH!P$2:P$62))</f>
        <v>0</v>
      </c>
      <c r="N53" s="121">
        <f t="shared" si="1"/>
        <v>10000</v>
      </c>
    </row>
    <row r="54" spans="1:14">
      <c r="A54" s="1" t="s">
        <v>476</v>
      </c>
      <c r="B54" s="85">
        <f>SUMPRODUCT(($A54=OH!$C$2:$C$62)*(OH!E$2:E$62))</f>
        <v>250</v>
      </c>
      <c r="C54" s="85">
        <f>SUMPRODUCT(($A54=OH!$C$2:$C$62)*(OH!F$2:F$62))</f>
        <v>250</v>
      </c>
      <c r="D54" s="85">
        <f>SUMPRODUCT(($A54=OH!$C$2:$C$62)*(OH!G$2:G$62))</f>
        <v>250</v>
      </c>
      <c r="E54" s="85">
        <f>SUMPRODUCT(($A54=OH!$C$2:$C$62)*(OH!H$2:H$62))</f>
        <v>250</v>
      </c>
      <c r="F54" s="85">
        <f>SUMPRODUCT(($A54=OH!$C$2:$C$62)*(OH!I$2:I$62))</f>
        <v>250</v>
      </c>
      <c r="G54" s="85">
        <f>SUMPRODUCT(($A54=OH!$C$2:$C$62)*(OH!J$2:J$62))</f>
        <v>250</v>
      </c>
      <c r="H54" s="85">
        <f>SUMPRODUCT(($A54=OH!$C$2:$C$62)*(OH!K$2:K$62))</f>
        <v>250</v>
      </c>
      <c r="I54" s="85">
        <f>SUMPRODUCT(($A54=OH!$C$2:$C$62)*(OH!L$2:L$62))</f>
        <v>250</v>
      </c>
      <c r="J54" s="85">
        <f>SUMPRODUCT(($A54=OH!$C$2:$C$62)*(OH!M$2:M$62))</f>
        <v>250</v>
      </c>
      <c r="K54" s="85">
        <f>SUMPRODUCT(($A54=OH!$C$2:$C$62)*(OH!N$2:N$62))</f>
        <v>250</v>
      </c>
      <c r="L54" s="85">
        <f>SUMPRODUCT(($A54=OH!$C$2:$C$62)*(OH!O$2:O$62))</f>
        <v>250</v>
      </c>
      <c r="M54" s="85">
        <f>SUMPRODUCT(($A54=OH!$C$2:$C$62)*(OH!P$2:P$62))</f>
        <v>250</v>
      </c>
      <c r="N54" s="121">
        <f t="shared" si="1"/>
        <v>3000</v>
      </c>
    </row>
    <row r="55" spans="1:14">
      <c r="A55" s="1" t="s">
        <v>66</v>
      </c>
      <c r="B55" s="85">
        <f>SUMPRODUCT(($A55=OH!$C$2:$C$62)*(OH!E$2:E$62))</f>
        <v>46666.666666666664</v>
      </c>
      <c r="C55" s="85">
        <f>SUMPRODUCT(($A55=OH!$C$2:$C$62)*(OH!F$2:F$62))</f>
        <v>46666.666666666664</v>
      </c>
      <c r="D55" s="85">
        <f>SUMPRODUCT(($A55=OH!$C$2:$C$62)*(OH!G$2:G$62))</f>
        <v>46666.666666666664</v>
      </c>
      <c r="E55" s="85">
        <f>SUMPRODUCT(($A55=OH!$C$2:$C$62)*(OH!H$2:H$62))</f>
        <v>46666.666666666664</v>
      </c>
      <c r="F55" s="85">
        <f>SUMPRODUCT(($A55=OH!$C$2:$C$62)*(OH!I$2:I$62))</f>
        <v>46666.666666666664</v>
      </c>
      <c r="G55" s="85">
        <f>SUMPRODUCT(($A55=OH!$C$2:$C$62)*(OH!J$2:J$62))</f>
        <v>46666.666666666664</v>
      </c>
      <c r="H55" s="85">
        <f>SUMPRODUCT(($A55=OH!$C$2:$C$62)*(OH!K$2:K$62))</f>
        <v>46666.666666666664</v>
      </c>
      <c r="I55" s="85">
        <f>SUMPRODUCT(($A55=OH!$C$2:$C$62)*(OH!L$2:L$62))</f>
        <v>46666.666666666664</v>
      </c>
      <c r="J55" s="85">
        <f>SUMPRODUCT(($A55=OH!$C$2:$C$62)*(OH!M$2:M$62))</f>
        <v>46666.666666666664</v>
      </c>
      <c r="K55" s="85">
        <f>SUMPRODUCT(($A55=OH!$C$2:$C$62)*(OH!N$2:N$62))</f>
        <v>46666.666666666664</v>
      </c>
      <c r="L55" s="85">
        <f>SUMPRODUCT(($A55=OH!$C$2:$C$62)*(OH!O$2:O$62))</f>
        <v>46666.666666666664</v>
      </c>
      <c r="M55" s="85">
        <f>SUMPRODUCT(($A55=OH!$C$2:$C$62)*(OH!P$2:P$62))</f>
        <v>46666.666666666664</v>
      </c>
      <c r="N55" s="121">
        <f t="shared" si="1"/>
        <v>560000.00000000012</v>
      </c>
    </row>
    <row r="56" spans="1:14">
      <c r="A56" s="1" t="s">
        <v>447</v>
      </c>
      <c r="B56" s="85">
        <f>SUMPRODUCT(($A56=OH!$C$2:$C$62)*(OH!E$2:E$62))</f>
        <v>416.66666666666669</v>
      </c>
      <c r="C56" s="85">
        <f>SUMPRODUCT(($A56=OH!$C$2:$C$62)*(OH!F$2:F$62))</f>
        <v>416.66666666666669</v>
      </c>
      <c r="D56" s="85">
        <f>SUMPRODUCT(($A56=OH!$C$2:$C$62)*(OH!G$2:G$62))</f>
        <v>416.66666666666669</v>
      </c>
      <c r="E56" s="85">
        <f>SUMPRODUCT(($A56=OH!$C$2:$C$62)*(OH!H$2:H$62))</f>
        <v>416.66666666666669</v>
      </c>
      <c r="F56" s="85">
        <f>SUMPRODUCT(($A56=OH!$C$2:$C$62)*(OH!I$2:I$62))</f>
        <v>416.66666666666669</v>
      </c>
      <c r="G56" s="85">
        <f>SUMPRODUCT(($A56=OH!$C$2:$C$62)*(OH!J$2:J$62))</f>
        <v>416.66666666666669</v>
      </c>
      <c r="H56" s="85">
        <f>SUMPRODUCT(($A56=OH!$C$2:$C$62)*(OH!K$2:K$62))</f>
        <v>416.66666666666669</v>
      </c>
      <c r="I56" s="85">
        <f>SUMPRODUCT(($A56=OH!$C$2:$C$62)*(OH!L$2:L$62))</f>
        <v>416.66666666666669</v>
      </c>
      <c r="J56" s="85">
        <f>SUMPRODUCT(($A56=OH!$C$2:$C$62)*(OH!M$2:M$62))</f>
        <v>416.66666666666669</v>
      </c>
      <c r="K56" s="85">
        <f>SUMPRODUCT(($A56=OH!$C$2:$C$62)*(OH!N$2:N$62))</f>
        <v>416.66666666666669</v>
      </c>
      <c r="L56" s="85">
        <f>SUMPRODUCT(($A56=OH!$C$2:$C$62)*(OH!O$2:O$62))</f>
        <v>416.66666666666669</v>
      </c>
      <c r="M56" s="85">
        <f>SUMPRODUCT(($A56=OH!$C$2:$C$62)*(OH!P$2:P$62))</f>
        <v>416.66666666666669</v>
      </c>
      <c r="N56" s="121">
        <f t="shared" si="1"/>
        <v>5000</v>
      </c>
    </row>
    <row r="57" spans="1:14">
      <c r="A57" s="1" t="s">
        <v>172</v>
      </c>
      <c r="B57" s="121">
        <f t="shared" ref="B57:N57" si="2">SUM(B2:B56)</f>
        <v>134223.93068750002</v>
      </c>
      <c r="C57" s="121">
        <f t="shared" si="2"/>
        <v>86473.930687500004</v>
      </c>
      <c r="D57" s="121">
        <f t="shared" si="2"/>
        <v>86481.792062499997</v>
      </c>
      <c r="E57" s="121">
        <f t="shared" si="2"/>
        <v>115771.79206250001</v>
      </c>
      <c r="F57" s="121">
        <f t="shared" si="2"/>
        <v>94763.584124999979</v>
      </c>
      <c r="G57" s="121">
        <f t="shared" si="2"/>
        <v>93263.584124999979</v>
      </c>
      <c r="H57" s="121">
        <f t="shared" si="2"/>
        <v>127168.58412500004</v>
      </c>
      <c r="I57" s="121">
        <f t="shared" si="2"/>
        <v>95918.584124999979</v>
      </c>
      <c r="J57" s="121">
        <f t="shared" si="2"/>
        <v>93263.584124999979</v>
      </c>
      <c r="K57" s="121">
        <f t="shared" si="2"/>
        <v>120628.58412500004</v>
      </c>
      <c r="L57" s="121">
        <f t="shared" si="2"/>
        <v>83973.930687500004</v>
      </c>
      <c r="M57" s="121">
        <f t="shared" si="2"/>
        <v>92414.65343749999</v>
      </c>
      <c r="N57" s="121">
        <f t="shared" si="2"/>
        <v>1224346.5343750003</v>
      </c>
    </row>
    <row r="58" spans="1:14"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</row>
    <row r="59" spans="1:14">
      <c r="A59" s="91" t="s">
        <v>170</v>
      </c>
      <c r="B59" s="13">
        <f>DATEVALUE(1&amp;"/"&amp;'IP1'!$B$3&amp;"/"&amp;('IP1'!$B$4+1))</f>
        <v>41640</v>
      </c>
      <c r="C59" s="13">
        <f>DATE(YEAR(B59),MONTH(B59)+1,1)</f>
        <v>41671</v>
      </c>
      <c r="D59" s="13">
        <f t="shared" ref="D59:M59" si="3">DATE(YEAR(C59),MONTH(C59)+1,1)</f>
        <v>41699</v>
      </c>
      <c r="E59" s="13">
        <f t="shared" si="3"/>
        <v>41730</v>
      </c>
      <c r="F59" s="13">
        <f t="shared" si="3"/>
        <v>41760</v>
      </c>
      <c r="G59" s="13">
        <f t="shared" si="3"/>
        <v>41791</v>
      </c>
      <c r="H59" s="13">
        <f t="shared" si="3"/>
        <v>41821</v>
      </c>
      <c r="I59" s="13">
        <f t="shared" si="3"/>
        <v>41852</v>
      </c>
      <c r="J59" s="13">
        <f t="shared" si="3"/>
        <v>41883</v>
      </c>
      <c r="K59" s="13">
        <f t="shared" si="3"/>
        <v>41913</v>
      </c>
      <c r="L59" s="13">
        <f t="shared" si="3"/>
        <v>41944</v>
      </c>
      <c r="M59" s="13">
        <f t="shared" si="3"/>
        <v>41974</v>
      </c>
      <c r="N59" s="13" t="s">
        <v>171</v>
      </c>
    </row>
    <row r="60" spans="1:14">
      <c r="A60" s="1" t="s">
        <v>440</v>
      </c>
      <c r="B60" s="85">
        <f>SUMPRODUCT(($A2=OH!$C$2:$C$62)*(OH!Q$2:Q$62))</f>
        <v>1250</v>
      </c>
      <c r="C60" s="85">
        <f>SUMPRODUCT(($A2=OH!$C$2:$C$62)*(OH!R$2:R$62))</f>
        <v>0</v>
      </c>
      <c r="D60" s="85">
        <f>SUMPRODUCT(($A2=OH!$C$2:$C$62)*(OH!S$2:S$62))</f>
        <v>0</v>
      </c>
      <c r="E60" s="85">
        <f>SUMPRODUCT(($A2=OH!$C$2:$C$62)*(OH!T$2:T$62))</f>
        <v>1250</v>
      </c>
      <c r="F60" s="85">
        <f>SUMPRODUCT(($A2=OH!$C$2:$C$62)*(OH!U$2:U$62))</f>
        <v>0</v>
      </c>
      <c r="G60" s="85">
        <f>SUMPRODUCT(($A2=OH!$C$2:$C$62)*(OH!V$2:V$62))</f>
        <v>0</v>
      </c>
      <c r="H60" s="85">
        <f>SUMPRODUCT(($A2=OH!$C$2:$C$62)*(OH!W$2:W$62))</f>
        <v>1250</v>
      </c>
      <c r="I60" s="85">
        <f>SUMPRODUCT(($A2=OH!$C$2:$C$62)*(OH!X$2:X$62))</f>
        <v>0</v>
      </c>
      <c r="J60" s="85">
        <f>SUMPRODUCT(($A2=OH!$C$2:$C$62)*(OH!Y$2:Y$62))</f>
        <v>0</v>
      </c>
      <c r="K60" s="85">
        <f>SUMPRODUCT(($A2=OH!$C$2:$C$62)*(OH!Z$2:Z$62))</f>
        <v>1250</v>
      </c>
      <c r="L60" s="85">
        <f>SUMPRODUCT(($A2=OH!$C$2:$C$62)*(OH!AA$2:AA$62))</f>
        <v>0</v>
      </c>
      <c r="M60" s="85">
        <f>SUMPRODUCT(($A2=OH!$C$2:$C$62)*(OH!AB$2:AB$62))</f>
        <v>0</v>
      </c>
      <c r="N60" s="121">
        <f>SUM(B60:M60)</f>
        <v>5000</v>
      </c>
    </row>
    <row r="61" spans="1:14">
      <c r="A61" s="1" t="s">
        <v>30</v>
      </c>
      <c r="B61" s="85">
        <f>SUMPRODUCT(($A3=OH!$C$2:$C$62)*(OH!Q$2:Q$62))</f>
        <v>163.82375625000003</v>
      </c>
      <c r="C61" s="85">
        <f>SUMPRODUCT(($A3=OH!$C$2:$C$62)*(OH!R$2:R$62))</f>
        <v>163.82375625000003</v>
      </c>
      <c r="D61" s="85">
        <f>SUMPRODUCT(($A3=OH!$C$2:$C$62)*(OH!S$2:S$62))</f>
        <v>491.47126875000004</v>
      </c>
      <c r="E61" s="85">
        <f>SUMPRODUCT(($A3=OH!$C$2:$C$62)*(OH!T$2:T$62))</f>
        <v>491.47126875000004</v>
      </c>
      <c r="F61" s="85">
        <f>SUMPRODUCT(($A3=OH!$C$2:$C$62)*(OH!U$2:U$62))</f>
        <v>982.94253750000007</v>
      </c>
      <c r="G61" s="85">
        <f>SUMPRODUCT(($A3=OH!$C$2:$C$62)*(OH!V$2:V$62))</f>
        <v>982.94253750000007</v>
      </c>
      <c r="H61" s="85">
        <f>SUMPRODUCT(($A3=OH!$C$2:$C$62)*(OH!W$2:W$62))</f>
        <v>982.94253750000007</v>
      </c>
      <c r="I61" s="85">
        <f>SUMPRODUCT(($A3=OH!$C$2:$C$62)*(OH!X$2:X$62))</f>
        <v>982.94253750000007</v>
      </c>
      <c r="J61" s="85">
        <f>SUMPRODUCT(($A3=OH!$C$2:$C$62)*(OH!Y$2:Y$62))</f>
        <v>982.94253750000007</v>
      </c>
      <c r="K61" s="85">
        <f>SUMPRODUCT(($A3=OH!$C$2:$C$62)*(OH!Z$2:Z$62))</f>
        <v>982.94253750000007</v>
      </c>
      <c r="L61" s="85">
        <f>SUMPRODUCT(($A3=OH!$C$2:$C$62)*(OH!AA$2:AA$62))</f>
        <v>163.82375625000003</v>
      </c>
      <c r="M61" s="85">
        <f>SUMPRODUCT(($A3=OH!$C$2:$C$62)*(OH!AB$2:AB$62))</f>
        <v>819.11878125000021</v>
      </c>
      <c r="N61" s="121">
        <f t="shared" ref="N61:N114" si="4">SUM(B61:M61)</f>
        <v>8191.1878125000003</v>
      </c>
    </row>
    <row r="62" spans="1:14">
      <c r="A62" s="1" t="s">
        <v>452</v>
      </c>
      <c r="B62" s="85">
        <f>SUMPRODUCT(($A4=OH!$C$2:$C$62)*(OH!Q$2:Q$62))</f>
        <v>250</v>
      </c>
      <c r="C62" s="85">
        <f>SUMPRODUCT(($A4=OH!$C$2:$C$62)*(OH!R$2:R$62))</f>
        <v>0</v>
      </c>
      <c r="D62" s="85">
        <f>SUMPRODUCT(($A4=OH!$C$2:$C$62)*(OH!S$2:S$62))</f>
        <v>0</v>
      </c>
      <c r="E62" s="85">
        <f>SUMPRODUCT(($A4=OH!$C$2:$C$62)*(OH!T$2:T$62))</f>
        <v>250</v>
      </c>
      <c r="F62" s="85">
        <f>SUMPRODUCT(($A4=OH!$C$2:$C$62)*(OH!U$2:U$62))</f>
        <v>0</v>
      </c>
      <c r="G62" s="85">
        <f>SUMPRODUCT(($A4=OH!$C$2:$C$62)*(OH!V$2:V$62))</f>
        <v>0</v>
      </c>
      <c r="H62" s="85">
        <f>SUMPRODUCT(($A4=OH!$C$2:$C$62)*(OH!W$2:W$62))</f>
        <v>250</v>
      </c>
      <c r="I62" s="85">
        <f>SUMPRODUCT(($A4=OH!$C$2:$C$62)*(OH!X$2:X$62))</f>
        <v>0</v>
      </c>
      <c r="J62" s="85">
        <f>SUMPRODUCT(($A4=OH!$C$2:$C$62)*(OH!Y$2:Y$62))</f>
        <v>0</v>
      </c>
      <c r="K62" s="85">
        <f>SUMPRODUCT(($A4=OH!$C$2:$C$62)*(OH!Z$2:Z$62))</f>
        <v>250</v>
      </c>
      <c r="L62" s="85">
        <f>SUMPRODUCT(($A4=OH!$C$2:$C$62)*(OH!AA$2:AA$62))</f>
        <v>0</v>
      </c>
      <c r="M62" s="85">
        <f>SUMPRODUCT(($A4=OH!$C$2:$C$62)*(OH!AB$2:AB$62))</f>
        <v>0</v>
      </c>
      <c r="N62" s="121">
        <f t="shared" si="4"/>
        <v>1000</v>
      </c>
    </row>
    <row r="63" spans="1:14">
      <c r="A63" s="1" t="s">
        <v>451</v>
      </c>
      <c r="B63" s="85">
        <f>SUMPRODUCT(($A5=OH!$C$2:$C$62)*(OH!Q$2:Q$62))</f>
        <v>25000</v>
      </c>
      <c r="C63" s="85">
        <f>SUMPRODUCT(($A5=OH!$C$2:$C$62)*(OH!R$2:R$62))</f>
        <v>0</v>
      </c>
      <c r="D63" s="85">
        <f>SUMPRODUCT(($A5=OH!$C$2:$C$62)*(OH!S$2:S$62))</f>
        <v>0</v>
      </c>
      <c r="E63" s="85">
        <f>SUMPRODUCT(($A5=OH!$C$2:$C$62)*(OH!T$2:T$62))</f>
        <v>0</v>
      </c>
      <c r="F63" s="85">
        <f>SUMPRODUCT(($A5=OH!$C$2:$C$62)*(OH!U$2:U$62))</f>
        <v>0</v>
      </c>
      <c r="G63" s="85">
        <f>SUMPRODUCT(($A5=OH!$C$2:$C$62)*(OH!V$2:V$62))</f>
        <v>0</v>
      </c>
      <c r="H63" s="85">
        <f>SUMPRODUCT(($A5=OH!$C$2:$C$62)*(OH!W$2:W$62))</f>
        <v>0</v>
      </c>
      <c r="I63" s="85">
        <f>SUMPRODUCT(($A5=OH!$C$2:$C$62)*(OH!X$2:X$62))</f>
        <v>0</v>
      </c>
      <c r="J63" s="85">
        <f>SUMPRODUCT(($A5=OH!$C$2:$C$62)*(OH!Y$2:Y$62))</f>
        <v>0</v>
      </c>
      <c r="K63" s="85">
        <f>SUMPRODUCT(($A5=OH!$C$2:$C$62)*(OH!Z$2:Z$62))</f>
        <v>0</v>
      </c>
      <c r="L63" s="85">
        <f>SUMPRODUCT(($A5=OH!$C$2:$C$62)*(OH!AA$2:AA$62))</f>
        <v>0</v>
      </c>
      <c r="M63" s="85">
        <f>SUMPRODUCT(($A5=OH!$C$2:$C$62)*(OH!AB$2:AB$62))</f>
        <v>0</v>
      </c>
      <c r="N63" s="121">
        <f t="shared" si="4"/>
        <v>25000</v>
      </c>
    </row>
    <row r="64" spans="1:14">
      <c r="A64" s="1" t="s">
        <v>464</v>
      </c>
      <c r="B64" s="85">
        <f>SUMPRODUCT(($A6=OH!$C$2:$C$62)*(OH!Q$2:Q$62))</f>
        <v>200</v>
      </c>
      <c r="C64" s="85">
        <f>SUMPRODUCT(($A6=OH!$C$2:$C$62)*(OH!R$2:R$62))</f>
        <v>200</v>
      </c>
      <c r="D64" s="85">
        <f>SUMPRODUCT(($A6=OH!$C$2:$C$62)*(OH!S$2:S$62))</f>
        <v>200</v>
      </c>
      <c r="E64" s="85">
        <f>SUMPRODUCT(($A6=OH!$C$2:$C$62)*(OH!T$2:T$62))</f>
        <v>200</v>
      </c>
      <c r="F64" s="85">
        <f>SUMPRODUCT(($A6=OH!$C$2:$C$62)*(OH!U$2:U$62))</f>
        <v>200</v>
      </c>
      <c r="G64" s="85">
        <f>SUMPRODUCT(($A6=OH!$C$2:$C$62)*(OH!V$2:V$62))</f>
        <v>200</v>
      </c>
      <c r="H64" s="85">
        <f>SUMPRODUCT(($A6=OH!$C$2:$C$62)*(OH!W$2:W$62))</f>
        <v>200</v>
      </c>
      <c r="I64" s="85">
        <f>SUMPRODUCT(($A6=OH!$C$2:$C$62)*(OH!X$2:X$62))</f>
        <v>200</v>
      </c>
      <c r="J64" s="85">
        <f>SUMPRODUCT(($A6=OH!$C$2:$C$62)*(OH!Y$2:Y$62))</f>
        <v>200</v>
      </c>
      <c r="K64" s="85">
        <f>SUMPRODUCT(($A6=OH!$C$2:$C$62)*(OH!Z$2:Z$62))</f>
        <v>200</v>
      </c>
      <c r="L64" s="85">
        <f>SUMPRODUCT(($A6=OH!$C$2:$C$62)*(OH!AA$2:AA$62))</f>
        <v>200</v>
      </c>
      <c r="M64" s="85">
        <f>SUMPRODUCT(($A6=OH!$C$2:$C$62)*(OH!AB$2:AB$62))</f>
        <v>200</v>
      </c>
      <c r="N64" s="121">
        <f t="shared" si="4"/>
        <v>2400</v>
      </c>
    </row>
    <row r="65" spans="1:14">
      <c r="A65" s="1" t="s">
        <v>481</v>
      </c>
      <c r="B65" s="85">
        <f>SUMPRODUCT(($A7=OH!$C$2:$C$62)*(OH!Q$2:Q$62))</f>
        <v>1666.6666666666667</v>
      </c>
      <c r="C65" s="85">
        <f>SUMPRODUCT(($A7=OH!$C$2:$C$62)*(OH!R$2:R$62))</f>
        <v>1666.6666666666667</v>
      </c>
      <c r="D65" s="85">
        <f>SUMPRODUCT(($A7=OH!$C$2:$C$62)*(OH!S$2:S$62))</f>
        <v>1666.6666666666667</v>
      </c>
      <c r="E65" s="85">
        <f>SUMPRODUCT(($A7=OH!$C$2:$C$62)*(OH!T$2:T$62))</f>
        <v>1666.6666666666667</v>
      </c>
      <c r="F65" s="85">
        <f>SUMPRODUCT(($A7=OH!$C$2:$C$62)*(OH!U$2:U$62))</f>
        <v>1666.6666666666667</v>
      </c>
      <c r="G65" s="85">
        <f>SUMPRODUCT(($A7=OH!$C$2:$C$62)*(OH!V$2:V$62))</f>
        <v>1666.6666666666667</v>
      </c>
      <c r="H65" s="85">
        <f>SUMPRODUCT(($A7=OH!$C$2:$C$62)*(OH!W$2:W$62))</f>
        <v>1666.6666666666667</v>
      </c>
      <c r="I65" s="85">
        <f>SUMPRODUCT(($A7=OH!$C$2:$C$62)*(OH!X$2:X$62))</f>
        <v>1666.6666666666667</v>
      </c>
      <c r="J65" s="85">
        <f>SUMPRODUCT(($A7=OH!$C$2:$C$62)*(OH!Y$2:Y$62))</f>
        <v>1666.6666666666667</v>
      </c>
      <c r="K65" s="85">
        <f>SUMPRODUCT(($A7=OH!$C$2:$C$62)*(OH!Z$2:Z$62))</f>
        <v>1666.6666666666667</v>
      </c>
      <c r="L65" s="85">
        <f>SUMPRODUCT(($A7=OH!$C$2:$C$62)*(OH!AA$2:AA$62))</f>
        <v>1666.6666666666667</v>
      </c>
      <c r="M65" s="85">
        <f>SUMPRODUCT(($A7=OH!$C$2:$C$62)*(OH!AB$2:AB$62))</f>
        <v>1666.6666666666667</v>
      </c>
      <c r="N65" s="121">
        <f t="shared" si="4"/>
        <v>20000</v>
      </c>
    </row>
    <row r="66" spans="1:14">
      <c r="A66" s="1" t="s">
        <v>486</v>
      </c>
      <c r="B66" s="85">
        <f>SUMPRODUCT(($A8=OH!$C$2:$C$62)*(OH!Q$2:Q$62))</f>
        <v>400</v>
      </c>
      <c r="C66" s="85">
        <f>SUMPRODUCT(($A8=OH!$C$2:$C$62)*(OH!R$2:R$62))</f>
        <v>400</v>
      </c>
      <c r="D66" s="85">
        <f>SUMPRODUCT(($A8=OH!$C$2:$C$62)*(OH!S$2:S$62))</f>
        <v>1200</v>
      </c>
      <c r="E66" s="85">
        <f>SUMPRODUCT(($A8=OH!$C$2:$C$62)*(OH!T$2:T$62))</f>
        <v>1200</v>
      </c>
      <c r="F66" s="85">
        <f>SUMPRODUCT(($A8=OH!$C$2:$C$62)*(OH!U$2:U$62))</f>
        <v>2400</v>
      </c>
      <c r="G66" s="85">
        <f>SUMPRODUCT(($A8=OH!$C$2:$C$62)*(OH!V$2:V$62))</f>
        <v>2400</v>
      </c>
      <c r="H66" s="85">
        <f>SUMPRODUCT(($A8=OH!$C$2:$C$62)*(OH!W$2:W$62))</f>
        <v>2400</v>
      </c>
      <c r="I66" s="85">
        <f>SUMPRODUCT(($A8=OH!$C$2:$C$62)*(OH!X$2:X$62))</f>
        <v>2400</v>
      </c>
      <c r="J66" s="85">
        <f>SUMPRODUCT(($A8=OH!$C$2:$C$62)*(OH!Y$2:Y$62))</f>
        <v>2400</v>
      </c>
      <c r="K66" s="85">
        <f>SUMPRODUCT(($A8=OH!$C$2:$C$62)*(OH!Z$2:Z$62))</f>
        <v>2400</v>
      </c>
      <c r="L66" s="85">
        <f>SUMPRODUCT(($A8=OH!$C$2:$C$62)*(OH!AA$2:AA$62))</f>
        <v>400</v>
      </c>
      <c r="M66" s="85">
        <f>SUMPRODUCT(($A8=OH!$C$2:$C$62)*(OH!AB$2:AB$62))</f>
        <v>2000</v>
      </c>
      <c r="N66" s="121">
        <f t="shared" si="4"/>
        <v>20000</v>
      </c>
    </row>
    <row r="67" spans="1:14">
      <c r="A67" s="1" t="s">
        <v>31</v>
      </c>
      <c r="B67" s="85">
        <f>SUMPRODUCT(($A9=OH!$C$2:$C$62)*(OH!Q$2:Q$62))</f>
        <v>4583.333333333333</v>
      </c>
      <c r="C67" s="85">
        <f>SUMPRODUCT(($A9=OH!$C$2:$C$62)*(OH!R$2:R$62))</f>
        <v>4583.333333333333</v>
      </c>
      <c r="D67" s="85">
        <f>SUMPRODUCT(($A9=OH!$C$2:$C$62)*(OH!S$2:S$62))</f>
        <v>4583.333333333333</v>
      </c>
      <c r="E67" s="85">
        <f>SUMPRODUCT(($A9=OH!$C$2:$C$62)*(OH!T$2:T$62))</f>
        <v>4583.333333333333</v>
      </c>
      <c r="F67" s="85">
        <f>SUMPRODUCT(($A9=OH!$C$2:$C$62)*(OH!U$2:U$62))</f>
        <v>4583.333333333333</v>
      </c>
      <c r="G67" s="85">
        <f>SUMPRODUCT(($A9=OH!$C$2:$C$62)*(OH!V$2:V$62))</f>
        <v>4583.333333333333</v>
      </c>
      <c r="H67" s="85">
        <f>SUMPRODUCT(($A9=OH!$C$2:$C$62)*(OH!W$2:W$62))</f>
        <v>4583.333333333333</v>
      </c>
      <c r="I67" s="85">
        <f>SUMPRODUCT(($A9=OH!$C$2:$C$62)*(OH!X$2:X$62))</f>
        <v>4583.333333333333</v>
      </c>
      <c r="J67" s="85">
        <f>SUMPRODUCT(($A9=OH!$C$2:$C$62)*(OH!Y$2:Y$62))</f>
        <v>4583.333333333333</v>
      </c>
      <c r="K67" s="85">
        <f>SUMPRODUCT(($A9=OH!$C$2:$C$62)*(OH!Z$2:Z$62))</f>
        <v>4583.333333333333</v>
      </c>
      <c r="L67" s="85">
        <f>SUMPRODUCT(($A9=OH!$C$2:$C$62)*(OH!AA$2:AA$62))</f>
        <v>4583.333333333333</v>
      </c>
      <c r="M67" s="85">
        <f>SUMPRODUCT(($A9=OH!$C$2:$C$62)*(OH!AB$2:AB$62))</f>
        <v>4583.333333333333</v>
      </c>
      <c r="N67" s="121">
        <f t="shared" si="4"/>
        <v>55000.000000000007</v>
      </c>
    </row>
    <row r="68" spans="1:14">
      <c r="A68" s="1" t="s">
        <v>453</v>
      </c>
      <c r="B68" s="85">
        <f>SUMPRODUCT(($A10=OH!$C$2:$C$62)*(OH!Q$2:Q$62))</f>
        <v>400</v>
      </c>
      <c r="C68" s="85">
        <f>SUMPRODUCT(($A10=OH!$C$2:$C$62)*(OH!R$2:R$62))</f>
        <v>400</v>
      </c>
      <c r="D68" s="85">
        <f>SUMPRODUCT(($A10=OH!$C$2:$C$62)*(OH!S$2:S$62))</f>
        <v>1200</v>
      </c>
      <c r="E68" s="85">
        <f>SUMPRODUCT(($A10=OH!$C$2:$C$62)*(OH!T$2:T$62))</f>
        <v>1200</v>
      </c>
      <c r="F68" s="85">
        <f>SUMPRODUCT(($A10=OH!$C$2:$C$62)*(OH!U$2:U$62))</f>
        <v>2400</v>
      </c>
      <c r="G68" s="85">
        <f>SUMPRODUCT(($A10=OH!$C$2:$C$62)*(OH!V$2:V$62))</f>
        <v>2400</v>
      </c>
      <c r="H68" s="85">
        <f>SUMPRODUCT(($A10=OH!$C$2:$C$62)*(OH!W$2:W$62))</f>
        <v>2400</v>
      </c>
      <c r="I68" s="85">
        <f>SUMPRODUCT(($A10=OH!$C$2:$C$62)*(OH!X$2:X$62))</f>
        <v>2400</v>
      </c>
      <c r="J68" s="85">
        <f>SUMPRODUCT(($A10=OH!$C$2:$C$62)*(OH!Y$2:Y$62))</f>
        <v>2400</v>
      </c>
      <c r="K68" s="85">
        <f>SUMPRODUCT(($A10=OH!$C$2:$C$62)*(OH!Z$2:Z$62))</f>
        <v>2400</v>
      </c>
      <c r="L68" s="85">
        <f>SUMPRODUCT(($A10=OH!$C$2:$C$62)*(OH!AA$2:AA$62))</f>
        <v>400</v>
      </c>
      <c r="M68" s="85">
        <f>SUMPRODUCT(($A10=OH!$C$2:$C$62)*(OH!AB$2:AB$62))</f>
        <v>2000</v>
      </c>
      <c r="N68" s="121">
        <f t="shared" si="4"/>
        <v>20000</v>
      </c>
    </row>
    <row r="69" spans="1:14">
      <c r="A69" s="1" t="s">
        <v>487</v>
      </c>
      <c r="B69" s="85">
        <f>SUMPRODUCT(($A11=OH!$C$2:$C$62)*(OH!Q$2:Q$62))</f>
        <v>1200</v>
      </c>
      <c r="C69" s="85">
        <f>SUMPRODUCT(($A11=OH!$C$2:$C$62)*(OH!R$2:R$62))</f>
        <v>1200</v>
      </c>
      <c r="D69" s="85">
        <f>SUMPRODUCT(($A11=OH!$C$2:$C$62)*(OH!S$2:S$62))</f>
        <v>2000</v>
      </c>
      <c r="E69" s="85">
        <f>SUMPRODUCT(($A11=OH!$C$2:$C$62)*(OH!T$2:T$62))</f>
        <v>3600</v>
      </c>
      <c r="F69" s="85">
        <f>SUMPRODUCT(($A11=OH!$C$2:$C$62)*(OH!U$2:U$62))</f>
        <v>4000</v>
      </c>
      <c r="G69" s="85">
        <f>SUMPRODUCT(($A11=OH!$C$2:$C$62)*(OH!V$2:V$62))</f>
        <v>4000</v>
      </c>
      <c r="H69" s="85">
        <f>SUMPRODUCT(($A11=OH!$C$2:$C$62)*(OH!W$2:W$62))</f>
        <v>5200</v>
      </c>
      <c r="I69" s="85">
        <f>SUMPRODUCT(($A11=OH!$C$2:$C$62)*(OH!X$2:X$62))</f>
        <v>5200</v>
      </c>
      <c r="J69" s="85">
        <f>SUMPRODUCT(($A11=OH!$C$2:$C$62)*(OH!Y$2:Y$62))</f>
        <v>4000</v>
      </c>
      <c r="K69" s="85">
        <f>SUMPRODUCT(($A11=OH!$C$2:$C$62)*(OH!Z$2:Z$62))</f>
        <v>3600</v>
      </c>
      <c r="L69" s="85">
        <f>SUMPRODUCT(($A11=OH!$C$2:$C$62)*(OH!AA$2:AA$62))</f>
        <v>1200</v>
      </c>
      <c r="M69" s="85">
        <f>SUMPRODUCT(($A11=OH!$C$2:$C$62)*(OH!AB$2:AB$62))</f>
        <v>4800</v>
      </c>
      <c r="N69" s="121">
        <f t="shared" si="4"/>
        <v>40000</v>
      </c>
    </row>
    <row r="70" spans="1:14">
      <c r="A70" s="1" t="s">
        <v>454</v>
      </c>
      <c r="B70" s="85">
        <f>SUMPRODUCT(($A12=OH!$C$2:$C$62)*(OH!Q$2:Q$62))</f>
        <v>0</v>
      </c>
      <c r="C70" s="85">
        <f>SUMPRODUCT(($A12=OH!$C$2:$C$62)*(OH!R$2:R$62))</f>
        <v>375</v>
      </c>
      <c r="D70" s="85">
        <f>SUMPRODUCT(($A12=OH!$C$2:$C$62)*(OH!S$2:S$62))</f>
        <v>0</v>
      </c>
      <c r="E70" s="85">
        <f>SUMPRODUCT(($A12=OH!$C$2:$C$62)*(OH!T$2:T$62))</f>
        <v>0</v>
      </c>
      <c r="F70" s="85">
        <f>SUMPRODUCT(($A12=OH!$C$2:$C$62)*(OH!U$2:U$62))</f>
        <v>375</v>
      </c>
      <c r="G70" s="85">
        <f>SUMPRODUCT(($A12=OH!$C$2:$C$62)*(OH!V$2:V$62))</f>
        <v>0</v>
      </c>
      <c r="H70" s="85">
        <f>SUMPRODUCT(($A12=OH!$C$2:$C$62)*(OH!W$2:W$62))</f>
        <v>0</v>
      </c>
      <c r="I70" s="85">
        <f>SUMPRODUCT(($A12=OH!$C$2:$C$62)*(OH!X$2:X$62))</f>
        <v>375</v>
      </c>
      <c r="J70" s="85">
        <f>SUMPRODUCT(($A12=OH!$C$2:$C$62)*(OH!Y$2:Y$62))</f>
        <v>0</v>
      </c>
      <c r="K70" s="85">
        <f>SUMPRODUCT(($A12=OH!$C$2:$C$62)*(OH!Z$2:Z$62))</f>
        <v>0</v>
      </c>
      <c r="L70" s="85">
        <f>SUMPRODUCT(($A12=OH!$C$2:$C$62)*(OH!AA$2:AA$62))</f>
        <v>375</v>
      </c>
      <c r="M70" s="85">
        <f>SUMPRODUCT(($A12=OH!$C$2:$C$62)*(OH!AB$2:AB$62))</f>
        <v>0</v>
      </c>
      <c r="N70" s="121">
        <f t="shared" si="4"/>
        <v>1500</v>
      </c>
    </row>
    <row r="71" spans="1:14">
      <c r="A71" s="1" t="s">
        <v>477</v>
      </c>
      <c r="B71" s="85">
        <f>SUMPRODUCT(($A13=OH!$C$2:$C$62)*(OH!Q$2:Q$62))</f>
        <v>625</v>
      </c>
      <c r="C71" s="85">
        <f>SUMPRODUCT(($A13=OH!$C$2:$C$62)*(OH!R$2:R$62))</f>
        <v>625</v>
      </c>
      <c r="D71" s="85">
        <f>SUMPRODUCT(($A13=OH!$C$2:$C$62)*(OH!S$2:S$62))</f>
        <v>625</v>
      </c>
      <c r="E71" s="85">
        <f>SUMPRODUCT(($A13=OH!$C$2:$C$62)*(OH!T$2:T$62))</f>
        <v>625</v>
      </c>
      <c r="F71" s="85">
        <f>SUMPRODUCT(($A13=OH!$C$2:$C$62)*(OH!U$2:U$62))</f>
        <v>625</v>
      </c>
      <c r="G71" s="85">
        <f>SUMPRODUCT(($A13=OH!$C$2:$C$62)*(OH!V$2:V$62))</f>
        <v>625</v>
      </c>
      <c r="H71" s="85">
        <f>SUMPRODUCT(($A13=OH!$C$2:$C$62)*(OH!W$2:W$62))</f>
        <v>625</v>
      </c>
      <c r="I71" s="85">
        <f>SUMPRODUCT(($A13=OH!$C$2:$C$62)*(OH!X$2:X$62))</f>
        <v>625</v>
      </c>
      <c r="J71" s="85">
        <f>SUMPRODUCT(($A13=OH!$C$2:$C$62)*(OH!Y$2:Y$62))</f>
        <v>625</v>
      </c>
      <c r="K71" s="85">
        <f>SUMPRODUCT(($A13=OH!$C$2:$C$62)*(OH!Z$2:Z$62))</f>
        <v>625</v>
      </c>
      <c r="L71" s="85">
        <f>SUMPRODUCT(($A13=OH!$C$2:$C$62)*(OH!AA$2:AA$62))</f>
        <v>625</v>
      </c>
      <c r="M71" s="85">
        <f>SUMPRODUCT(($A13=OH!$C$2:$C$62)*(OH!AB$2:AB$62))</f>
        <v>625</v>
      </c>
      <c r="N71" s="121">
        <f t="shared" si="4"/>
        <v>7500</v>
      </c>
    </row>
    <row r="72" spans="1:14">
      <c r="A72" s="1" t="s">
        <v>444</v>
      </c>
      <c r="B72" s="85">
        <f>SUMPRODUCT(($A14=OH!$C$2:$C$62)*(OH!Q$2:Q$62))</f>
        <v>15000</v>
      </c>
      <c r="C72" s="85">
        <f>SUMPRODUCT(($A14=OH!$C$2:$C$62)*(OH!R$2:R$62))</f>
        <v>0</v>
      </c>
      <c r="D72" s="85">
        <f>SUMPRODUCT(($A14=OH!$C$2:$C$62)*(OH!S$2:S$62))</f>
        <v>0</v>
      </c>
      <c r="E72" s="85">
        <f>SUMPRODUCT(($A14=OH!$C$2:$C$62)*(OH!T$2:T$62))</f>
        <v>15000</v>
      </c>
      <c r="F72" s="85">
        <f>SUMPRODUCT(($A14=OH!$C$2:$C$62)*(OH!U$2:U$62))</f>
        <v>0</v>
      </c>
      <c r="G72" s="85">
        <f>SUMPRODUCT(($A14=OH!$C$2:$C$62)*(OH!V$2:V$62))</f>
        <v>0</v>
      </c>
      <c r="H72" s="85">
        <f>SUMPRODUCT(($A14=OH!$C$2:$C$62)*(OH!W$2:W$62))</f>
        <v>15000</v>
      </c>
      <c r="I72" s="85">
        <f>SUMPRODUCT(($A14=OH!$C$2:$C$62)*(OH!X$2:X$62))</f>
        <v>0</v>
      </c>
      <c r="J72" s="85">
        <f>SUMPRODUCT(($A14=OH!$C$2:$C$62)*(OH!Y$2:Y$62))</f>
        <v>0</v>
      </c>
      <c r="K72" s="85">
        <f>SUMPRODUCT(($A14=OH!$C$2:$C$62)*(OH!Z$2:Z$62))</f>
        <v>15000</v>
      </c>
      <c r="L72" s="85">
        <f>SUMPRODUCT(($A14=OH!$C$2:$C$62)*(OH!AA$2:AA$62))</f>
        <v>0</v>
      </c>
      <c r="M72" s="85">
        <f>SUMPRODUCT(($A14=OH!$C$2:$C$62)*(OH!AB$2:AB$62))</f>
        <v>0</v>
      </c>
      <c r="N72" s="121">
        <f t="shared" si="4"/>
        <v>60000</v>
      </c>
    </row>
    <row r="73" spans="1:14">
      <c r="A73" s="1" t="s">
        <v>465</v>
      </c>
      <c r="B73" s="85">
        <f>SUMPRODUCT(($A15=OH!$C$2:$C$62)*(OH!Q$2:Q$62))</f>
        <v>541.66666666666663</v>
      </c>
      <c r="C73" s="85">
        <f>SUMPRODUCT(($A15=OH!$C$2:$C$62)*(OH!R$2:R$62))</f>
        <v>541.66666666666663</v>
      </c>
      <c r="D73" s="85">
        <f>SUMPRODUCT(($A15=OH!$C$2:$C$62)*(OH!S$2:S$62))</f>
        <v>541.66666666666663</v>
      </c>
      <c r="E73" s="85">
        <f>SUMPRODUCT(($A15=OH!$C$2:$C$62)*(OH!T$2:T$62))</f>
        <v>541.66666666666663</v>
      </c>
      <c r="F73" s="85">
        <f>SUMPRODUCT(($A15=OH!$C$2:$C$62)*(OH!U$2:U$62))</f>
        <v>541.66666666666663</v>
      </c>
      <c r="G73" s="85">
        <f>SUMPRODUCT(($A15=OH!$C$2:$C$62)*(OH!V$2:V$62))</f>
        <v>541.66666666666663</v>
      </c>
      <c r="H73" s="85">
        <f>SUMPRODUCT(($A15=OH!$C$2:$C$62)*(OH!W$2:W$62))</f>
        <v>541.66666666666663</v>
      </c>
      <c r="I73" s="85">
        <f>SUMPRODUCT(($A15=OH!$C$2:$C$62)*(OH!X$2:X$62))</f>
        <v>541.66666666666663</v>
      </c>
      <c r="J73" s="85">
        <f>SUMPRODUCT(($A15=OH!$C$2:$C$62)*(OH!Y$2:Y$62))</f>
        <v>541.66666666666663</v>
      </c>
      <c r="K73" s="85">
        <f>SUMPRODUCT(($A15=OH!$C$2:$C$62)*(OH!Z$2:Z$62))</f>
        <v>541.66666666666663</v>
      </c>
      <c r="L73" s="85">
        <f>SUMPRODUCT(($A15=OH!$C$2:$C$62)*(OH!AA$2:AA$62))</f>
        <v>541.66666666666663</v>
      </c>
      <c r="M73" s="85">
        <f>SUMPRODUCT(($A15=OH!$C$2:$C$62)*(OH!AB$2:AB$62))</f>
        <v>541.66666666666663</v>
      </c>
      <c r="N73" s="121">
        <f t="shared" si="4"/>
        <v>6500.0000000000009</v>
      </c>
    </row>
    <row r="74" spans="1:14">
      <c r="A74" s="1" t="s">
        <v>441</v>
      </c>
      <c r="B74" s="85">
        <f>SUMPRODUCT(($A16=OH!$C$2:$C$62)*(OH!Q$2:Q$62))</f>
        <v>1250</v>
      </c>
      <c r="C74" s="85">
        <f>SUMPRODUCT(($A16=OH!$C$2:$C$62)*(OH!R$2:R$62))</f>
        <v>0</v>
      </c>
      <c r="D74" s="85">
        <f>SUMPRODUCT(($A16=OH!$C$2:$C$62)*(OH!S$2:S$62))</f>
        <v>0</v>
      </c>
      <c r="E74" s="85">
        <f>SUMPRODUCT(($A16=OH!$C$2:$C$62)*(OH!T$2:T$62))</f>
        <v>1250</v>
      </c>
      <c r="F74" s="85">
        <f>SUMPRODUCT(($A16=OH!$C$2:$C$62)*(OH!U$2:U$62))</f>
        <v>0</v>
      </c>
      <c r="G74" s="85">
        <f>SUMPRODUCT(($A16=OH!$C$2:$C$62)*(OH!V$2:V$62))</f>
        <v>0</v>
      </c>
      <c r="H74" s="85">
        <f>SUMPRODUCT(($A16=OH!$C$2:$C$62)*(OH!W$2:W$62))</f>
        <v>1250</v>
      </c>
      <c r="I74" s="85">
        <f>SUMPRODUCT(($A16=OH!$C$2:$C$62)*(OH!X$2:X$62))</f>
        <v>0</v>
      </c>
      <c r="J74" s="85">
        <f>SUMPRODUCT(($A16=OH!$C$2:$C$62)*(OH!Y$2:Y$62))</f>
        <v>0</v>
      </c>
      <c r="K74" s="85">
        <f>SUMPRODUCT(($A16=OH!$C$2:$C$62)*(OH!Z$2:Z$62))</f>
        <v>1250</v>
      </c>
      <c r="L74" s="85">
        <f>SUMPRODUCT(($A16=OH!$C$2:$C$62)*(OH!AA$2:AA$62))</f>
        <v>0</v>
      </c>
      <c r="M74" s="85">
        <f>SUMPRODUCT(($A16=OH!$C$2:$C$62)*(OH!AB$2:AB$62))</f>
        <v>0</v>
      </c>
      <c r="N74" s="121">
        <f t="shared" si="4"/>
        <v>5000</v>
      </c>
    </row>
    <row r="75" spans="1:14">
      <c r="A75" s="1" t="s">
        <v>466</v>
      </c>
      <c r="B75" s="85">
        <f>SUMPRODUCT(($A17=OH!$C$2:$C$62)*(OH!Q$2:Q$62))</f>
        <v>0</v>
      </c>
      <c r="C75" s="85">
        <f>SUMPRODUCT(($A17=OH!$C$2:$C$62)*(OH!R$2:R$62))</f>
        <v>2500</v>
      </c>
      <c r="D75" s="85">
        <f>SUMPRODUCT(($A17=OH!$C$2:$C$62)*(OH!S$2:S$62))</f>
        <v>0</v>
      </c>
      <c r="E75" s="85">
        <f>SUMPRODUCT(($A17=OH!$C$2:$C$62)*(OH!T$2:T$62))</f>
        <v>0</v>
      </c>
      <c r="F75" s="85">
        <f>SUMPRODUCT(($A17=OH!$C$2:$C$62)*(OH!U$2:U$62))</f>
        <v>0</v>
      </c>
      <c r="G75" s="85">
        <f>SUMPRODUCT(($A17=OH!$C$2:$C$62)*(OH!V$2:V$62))</f>
        <v>0</v>
      </c>
      <c r="H75" s="85">
        <f>SUMPRODUCT(($A17=OH!$C$2:$C$62)*(OH!W$2:W$62))</f>
        <v>0</v>
      </c>
      <c r="I75" s="85">
        <f>SUMPRODUCT(($A17=OH!$C$2:$C$62)*(OH!X$2:X$62))</f>
        <v>0</v>
      </c>
      <c r="J75" s="85">
        <f>SUMPRODUCT(($A17=OH!$C$2:$C$62)*(OH!Y$2:Y$62))</f>
        <v>0</v>
      </c>
      <c r="K75" s="85">
        <f>SUMPRODUCT(($A17=OH!$C$2:$C$62)*(OH!Z$2:Z$62))</f>
        <v>0</v>
      </c>
      <c r="L75" s="85">
        <f>SUMPRODUCT(($A17=OH!$C$2:$C$62)*(OH!AA$2:AA$62))</f>
        <v>0</v>
      </c>
      <c r="M75" s="85">
        <f>SUMPRODUCT(($A17=OH!$C$2:$C$62)*(OH!AB$2:AB$62))</f>
        <v>0</v>
      </c>
      <c r="N75" s="121">
        <f t="shared" si="4"/>
        <v>2500</v>
      </c>
    </row>
    <row r="76" spans="1:14">
      <c r="A76" s="1" t="s">
        <v>445</v>
      </c>
      <c r="B76" s="85">
        <f>SUMPRODUCT(($A18=OH!$C$2:$C$62)*(OH!Q$2:Q$62))</f>
        <v>18750</v>
      </c>
      <c r="C76" s="85">
        <f>SUMPRODUCT(($A18=OH!$C$2:$C$62)*(OH!R$2:R$62))</f>
        <v>0</v>
      </c>
      <c r="D76" s="85">
        <f>SUMPRODUCT(($A18=OH!$C$2:$C$62)*(OH!S$2:S$62))</f>
        <v>0</v>
      </c>
      <c r="E76" s="85">
        <f>SUMPRODUCT(($A18=OH!$C$2:$C$62)*(OH!T$2:T$62))</f>
        <v>18750</v>
      </c>
      <c r="F76" s="85">
        <f>SUMPRODUCT(($A18=OH!$C$2:$C$62)*(OH!U$2:U$62))</f>
        <v>0</v>
      </c>
      <c r="G76" s="85">
        <f>SUMPRODUCT(($A18=OH!$C$2:$C$62)*(OH!V$2:V$62))</f>
        <v>0</v>
      </c>
      <c r="H76" s="85">
        <f>SUMPRODUCT(($A18=OH!$C$2:$C$62)*(OH!W$2:W$62))</f>
        <v>18750</v>
      </c>
      <c r="I76" s="85">
        <f>SUMPRODUCT(($A18=OH!$C$2:$C$62)*(OH!X$2:X$62))</f>
        <v>0</v>
      </c>
      <c r="J76" s="85">
        <f>SUMPRODUCT(($A18=OH!$C$2:$C$62)*(OH!Y$2:Y$62))</f>
        <v>0</v>
      </c>
      <c r="K76" s="85">
        <f>SUMPRODUCT(($A18=OH!$C$2:$C$62)*(OH!Z$2:Z$62))</f>
        <v>18750</v>
      </c>
      <c r="L76" s="85">
        <f>SUMPRODUCT(($A18=OH!$C$2:$C$62)*(OH!AA$2:AA$62))</f>
        <v>0</v>
      </c>
      <c r="M76" s="85">
        <f>SUMPRODUCT(($A18=OH!$C$2:$C$62)*(OH!AB$2:AB$62))</f>
        <v>0</v>
      </c>
      <c r="N76" s="121">
        <f t="shared" si="4"/>
        <v>75000</v>
      </c>
    </row>
    <row r="77" spans="1:14">
      <c r="A77" s="1" t="s">
        <v>467</v>
      </c>
      <c r="B77" s="85">
        <f>SUMPRODUCT(($A19=OH!$C$2:$C$62)*(OH!Q$2:Q$62))</f>
        <v>4166.666666666667</v>
      </c>
      <c r="C77" s="85">
        <f>SUMPRODUCT(($A19=OH!$C$2:$C$62)*(OH!R$2:R$62))</f>
        <v>4166.666666666667</v>
      </c>
      <c r="D77" s="85">
        <f>SUMPRODUCT(($A19=OH!$C$2:$C$62)*(OH!S$2:S$62))</f>
        <v>4166.666666666667</v>
      </c>
      <c r="E77" s="85">
        <f>SUMPRODUCT(($A19=OH!$C$2:$C$62)*(OH!T$2:T$62))</f>
        <v>4166.666666666667</v>
      </c>
      <c r="F77" s="85">
        <f>SUMPRODUCT(($A19=OH!$C$2:$C$62)*(OH!U$2:U$62))</f>
        <v>4166.666666666667</v>
      </c>
      <c r="G77" s="85">
        <f>SUMPRODUCT(($A19=OH!$C$2:$C$62)*(OH!V$2:V$62))</f>
        <v>4166.666666666667</v>
      </c>
      <c r="H77" s="85">
        <f>SUMPRODUCT(($A19=OH!$C$2:$C$62)*(OH!W$2:W$62))</f>
        <v>4166.666666666667</v>
      </c>
      <c r="I77" s="85">
        <f>SUMPRODUCT(($A19=OH!$C$2:$C$62)*(OH!X$2:X$62))</f>
        <v>4166.666666666667</v>
      </c>
      <c r="J77" s="85">
        <f>SUMPRODUCT(($A19=OH!$C$2:$C$62)*(OH!Y$2:Y$62))</f>
        <v>4166.666666666667</v>
      </c>
      <c r="K77" s="85">
        <f>SUMPRODUCT(($A19=OH!$C$2:$C$62)*(OH!Z$2:Z$62))</f>
        <v>4166.666666666667</v>
      </c>
      <c r="L77" s="85">
        <f>SUMPRODUCT(($A19=OH!$C$2:$C$62)*(OH!AA$2:AA$62))</f>
        <v>4166.666666666667</v>
      </c>
      <c r="M77" s="85">
        <f>SUMPRODUCT(($A19=OH!$C$2:$C$62)*(OH!AB$2:AB$62))</f>
        <v>4166.666666666667</v>
      </c>
      <c r="N77" s="121">
        <f t="shared" si="4"/>
        <v>49999.999999999993</v>
      </c>
    </row>
    <row r="78" spans="1:14">
      <c r="A78" s="1" t="s">
        <v>478</v>
      </c>
      <c r="B78" s="85">
        <f>SUMPRODUCT(($A20=OH!$C$2:$C$62)*(OH!Q$2:Q$62))</f>
        <v>4166.666666666667</v>
      </c>
      <c r="C78" s="85">
        <f>SUMPRODUCT(($A20=OH!$C$2:$C$62)*(OH!R$2:R$62))</f>
        <v>4166.666666666667</v>
      </c>
      <c r="D78" s="85">
        <f>SUMPRODUCT(($A20=OH!$C$2:$C$62)*(OH!S$2:S$62))</f>
        <v>4166.666666666667</v>
      </c>
      <c r="E78" s="85">
        <f>SUMPRODUCT(($A20=OH!$C$2:$C$62)*(OH!T$2:T$62))</f>
        <v>4166.666666666667</v>
      </c>
      <c r="F78" s="85">
        <f>SUMPRODUCT(($A20=OH!$C$2:$C$62)*(OH!U$2:U$62))</f>
        <v>4166.666666666667</v>
      </c>
      <c r="G78" s="85">
        <f>SUMPRODUCT(($A20=OH!$C$2:$C$62)*(OH!V$2:V$62))</f>
        <v>4166.666666666667</v>
      </c>
      <c r="H78" s="85">
        <f>SUMPRODUCT(($A20=OH!$C$2:$C$62)*(OH!W$2:W$62))</f>
        <v>4166.666666666667</v>
      </c>
      <c r="I78" s="85">
        <f>SUMPRODUCT(($A20=OH!$C$2:$C$62)*(OH!X$2:X$62))</f>
        <v>4166.666666666667</v>
      </c>
      <c r="J78" s="85">
        <f>SUMPRODUCT(($A20=OH!$C$2:$C$62)*(OH!Y$2:Y$62))</f>
        <v>4166.666666666667</v>
      </c>
      <c r="K78" s="85">
        <f>SUMPRODUCT(($A20=OH!$C$2:$C$62)*(OH!Z$2:Z$62))</f>
        <v>4166.666666666667</v>
      </c>
      <c r="L78" s="85">
        <f>SUMPRODUCT(($A20=OH!$C$2:$C$62)*(OH!AA$2:AA$62))</f>
        <v>4166.666666666667</v>
      </c>
      <c r="M78" s="85">
        <f>SUMPRODUCT(($A20=OH!$C$2:$C$62)*(OH!AB$2:AB$62))</f>
        <v>4166.666666666667</v>
      </c>
      <c r="N78" s="121">
        <f t="shared" si="4"/>
        <v>49999.999999999993</v>
      </c>
    </row>
    <row r="79" spans="1:14">
      <c r="A79" s="1" t="s">
        <v>455</v>
      </c>
      <c r="B79" s="85">
        <f>SUMPRODUCT(($A21=OH!$C$2:$C$62)*(OH!Q$2:Q$62))</f>
        <v>833.33333333333337</v>
      </c>
      <c r="C79" s="85">
        <f>SUMPRODUCT(($A21=OH!$C$2:$C$62)*(OH!R$2:R$62))</f>
        <v>833.33333333333337</v>
      </c>
      <c r="D79" s="85">
        <f>SUMPRODUCT(($A21=OH!$C$2:$C$62)*(OH!S$2:S$62))</f>
        <v>833.33333333333337</v>
      </c>
      <c r="E79" s="85">
        <f>SUMPRODUCT(($A21=OH!$C$2:$C$62)*(OH!T$2:T$62))</f>
        <v>833.33333333333337</v>
      </c>
      <c r="F79" s="85">
        <f>SUMPRODUCT(($A21=OH!$C$2:$C$62)*(OH!U$2:U$62))</f>
        <v>833.33333333333337</v>
      </c>
      <c r="G79" s="85">
        <f>SUMPRODUCT(($A21=OH!$C$2:$C$62)*(OH!V$2:V$62))</f>
        <v>833.33333333333337</v>
      </c>
      <c r="H79" s="85">
        <f>SUMPRODUCT(($A21=OH!$C$2:$C$62)*(OH!W$2:W$62))</f>
        <v>833.33333333333337</v>
      </c>
      <c r="I79" s="85">
        <f>SUMPRODUCT(($A21=OH!$C$2:$C$62)*(OH!X$2:X$62))</f>
        <v>833.33333333333337</v>
      </c>
      <c r="J79" s="85">
        <f>SUMPRODUCT(($A21=OH!$C$2:$C$62)*(OH!Y$2:Y$62))</f>
        <v>833.33333333333337</v>
      </c>
      <c r="K79" s="85">
        <f>SUMPRODUCT(($A21=OH!$C$2:$C$62)*(OH!Z$2:Z$62))</f>
        <v>833.33333333333337</v>
      </c>
      <c r="L79" s="85">
        <f>SUMPRODUCT(($A21=OH!$C$2:$C$62)*(OH!AA$2:AA$62))</f>
        <v>833.33333333333337</v>
      </c>
      <c r="M79" s="85">
        <f>SUMPRODUCT(($A21=OH!$C$2:$C$62)*(OH!AB$2:AB$62))</f>
        <v>833.33333333333337</v>
      </c>
      <c r="N79" s="121">
        <f t="shared" si="4"/>
        <v>10000</v>
      </c>
    </row>
    <row r="80" spans="1:14">
      <c r="A80" s="1" t="s">
        <v>468</v>
      </c>
      <c r="B80" s="85">
        <f>SUMPRODUCT(($A22=OH!$C$2:$C$62)*(OH!Q$2:Q$62))</f>
        <v>416.66666666666669</v>
      </c>
      <c r="C80" s="85">
        <f>SUMPRODUCT(($A22=OH!$C$2:$C$62)*(OH!R$2:R$62))</f>
        <v>416.66666666666669</v>
      </c>
      <c r="D80" s="85">
        <f>SUMPRODUCT(($A22=OH!$C$2:$C$62)*(OH!S$2:S$62))</f>
        <v>416.66666666666669</v>
      </c>
      <c r="E80" s="85">
        <f>SUMPRODUCT(($A22=OH!$C$2:$C$62)*(OH!T$2:T$62))</f>
        <v>416.66666666666669</v>
      </c>
      <c r="F80" s="85">
        <f>SUMPRODUCT(($A22=OH!$C$2:$C$62)*(OH!U$2:U$62))</f>
        <v>416.66666666666669</v>
      </c>
      <c r="G80" s="85">
        <f>SUMPRODUCT(($A22=OH!$C$2:$C$62)*(OH!V$2:V$62))</f>
        <v>416.66666666666669</v>
      </c>
      <c r="H80" s="85">
        <f>SUMPRODUCT(($A22=OH!$C$2:$C$62)*(OH!W$2:W$62))</f>
        <v>416.66666666666669</v>
      </c>
      <c r="I80" s="85">
        <f>SUMPRODUCT(($A22=OH!$C$2:$C$62)*(OH!X$2:X$62))</f>
        <v>416.66666666666669</v>
      </c>
      <c r="J80" s="85">
        <f>SUMPRODUCT(($A22=OH!$C$2:$C$62)*(OH!Y$2:Y$62))</f>
        <v>416.66666666666669</v>
      </c>
      <c r="K80" s="85">
        <f>SUMPRODUCT(($A22=OH!$C$2:$C$62)*(OH!Z$2:Z$62))</f>
        <v>416.66666666666669</v>
      </c>
      <c r="L80" s="85">
        <f>SUMPRODUCT(($A22=OH!$C$2:$C$62)*(OH!AA$2:AA$62))</f>
        <v>416.66666666666669</v>
      </c>
      <c r="M80" s="85">
        <f>SUMPRODUCT(($A22=OH!$C$2:$C$62)*(OH!AB$2:AB$62))</f>
        <v>416.66666666666669</v>
      </c>
      <c r="N80" s="121">
        <f t="shared" si="4"/>
        <v>5000</v>
      </c>
    </row>
    <row r="81" spans="1:14">
      <c r="A81" s="1" t="s">
        <v>482</v>
      </c>
      <c r="B81" s="85">
        <f>SUMPRODUCT(($A23=OH!$C$2:$C$62)*(OH!Q$2:Q$62))</f>
        <v>200</v>
      </c>
      <c r="C81" s="85">
        <f>SUMPRODUCT(($A23=OH!$C$2:$C$62)*(OH!R$2:R$62))</f>
        <v>200</v>
      </c>
      <c r="D81" s="85">
        <f>SUMPRODUCT(($A23=OH!$C$2:$C$62)*(OH!S$2:S$62))</f>
        <v>600</v>
      </c>
      <c r="E81" s="85">
        <f>SUMPRODUCT(($A23=OH!$C$2:$C$62)*(OH!T$2:T$62))</f>
        <v>600</v>
      </c>
      <c r="F81" s="85">
        <f>SUMPRODUCT(($A23=OH!$C$2:$C$62)*(OH!U$2:U$62))</f>
        <v>1200</v>
      </c>
      <c r="G81" s="85">
        <f>SUMPRODUCT(($A23=OH!$C$2:$C$62)*(OH!V$2:V$62))</f>
        <v>1200</v>
      </c>
      <c r="H81" s="85">
        <f>SUMPRODUCT(($A23=OH!$C$2:$C$62)*(OH!W$2:W$62))</f>
        <v>1200</v>
      </c>
      <c r="I81" s="85">
        <f>SUMPRODUCT(($A23=OH!$C$2:$C$62)*(OH!X$2:X$62))</f>
        <v>1200</v>
      </c>
      <c r="J81" s="85">
        <f>SUMPRODUCT(($A23=OH!$C$2:$C$62)*(OH!Y$2:Y$62))</f>
        <v>1200</v>
      </c>
      <c r="K81" s="85">
        <f>SUMPRODUCT(($A23=OH!$C$2:$C$62)*(OH!Z$2:Z$62))</f>
        <v>1200</v>
      </c>
      <c r="L81" s="85">
        <f>SUMPRODUCT(($A23=OH!$C$2:$C$62)*(OH!AA$2:AA$62))</f>
        <v>200</v>
      </c>
      <c r="M81" s="85">
        <f>SUMPRODUCT(($A23=OH!$C$2:$C$62)*(OH!AB$2:AB$62))</f>
        <v>1000</v>
      </c>
      <c r="N81" s="121">
        <f t="shared" si="4"/>
        <v>10000</v>
      </c>
    </row>
    <row r="82" spans="1:14">
      <c r="A82" s="1" t="s">
        <v>469</v>
      </c>
      <c r="B82" s="85">
        <f>SUMPRODUCT(($A24=OH!$C$2:$C$62)*(OH!Q$2:Q$62))</f>
        <v>416.66666666666669</v>
      </c>
      <c r="C82" s="85">
        <f>SUMPRODUCT(($A24=OH!$C$2:$C$62)*(OH!R$2:R$62))</f>
        <v>416.66666666666669</v>
      </c>
      <c r="D82" s="85">
        <f>SUMPRODUCT(($A24=OH!$C$2:$C$62)*(OH!S$2:S$62))</f>
        <v>416.66666666666669</v>
      </c>
      <c r="E82" s="85">
        <f>SUMPRODUCT(($A24=OH!$C$2:$C$62)*(OH!T$2:T$62))</f>
        <v>416.66666666666669</v>
      </c>
      <c r="F82" s="85">
        <f>SUMPRODUCT(($A24=OH!$C$2:$C$62)*(OH!U$2:U$62))</f>
        <v>416.66666666666669</v>
      </c>
      <c r="G82" s="85">
        <f>SUMPRODUCT(($A24=OH!$C$2:$C$62)*(OH!V$2:V$62))</f>
        <v>416.66666666666669</v>
      </c>
      <c r="H82" s="85">
        <f>SUMPRODUCT(($A24=OH!$C$2:$C$62)*(OH!W$2:W$62))</f>
        <v>416.66666666666669</v>
      </c>
      <c r="I82" s="85">
        <f>SUMPRODUCT(($A24=OH!$C$2:$C$62)*(OH!X$2:X$62))</f>
        <v>416.66666666666669</v>
      </c>
      <c r="J82" s="85">
        <f>SUMPRODUCT(($A24=OH!$C$2:$C$62)*(OH!Y$2:Y$62))</f>
        <v>416.66666666666669</v>
      </c>
      <c r="K82" s="85">
        <f>SUMPRODUCT(($A24=OH!$C$2:$C$62)*(OH!Z$2:Z$62))</f>
        <v>416.66666666666669</v>
      </c>
      <c r="L82" s="85">
        <f>SUMPRODUCT(($A24=OH!$C$2:$C$62)*(OH!AA$2:AA$62))</f>
        <v>416.66666666666669</v>
      </c>
      <c r="M82" s="85">
        <f>SUMPRODUCT(($A24=OH!$C$2:$C$62)*(OH!AB$2:AB$62))</f>
        <v>416.66666666666669</v>
      </c>
      <c r="N82" s="121">
        <f t="shared" si="4"/>
        <v>5000</v>
      </c>
    </row>
    <row r="83" spans="1:14">
      <c r="A83" s="1" t="s">
        <v>456</v>
      </c>
      <c r="B83" s="85">
        <f>SUMPRODUCT(($A25=OH!$C$2:$C$62)*(OH!Q$2:Q$62))</f>
        <v>0</v>
      </c>
      <c r="C83" s="85">
        <f>SUMPRODUCT(($A25=OH!$C$2:$C$62)*(OH!R$2:R$62))</f>
        <v>1250</v>
      </c>
      <c r="D83" s="85">
        <f>SUMPRODUCT(($A25=OH!$C$2:$C$62)*(OH!S$2:S$62))</f>
        <v>0</v>
      </c>
      <c r="E83" s="85">
        <f>SUMPRODUCT(($A25=OH!$C$2:$C$62)*(OH!T$2:T$62))</f>
        <v>0</v>
      </c>
      <c r="F83" s="85">
        <f>SUMPRODUCT(($A25=OH!$C$2:$C$62)*(OH!U$2:U$62))</f>
        <v>1250</v>
      </c>
      <c r="G83" s="85">
        <f>SUMPRODUCT(($A25=OH!$C$2:$C$62)*(OH!V$2:V$62))</f>
        <v>0</v>
      </c>
      <c r="H83" s="85">
        <f>SUMPRODUCT(($A25=OH!$C$2:$C$62)*(OH!W$2:W$62))</f>
        <v>0</v>
      </c>
      <c r="I83" s="85">
        <f>SUMPRODUCT(($A25=OH!$C$2:$C$62)*(OH!X$2:X$62))</f>
        <v>1250</v>
      </c>
      <c r="J83" s="85">
        <f>SUMPRODUCT(($A25=OH!$C$2:$C$62)*(OH!Y$2:Y$62))</f>
        <v>0</v>
      </c>
      <c r="K83" s="85">
        <f>SUMPRODUCT(($A25=OH!$C$2:$C$62)*(OH!Z$2:Z$62))</f>
        <v>0</v>
      </c>
      <c r="L83" s="85">
        <f>SUMPRODUCT(($A25=OH!$C$2:$C$62)*(OH!AA$2:AA$62))</f>
        <v>1250</v>
      </c>
      <c r="M83" s="85">
        <f>SUMPRODUCT(($A25=OH!$C$2:$C$62)*(OH!AB$2:AB$62))</f>
        <v>0</v>
      </c>
      <c r="N83" s="121">
        <f t="shared" si="4"/>
        <v>5000</v>
      </c>
    </row>
    <row r="84" spans="1:14">
      <c r="A84" s="1" t="s">
        <v>483</v>
      </c>
      <c r="B84" s="85">
        <f>SUMPRODUCT(($A26=OH!$C$2:$C$62)*(OH!Q$2:Q$62))</f>
        <v>20</v>
      </c>
      <c r="C84" s="85">
        <f>SUMPRODUCT(($A26=OH!$C$2:$C$62)*(OH!R$2:R$62))</f>
        <v>20</v>
      </c>
      <c r="D84" s="85">
        <f>SUMPRODUCT(($A26=OH!$C$2:$C$62)*(OH!S$2:S$62))</f>
        <v>60</v>
      </c>
      <c r="E84" s="85">
        <f>SUMPRODUCT(($A26=OH!$C$2:$C$62)*(OH!T$2:T$62))</f>
        <v>60</v>
      </c>
      <c r="F84" s="85">
        <f>SUMPRODUCT(($A26=OH!$C$2:$C$62)*(OH!U$2:U$62))</f>
        <v>120</v>
      </c>
      <c r="G84" s="85">
        <f>SUMPRODUCT(($A26=OH!$C$2:$C$62)*(OH!V$2:V$62))</f>
        <v>120</v>
      </c>
      <c r="H84" s="85">
        <f>SUMPRODUCT(($A26=OH!$C$2:$C$62)*(OH!W$2:W$62))</f>
        <v>120</v>
      </c>
      <c r="I84" s="85">
        <f>SUMPRODUCT(($A26=OH!$C$2:$C$62)*(OH!X$2:X$62))</f>
        <v>120</v>
      </c>
      <c r="J84" s="85">
        <f>SUMPRODUCT(($A26=OH!$C$2:$C$62)*(OH!Y$2:Y$62))</f>
        <v>120</v>
      </c>
      <c r="K84" s="85">
        <f>SUMPRODUCT(($A26=OH!$C$2:$C$62)*(OH!Z$2:Z$62))</f>
        <v>120</v>
      </c>
      <c r="L84" s="85">
        <f>SUMPRODUCT(($A26=OH!$C$2:$C$62)*(OH!AA$2:AA$62))</f>
        <v>20</v>
      </c>
      <c r="M84" s="85">
        <f>SUMPRODUCT(($A26=OH!$C$2:$C$62)*(OH!AB$2:AB$62))</f>
        <v>100</v>
      </c>
      <c r="N84" s="121">
        <f t="shared" si="4"/>
        <v>1000</v>
      </c>
    </row>
    <row r="85" spans="1:14">
      <c r="A85" s="1" t="s">
        <v>470</v>
      </c>
      <c r="B85" s="85">
        <f>SUMPRODUCT(($A27=OH!$C$2:$C$62)*(OH!Q$2:Q$62))</f>
        <v>625</v>
      </c>
      <c r="C85" s="85">
        <f>SUMPRODUCT(($A27=OH!$C$2:$C$62)*(OH!R$2:R$62))</f>
        <v>625</v>
      </c>
      <c r="D85" s="85">
        <f>SUMPRODUCT(($A27=OH!$C$2:$C$62)*(OH!S$2:S$62))</f>
        <v>625</v>
      </c>
      <c r="E85" s="85">
        <f>SUMPRODUCT(($A27=OH!$C$2:$C$62)*(OH!T$2:T$62))</f>
        <v>625</v>
      </c>
      <c r="F85" s="85">
        <f>SUMPRODUCT(($A27=OH!$C$2:$C$62)*(OH!U$2:U$62))</f>
        <v>625</v>
      </c>
      <c r="G85" s="85">
        <f>SUMPRODUCT(($A27=OH!$C$2:$C$62)*(OH!V$2:V$62))</f>
        <v>625</v>
      </c>
      <c r="H85" s="85">
        <f>SUMPRODUCT(($A27=OH!$C$2:$C$62)*(OH!W$2:W$62))</f>
        <v>625</v>
      </c>
      <c r="I85" s="85">
        <f>SUMPRODUCT(($A27=OH!$C$2:$C$62)*(OH!X$2:X$62))</f>
        <v>625</v>
      </c>
      <c r="J85" s="85">
        <f>SUMPRODUCT(($A27=OH!$C$2:$C$62)*(OH!Y$2:Y$62))</f>
        <v>625</v>
      </c>
      <c r="K85" s="85">
        <f>SUMPRODUCT(($A27=OH!$C$2:$C$62)*(OH!Z$2:Z$62))</f>
        <v>625</v>
      </c>
      <c r="L85" s="85">
        <f>SUMPRODUCT(($A27=OH!$C$2:$C$62)*(OH!AA$2:AA$62))</f>
        <v>625</v>
      </c>
      <c r="M85" s="85">
        <f>SUMPRODUCT(($A27=OH!$C$2:$C$62)*(OH!AB$2:AB$62))</f>
        <v>625</v>
      </c>
      <c r="N85" s="121">
        <f t="shared" si="4"/>
        <v>7500</v>
      </c>
    </row>
    <row r="86" spans="1:14">
      <c r="A86" s="1" t="s">
        <v>484</v>
      </c>
      <c r="B86" s="85">
        <f>SUMPRODUCT(($A28=OH!$C$2:$C$62)*(OH!Q$2:Q$62))</f>
        <v>100</v>
      </c>
      <c r="C86" s="85">
        <f>SUMPRODUCT(($A28=OH!$C$2:$C$62)*(OH!R$2:R$62))</f>
        <v>100</v>
      </c>
      <c r="D86" s="85">
        <f>SUMPRODUCT(($A28=OH!$C$2:$C$62)*(OH!S$2:S$62))</f>
        <v>300</v>
      </c>
      <c r="E86" s="85">
        <f>SUMPRODUCT(($A28=OH!$C$2:$C$62)*(OH!T$2:T$62))</f>
        <v>300</v>
      </c>
      <c r="F86" s="85">
        <f>SUMPRODUCT(($A28=OH!$C$2:$C$62)*(OH!U$2:U$62))</f>
        <v>600</v>
      </c>
      <c r="G86" s="85">
        <f>SUMPRODUCT(($A28=OH!$C$2:$C$62)*(OH!V$2:V$62))</f>
        <v>600</v>
      </c>
      <c r="H86" s="85">
        <f>SUMPRODUCT(($A28=OH!$C$2:$C$62)*(OH!W$2:W$62))</f>
        <v>600</v>
      </c>
      <c r="I86" s="85">
        <f>SUMPRODUCT(($A28=OH!$C$2:$C$62)*(OH!X$2:X$62))</f>
        <v>600</v>
      </c>
      <c r="J86" s="85">
        <f>SUMPRODUCT(($A28=OH!$C$2:$C$62)*(OH!Y$2:Y$62))</f>
        <v>600</v>
      </c>
      <c r="K86" s="85">
        <f>SUMPRODUCT(($A28=OH!$C$2:$C$62)*(OH!Z$2:Z$62))</f>
        <v>600</v>
      </c>
      <c r="L86" s="85">
        <f>SUMPRODUCT(($A28=OH!$C$2:$C$62)*(OH!AA$2:AA$62))</f>
        <v>100</v>
      </c>
      <c r="M86" s="85">
        <f>SUMPRODUCT(($A28=OH!$C$2:$C$62)*(OH!AB$2:AB$62))</f>
        <v>500</v>
      </c>
      <c r="N86" s="121">
        <f t="shared" si="4"/>
        <v>5000</v>
      </c>
    </row>
    <row r="87" spans="1:14">
      <c r="A87" s="1" t="s">
        <v>457</v>
      </c>
      <c r="B87" s="85">
        <f>SUMPRODUCT(($A29=OH!$C$2:$C$62)*(OH!Q$2:Q$62))</f>
        <v>150</v>
      </c>
      <c r="C87" s="85">
        <f>SUMPRODUCT(($A29=OH!$C$2:$C$62)*(OH!R$2:R$62))</f>
        <v>150</v>
      </c>
      <c r="D87" s="85">
        <f>SUMPRODUCT(($A29=OH!$C$2:$C$62)*(OH!S$2:S$62))</f>
        <v>250</v>
      </c>
      <c r="E87" s="85">
        <f>SUMPRODUCT(($A29=OH!$C$2:$C$62)*(OH!T$2:T$62))</f>
        <v>450</v>
      </c>
      <c r="F87" s="85">
        <f>SUMPRODUCT(($A29=OH!$C$2:$C$62)*(OH!U$2:U$62))</f>
        <v>500</v>
      </c>
      <c r="G87" s="85">
        <f>SUMPRODUCT(($A29=OH!$C$2:$C$62)*(OH!V$2:V$62))</f>
        <v>500</v>
      </c>
      <c r="H87" s="85">
        <f>SUMPRODUCT(($A29=OH!$C$2:$C$62)*(OH!W$2:W$62))</f>
        <v>650</v>
      </c>
      <c r="I87" s="85">
        <f>SUMPRODUCT(($A29=OH!$C$2:$C$62)*(OH!X$2:X$62))</f>
        <v>650</v>
      </c>
      <c r="J87" s="85">
        <f>SUMPRODUCT(($A29=OH!$C$2:$C$62)*(OH!Y$2:Y$62))</f>
        <v>500</v>
      </c>
      <c r="K87" s="85">
        <f>SUMPRODUCT(($A29=OH!$C$2:$C$62)*(OH!Z$2:Z$62))</f>
        <v>450</v>
      </c>
      <c r="L87" s="85">
        <f>SUMPRODUCT(($A29=OH!$C$2:$C$62)*(OH!AA$2:AA$62))</f>
        <v>150</v>
      </c>
      <c r="M87" s="85">
        <f>SUMPRODUCT(($A29=OH!$C$2:$C$62)*(OH!AB$2:AB$62))</f>
        <v>600</v>
      </c>
      <c r="N87" s="121">
        <f t="shared" si="4"/>
        <v>5000</v>
      </c>
    </row>
    <row r="88" spans="1:14">
      <c r="A88" s="1" t="s">
        <v>4</v>
      </c>
      <c r="B88" s="85">
        <f>SUMPRODUCT(($A30=OH!$C$2:$C$62)*(OH!Q$2:Q$62))</f>
        <v>0</v>
      </c>
      <c r="C88" s="85">
        <f>SUMPRODUCT(($A30=OH!$C$2:$C$62)*(OH!R$2:R$62))</f>
        <v>1250</v>
      </c>
      <c r="D88" s="85">
        <f>SUMPRODUCT(($A30=OH!$C$2:$C$62)*(OH!S$2:S$62))</f>
        <v>0</v>
      </c>
      <c r="E88" s="85">
        <f>SUMPRODUCT(($A30=OH!$C$2:$C$62)*(OH!T$2:T$62))</f>
        <v>0</v>
      </c>
      <c r="F88" s="85">
        <f>SUMPRODUCT(($A30=OH!$C$2:$C$62)*(OH!U$2:U$62))</f>
        <v>1250</v>
      </c>
      <c r="G88" s="85">
        <f>SUMPRODUCT(($A30=OH!$C$2:$C$62)*(OH!V$2:V$62))</f>
        <v>0</v>
      </c>
      <c r="H88" s="85">
        <f>SUMPRODUCT(($A30=OH!$C$2:$C$62)*(OH!W$2:W$62))</f>
        <v>0</v>
      </c>
      <c r="I88" s="85">
        <f>SUMPRODUCT(($A30=OH!$C$2:$C$62)*(OH!X$2:X$62))</f>
        <v>1250</v>
      </c>
      <c r="J88" s="85">
        <f>SUMPRODUCT(($A30=OH!$C$2:$C$62)*(OH!Y$2:Y$62))</f>
        <v>0</v>
      </c>
      <c r="K88" s="85">
        <f>SUMPRODUCT(($A30=OH!$C$2:$C$62)*(OH!Z$2:Z$62))</f>
        <v>0</v>
      </c>
      <c r="L88" s="85">
        <f>SUMPRODUCT(($A30=OH!$C$2:$C$62)*(OH!AA$2:AA$62))</f>
        <v>1250</v>
      </c>
      <c r="M88" s="85">
        <f>SUMPRODUCT(($A30=OH!$C$2:$C$62)*(OH!AB$2:AB$62))</f>
        <v>0</v>
      </c>
      <c r="N88" s="121">
        <f t="shared" si="4"/>
        <v>5000</v>
      </c>
    </row>
    <row r="89" spans="1:14">
      <c r="A89" s="1" t="s">
        <v>442</v>
      </c>
      <c r="B89" s="85">
        <f>SUMPRODUCT(($A31=OH!$C$2:$C$62)*(OH!Q$2:Q$62))</f>
        <v>0</v>
      </c>
      <c r="C89" s="85">
        <f>SUMPRODUCT(($A31=OH!$C$2:$C$62)*(OH!R$2:R$62))</f>
        <v>0</v>
      </c>
      <c r="D89" s="85">
        <f>SUMPRODUCT(($A31=OH!$C$2:$C$62)*(OH!S$2:S$62))</f>
        <v>1250</v>
      </c>
      <c r="E89" s="85">
        <f>SUMPRODUCT(($A31=OH!$C$2:$C$62)*(OH!T$2:T$62))</f>
        <v>0</v>
      </c>
      <c r="F89" s="85">
        <f>SUMPRODUCT(($A31=OH!$C$2:$C$62)*(OH!U$2:U$62))</f>
        <v>0</v>
      </c>
      <c r="G89" s="85">
        <f>SUMPRODUCT(($A31=OH!$C$2:$C$62)*(OH!V$2:V$62))</f>
        <v>1250</v>
      </c>
      <c r="H89" s="85">
        <f>SUMPRODUCT(($A31=OH!$C$2:$C$62)*(OH!W$2:W$62))</f>
        <v>0</v>
      </c>
      <c r="I89" s="85">
        <f>SUMPRODUCT(($A31=OH!$C$2:$C$62)*(OH!X$2:X$62))</f>
        <v>0</v>
      </c>
      <c r="J89" s="85">
        <f>SUMPRODUCT(($A31=OH!$C$2:$C$62)*(OH!Y$2:Y$62))</f>
        <v>1250</v>
      </c>
      <c r="K89" s="85">
        <f>SUMPRODUCT(($A31=OH!$C$2:$C$62)*(OH!Z$2:Z$62))</f>
        <v>0</v>
      </c>
      <c r="L89" s="85">
        <f>SUMPRODUCT(($A31=OH!$C$2:$C$62)*(OH!AA$2:AA$62))</f>
        <v>0</v>
      </c>
      <c r="M89" s="85">
        <f>SUMPRODUCT(($A31=OH!$C$2:$C$62)*(OH!AB$2:AB$62))</f>
        <v>1250</v>
      </c>
      <c r="N89" s="121">
        <f t="shared" si="4"/>
        <v>5000</v>
      </c>
    </row>
    <row r="90" spans="1:14">
      <c r="A90" s="1" t="s">
        <v>485</v>
      </c>
      <c r="B90" s="85">
        <f>SUMPRODUCT(($A32=OH!$C$2:$C$62)*(OH!Q$2:Q$62))</f>
        <v>350</v>
      </c>
      <c r="C90" s="85">
        <f>SUMPRODUCT(($A32=OH!$C$2:$C$62)*(OH!R$2:R$62))</f>
        <v>350</v>
      </c>
      <c r="D90" s="85">
        <f>SUMPRODUCT(($A32=OH!$C$2:$C$62)*(OH!S$2:S$62))</f>
        <v>1050</v>
      </c>
      <c r="E90" s="85">
        <f>SUMPRODUCT(($A32=OH!$C$2:$C$62)*(OH!T$2:T$62))</f>
        <v>1050</v>
      </c>
      <c r="F90" s="85">
        <f>SUMPRODUCT(($A32=OH!$C$2:$C$62)*(OH!U$2:U$62))</f>
        <v>2100</v>
      </c>
      <c r="G90" s="85">
        <f>SUMPRODUCT(($A32=OH!$C$2:$C$62)*(OH!V$2:V$62))</f>
        <v>2100</v>
      </c>
      <c r="H90" s="85">
        <f>SUMPRODUCT(($A32=OH!$C$2:$C$62)*(OH!W$2:W$62))</f>
        <v>2100</v>
      </c>
      <c r="I90" s="85">
        <f>SUMPRODUCT(($A32=OH!$C$2:$C$62)*(OH!X$2:X$62))</f>
        <v>2100</v>
      </c>
      <c r="J90" s="85">
        <f>SUMPRODUCT(($A32=OH!$C$2:$C$62)*(OH!Y$2:Y$62))</f>
        <v>2100</v>
      </c>
      <c r="K90" s="85">
        <f>SUMPRODUCT(($A32=OH!$C$2:$C$62)*(OH!Z$2:Z$62))</f>
        <v>2100</v>
      </c>
      <c r="L90" s="85">
        <f>SUMPRODUCT(($A32=OH!$C$2:$C$62)*(OH!AA$2:AA$62))</f>
        <v>350</v>
      </c>
      <c r="M90" s="85">
        <f>SUMPRODUCT(($A32=OH!$C$2:$C$62)*(OH!AB$2:AB$62))</f>
        <v>1750</v>
      </c>
      <c r="N90" s="121">
        <f t="shared" si="4"/>
        <v>17500</v>
      </c>
    </row>
    <row r="91" spans="1:14">
      <c r="A91" s="1" t="s">
        <v>446</v>
      </c>
      <c r="B91" s="85">
        <f>SUMPRODUCT(($A33=OH!$C$2:$C$62)*(OH!Q$2:Q$62))</f>
        <v>0</v>
      </c>
      <c r="C91" s="85">
        <f>SUMPRODUCT(($A33=OH!$C$2:$C$62)*(OH!R$2:R$62))</f>
        <v>0</v>
      </c>
      <c r="D91" s="85">
        <f>SUMPRODUCT(($A33=OH!$C$2:$C$62)*(OH!S$2:S$62))</f>
        <v>0</v>
      </c>
      <c r="E91" s="85">
        <f>SUMPRODUCT(($A33=OH!$C$2:$C$62)*(OH!T$2:T$62))</f>
        <v>0</v>
      </c>
      <c r="F91" s="85">
        <f>SUMPRODUCT(($A33=OH!$C$2:$C$62)*(OH!U$2:U$62))</f>
        <v>0</v>
      </c>
      <c r="G91" s="85">
        <f>SUMPRODUCT(($A33=OH!$C$2:$C$62)*(OH!V$2:V$62))</f>
        <v>0</v>
      </c>
      <c r="H91" s="85">
        <f>SUMPRODUCT(($A33=OH!$C$2:$C$62)*(OH!W$2:W$62))</f>
        <v>0</v>
      </c>
      <c r="I91" s="85">
        <f>SUMPRODUCT(($A33=OH!$C$2:$C$62)*(OH!X$2:X$62))</f>
        <v>0</v>
      </c>
      <c r="J91" s="85">
        <f>SUMPRODUCT(($A33=OH!$C$2:$C$62)*(OH!Y$2:Y$62))</f>
        <v>0</v>
      </c>
      <c r="K91" s="85">
        <f>SUMPRODUCT(($A33=OH!$C$2:$C$62)*(OH!Z$2:Z$62))</f>
        <v>0</v>
      </c>
      <c r="L91" s="85">
        <f>SUMPRODUCT(($A33=OH!$C$2:$C$62)*(OH!AA$2:AA$62))</f>
        <v>0</v>
      </c>
      <c r="M91" s="85">
        <f>SUMPRODUCT(($A33=OH!$C$2:$C$62)*(OH!AB$2:AB$62))</f>
        <v>0</v>
      </c>
      <c r="N91" s="121">
        <f t="shared" si="4"/>
        <v>0</v>
      </c>
    </row>
    <row r="92" spans="1:14">
      <c r="A92" s="1" t="s">
        <v>471</v>
      </c>
      <c r="B92" s="85">
        <f>SUMPRODUCT(($A34=OH!$C$2:$C$62)*(OH!Q$2:Q$62))</f>
        <v>833.33333333333337</v>
      </c>
      <c r="C92" s="85">
        <f>SUMPRODUCT(($A34=OH!$C$2:$C$62)*(OH!R$2:R$62))</f>
        <v>833.33333333333337</v>
      </c>
      <c r="D92" s="85">
        <f>SUMPRODUCT(($A34=OH!$C$2:$C$62)*(OH!S$2:S$62))</f>
        <v>833.33333333333337</v>
      </c>
      <c r="E92" s="85">
        <f>SUMPRODUCT(($A34=OH!$C$2:$C$62)*(OH!T$2:T$62))</f>
        <v>833.33333333333337</v>
      </c>
      <c r="F92" s="85">
        <f>SUMPRODUCT(($A34=OH!$C$2:$C$62)*(OH!U$2:U$62))</f>
        <v>833.33333333333337</v>
      </c>
      <c r="G92" s="85">
        <f>SUMPRODUCT(($A34=OH!$C$2:$C$62)*(OH!V$2:V$62))</f>
        <v>833.33333333333337</v>
      </c>
      <c r="H92" s="85">
        <f>SUMPRODUCT(($A34=OH!$C$2:$C$62)*(OH!W$2:W$62))</f>
        <v>833.33333333333337</v>
      </c>
      <c r="I92" s="85">
        <f>SUMPRODUCT(($A34=OH!$C$2:$C$62)*(OH!X$2:X$62))</f>
        <v>833.33333333333337</v>
      </c>
      <c r="J92" s="85">
        <f>SUMPRODUCT(($A34=OH!$C$2:$C$62)*(OH!Y$2:Y$62))</f>
        <v>833.33333333333337</v>
      </c>
      <c r="K92" s="85">
        <f>SUMPRODUCT(($A34=OH!$C$2:$C$62)*(OH!Z$2:Z$62))</f>
        <v>833.33333333333337</v>
      </c>
      <c r="L92" s="85">
        <f>SUMPRODUCT(($A34=OH!$C$2:$C$62)*(OH!AA$2:AA$62))</f>
        <v>833.33333333333337</v>
      </c>
      <c r="M92" s="85">
        <f>SUMPRODUCT(($A34=OH!$C$2:$C$62)*(OH!AB$2:AB$62))</f>
        <v>833.33333333333337</v>
      </c>
      <c r="N92" s="121">
        <f t="shared" si="4"/>
        <v>10000</v>
      </c>
    </row>
    <row r="93" spans="1:14">
      <c r="A93" s="1" t="s">
        <v>460</v>
      </c>
      <c r="B93" s="85">
        <f>SUMPRODUCT(($A35=OH!$C$2:$C$62)*(OH!Q$2:Q$62))</f>
        <v>416.66666666666669</v>
      </c>
      <c r="C93" s="85">
        <f>SUMPRODUCT(($A35=OH!$C$2:$C$62)*(OH!R$2:R$62))</f>
        <v>416.66666666666669</v>
      </c>
      <c r="D93" s="85">
        <f>SUMPRODUCT(($A35=OH!$C$2:$C$62)*(OH!S$2:S$62))</f>
        <v>416.66666666666669</v>
      </c>
      <c r="E93" s="85">
        <f>SUMPRODUCT(($A35=OH!$C$2:$C$62)*(OH!T$2:T$62))</f>
        <v>416.66666666666669</v>
      </c>
      <c r="F93" s="85">
        <f>SUMPRODUCT(($A35=OH!$C$2:$C$62)*(OH!U$2:U$62))</f>
        <v>416.66666666666669</v>
      </c>
      <c r="G93" s="85">
        <f>SUMPRODUCT(($A35=OH!$C$2:$C$62)*(OH!V$2:V$62))</f>
        <v>416.66666666666669</v>
      </c>
      <c r="H93" s="85">
        <f>SUMPRODUCT(($A35=OH!$C$2:$C$62)*(OH!W$2:W$62))</f>
        <v>416.66666666666669</v>
      </c>
      <c r="I93" s="85">
        <f>SUMPRODUCT(($A35=OH!$C$2:$C$62)*(OH!X$2:X$62))</f>
        <v>416.66666666666669</v>
      </c>
      <c r="J93" s="85">
        <f>SUMPRODUCT(($A35=OH!$C$2:$C$62)*(OH!Y$2:Y$62))</f>
        <v>416.66666666666669</v>
      </c>
      <c r="K93" s="85">
        <f>SUMPRODUCT(($A35=OH!$C$2:$C$62)*(OH!Z$2:Z$62))</f>
        <v>416.66666666666669</v>
      </c>
      <c r="L93" s="85">
        <f>SUMPRODUCT(($A35=OH!$C$2:$C$62)*(OH!AA$2:AA$62))</f>
        <v>416.66666666666669</v>
      </c>
      <c r="M93" s="85">
        <f>SUMPRODUCT(($A35=OH!$C$2:$C$62)*(OH!AB$2:AB$62))</f>
        <v>416.66666666666669</v>
      </c>
      <c r="N93" s="121">
        <f t="shared" si="4"/>
        <v>5000</v>
      </c>
    </row>
    <row r="94" spans="1:14">
      <c r="A94" s="1" t="s">
        <v>2</v>
      </c>
      <c r="B94" s="85">
        <f>SUMPRODUCT(($A36=OH!$C$2:$C$62)*(OH!Q$2:Q$62))</f>
        <v>83.333333333333329</v>
      </c>
      <c r="C94" s="85">
        <f>SUMPRODUCT(($A36=OH!$C$2:$C$62)*(OH!R$2:R$62))</f>
        <v>83.333333333333329</v>
      </c>
      <c r="D94" s="85">
        <f>SUMPRODUCT(($A36=OH!$C$2:$C$62)*(OH!S$2:S$62))</f>
        <v>83.333333333333329</v>
      </c>
      <c r="E94" s="85">
        <f>SUMPRODUCT(($A36=OH!$C$2:$C$62)*(OH!T$2:T$62))</f>
        <v>83.333333333333329</v>
      </c>
      <c r="F94" s="85">
        <f>SUMPRODUCT(($A36=OH!$C$2:$C$62)*(OH!U$2:U$62))</f>
        <v>83.333333333333329</v>
      </c>
      <c r="G94" s="85">
        <f>SUMPRODUCT(($A36=OH!$C$2:$C$62)*(OH!V$2:V$62))</f>
        <v>83.333333333333329</v>
      </c>
      <c r="H94" s="85">
        <f>SUMPRODUCT(($A36=OH!$C$2:$C$62)*(OH!W$2:W$62))</f>
        <v>83.333333333333329</v>
      </c>
      <c r="I94" s="85">
        <f>SUMPRODUCT(($A36=OH!$C$2:$C$62)*(OH!X$2:X$62))</f>
        <v>83.333333333333329</v>
      </c>
      <c r="J94" s="85">
        <f>SUMPRODUCT(($A36=OH!$C$2:$C$62)*(OH!Y$2:Y$62))</f>
        <v>83.333333333333329</v>
      </c>
      <c r="K94" s="85">
        <f>SUMPRODUCT(($A36=OH!$C$2:$C$62)*(OH!Z$2:Z$62))</f>
        <v>83.333333333333329</v>
      </c>
      <c r="L94" s="85">
        <f>SUMPRODUCT(($A36=OH!$C$2:$C$62)*(OH!AA$2:AA$62))</f>
        <v>83.333333333333329</v>
      </c>
      <c r="M94" s="85">
        <f>SUMPRODUCT(($A36=OH!$C$2:$C$62)*(OH!AB$2:AB$62))</f>
        <v>83.333333333333329</v>
      </c>
      <c r="N94" s="121">
        <f t="shared" si="4"/>
        <v>1000.0000000000001</v>
      </c>
    </row>
    <row r="95" spans="1:14">
      <c r="A95" s="1" t="s">
        <v>472</v>
      </c>
      <c r="B95" s="85">
        <f>SUMPRODUCT(($A37=OH!$C$2:$C$62)*(OH!Q$2:Q$62))</f>
        <v>208.33333333333334</v>
      </c>
      <c r="C95" s="85">
        <f>SUMPRODUCT(($A37=OH!$C$2:$C$62)*(OH!R$2:R$62))</f>
        <v>208.33333333333334</v>
      </c>
      <c r="D95" s="85">
        <f>SUMPRODUCT(($A37=OH!$C$2:$C$62)*(OH!S$2:S$62))</f>
        <v>208.33333333333334</v>
      </c>
      <c r="E95" s="85">
        <f>SUMPRODUCT(($A37=OH!$C$2:$C$62)*(OH!T$2:T$62))</f>
        <v>208.33333333333334</v>
      </c>
      <c r="F95" s="85">
        <f>SUMPRODUCT(($A37=OH!$C$2:$C$62)*(OH!U$2:U$62))</f>
        <v>208.33333333333334</v>
      </c>
      <c r="G95" s="85">
        <f>SUMPRODUCT(($A37=OH!$C$2:$C$62)*(OH!V$2:V$62))</f>
        <v>208.33333333333334</v>
      </c>
      <c r="H95" s="85">
        <f>SUMPRODUCT(($A37=OH!$C$2:$C$62)*(OH!W$2:W$62))</f>
        <v>208.33333333333334</v>
      </c>
      <c r="I95" s="85">
        <f>SUMPRODUCT(($A37=OH!$C$2:$C$62)*(OH!X$2:X$62))</f>
        <v>208.33333333333334</v>
      </c>
      <c r="J95" s="85">
        <f>SUMPRODUCT(($A37=OH!$C$2:$C$62)*(OH!Y$2:Y$62))</f>
        <v>208.33333333333334</v>
      </c>
      <c r="K95" s="85">
        <f>SUMPRODUCT(($A37=OH!$C$2:$C$62)*(OH!Z$2:Z$62))</f>
        <v>208.33333333333334</v>
      </c>
      <c r="L95" s="85">
        <f>SUMPRODUCT(($A37=OH!$C$2:$C$62)*(OH!AA$2:AA$62))</f>
        <v>208.33333333333334</v>
      </c>
      <c r="M95" s="85">
        <f>SUMPRODUCT(($A37=OH!$C$2:$C$62)*(OH!AB$2:AB$62))</f>
        <v>208.33333333333334</v>
      </c>
      <c r="N95" s="121">
        <f t="shared" si="4"/>
        <v>2500</v>
      </c>
    </row>
    <row r="96" spans="1:14">
      <c r="A96" s="1" t="s">
        <v>25</v>
      </c>
      <c r="B96" s="85">
        <f>SUMPRODUCT(($A38=OH!$C$2:$C$62)*(OH!Q$2:Q$62))</f>
        <v>7250</v>
      </c>
      <c r="C96" s="85">
        <f>SUMPRODUCT(($A38=OH!$C$2:$C$62)*(OH!R$2:R$62))</f>
        <v>7250</v>
      </c>
      <c r="D96" s="85">
        <f>SUMPRODUCT(($A38=OH!$C$2:$C$62)*(OH!S$2:S$62))</f>
        <v>7250</v>
      </c>
      <c r="E96" s="85">
        <f>SUMPRODUCT(($A38=OH!$C$2:$C$62)*(OH!T$2:T$62))</f>
        <v>7250</v>
      </c>
      <c r="F96" s="85">
        <f>SUMPRODUCT(($A38=OH!$C$2:$C$62)*(OH!U$2:U$62))</f>
        <v>7250</v>
      </c>
      <c r="G96" s="85">
        <f>SUMPRODUCT(($A38=OH!$C$2:$C$62)*(OH!V$2:V$62))</f>
        <v>7250</v>
      </c>
      <c r="H96" s="85">
        <f>SUMPRODUCT(($A38=OH!$C$2:$C$62)*(OH!W$2:W$62))</f>
        <v>7250</v>
      </c>
      <c r="I96" s="85">
        <f>SUMPRODUCT(($A38=OH!$C$2:$C$62)*(OH!X$2:X$62))</f>
        <v>7250</v>
      </c>
      <c r="J96" s="85">
        <f>SUMPRODUCT(($A38=OH!$C$2:$C$62)*(OH!Y$2:Y$62))</f>
        <v>7250</v>
      </c>
      <c r="K96" s="85">
        <f>SUMPRODUCT(($A38=OH!$C$2:$C$62)*(OH!Z$2:Z$62))</f>
        <v>7250</v>
      </c>
      <c r="L96" s="85">
        <f>SUMPRODUCT(($A38=OH!$C$2:$C$62)*(OH!AA$2:AA$62))</f>
        <v>7250</v>
      </c>
      <c r="M96" s="85">
        <f>SUMPRODUCT(($A38=OH!$C$2:$C$62)*(OH!AB$2:AB$62))</f>
        <v>7250</v>
      </c>
      <c r="N96" s="121">
        <f t="shared" si="4"/>
        <v>87000</v>
      </c>
    </row>
    <row r="97" spans="1:14">
      <c r="A97" s="1" t="s">
        <v>458</v>
      </c>
      <c r="B97" s="85">
        <f>SUMPRODUCT(($A39=OH!$C$2:$C$62)*(OH!Q$2:Q$62))</f>
        <v>41.666666666666664</v>
      </c>
      <c r="C97" s="85">
        <f>SUMPRODUCT(($A39=OH!$C$2:$C$62)*(OH!R$2:R$62))</f>
        <v>41.666666666666664</v>
      </c>
      <c r="D97" s="85">
        <f>SUMPRODUCT(($A39=OH!$C$2:$C$62)*(OH!S$2:S$62))</f>
        <v>41.666666666666664</v>
      </c>
      <c r="E97" s="85">
        <f>SUMPRODUCT(($A39=OH!$C$2:$C$62)*(OH!T$2:T$62))</f>
        <v>41.666666666666664</v>
      </c>
      <c r="F97" s="85">
        <f>SUMPRODUCT(($A39=OH!$C$2:$C$62)*(OH!U$2:U$62))</f>
        <v>41.666666666666664</v>
      </c>
      <c r="G97" s="85">
        <f>SUMPRODUCT(($A39=OH!$C$2:$C$62)*(OH!V$2:V$62))</f>
        <v>41.666666666666664</v>
      </c>
      <c r="H97" s="85">
        <f>SUMPRODUCT(($A39=OH!$C$2:$C$62)*(OH!W$2:W$62))</f>
        <v>41.666666666666664</v>
      </c>
      <c r="I97" s="85">
        <f>SUMPRODUCT(($A39=OH!$C$2:$C$62)*(OH!X$2:X$62))</f>
        <v>41.666666666666664</v>
      </c>
      <c r="J97" s="85">
        <f>SUMPRODUCT(($A39=OH!$C$2:$C$62)*(OH!Y$2:Y$62))</f>
        <v>41.666666666666664</v>
      </c>
      <c r="K97" s="85">
        <f>SUMPRODUCT(($A39=OH!$C$2:$C$62)*(OH!Z$2:Z$62))</f>
        <v>41.666666666666664</v>
      </c>
      <c r="L97" s="85">
        <f>SUMPRODUCT(($A39=OH!$C$2:$C$62)*(OH!AA$2:AA$62))</f>
        <v>41.666666666666664</v>
      </c>
      <c r="M97" s="85">
        <f>SUMPRODUCT(($A39=OH!$C$2:$C$62)*(OH!AB$2:AB$62))</f>
        <v>41.666666666666664</v>
      </c>
      <c r="N97" s="121">
        <f t="shared" si="4"/>
        <v>500.00000000000006</v>
      </c>
    </row>
    <row r="98" spans="1:14">
      <c r="A98" s="1" t="s">
        <v>459</v>
      </c>
      <c r="B98" s="85">
        <f>SUMPRODUCT(($A40=OH!$C$2:$C$62)*(OH!Q$2:Q$62))</f>
        <v>208.33333333333334</v>
      </c>
      <c r="C98" s="85">
        <f>SUMPRODUCT(($A40=OH!$C$2:$C$62)*(OH!R$2:R$62))</f>
        <v>208.33333333333334</v>
      </c>
      <c r="D98" s="85">
        <f>SUMPRODUCT(($A40=OH!$C$2:$C$62)*(OH!S$2:S$62))</f>
        <v>208.33333333333334</v>
      </c>
      <c r="E98" s="85">
        <f>SUMPRODUCT(($A40=OH!$C$2:$C$62)*(OH!T$2:T$62))</f>
        <v>208.33333333333334</v>
      </c>
      <c r="F98" s="85">
        <f>SUMPRODUCT(($A40=OH!$C$2:$C$62)*(OH!U$2:U$62))</f>
        <v>208.33333333333334</v>
      </c>
      <c r="G98" s="85">
        <f>SUMPRODUCT(($A40=OH!$C$2:$C$62)*(OH!V$2:V$62))</f>
        <v>208.33333333333334</v>
      </c>
      <c r="H98" s="85">
        <f>SUMPRODUCT(($A40=OH!$C$2:$C$62)*(OH!W$2:W$62))</f>
        <v>208.33333333333334</v>
      </c>
      <c r="I98" s="85">
        <f>SUMPRODUCT(($A40=OH!$C$2:$C$62)*(OH!X$2:X$62))</f>
        <v>208.33333333333334</v>
      </c>
      <c r="J98" s="85">
        <f>SUMPRODUCT(($A40=OH!$C$2:$C$62)*(OH!Y$2:Y$62))</f>
        <v>208.33333333333334</v>
      </c>
      <c r="K98" s="85">
        <f>SUMPRODUCT(($A40=OH!$C$2:$C$62)*(OH!Z$2:Z$62))</f>
        <v>208.33333333333334</v>
      </c>
      <c r="L98" s="85">
        <f>SUMPRODUCT(($A40=OH!$C$2:$C$62)*(OH!AA$2:AA$62))</f>
        <v>208.33333333333334</v>
      </c>
      <c r="M98" s="85">
        <f>SUMPRODUCT(($A40=OH!$C$2:$C$62)*(OH!AB$2:AB$62))</f>
        <v>208.33333333333334</v>
      </c>
      <c r="N98" s="121">
        <f t="shared" si="4"/>
        <v>2500</v>
      </c>
    </row>
    <row r="99" spans="1:14">
      <c r="A99" s="1" t="s">
        <v>488</v>
      </c>
      <c r="B99" s="85">
        <f>SUMPRODUCT(($A41=OH!$C$2:$C$62)*(OH!Q$2:Q$62))</f>
        <v>625</v>
      </c>
      <c r="C99" s="85">
        <f>SUMPRODUCT(($A41=OH!$C$2:$C$62)*(OH!R$2:R$62))</f>
        <v>625</v>
      </c>
      <c r="D99" s="85">
        <f>SUMPRODUCT(($A41=OH!$C$2:$C$62)*(OH!S$2:S$62))</f>
        <v>625</v>
      </c>
      <c r="E99" s="85">
        <f>SUMPRODUCT(($A41=OH!$C$2:$C$62)*(OH!T$2:T$62))</f>
        <v>625</v>
      </c>
      <c r="F99" s="85">
        <f>SUMPRODUCT(($A41=OH!$C$2:$C$62)*(OH!U$2:U$62))</f>
        <v>625</v>
      </c>
      <c r="G99" s="85">
        <f>SUMPRODUCT(($A41=OH!$C$2:$C$62)*(OH!V$2:V$62))</f>
        <v>625</v>
      </c>
      <c r="H99" s="85">
        <f>SUMPRODUCT(($A41=OH!$C$2:$C$62)*(OH!W$2:W$62))</f>
        <v>625</v>
      </c>
      <c r="I99" s="85">
        <f>SUMPRODUCT(($A41=OH!$C$2:$C$62)*(OH!X$2:X$62))</f>
        <v>625</v>
      </c>
      <c r="J99" s="85">
        <f>SUMPRODUCT(($A41=OH!$C$2:$C$62)*(OH!Y$2:Y$62))</f>
        <v>625</v>
      </c>
      <c r="K99" s="85">
        <f>SUMPRODUCT(($A41=OH!$C$2:$C$62)*(OH!Z$2:Z$62))</f>
        <v>625</v>
      </c>
      <c r="L99" s="85">
        <f>SUMPRODUCT(($A41=OH!$C$2:$C$62)*(OH!AA$2:AA$62))</f>
        <v>625</v>
      </c>
      <c r="M99" s="85">
        <f>SUMPRODUCT(($A41=OH!$C$2:$C$62)*(OH!AB$2:AB$62))</f>
        <v>625</v>
      </c>
      <c r="N99" s="121">
        <f t="shared" si="4"/>
        <v>7500</v>
      </c>
    </row>
    <row r="100" spans="1:14">
      <c r="A100" s="1" t="s">
        <v>450</v>
      </c>
      <c r="B100" s="85">
        <f>SUMPRODUCT(($A42=OH!$C$2:$C$62)*(OH!Q$2:Q$62))</f>
        <v>7500</v>
      </c>
      <c r="C100" s="85">
        <f>SUMPRODUCT(($A42=OH!$C$2:$C$62)*(OH!R$2:R$62))</f>
        <v>0</v>
      </c>
      <c r="D100" s="85">
        <f>SUMPRODUCT(($A42=OH!$C$2:$C$62)*(OH!S$2:S$62))</f>
        <v>0</v>
      </c>
      <c r="E100" s="85">
        <f>SUMPRODUCT(($A42=OH!$C$2:$C$62)*(OH!T$2:T$62))</f>
        <v>0</v>
      </c>
      <c r="F100" s="85">
        <f>SUMPRODUCT(($A42=OH!$C$2:$C$62)*(OH!U$2:U$62))</f>
        <v>0</v>
      </c>
      <c r="G100" s="85">
        <f>SUMPRODUCT(($A42=OH!$C$2:$C$62)*(OH!V$2:V$62))</f>
        <v>0</v>
      </c>
      <c r="H100" s="85">
        <f>SUMPRODUCT(($A42=OH!$C$2:$C$62)*(OH!W$2:W$62))</f>
        <v>0</v>
      </c>
      <c r="I100" s="85">
        <f>SUMPRODUCT(($A42=OH!$C$2:$C$62)*(OH!X$2:X$62))</f>
        <v>0</v>
      </c>
      <c r="J100" s="85">
        <f>SUMPRODUCT(($A42=OH!$C$2:$C$62)*(OH!Y$2:Y$62))</f>
        <v>0</v>
      </c>
      <c r="K100" s="85">
        <f>SUMPRODUCT(($A42=OH!$C$2:$C$62)*(OH!Z$2:Z$62))</f>
        <v>0</v>
      </c>
      <c r="L100" s="85">
        <f>SUMPRODUCT(($A42=OH!$C$2:$C$62)*(OH!AA$2:AA$62))</f>
        <v>0</v>
      </c>
      <c r="M100" s="85">
        <f>SUMPRODUCT(($A42=OH!$C$2:$C$62)*(OH!AB$2:AB$62))</f>
        <v>0</v>
      </c>
      <c r="N100" s="121">
        <f t="shared" si="4"/>
        <v>7500</v>
      </c>
    </row>
    <row r="101" spans="1:14">
      <c r="A101" s="1" t="s">
        <v>473</v>
      </c>
      <c r="B101" s="85">
        <f>SUMPRODUCT(($A43=OH!$C$2:$C$62)*(OH!Q$2:Q$62))</f>
        <v>416.66666666666669</v>
      </c>
      <c r="C101" s="85">
        <f>SUMPRODUCT(($A43=OH!$C$2:$C$62)*(OH!R$2:R$62))</f>
        <v>416.66666666666669</v>
      </c>
      <c r="D101" s="85">
        <f>SUMPRODUCT(($A43=OH!$C$2:$C$62)*(OH!S$2:S$62))</f>
        <v>416.66666666666669</v>
      </c>
      <c r="E101" s="85">
        <f>SUMPRODUCT(($A43=OH!$C$2:$C$62)*(OH!T$2:T$62))</f>
        <v>416.66666666666669</v>
      </c>
      <c r="F101" s="85">
        <f>SUMPRODUCT(($A43=OH!$C$2:$C$62)*(OH!U$2:U$62))</f>
        <v>416.66666666666669</v>
      </c>
      <c r="G101" s="85">
        <f>SUMPRODUCT(($A43=OH!$C$2:$C$62)*(OH!V$2:V$62))</f>
        <v>416.66666666666669</v>
      </c>
      <c r="H101" s="85">
        <f>SUMPRODUCT(($A43=OH!$C$2:$C$62)*(OH!W$2:W$62))</f>
        <v>416.66666666666669</v>
      </c>
      <c r="I101" s="85">
        <f>SUMPRODUCT(($A43=OH!$C$2:$C$62)*(OH!X$2:X$62))</f>
        <v>416.66666666666669</v>
      </c>
      <c r="J101" s="85">
        <f>SUMPRODUCT(($A43=OH!$C$2:$C$62)*(OH!Y$2:Y$62))</f>
        <v>416.66666666666669</v>
      </c>
      <c r="K101" s="85">
        <f>SUMPRODUCT(($A43=OH!$C$2:$C$62)*(OH!Z$2:Z$62))</f>
        <v>416.66666666666669</v>
      </c>
      <c r="L101" s="85">
        <f>SUMPRODUCT(($A43=OH!$C$2:$C$62)*(OH!AA$2:AA$62))</f>
        <v>416.66666666666669</v>
      </c>
      <c r="M101" s="85">
        <f>SUMPRODUCT(($A43=OH!$C$2:$C$62)*(OH!AB$2:AB$62))</f>
        <v>416.66666666666669</v>
      </c>
      <c r="N101" s="121">
        <f t="shared" si="4"/>
        <v>5000</v>
      </c>
    </row>
    <row r="102" spans="1:14">
      <c r="A102" s="1" t="s">
        <v>449</v>
      </c>
      <c r="B102" s="85">
        <f>SUMPRODUCT(($A44=OH!$C$2:$C$62)*(OH!Q$2:Q$62))</f>
        <v>0</v>
      </c>
      <c r="C102" s="85">
        <f>SUMPRODUCT(($A44=OH!$C$2:$C$62)*(OH!R$2:R$62))</f>
        <v>0</v>
      </c>
      <c r="D102" s="85">
        <f>SUMPRODUCT(($A44=OH!$C$2:$C$62)*(OH!S$2:S$62))</f>
        <v>0</v>
      </c>
      <c r="E102" s="85">
        <f>SUMPRODUCT(($A44=OH!$C$2:$C$62)*(OH!T$2:T$62))</f>
        <v>0</v>
      </c>
      <c r="F102" s="85">
        <f>SUMPRODUCT(($A44=OH!$C$2:$C$62)*(OH!U$2:U$62))</f>
        <v>0</v>
      </c>
      <c r="G102" s="85">
        <f>SUMPRODUCT(($A44=OH!$C$2:$C$62)*(OH!V$2:V$62))</f>
        <v>0</v>
      </c>
      <c r="H102" s="85">
        <f>SUMPRODUCT(($A44=OH!$C$2:$C$62)*(OH!W$2:W$62))</f>
        <v>0</v>
      </c>
      <c r="I102" s="85">
        <f>SUMPRODUCT(($A44=OH!$C$2:$C$62)*(OH!X$2:X$62))</f>
        <v>0</v>
      </c>
      <c r="J102" s="85">
        <f>SUMPRODUCT(($A44=OH!$C$2:$C$62)*(OH!Y$2:Y$62))</f>
        <v>0</v>
      </c>
      <c r="K102" s="85">
        <f>SUMPRODUCT(($A44=OH!$C$2:$C$62)*(OH!Z$2:Z$62))</f>
        <v>0</v>
      </c>
      <c r="L102" s="85">
        <f>SUMPRODUCT(($A44=OH!$C$2:$C$62)*(OH!AA$2:AA$62))</f>
        <v>0</v>
      </c>
      <c r="M102" s="85">
        <f>SUMPRODUCT(($A44=OH!$C$2:$C$62)*(OH!AB$2:AB$62))</f>
        <v>0</v>
      </c>
      <c r="N102" s="121">
        <f t="shared" si="4"/>
        <v>0</v>
      </c>
    </row>
    <row r="103" spans="1:14">
      <c r="A103" s="1" t="s">
        <v>29</v>
      </c>
      <c r="B103" s="85">
        <f>SUMPRODUCT(($A45=OH!$C$2:$C$62)*(OH!Q$2:Q$62))</f>
        <v>1250</v>
      </c>
      <c r="C103" s="85">
        <f>SUMPRODUCT(($A45=OH!$C$2:$C$62)*(OH!R$2:R$62))</f>
        <v>0</v>
      </c>
      <c r="D103" s="85">
        <f>SUMPRODUCT(($A45=OH!$C$2:$C$62)*(OH!S$2:S$62))</f>
        <v>0</v>
      </c>
      <c r="E103" s="85">
        <f>SUMPRODUCT(($A45=OH!$C$2:$C$62)*(OH!T$2:T$62))</f>
        <v>1250</v>
      </c>
      <c r="F103" s="85">
        <f>SUMPRODUCT(($A45=OH!$C$2:$C$62)*(OH!U$2:U$62))</f>
        <v>0</v>
      </c>
      <c r="G103" s="85">
        <f>SUMPRODUCT(($A45=OH!$C$2:$C$62)*(OH!V$2:V$62))</f>
        <v>0</v>
      </c>
      <c r="H103" s="85">
        <f>SUMPRODUCT(($A45=OH!$C$2:$C$62)*(OH!W$2:W$62))</f>
        <v>1250</v>
      </c>
      <c r="I103" s="85">
        <f>SUMPRODUCT(($A45=OH!$C$2:$C$62)*(OH!X$2:X$62))</f>
        <v>0</v>
      </c>
      <c r="J103" s="85">
        <f>SUMPRODUCT(($A45=OH!$C$2:$C$62)*(OH!Y$2:Y$62))</f>
        <v>0</v>
      </c>
      <c r="K103" s="85">
        <f>SUMPRODUCT(($A45=OH!$C$2:$C$62)*(OH!Z$2:Z$62))</f>
        <v>1250</v>
      </c>
      <c r="L103" s="85">
        <f>SUMPRODUCT(($A45=OH!$C$2:$C$62)*(OH!AA$2:AA$62))</f>
        <v>0</v>
      </c>
      <c r="M103" s="85">
        <f>SUMPRODUCT(($A45=OH!$C$2:$C$62)*(OH!AB$2:AB$62))</f>
        <v>0</v>
      </c>
      <c r="N103" s="121">
        <f t="shared" si="4"/>
        <v>5000</v>
      </c>
    </row>
    <row r="104" spans="1:14">
      <c r="A104" s="1" t="s">
        <v>489</v>
      </c>
      <c r="B104" s="85">
        <f>SUMPRODUCT(($A46=OH!$C$2:$C$62)*(OH!Q$2:Q$62))</f>
        <v>833.33333333333337</v>
      </c>
      <c r="C104" s="85">
        <f>SUMPRODUCT(($A46=OH!$C$2:$C$62)*(OH!R$2:R$62))</f>
        <v>833.33333333333337</v>
      </c>
      <c r="D104" s="85">
        <f>SUMPRODUCT(($A46=OH!$C$2:$C$62)*(OH!S$2:S$62))</f>
        <v>833.33333333333337</v>
      </c>
      <c r="E104" s="85">
        <f>SUMPRODUCT(($A46=OH!$C$2:$C$62)*(OH!T$2:T$62))</f>
        <v>833.33333333333337</v>
      </c>
      <c r="F104" s="85">
        <f>SUMPRODUCT(($A46=OH!$C$2:$C$62)*(OH!U$2:U$62))</f>
        <v>833.33333333333337</v>
      </c>
      <c r="G104" s="85">
        <f>SUMPRODUCT(($A46=OH!$C$2:$C$62)*(OH!V$2:V$62))</f>
        <v>833.33333333333337</v>
      </c>
      <c r="H104" s="85">
        <f>SUMPRODUCT(($A46=OH!$C$2:$C$62)*(OH!W$2:W$62))</f>
        <v>833.33333333333337</v>
      </c>
      <c r="I104" s="85">
        <f>SUMPRODUCT(($A46=OH!$C$2:$C$62)*(OH!X$2:X$62))</f>
        <v>833.33333333333337</v>
      </c>
      <c r="J104" s="85">
        <f>SUMPRODUCT(($A46=OH!$C$2:$C$62)*(OH!Y$2:Y$62))</f>
        <v>833.33333333333337</v>
      </c>
      <c r="K104" s="85">
        <f>SUMPRODUCT(($A46=OH!$C$2:$C$62)*(OH!Z$2:Z$62))</f>
        <v>833.33333333333337</v>
      </c>
      <c r="L104" s="85">
        <f>SUMPRODUCT(($A46=OH!$C$2:$C$62)*(OH!AA$2:AA$62))</f>
        <v>833.33333333333337</v>
      </c>
      <c r="M104" s="85">
        <f>SUMPRODUCT(($A46=OH!$C$2:$C$62)*(OH!AB$2:AB$62))</f>
        <v>833.33333333333337</v>
      </c>
      <c r="N104" s="121">
        <f t="shared" si="4"/>
        <v>10000</v>
      </c>
    </row>
    <row r="105" spans="1:14">
      <c r="A105" s="1" t="s">
        <v>479</v>
      </c>
      <c r="B105" s="85">
        <f>SUMPRODUCT(($A47=OH!$C$2:$C$62)*(OH!Q$2:Q$62))</f>
        <v>541.66666666666663</v>
      </c>
      <c r="C105" s="85">
        <f>SUMPRODUCT(($A47=OH!$C$2:$C$62)*(OH!R$2:R$62))</f>
        <v>541.66666666666663</v>
      </c>
      <c r="D105" s="85">
        <f>SUMPRODUCT(($A47=OH!$C$2:$C$62)*(OH!S$2:S$62))</f>
        <v>541.66666666666663</v>
      </c>
      <c r="E105" s="85">
        <f>SUMPRODUCT(($A47=OH!$C$2:$C$62)*(OH!T$2:T$62))</f>
        <v>541.66666666666663</v>
      </c>
      <c r="F105" s="85">
        <f>SUMPRODUCT(($A47=OH!$C$2:$C$62)*(OH!U$2:U$62))</f>
        <v>541.66666666666663</v>
      </c>
      <c r="G105" s="85">
        <f>SUMPRODUCT(($A47=OH!$C$2:$C$62)*(OH!V$2:V$62))</f>
        <v>541.66666666666663</v>
      </c>
      <c r="H105" s="85">
        <f>SUMPRODUCT(($A47=OH!$C$2:$C$62)*(OH!W$2:W$62))</f>
        <v>541.66666666666663</v>
      </c>
      <c r="I105" s="85">
        <f>SUMPRODUCT(($A47=OH!$C$2:$C$62)*(OH!X$2:X$62))</f>
        <v>541.66666666666663</v>
      </c>
      <c r="J105" s="85">
        <f>SUMPRODUCT(($A47=OH!$C$2:$C$62)*(OH!Y$2:Y$62))</f>
        <v>541.66666666666663</v>
      </c>
      <c r="K105" s="85">
        <f>SUMPRODUCT(($A47=OH!$C$2:$C$62)*(OH!Z$2:Z$62))</f>
        <v>541.66666666666663</v>
      </c>
      <c r="L105" s="85">
        <f>SUMPRODUCT(($A47=OH!$C$2:$C$62)*(OH!AA$2:AA$62))</f>
        <v>541.66666666666663</v>
      </c>
      <c r="M105" s="85">
        <f>SUMPRODUCT(($A47=OH!$C$2:$C$62)*(OH!AB$2:AB$62))</f>
        <v>541.66666666666663</v>
      </c>
      <c r="N105" s="121">
        <f t="shared" si="4"/>
        <v>6500.0000000000009</v>
      </c>
    </row>
    <row r="106" spans="1:14">
      <c r="A106" s="1" t="s">
        <v>474</v>
      </c>
      <c r="B106" s="85">
        <f>SUMPRODUCT(($A48=OH!$C$2:$C$62)*(OH!Q$2:Q$62))</f>
        <v>4166.666666666667</v>
      </c>
      <c r="C106" s="85">
        <f>SUMPRODUCT(($A48=OH!$C$2:$C$62)*(OH!R$2:R$62))</f>
        <v>4166.666666666667</v>
      </c>
      <c r="D106" s="85">
        <f>SUMPRODUCT(($A48=OH!$C$2:$C$62)*(OH!S$2:S$62))</f>
        <v>4166.666666666667</v>
      </c>
      <c r="E106" s="85">
        <f>SUMPRODUCT(($A48=OH!$C$2:$C$62)*(OH!T$2:T$62))</f>
        <v>4166.666666666667</v>
      </c>
      <c r="F106" s="85">
        <f>SUMPRODUCT(($A48=OH!$C$2:$C$62)*(OH!U$2:U$62))</f>
        <v>4166.666666666667</v>
      </c>
      <c r="G106" s="85">
        <f>SUMPRODUCT(($A48=OH!$C$2:$C$62)*(OH!V$2:V$62))</f>
        <v>4166.666666666667</v>
      </c>
      <c r="H106" s="85">
        <f>SUMPRODUCT(($A48=OH!$C$2:$C$62)*(OH!W$2:W$62))</f>
        <v>4166.666666666667</v>
      </c>
      <c r="I106" s="85">
        <f>SUMPRODUCT(($A48=OH!$C$2:$C$62)*(OH!X$2:X$62))</f>
        <v>4166.666666666667</v>
      </c>
      <c r="J106" s="85">
        <f>SUMPRODUCT(($A48=OH!$C$2:$C$62)*(OH!Y$2:Y$62))</f>
        <v>4166.666666666667</v>
      </c>
      <c r="K106" s="85">
        <f>SUMPRODUCT(($A48=OH!$C$2:$C$62)*(OH!Z$2:Z$62))</f>
        <v>4166.666666666667</v>
      </c>
      <c r="L106" s="85">
        <f>SUMPRODUCT(($A48=OH!$C$2:$C$62)*(OH!AA$2:AA$62))</f>
        <v>4166.666666666667</v>
      </c>
      <c r="M106" s="85">
        <f>SUMPRODUCT(($A48=OH!$C$2:$C$62)*(OH!AB$2:AB$62))</f>
        <v>4166.666666666667</v>
      </c>
      <c r="N106" s="121">
        <f t="shared" si="4"/>
        <v>49999.999999999993</v>
      </c>
    </row>
    <row r="107" spans="1:14">
      <c r="A107" s="1" t="s">
        <v>490</v>
      </c>
      <c r="B107" s="85">
        <f>SUMPRODUCT(($A49=OH!$C$2:$C$62)*(OH!Q$2:Q$62))</f>
        <v>416.66666666666669</v>
      </c>
      <c r="C107" s="85">
        <f>SUMPRODUCT(($A49=OH!$C$2:$C$62)*(OH!R$2:R$62))</f>
        <v>416.66666666666669</v>
      </c>
      <c r="D107" s="85">
        <f>SUMPRODUCT(($A49=OH!$C$2:$C$62)*(OH!S$2:S$62))</f>
        <v>416.66666666666669</v>
      </c>
      <c r="E107" s="85">
        <f>SUMPRODUCT(($A49=OH!$C$2:$C$62)*(OH!T$2:T$62))</f>
        <v>416.66666666666669</v>
      </c>
      <c r="F107" s="85">
        <f>SUMPRODUCT(($A49=OH!$C$2:$C$62)*(OH!U$2:U$62))</f>
        <v>416.66666666666669</v>
      </c>
      <c r="G107" s="85">
        <f>SUMPRODUCT(($A49=OH!$C$2:$C$62)*(OH!V$2:V$62))</f>
        <v>416.66666666666669</v>
      </c>
      <c r="H107" s="85">
        <f>SUMPRODUCT(($A49=OH!$C$2:$C$62)*(OH!W$2:W$62))</f>
        <v>416.66666666666669</v>
      </c>
      <c r="I107" s="85">
        <f>SUMPRODUCT(($A49=OH!$C$2:$C$62)*(OH!X$2:X$62))</f>
        <v>416.66666666666669</v>
      </c>
      <c r="J107" s="85">
        <f>SUMPRODUCT(($A49=OH!$C$2:$C$62)*(OH!Y$2:Y$62))</f>
        <v>416.66666666666669</v>
      </c>
      <c r="K107" s="85">
        <f>SUMPRODUCT(($A49=OH!$C$2:$C$62)*(OH!Z$2:Z$62))</f>
        <v>416.66666666666669</v>
      </c>
      <c r="L107" s="85">
        <f>SUMPRODUCT(($A49=OH!$C$2:$C$62)*(OH!AA$2:AA$62))</f>
        <v>416.66666666666669</v>
      </c>
      <c r="M107" s="85">
        <f>SUMPRODUCT(($A49=OH!$C$2:$C$62)*(OH!AB$2:AB$62))</f>
        <v>416.66666666666669</v>
      </c>
      <c r="N107" s="121">
        <f t="shared" si="4"/>
        <v>5000</v>
      </c>
    </row>
    <row r="108" spans="1:14">
      <c r="A108" s="1" t="s">
        <v>475</v>
      </c>
      <c r="B108" s="85">
        <f>SUMPRODUCT(($A50=OH!$C$2:$C$62)*(OH!Q$2:Q$62))</f>
        <v>1041.6666666666667</v>
      </c>
      <c r="C108" s="85">
        <f>SUMPRODUCT(($A50=OH!$C$2:$C$62)*(OH!R$2:R$62))</f>
        <v>1041.6666666666667</v>
      </c>
      <c r="D108" s="85">
        <f>SUMPRODUCT(($A50=OH!$C$2:$C$62)*(OH!S$2:S$62))</f>
        <v>1041.6666666666667</v>
      </c>
      <c r="E108" s="85">
        <f>SUMPRODUCT(($A50=OH!$C$2:$C$62)*(OH!T$2:T$62))</f>
        <v>1041.6666666666667</v>
      </c>
      <c r="F108" s="85">
        <f>SUMPRODUCT(($A50=OH!$C$2:$C$62)*(OH!U$2:U$62))</f>
        <v>1041.6666666666667</v>
      </c>
      <c r="G108" s="85">
        <f>SUMPRODUCT(($A50=OH!$C$2:$C$62)*(OH!V$2:V$62))</f>
        <v>1041.6666666666667</v>
      </c>
      <c r="H108" s="85">
        <f>SUMPRODUCT(($A50=OH!$C$2:$C$62)*(OH!W$2:W$62))</f>
        <v>1041.6666666666667</v>
      </c>
      <c r="I108" s="85">
        <f>SUMPRODUCT(($A50=OH!$C$2:$C$62)*(OH!X$2:X$62))</f>
        <v>1041.6666666666667</v>
      </c>
      <c r="J108" s="85">
        <f>SUMPRODUCT(($A50=OH!$C$2:$C$62)*(OH!Y$2:Y$62))</f>
        <v>1041.6666666666667</v>
      </c>
      <c r="K108" s="85">
        <f>SUMPRODUCT(($A50=OH!$C$2:$C$62)*(OH!Z$2:Z$62))</f>
        <v>1041.6666666666667</v>
      </c>
      <c r="L108" s="85">
        <f>SUMPRODUCT(($A50=OH!$C$2:$C$62)*(OH!AA$2:AA$62))</f>
        <v>1041.6666666666667</v>
      </c>
      <c r="M108" s="85">
        <f>SUMPRODUCT(($A50=OH!$C$2:$C$62)*(OH!AB$2:AB$62))</f>
        <v>1041.6666666666667</v>
      </c>
      <c r="N108" s="121">
        <f t="shared" si="4"/>
        <v>12499.999999999998</v>
      </c>
    </row>
    <row r="109" spans="1:14">
      <c r="A109" s="1" t="s">
        <v>461</v>
      </c>
      <c r="B109" s="85">
        <f>SUMPRODUCT(($A51=OH!$C$2:$C$62)*(OH!Q$2:Q$62))</f>
        <v>833.33333333333337</v>
      </c>
      <c r="C109" s="85">
        <f>SUMPRODUCT(($A51=OH!$C$2:$C$62)*(OH!R$2:R$62))</f>
        <v>833.33333333333337</v>
      </c>
      <c r="D109" s="85">
        <f>SUMPRODUCT(($A51=OH!$C$2:$C$62)*(OH!S$2:S$62))</f>
        <v>833.33333333333337</v>
      </c>
      <c r="E109" s="85">
        <f>SUMPRODUCT(($A51=OH!$C$2:$C$62)*(OH!T$2:T$62))</f>
        <v>833.33333333333337</v>
      </c>
      <c r="F109" s="85">
        <f>SUMPRODUCT(($A51=OH!$C$2:$C$62)*(OH!U$2:U$62))</f>
        <v>833.33333333333337</v>
      </c>
      <c r="G109" s="85">
        <f>SUMPRODUCT(($A51=OH!$C$2:$C$62)*(OH!V$2:V$62))</f>
        <v>833.33333333333337</v>
      </c>
      <c r="H109" s="85">
        <f>SUMPRODUCT(($A51=OH!$C$2:$C$62)*(OH!W$2:W$62))</f>
        <v>833.33333333333337</v>
      </c>
      <c r="I109" s="85">
        <f>SUMPRODUCT(($A51=OH!$C$2:$C$62)*(OH!X$2:X$62))</f>
        <v>833.33333333333337</v>
      </c>
      <c r="J109" s="85">
        <f>SUMPRODUCT(($A51=OH!$C$2:$C$62)*(OH!Y$2:Y$62))</f>
        <v>833.33333333333337</v>
      </c>
      <c r="K109" s="85">
        <f>SUMPRODUCT(($A51=OH!$C$2:$C$62)*(OH!Z$2:Z$62))</f>
        <v>833.33333333333337</v>
      </c>
      <c r="L109" s="85">
        <f>SUMPRODUCT(($A51=OH!$C$2:$C$62)*(OH!AA$2:AA$62))</f>
        <v>833.33333333333337</v>
      </c>
      <c r="M109" s="85">
        <f>SUMPRODUCT(($A51=OH!$C$2:$C$62)*(OH!AB$2:AB$62))</f>
        <v>833.33333333333337</v>
      </c>
      <c r="N109" s="121">
        <f t="shared" si="4"/>
        <v>10000</v>
      </c>
    </row>
    <row r="110" spans="1:14">
      <c r="A110" s="1" t="s">
        <v>462</v>
      </c>
      <c r="B110" s="85">
        <f>SUMPRODUCT(($A52=OH!$C$2:$C$62)*(OH!Q$2:Q$62))</f>
        <v>416.66666666666669</v>
      </c>
      <c r="C110" s="85">
        <f>SUMPRODUCT(($A52=OH!$C$2:$C$62)*(OH!R$2:R$62))</f>
        <v>416.66666666666669</v>
      </c>
      <c r="D110" s="85">
        <f>SUMPRODUCT(($A52=OH!$C$2:$C$62)*(OH!S$2:S$62))</f>
        <v>416.66666666666669</v>
      </c>
      <c r="E110" s="85">
        <f>SUMPRODUCT(($A52=OH!$C$2:$C$62)*(OH!T$2:T$62))</f>
        <v>416.66666666666669</v>
      </c>
      <c r="F110" s="85">
        <f>SUMPRODUCT(($A52=OH!$C$2:$C$62)*(OH!U$2:U$62))</f>
        <v>416.66666666666669</v>
      </c>
      <c r="G110" s="85">
        <f>SUMPRODUCT(($A52=OH!$C$2:$C$62)*(OH!V$2:V$62))</f>
        <v>416.66666666666669</v>
      </c>
      <c r="H110" s="85">
        <f>SUMPRODUCT(($A52=OH!$C$2:$C$62)*(OH!W$2:W$62))</f>
        <v>416.66666666666669</v>
      </c>
      <c r="I110" s="85">
        <f>SUMPRODUCT(($A52=OH!$C$2:$C$62)*(OH!X$2:X$62))</f>
        <v>416.66666666666669</v>
      </c>
      <c r="J110" s="85">
        <f>SUMPRODUCT(($A52=OH!$C$2:$C$62)*(OH!Y$2:Y$62))</f>
        <v>416.66666666666669</v>
      </c>
      <c r="K110" s="85">
        <f>SUMPRODUCT(($A52=OH!$C$2:$C$62)*(OH!Z$2:Z$62))</f>
        <v>416.66666666666669</v>
      </c>
      <c r="L110" s="85">
        <f>SUMPRODUCT(($A52=OH!$C$2:$C$62)*(OH!AA$2:AA$62))</f>
        <v>416.66666666666669</v>
      </c>
      <c r="M110" s="85">
        <f>SUMPRODUCT(($A52=OH!$C$2:$C$62)*(OH!AB$2:AB$62))</f>
        <v>416.66666666666669</v>
      </c>
      <c r="N110" s="121">
        <f t="shared" si="4"/>
        <v>5000</v>
      </c>
    </row>
    <row r="111" spans="1:14">
      <c r="A111" s="1" t="s">
        <v>3</v>
      </c>
      <c r="B111" s="85">
        <f>SUMPRODUCT(($A53=OH!$C$2:$C$62)*(OH!Q$2:Q$62))</f>
        <v>5000</v>
      </c>
      <c r="C111" s="85">
        <f>SUMPRODUCT(($A53=OH!$C$2:$C$62)*(OH!R$2:R$62))</f>
        <v>0</v>
      </c>
      <c r="D111" s="85">
        <f>SUMPRODUCT(($A53=OH!$C$2:$C$62)*(OH!S$2:S$62))</f>
        <v>0</v>
      </c>
      <c r="E111" s="85">
        <f>SUMPRODUCT(($A53=OH!$C$2:$C$62)*(OH!T$2:T$62))</f>
        <v>0</v>
      </c>
      <c r="F111" s="85">
        <f>SUMPRODUCT(($A53=OH!$C$2:$C$62)*(OH!U$2:U$62))</f>
        <v>0</v>
      </c>
      <c r="G111" s="85">
        <f>SUMPRODUCT(($A53=OH!$C$2:$C$62)*(OH!V$2:V$62))</f>
        <v>0</v>
      </c>
      <c r="H111" s="85">
        <f>SUMPRODUCT(($A53=OH!$C$2:$C$62)*(OH!W$2:W$62))</f>
        <v>5000</v>
      </c>
      <c r="I111" s="85">
        <f>SUMPRODUCT(($A53=OH!$C$2:$C$62)*(OH!X$2:X$62))</f>
        <v>0</v>
      </c>
      <c r="J111" s="85">
        <f>SUMPRODUCT(($A53=OH!$C$2:$C$62)*(OH!Y$2:Y$62))</f>
        <v>0</v>
      </c>
      <c r="K111" s="85">
        <f>SUMPRODUCT(($A53=OH!$C$2:$C$62)*(OH!Z$2:Z$62))</f>
        <v>0</v>
      </c>
      <c r="L111" s="85">
        <f>SUMPRODUCT(($A53=OH!$C$2:$C$62)*(OH!AA$2:AA$62))</f>
        <v>0</v>
      </c>
      <c r="M111" s="85">
        <f>SUMPRODUCT(($A53=OH!$C$2:$C$62)*(OH!AB$2:AB$62))</f>
        <v>0</v>
      </c>
      <c r="N111" s="121">
        <f t="shared" si="4"/>
        <v>10000</v>
      </c>
    </row>
    <row r="112" spans="1:14">
      <c r="A112" s="1" t="s">
        <v>476</v>
      </c>
      <c r="B112" s="85">
        <f>SUMPRODUCT(($A54=OH!$C$2:$C$62)*(OH!Q$2:Q$62))</f>
        <v>250</v>
      </c>
      <c r="C112" s="85">
        <f>SUMPRODUCT(($A54=OH!$C$2:$C$62)*(OH!R$2:R$62))</f>
        <v>250</v>
      </c>
      <c r="D112" s="85">
        <f>SUMPRODUCT(($A54=OH!$C$2:$C$62)*(OH!S$2:S$62))</f>
        <v>250</v>
      </c>
      <c r="E112" s="85">
        <f>SUMPRODUCT(($A54=OH!$C$2:$C$62)*(OH!T$2:T$62))</f>
        <v>250</v>
      </c>
      <c r="F112" s="85">
        <f>SUMPRODUCT(($A54=OH!$C$2:$C$62)*(OH!U$2:U$62))</f>
        <v>250</v>
      </c>
      <c r="G112" s="85">
        <f>SUMPRODUCT(($A54=OH!$C$2:$C$62)*(OH!V$2:V$62))</f>
        <v>250</v>
      </c>
      <c r="H112" s="85">
        <f>SUMPRODUCT(($A54=OH!$C$2:$C$62)*(OH!W$2:W$62))</f>
        <v>250</v>
      </c>
      <c r="I112" s="85">
        <f>SUMPRODUCT(($A54=OH!$C$2:$C$62)*(OH!X$2:X$62))</f>
        <v>250</v>
      </c>
      <c r="J112" s="85">
        <f>SUMPRODUCT(($A54=OH!$C$2:$C$62)*(OH!Y$2:Y$62))</f>
        <v>250</v>
      </c>
      <c r="K112" s="85">
        <f>SUMPRODUCT(($A54=OH!$C$2:$C$62)*(OH!Z$2:Z$62))</f>
        <v>250</v>
      </c>
      <c r="L112" s="85">
        <f>SUMPRODUCT(($A54=OH!$C$2:$C$62)*(OH!AA$2:AA$62))</f>
        <v>250</v>
      </c>
      <c r="M112" s="85">
        <f>SUMPRODUCT(($A54=OH!$C$2:$C$62)*(OH!AB$2:AB$62))</f>
        <v>250</v>
      </c>
      <c r="N112" s="121">
        <f t="shared" si="4"/>
        <v>3000</v>
      </c>
    </row>
    <row r="113" spans="1:14">
      <c r="A113" s="1" t="s">
        <v>66</v>
      </c>
      <c r="B113" s="85">
        <f>SUMPRODUCT(($A55=OH!$C$2:$C$62)*(OH!Q$2:Q$62))</f>
        <v>48333.333333333336</v>
      </c>
      <c r="C113" s="85">
        <f>SUMPRODUCT(($A55=OH!$C$2:$C$62)*(OH!R$2:R$62))</f>
        <v>48333.333333333336</v>
      </c>
      <c r="D113" s="85">
        <f>SUMPRODUCT(($A55=OH!$C$2:$C$62)*(OH!S$2:S$62))</f>
        <v>48333.333333333336</v>
      </c>
      <c r="E113" s="85">
        <f>SUMPRODUCT(($A55=OH!$C$2:$C$62)*(OH!T$2:T$62))</f>
        <v>48333.333333333336</v>
      </c>
      <c r="F113" s="85">
        <f>SUMPRODUCT(($A55=OH!$C$2:$C$62)*(OH!U$2:U$62))</f>
        <v>48333.333333333336</v>
      </c>
      <c r="G113" s="85">
        <f>SUMPRODUCT(($A55=OH!$C$2:$C$62)*(OH!V$2:V$62))</f>
        <v>48333.333333333336</v>
      </c>
      <c r="H113" s="85">
        <f>SUMPRODUCT(($A55=OH!$C$2:$C$62)*(OH!W$2:W$62))</f>
        <v>48333.333333333336</v>
      </c>
      <c r="I113" s="85">
        <f>SUMPRODUCT(($A55=OH!$C$2:$C$62)*(OH!X$2:X$62))</f>
        <v>48333.333333333336</v>
      </c>
      <c r="J113" s="85">
        <f>SUMPRODUCT(($A55=OH!$C$2:$C$62)*(OH!Y$2:Y$62))</f>
        <v>48333.333333333336</v>
      </c>
      <c r="K113" s="85">
        <f>SUMPRODUCT(($A55=OH!$C$2:$C$62)*(OH!Z$2:Z$62))</f>
        <v>48333.333333333336</v>
      </c>
      <c r="L113" s="85">
        <f>SUMPRODUCT(($A55=OH!$C$2:$C$62)*(OH!AA$2:AA$62))</f>
        <v>48333.333333333336</v>
      </c>
      <c r="M113" s="85">
        <f>SUMPRODUCT(($A55=OH!$C$2:$C$62)*(OH!AB$2:AB$62))</f>
        <v>48333.333333333336</v>
      </c>
      <c r="N113" s="121">
        <f t="shared" si="4"/>
        <v>580000</v>
      </c>
    </row>
    <row r="114" spans="1:14">
      <c r="A114" s="1" t="s">
        <v>447</v>
      </c>
      <c r="B114" s="85">
        <f>SUMPRODUCT(($A56=OH!$C$2:$C$62)*(OH!Q$2:Q$62))</f>
        <v>416.66666666666669</v>
      </c>
      <c r="C114" s="85">
        <f>SUMPRODUCT(($A56=OH!$C$2:$C$62)*(OH!R$2:R$62))</f>
        <v>416.66666666666669</v>
      </c>
      <c r="D114" s="85">
        <f>SUMPRODUCT(($A56=OH!$C$2:$C$62)*(OH!S$2:S$62))</f>
        <v>416.66666666666669</v>
      </c>
      <c r="E114" s="85">
        <f>SUMPRODUCT(($A56=OH!$C$2:$C$62)*(OH!T$2:T$62))</f>
        <v>416.66666666666669</v>
      </c>
      <c r="F114" s="85">
        <f>SUMPRODUCT(($A56=OH!$C$2:$C$62)*(OH!U$2:U$62))</f>
        <v>416.66666666666669</v>
      </c>
      <c r="G114" s="85">
        <f>SUMPRODUCT(($A56=OH!$C$2:$C$62)*(OH!V$2:V$62))</f>
        <v>416.66666666666669</v>
      </c>
      <c r="H114" s="85">
        <f>SUMPRODUCT(($A56=OH!$C$2:$C$62)*(OH!W$2:W$62))</f>
        <v>416.66666666666669</v>
      </c>
      <c r="I114" s="85">
        <f>SUMPRODUCT(($A56=OH!$C$2:$C$62)*(OH!X$2:X$62))</f>
        <v>416.66666666666669</v>
      </c>
      <c r="J114" s="85">
        <f>SUMPRODUCT(($A56=OH!$C$2:$C$62)*(OH!Y$2:Y$62))</f>
        <v>416.66666666666669</v>
      </c>
      <c r="K114" s="85">
        <f>SUMPRODUCT(($A56=OH!$C$2:$C$62)*(OH!Z$2:Z$62))</f>
        <v>416.66666666666669</v>
      </c>
      <c r="L114" s="85">
        <f>SUMPRODUCT(($A56=OH!$C$2:$C$62)*(OH!AA$2:AA$62))</f>
        <v>416.66666666666669</v>
      </c>
      <c r="M114" s="85">
        <f>SUMPRODUCT(($A56=OH!$C$2:$C$62)*(OH!AB$2:AB$62))</f>
        <v>416.66666666666669</v>
      </c>
      <c r="N114" s="121">
        <f t="shared" si="4"/>
        <v>5000</v>
      </c>
    </row>
    <row r="115" spans="1:14">
      <c r="A115" s="1" t="s">
        <v>171</v>
      </c>
      <c r="B115" s="121">
        <f t="shared" ref="B115:M115" si="5">SUM(B60:B114)</f>
        <v>163808.82375625</v>
      </c>
      <c r="C115" s="121">
        <f t="shared" si="5"/>
        <v>93933.823756249985</v>
      </c>
      <c r="D115" s="121">
        <f t="shared" si="5"/>
        <v>93976.471268749985</v>
      </c>
      <c r="E115" s="121">
        <f t="shared" si="5"/>
        <v>132276.47126875003</v>
      </c>
      <c r="F115" s="121">
        <f t="shared" si="5"/>
        <v>102752.94253750001</v>
      </c>
      <c r="G115" s="121">
        <f t="shared" si="5"/>
        <v>101127.94253750001</v>
      </c>
      <c r="H115" s="121">
        <f t="shared" si="5"/>
        <v>143977.9425375</v>
      </c>
      <c r="I115" s="121">
        <f t="shared" si="5"/>
        <v>104102.94253750001</v>
      </c>
      <c r="J115" s="121">
        <f t="shared" si="5"/>
        <v>101127.94253750001</v>
      </c>
      <c r="K115" s="121">
        <f t="shared" si="5"/>
        <v>137177.9425375</v>
      </c>
      <c r="L115" s="121">
        <f t="shared" si="5"/>
        <v>91433.823756249985</v>
      </c>
      <c r="M115" s="121">
        <f t="shared" si="5"/>
        <v>100394.11878125001</v>
      </c>
      <c r="N115" s="121">
        <f>SUM(B115:M115)</f>
        <v>1366091.1878125004</v>
      </c>
    </row>
  </sheetData>
  <pageMargins left="0.70866141732283472" right="0.70866141732283472" top="0.74803149606299213" bottom="0.74803149606299213" header="0.31496062992125984" footer="0.31496062992125984"/>
  <pageSetup paperSize="9" scale="84" orientation="landscape" verticalDpi="0" r:id="rId1"/>
  <rowBreaks count="1" manualBreakCount="1">
    <brk id="5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H46"/>
  <sheetViews>
    <sheetView showRowColHeaders="0" zoomScale="252" zoomScaleNormal="252" workbookViewId="0">
      <selection activeCell="B60" sqref="B60"/>
    </sheetView>
  </sheetViews>
  <sheetFormatPr defaultColWidth="9.109375" defaultRowHeight="13.2"/>
  <cols>
    <col min="1" max="16384" width="9.109375" style="136"/>
  </cols>
  <sheetData>
    <row r="1" spans="1:8">
      <c r="A1" s="146"/>
      <c r="B1" s="146"/>
      <c r="C1" s="146"/>
      <c r="D1" s="146"/>
      <c r="E1" s="146"/>
      <c r="F1" s="146"/>
      <c r="G1" s="146"/>
      <c r="H1" s="146"/>
    </row>
    <row r="2" spans="1:8">
      <c r="A2" s="146" t="s">
        <v>320</v>
      </c>
      <c r="B2" s="146"/>
      <c r="C2" s="146"/>
      <c r="D2" s="146"/>
      <c r="E2" s="146"/>
      <c r="F2" s="146"/>
      <c r="G2" s="146"/>
      <c r="H2" s="146"/>
    </row>
    <row r="3" spans="1:8">
      <c r="A3" s="146" t="s">
        <v>319</v>
      </c>
      <c r="B3" s="146"/>
      <c r="C3" s="146"/>
      <c r="D3" s="146"/>
      <c r="E3" s="146"/>
      <c r="F3" s="146"/>
      <c r="G3" s="146"/>
      <c r="H3" s="146"/>
    </row>
    <row r="4" spans="1:8">
      <c r="A4" s="146" t="s">
        <v>318</v>
      </c>
      <c r="B4" s="146"/>
      <c r="C4" s="146"/>
      <c r="D4" s="146"/>
      <c r="E4" s="146"/>
      <c r="F4" s="146"/>
      <c r="G4" s="146"/>
      <c r="H4" s="146"/>
    </row>
    <row r="5" spans="1:8">
      <c r="A5" s="146" t="s">
        <v>317</v>
      </c>
      <c r="B5" s="146"/>
      <c r="C5" s="146"/>
      <c r="D5" s="146"/>
      <c r="E5" s="146"/>
      <c r="F5" s="146"/>
      <c r="G5" s="146"/>
      <c r="H5" s="146"/>
    </row>
    <row r="6" spans="1:8">
      <c r="A6" s="146" t="s">
        <v>316</v>
      </c>
      <c r="B6" s="146"/>
      <c r="C6" s="146"/>
      <c r="D6" s="146"/>
      <c r="E6" s="146"/>
      <c r="F6" s="146"/>
      <c r="G6" s="146"/>
      <c r="H6" s="146"/>
    </row>
    <row r="7" spans="1:8">
      <c r="A7" s="146"/>
      <c r="B7" s="146"/>
      <c r="C7" s="146"/>
      <c r="D7" s="146"/>
      <c r="E7" s="146"/>
      <c r="F7" s="146"/>
      <c r="G7" s="146"/>
      <c r="H7" s="146"/>
    </row>
    <row r="8" spans="1:8">
      <c r="A8" s="146" t="s">
        <v>315</v>
      </c>
      <c r="B8" s="146"/>
      <c r="C8" s="146"/>
      <c r="D8" s="146"/>
      <c r="E8" s="146"/>
      <c r="F8" s="146"/>
      <c r="G8" s="146"/>
      <c r="H8" s="146"/>
    </row>
    <row r="9" spans="1:8">
      <c r="A9" s="144"/>
      <c r="B9" s="144"/>
      <c r="C9" s="144"/>
      <c r="D9" s="144"/>
      <c r="E9" s="144"/>
      <c r="F9" s="144"/>
      <c r="G9" s="144"/>
      <c r="H9" s="144"/>
    </row>
    <row r="10" spans="1:8">
      <c r="A10" s="144"/>
      <c r="B10" s="144"/>
      <c r="C10" s="144"/>
      <c r="D10" s="144"/>
      <c r="E10" s="144"/>
      <c r="F10" s="144"/>
      <c r="G10" s="144"/>
      <c r="H10" s="144"/>
    </row>
    <row r="11" spans="1:8">
      <c r="A11" s="144"/>
      <c r="B11" s="144"/>
      <c r="C11" s="144"/>
      <c r="D11" s="144"/>
      <c r="E11" s="144"/>
      <c r="F11" s="144"/>
      <c r="G11" s="144"/>
      <c r="H11" s="144"/>
    </row>
    <row r="12" spans="1:8">
      <c r="A12" s="144"/>
      <c r="B12" s="144"/>
      <c r="C12" s="144"/>
      <c r="D12" s="144"/>
      <c r="E12" s="144"/>
      <c r="F12" s="144"/>
      <c r="G12" s="144"/>
      <c r="H12" s="144"/>
    </row>
    <row r="13" spans="1:8">
      <c r="A13" s="144"/>
      <c r="B13" s="144"/>
      <c r="C13" s="144"/>
      <c r="D13" s="144"/>
      <c r="E13" s="144"/>
      <c r="F13" s="144"/>
      <c r="G13" s="144"/>
      <c r="H13" s="144"/>
    </row>
    <row r="14" spans="1:8">
      <c r="A14" s="144"/>
      <c r="B14" s="144"/>
      <c r="C14" s="144"/>
      <c r="D14" s="144"/>
      <c r="E14" s="144"/>
      <c r="F14" s="144"/>
      <c r="G14" s="144"/>
      <c r="H14" s="144"/>
    </row>
    <row r="15" spans="1:8">
      <c r="A15" s="144"/>
      <c r="B15" s="144"/>
      <c r="C15" s="144"/>
      <c r="D15" s="144"/>
      <c r="E15" s="144"/>
      <c r="F15" s="144"/>
      <c r="G15" s="144"/>
      <c r="H15" s="144"/>
    </row>
    <row r="16" spans="1:8">
      <c r="A16" s="144"/>
      <c r="B16" s="144"/>
      <c r="C16" s="144"/>
      <c r="D16" s="144"/>
      <c r="E16" s="144"/>
      <c r="F16" s="144"/>
      <c r="G16" s="144"/>
      <c r="H16" s="144"/>
    </row>
    <row r="17" spans="1:8">
      <c r="A17" s="144"/>
      <c r="B17" s="144"/>
      <c r="C17" s="144"/>
      <c r="D17" s="144"/>
      <c r="E17" s="144"/>
      <c r="F17" s="144"/>
      <c r="G17" s="144"/>
      <c r="H17" s="144"/>
    </row>
    <row r="18" spans="1:8">
      <c r="A18" s="144"/>
      <c r="B18" s="144"/>
      <c r="C18" s="144"/>
      <c r="D18" s="144"/>
      <c r="E18" s="144"/>
      <c r="F18" s="144"/>
      <c r="G18" s="144"/>
      <c r="H18" s="144"/>
    </row>
    <row r="19" spans="1:8">
      <c r="A19" s="144"/>
      <c r="B19" s="144"/>
      <c r="C19" s="144"/>
      <c r="D19" s="144"/>
      <c r="E19" s="144"/>
      <c r="F19" s="144"/>
      <c r="G19" s="144"/>
      <c r="H19" s="144"/>
    </row>
    <row r="20" spans="1:8">
      <c r="A20" s="144"/>
      <c r="B20" s="144"/>
      <c r="C20" s="144"/>
      <c r="D20" s="144"/>
      <c r="E20" s="144"/>
      <c r="F20" s="144"/>
      <c r="G20" s="144"/>
      <c r="H20" s="144"/>
    </row>
    <row r="21" spans="1:8">
      <c r="A21" s="144"/>
      <c r="B21" s="144"/>
      <c r="C21" s="144"/>
      <c r="D21" s="144"/>
      <c r="E21" s="144"/>
      <c r="F21" s="144"/>
      <c r="G21" s="144"/>
      <c r="H21" s="144"/>
    </row>
    <row r="22" spans="1:8">
      <c r="A22" s="144"/>
      <c r="B22" s="144"/>
      <c r="C22" s="144"/>
      <c r="D22" s="144"/>
      <c r="E22" s="144"/>
      <c r="F22" s="144"/>
      <c r="G22" s="144"/>
      <c r="H22" s="144"/>
    </row>
    <row r="23" spans="1:8">
      <c r="A23" s="144"/>
      <c r="B23" s="144"/>
      <c r="C23" s="144"/>
      <c r="D23" s="144"/>
      <c r="E23" s="144"/>
      <c r="F23" s="144"/>
      <c r="G23" s="144"/>
      <c r="H23" s="144"/>
    </row>
    <row r="24" spans="1:8">
      <c r="A24" s="144"/>
      <c r="B24" s="144"/>
      <c r="C24" s="144"/>
      <c r="D24" s="144"/>
      <c r="E24" s="144"/>
      <c r="F24" s="144"/>
      <c r="G24" s="144"/>
      <c r="H24" s="144"/>
    </row>
    <row r="25" spans="1:8">
      <c r="A25" s="144"/>
      <c r="B25" s="144"/>
      <c r="C25" s="144"/>
      <c r="D25" s="144"/>
      <c r="E25" s="144"/>
      <c r="F25" s="144"/>
      <c r="G25" s="144"/>
      <c r="H25" s="144"/>
    </row>
    <row r="26" spans="1:8">
      <c r="A26" s="144"/>
      <c r="B26" s="144"/>
      <c r="C26" s="144"/>
      <c r="D26" s="144"/>
      <c r="E26" s="144"/>
      <c r="F26" s="144"/>
      <c r="G26" s="144"/>
      <c r="H26" s="144"/>
    </row>
    <row r="27" spans="1:8">
      <c r="A27" s="144"/>
      <c r="B27" s="144"/>
      <c r="C27" s="144"/>
      <c r="D27" s="144"/>
      <c r="E27" s="144"/>
      <c r="F27" s="144"/>
      <c r="G27" s="144"/>
      <c r="H27" s="144"/>
    </row>
    <row r="28" spans="1:8">
      <c r="A28" s="144"/>
      <c r="B28" s="144"/>
      <c r="C28" s="144"/>
      <c r="D28" s="144"/>
      <c r="E28" s="144"/>
      <c r="F28" s="144"/>
      <c r="G28" s="144"/>
      <c r="H28" s="144"/>
    </row>
    <row r="29" spans="1:8">
      <c r="A29" s="144"/>
      <c r="B29" s="144"/>
      <c r="C29" s="144"/>
      <c r="D29" s="144"/>
      <c r="E29" s="144"/>
      <c r="F29" s="144"/>
      <c r="G29" s="144"/>
      <c r="H29" s="144"/>
    </row>
    <row r="30" spans="1:8">
      <c r="A30" s="144"/>
      <c r="B30" s="144"/>
      <c r="C30" s="144"/>
      <c r="D30" s="144"/>
      <c r="E30" s="144"/>
      <c r="F30" s="144"/>
      <c r="G30" s="144"/>
      <c r="H30" s="144"/>
    </row>
    <row r="31" spans="1:8">
      <c r="A31" s="144"/>
      <c r="B31" s="144"/>
      <c r="C31" s="144"/>
      <c r="D31" s="144"/>
      <c r="E31" s="144"/>
      <c r="F31" s="144"/>
      <c r="G31" s="144"/>
      <c r="H31" s="144"/>
    </row>
    <row r="32" spans="1:8">
      <c r="A32" s="144"/>
      <c r="B32" s="144"/>
      <c r="C32" s="144"/>
      <c r="D32" s="144"/>
      <c r="E32" s="144"/>
      <c r="F32" s="144"/>
      <c r="G32" s="144"/>
      <c r="H32" s="144"/>
    </row>
    <row r="33" spans="1:8">
      <c r="A33" s="144"/>
      <c r="B33" s="144"/>
      <c r="C33" s="144"/>
      <c r="D33" s="144"/>
      <c r="E33" s="144"/>
      <c r="F33" s="144"/>
      <c r="G33" s="144"/>
      <c r="H33" s="144"/>
    </row>
    <row r="34" spans="1:8">
      <c r="A34" s="144"/>
      <c r="B34" s="144"/>
      <c r="C34" s="144"/>
      <c r="D34" s="144"/>
      <c r="E34" s="144"/>
      <c r="F34" s="144"/>
      <c r="G34" s="144"/>
      <c r="H34" s="144"/>
    </row>
    <row r="35" spans="1:8">
      <c r="A35" s="144"/>
      <c r="B35" s="144"/>
      <c r="C35" s="144"/>
      <c r="D35" s="144"/>
      <c r="E35" s="144"/>
      <c r="F35" s="144"/>
      <c r="G35" s="144"/>
      <c r="H35" s="144"/>
    </row>
    <row r="36" spans="1:8">
      <c r="A36" s="144"/>
      <c r="B36" s="144"/>
      <c r="C36" s="144"/>
      <c r="D36" s="144"/>
      <c r="E36" s="144"/>
      <c r="F36" s="144"/>
      <c r="G36" s="144"/>
      <c r="H36" s="144"/>
    </row>
    <row r="37" spans="1:8">
      <c r="A37" s="144"/>
      <c r="B37" s="144"/>
      <c r="C37" s="144"/>
      <c r="D37" s="144"/>
      <c r="E37" s="144"/>
      <c r="F37" s="144"/>
      <c r="G37" s="144"/>
      <c r="H37" s="144"/>
    </row>
    <row r="38" spans="1:8">
      <c r="A38" s="144"/>
      <c r="B38" s="144"/>
      <c r="C38" s="144"/>
      <c r="D38" s="144"/>
      <c r="E38" s="144"/>
      <c r="F38" s="144"/>
      <c r="G38" s="144"/>
      <c r="H38" s="144"/>
    </row>
    <row r="39" spans="1:8">
      <c r="A39" s="144"/>
      <c r="B39" s="144"/>
      <c r="C39" s="144"/>
      <c r="D39" s="144"/>
      <c r="E39" s="144"/>
      <c r="F39" s="144"/>
      <c r="G39" s="144"/>
      <c r="H39" s="144"/>
    </row>
    <row r="40" spans="1:8">
      <c r="A40" s="144"/>
      <c r="B40" s="144"/>
      <c r="C40" s="144"/>
      <c r="D40" s="144"/>
      <c r="E40" s="144"/>
      <c r="F40" s="144"/>
      <c r="G40" s="144"/>
      <c r="H40" s="144"/>
    </row>
    <row r="41" spans="1:8">
      <c r="A41" s="144"/>
      <c r="B41" s="144"/>
      <c r="C41" s="144"/>
      <c r="D41" s="144"/>
      <c r="E41" s="144"/>
      <c r="F41" s="144"/>
      <c r="G41" s="144"/>
      <c r="H41" s="144"/>
    </row>
    <row r="42" spans="1:8">
      <c r="A42" s="144"/>
      <c r="B42" s="144"/>
      <c r="C42" s="144"/>
      <c r="D42" s="144"/>
      <c r="E42" s="144"/>
      <c r="F42" s="144"/>
      <c r="G42" s="144"/>
      <c r="H42" s="144"/>
    </row>
    <row r="43" spans="1:8">
      <c r="A43" s="144"/>
      <c r="B43" s="144"/>
      <c r="C43" s="144"/>
      <c r="D43" s="144"/>
      <c r="E43" s="144"/>
      <c r="F43" s="144"/>
      <c r="G43" s="144"/>
      <c r="H43" s="144"/>
    </row>
    <row r="44" spans="1:8">
      <c r="A44" s="144"/>
      <c r="B44" s="144"/>
      <c r="C44" s="144"/>
      <c r="D44" s="144"/>
      <c r="E44" s="144"/>
      <c r="F44" s="144"/>
      <c r="G44" s="144"/>
      <c r="H44" s="144"/>
    </row>
    <row r="45" spans="1:8">
      <c r="A45" s="144"/>
      <c r="B45" s="144"/>
      <c r="C45" s="144"/>
      <c r="D45" s="144"/>
      <c r="E45" s="144"/>
      <c r="F45" s="144"/>
      <c r="G45" s="144"/>
      <c r="H45" s="144"/>
    </row>
    <row r="46" spans="1:8">
      <c r="A46" s="144"/>
      <c r="B46" s="144"/>
      <c r="C46" s="144"/>
      <c r="D46" s="144"/>
      <c r="E46" s="144"/>
      <c r="F46" s="144"/>
      <c r="G46" s="144"/>
      <c r="H46" s="144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"/>
  <dimension ref="A1:D98"/>
  <sheetViews>
    <sheetView showGridLines="0" showRowColHeaders="0" zoomScaleNormal="100" workbookViewId="0"/>
  </sheetViews>
  <sheetFormatPr defaultColWidth="9.109375" defaultRowHeight="13.2"/>
  <cols>
    <col min="1" max="1" width="9.109375" style="136"/>
    <col min="2" max="2" width="11.88671875" style="136" customWidth="1"/>
    <col min="3" max="3" width="26" style="136" customWidth="1"/>
    <col min="4" max="4" width="38.88671875" style="136" customWidth="1"/>
    <col min="5" max="16384" width="9.109375" style="136"/>
  </cols>
  <sheetData>
    <row r="1" spans="1:4" ht="17.399999999999999">
      <c r="A1" s="143" t="s">
        <v>314</v>
      </c>
    </row>
    <row r="2" spans="1:4" ht="17.399999999999999">
      <c r="A2" s="143" t="s">
        <v>370</v>
      </c>
      <c r="B2" s="151"/>
      <c r="C2" s="150"/>
    </row>
    <row r="3" spans="1:4">
      <c r="A3" s="149"/>
    </row>
    <row r="4" spans="1:4" ht="18">
      <c r="A4" s="141" t="s">
        <v>369</v>
      </c>
    </row>
    <row r="5" spans="1:4" ht="18">
      <c r="A5" s="141"/>
    </row>
    <row r="6" spans="1:4">
      <c r="B6" s="158" t="s">
        <v>368</v>
      </c>
      <c r="C6" s="158"/>
      <c r="D6" s="158"/>
    </row>
    <row r="7" spans="1:4">
      <c r="B7" s="158"/>
      <c r="C7" s="158"/>
      <c r="D7" s="158"/>
    </row>
    <row r="8" spans="1:4">
      <c r="B8" s="158" t="s">
        <v>367</v>
      </c>
      <c r="C8" s="158" t="s">
        <v>311</v>
      </c>
      <c r="D8" s="158" t="s">
        <v>366</v>
      </c>
    </row>
    <row r="9" spans="1:4" ht="52.8">
      <c r="B9" s="159"/>
      <c r="C9" s="160" t="s">
        <v>306</v>
      </c>
      <c r="D9" s="161" t="s">
        <v>365</v>
      </c>
    </row>
    <row r="10" spans="1:4" ht="39.6">
      <c r="B10" s="162"/>
      <c r="C10" s="160" t="s">
        <v>364</v>
      </c>
      <c r="D10" s="161" t="s">
        <v>363</v>
      </c>
    </row>
    <row r="11" spans="1:4" ht="26.4">
      <c r="B11" s="163"/>
      <c r="C11" s="160" t="s">
        <v>362</v>
      </c>
      <c r="D11" s="161" t="s">
        <v>361</v>
      </c>
    </row>
    <row r="14" spans="1:4" ht="18">
      <c r="A14" s="141" t="s">
        <v>360</v>
      </c>
    </row>
    <row r="24" spans="2:4" ht="18">
      <c r="B24" s="141"/>
    </row>
    <row r="25" spans="2:4" ht="18">
      <c r="B25" s="141"/>
    </row>
    <row r="26" spans="2:4" ht="65.25" customHeight="1">
      <c r="B26" s="193" t="s">
        <v>425</v>
      </c>
      <c r="C26" s="194"/>
      <c r="D26" s="194"/>
    </row>
    <row r="27" spans="2:4" ht="66" customHeight="1">
      <c r="B27" s="195" t="s">
        <v>421</v>
      </c>
      <c r="C27" s="195"/>
      <c r="D27" s="195"/>
    </row>
    <row r="29" spans="2:4">
      <c r="B29" s="140" t="s">
        <v>327</v>
      </c>
      <c r="C29" s="140" t="s">
        <v>182</v>
      </c>
      <c r="D29" s="140" t="s">
        <v>328</v>
      </c>
    </row>
    <row r="30" spans="2:4" ht="26.4">
      <c r="B30" s="148" t="s">
        <v>373</v>
      </c>
      <c r="C30" s="153" t="s">
        <v>254</v>
      </c>
      <c r="D30" s="153" t="s">
        <v>329</v>
      </c>
    </row>
    <row r="31" spans="2:4" ht="39.6">
      <c r="B31" s="148"/>
      <c r="C31" s="153" t="s">
        <v>223</v>
      </c>
      <c r="D31" s="153" t="s">
        <v>330</v>
      </c>
    </row>
    <row r="32" spans="2:4" ht="26.4">
      <c r="B32" s="148"/>
      <c r="C32" s="153" t="s">
        <v>224</v>
      </c>
      <c r="D32" s="153" t="s">
        <v>331</v>
      </c>
    </row>
    <row r="33" spans="2:4" ht="39.6">
      <c r="B33" s="147" t="s">
        <v>510</v>
      </c>
      <c r="C33" s="153" t="s">
        <v>428</v>
      </c>
      <c r="D33" s="153" t="s">
        <v>511</v>
      </c>
    </row>
    <row r="34" spans="2:4" ht="39.6">
      <c r="B34" s="152"/>
      <c r="C34" s="153" t="s">
        <v>269</v>
      </c>
      <c r="D34" s="153" t="s">
        <v>332</v>
      </c>
    </row>
    <row r="35" spans="2:4" ht="26.4">
      <c r="B35" s="196"/>
      <c r="C35" s="197" t="s">
        <v>180</v>
      </c>
      <c r="D35" s="153" t="s">
        <v>333</v>
      </c>
    </row>
    <row r="36" spans="2:4" ht="26.4">
      <c r="B36" s="196"/>
      <c r="C36" s="197"/>
      <c r="D36" s="155" t="s">
        <v>374</v>
      </c>
    </row>
    <row r="37" spans="2:4" ht="52.8">
      <c r="B37" s="196"/>
      <c r="C37" s="197"/>
      <c r="D37" s="155" t="s">
        <v>375</v>
      </c>
    </row>
    <row r="38" spans="2:4" ht="39.6">
      <c r="B38" s="196"/>
      <c r="C38" s="197"/>
      <c r="D38" s="155" t="s">
        <v>376</v>
      </c>
    </row>
    <row r="39" spans="2:4" ht="39.6">
      <c r="B39" s="196"/>
      <c r="C39" s="197"/>
      <c r="D39" s="155" t="s">
        <v>377</v>
      </c>
    </row>
    <row r="40" spans="2:4" ht="26.4">
      <c r="B40" s="196"/>
      <c r="C40" s="197"/>
      <c r="D40" s="156" t="s">
        <v>378</v>
      </c>
    </row>
    <row r="41" spans="2:4" ht="39.6">
      <c r="B41" s="198" t="s">
        <v>379</v>
      </c>
      <c r="C41" s="197" t="s">
        <v>270</v>
      </c>
      <c r="D41" s="153" t="s">
        <v>334</v>
      </c>
    </row>
    <row r="42" spans="2:4">
      <c r="B42" s="199"/>
      <c r="C42" s="197"/>
      <c r="D42" s="157" t="s">
        <v>380</v>
      </c>
    </row>
    <row r="43" spans="2:4">
      <c r="B43" s="199"/>
      <c r="C43" s="197"/>
      <c r="D43" s="157" t="s">
        <v>381</v>
      </c>
    </row>
    <row r="44" spans="2:4">
      <c r="B44" s="199"/>
      <c r="C44" s="197"/>
      <c r="D44" s="157" t="s">
        <v>382</v>
      </c>
    </row>
    <row r="45" spans="2:4">
      <c r="B45" s="199"/>
      <c r="C45" s="197"/>
      <c r="D45" s="157" t="s">
        <v>383</v>
      </c>
    </row>
    <row r="46" spans="2:4">
      <c r="B46" s="199"/>
      <c r="C46" s="197"/>
      <c r="D46" s="157" t="s">
        <v>384</v>
      </c>
    </row>
    <row r="47" spans="2:4">
      <c r="B47" s="200"/>
      <c r="C47" s="197"/>
      <c r="D47" s="157" t="s">
        <v>385</v>
      </c>
    </row>
    <row r="48" spans="2:4" ht="39.6">
      <c r="B48" s="152"/>
      <c r="C48" s="153" t="s">
        <v>335</v>
      </c>
      <c r="D48" s="153" t="s">
        <v>336</v>
      </c>
    </row>
    <row r="49" spans="2:4" ht="39.6">
      <c r="B49" s="152"/>
      <c r="C49" s="153" t="s">
        <v>30</v>
      </c>
      <c r="D49" s="153" t="s">
        <v>337</v>
      </c>
    </row>
    <row r="50" spans="2:4">
      <c r="B50" s="140" t="s">
        <v>327</v>
      </c>
      <c r="C50" s="140" t="s">
        <v>182</v>
      </c>
      <c r="D50" s="140" t="s">
        <v>328</v>
      </c>
    </row>
    <row r="51" spans="2:4" ht="39.6">
      <c r="B51" s="147" t="s">
        <v>386</v>
      </c>
      <c r="C51" s="153" t="s">
        <v>270</v>
      </c>
      <c r="D51" s="153" t="s">
        <v>338</v>
      </c>
    </row>
    <row r="52" spans="2:4" ht="39.6">
      <c r="B52" s="152"/>
      <c r="C52" s="153" t="s">
        <v>271</v>
      </c>
      <c r="D52" s="153" t="s">
        <v>339</v>
      </c>
    </row>
    <row r="53" spans="2:4">
      <c r="B53" s="198" t="s">
        <v>387</v>
      </c>
      <c r="C53" s="197" t="s">
        <v>340</v>
      </c>
      <c r="D53" s="153" t="s">
        <v>341</v>
      </c>
    </row>
    <row r="54" spans="2:4">
      <c r="B54" s="199"/>
      <c r="C54" s="197"/>
      <c r="D54" s="157" t="s">
        <v>388</v>
      </c>
    </row>
    <row r="55" spans="2:4">
      <c r="B55" s="199"/>
      <c r="C55" s="197"/>
      <c r="D55" s="157" t="s">
        <v>389</v>
      </c>
    </row>
    <row r="56" spans="2:4">
      <c r="B56" s="199"/>
      <c r="C56" s="197"/>
      <c r="D56" s="157" t="s">
        <v>390</v>
      </c>
    </row>
    <row r="57" spans="2:4">
      <c r="B57" s="199"/>
      <c r="C57" s="197"/>
      <c r="D57" s="157" t="s">
        <v>391</v>
      </c>
    </row>
    <row r="58" spans="2:4" ht="26.4">
      <c r="B58" s="199"/>
      <c r="C58" s="197"/>
      <c r="D58" s="157" t="s">
        <v>392</v>
      </c>
    </row>
    <row r="59" spans="2:4" ht="26.4">
      <c r="B59" s="199"/>
      <c r="C59" s="197"/>
      <c r="D59" s="157" t="s">
        <v>393</v>
      </c>
    </row>
    <row r="60" spans="2:4" ht="52.8">
      <c r="B60" s="200"/>
      <c r="C60" s="197"/>
      <c r="D60" s="157" t="s">
        <v>394</v>
      </c>
    </row>
    <row r="61" spans="2:4">
      <c r="B61" s="198" t="s">
        <v>395</v>
      </c>
      <c r="C61" s="197" t="s">
        <v>342</v>
      </c>
      <c r="D61" s="153" t="s">
        <v>343</v>
      </c>
    </row>
    <row r="62" spans="2:4" ht="26.4">
      <c r="B62" s="199"/>
      <c r="C62" s="197"/>
      <c r="D62" s="157" t="s">
        <v>396</v>
      </c>
    </row>
    <row r="63" spans="2:4">
      <c r="B63" s="199"/>
      <c r="C63" s="197"/>
      <c r="D63" s="157" t="s">
        <v>397</v>
      </c>
    </row>
    <row r="64" spans="2:4" ht="26.4">
      <c r="B64" s="199"/>
      <c r="C64" s="197"/>
      <c r="D64" s="157" t="s">
        <v>398</v>
      </c>
    </row>
    <row r="65" spans="2:4" ht="26.4">
      <c r="B65" s="199"/>
      <c r="C65" s="197"/>
      <c r="D65" s="157" t="s">
        <v>399</v>
      </c>
    </row>
    <row r="66" spans="2:4" ht="26.4">
      <c r="B66" s="199"/>
      <c r="C66" s="197"/>
      <c r="D66" s="157" t="s">
        <v>400</v>
      </c>
    </row>
    <row r="67" spans="2:4" ht="26.4">
      <c r="B67" s="200"/>
      <c r="C67" s="197"/>
      <c r="D67" s="157" t="s">
        <v>401</v>
      </c>
    </row>
    <row r="68" spans="2:4" ht="39.6">
      <c r="B68" s="198" t="s">
        <v>402</v>
      </c>
      <c r="C68" s="197" t="s">
        <v>344</v>
      </c>
      <c r="D68" s="153" t="s">
        <v>345</v>
      </c>
    </row>
    <row r="69" spans="2:4" ht="26.4">
      <c r="B69" s="200"/>
      <c r="C69" s="197"/>
      <c r="D69" s="153" t="s">
        <v>346</v>
      </c>
    </row>
    <row r="70" spans="2:4" ht="92.4">
      <c r="B70" s="147" t="s">
        <v>403</v>
      </c>
      <c r="C70" s="153" t="s">
        <v>0</v>
      </c>
      <c r="D70" s="153" t="s">
        <v>347</v>
      </c>
    </row>
    <row r="71" spans="2:4" ht="26.4">
      <c r="B71" s="154"/>
      <c r="C71" s="153" t="s">
        <v>23</v>
      </c>
      <c r="D71" s="153" t="s">
        <v>348</v>
      </c>
    </row>
    <row r="72" spans="2:4" ht="39.6">
      <c r="B72" s="201"/>
      <c r="C72" s="197" t="s">
        <v>101</v>
      </c>
      <c r="D72" s="153" t="s">
        <v>349</v>
      </c>
    </row>
    <row r="73" spans="2:4">
      <c r="B73" s="201"/>
      <c r="C73" s="197"/>
      <c r="D73" s="157" t="s">
        <v>404</v>
      </c>
    </row>
    <row r="74" spans="2:4">
      <c r="B74" s="201"/>
      <c r="C74" s="197"/>
      <c r="D74" s="157" t="s">
        <v>405</v>
      </c>
    </row>
    <row r="75" spans="2:4">
      <c r="B75" s="201"/>
      <c r="C75" s="197"/>
      <c r="D75" s="157" t="s">
        <v>406</v>
      </c>
    </row>
    <row r="76" spans="2:4">
      <c r="B76" s="201"/>
      <c r="C76" s="197"/>
      <c r="D76" s="157" t="s">
        <v>407</v>
      </c>
    </row>
    <row r="77" spans="2:4" ht="26.4">
      <c r="B77" s="201"/>
      <c r="C77" s="197"/>
      <c r="D77" s="157" t="s">
        <v>408</v>
      </c>
    </row>
    <row r="78" spans="2:4" ht="39.6">
      <c r="B78" s="201"/>
      <c r="C78" s="197"/>
      <c r="D78" s="157" t="s">
        <v>409</v>
      </c>
    </row>
    <row r="79" spans="2:4">
      <c r="B79" s="140" t="s">
        <v>327</v>
      </c>
      <c r="C79" s="140" t="s">
        <v>182</v>
      </c>
      <c r="D79" s="140" t="s">
        <v>328</v>
      </c>
    </row>
    <row r="80" spans="2:4" ht="26.4">
      <c r="B80" s="201"/>
      <c r="C80" s="197" t="s">
        <v>150</v>
      </c>
      <c r="D80" s="153" t="s">
        <v>350</v>
      </c>
    </row>
    <row r="81" spans="2:4">
      <c r="B81" s="201"/>
      <c r="C81" s="197"/>
      <c r="D81" s="157" t="s">
        <v>404</v>
      </c>
    </row>
    <row r="82" spans="2:4">
      <c r="B82" s="201"/>
      <c r="C82" s="197"/>
      <c r="D82" s="157" t="s">
        <v>405</v>
      </c>
    </row>
    <row r="83" spans="2:4">
      <c r="B83" s="201"/>
      <c r="C83" s="197"/>
      <c r="D83" s="157" t="s">
        <v>410</v>
      </c>
    </row>
    <row r="84" spans="2:4" ht="26.4">
      <c r="B84" s="201"/>
      <c r="C84" s="197"/>
      <c r="D84" s="157" t="s">
        <v>411</v>
      </c>
    </row>
    <row r="85" spans="2:4" ht="26.4">
      <c r="B85" s="147" t="s">
        <v>412</v>
      </c>
      <c r="C85" s="153" t="s">
        <v>25</v>
      </c>
      <c r="D85" s="153" t="s">
        <v>351</v>
      </c>
    </row>
    <row r="86" spans="2:4" ht="26.4">
      <c r="B86" s="152"/>
      <c r="C86" s="153" t="s">
        <v>26</v>
      </c>
      <c r="D86" s="153" t="s">
        <v>352</v>
      </c>
    </row>
    <row r="87" spans="2:4" ht="39.6">
      <c r="B87" s="152"/>
      <c r="C87" s="153" t="s">
        <v>353</v>
      </c>
      <c r="D87" s="153" t="s">
        <v>354</v>
      </c>
    </row>
    <row r="88" spans="2:4" ht="26.4">
      <c r="B88" s="152"/>
      <c r="C88" s="153" t="s">
        <v>173</v>
      </c>
      <c r="D88" s="153" t="s">
        <v>355</v>
      </c>
    </row>
    <row r="89" spans="2:4" ht="26.4">
      <c r="B89" s="198" t="s">
        <v>413</v>
      </c>
      <c r="C89" s="197" t="s">
        <v>33</v>
      </c>
      <c r="D89" s="153" t="s">
        <v>356</v>
      </c>
    </row>
    <row r="90" spans="2:4" ht="26.4">
      <c r="B90" s="199"/>
      <c r="C90" s="197"/>
      <c r="D90" s="157" t="s">
        <v>414</v>
      </c>
    </row>
    <row r="91" spans="2:4" ht="26.4">
      <c r="B91" s="199"/>
      <c r="C91" s="197"/>
      <c r="D91" s="157" t="s">
        <v>415</v>
      </c>
    </row>
    <row r="92" spans="2:4" ht="52.8">
      <c r="B92" s="200"/>
      <c r="C92" s="197"/>
      <c r="D92" s="157" t="s">
        <v>416</v>
      </c>
    </row>
    <row r="93" spans="2:4" ht="66">
      <c r="B93" s="152"/>
      <c r="C93" s="153" t="s">
        <v>357</v>
      </c>
      <c r="D93" s="153" t="s">
        <v>358</v>
      </c>
    </row>
    <row r="94" spans="2:4" ht="52.8">
      <c r="B94" s="196"/>
      <c r="C94" s="197" t="s">
        <v>101</v>
      </c>
      <c r="D94" s="153" t="s">
        <v>359</v>
      </c>
    </row>
    <row r="95" spans="2:4" ht="26.4">
      <c r="B95" s="196"/>
      <c r="C95" s="197"/>
      <c r="D95" s="157" t="s">
        <v>417</v>
      </c>
    </row>
    <row r="96" spans="2:4" ht="26.4">
      <c r="B96" s="196"/>
      <c r="C96" s="197"/>
      <c r="D96" s="157" t="s">
        <v>418</v>
      </c>
    </row>
    <row r="97" spans="2:4">
      <c r="B97" s="196"/>
      <c r="C97" s="197"/>
      <c r="D97" s="157" t="s">
        <v>419</v>
      </c>
    </row>
    <row r="98" spans="2:4" ht="66">
      <c r="B98" s="196"/>
      <c r="C98" s="197"/>
      <c r="D98" s="157" t="s">
        <v>420</v>
      </c>
    </row>
  </sheetData>
  <sheetProtection selectLockedCells="1"/>
  <mergeCells count="20">
    <mergeCell ref="B94:B98"/>
    <mergeCell ref="C94:C98"/>
    <mergeCell ref="B72:B78"/>
    <mergeCell ref="C72:C78"/>
    <mergeCell ref="B80:B84"/>
    <mergeCell ref="C80:C84"/>
    <mergeCell ref="B89:B92"/>
    <mergeCell ref="C89:C92"/>
    <mergeCell ref="B53:B60"/>
    <mergeCell ref="C53:C60"/>
    <mergeCell ref="B61:B67"/>
    <mergeCell ref="C61:C67"/>
    <mergeCell ref="B68:B69"/>
    <mergeCell ref="C68:C69"/>
    <mergeCell ref="B26:D26"/>
    <mergeCell ref="B27:D27"/>
    <mergeCell ref="B35:B40"/>
    <mergeCell ref="C35:C40"/>
    <mergeCell ref="B41:B47"/>
    <mergeCell ref="C41:C4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3">
    <tabColor rgb="FFFFFF99"/>
  </sheetPr>
  <dimension ref="A1:N8"/>
  <sheetViews>
    <sheetView zoomScaleNormal="100" workbookViewId="0">
      <selection activeCell="A2" sqref="A2"/>
    </sheetView>
  </sheetViews>
  <sheetFormatPr defaultRowHeight="13.2"/>
  <cols>
    <col min="1" max="14" width="7.6640625" customWidth="1"/>
  </cols>
  <sheetData>
    <row r="1" spans="1:14">
      <c r="A1" t="s">
        <v>97</v>
      </c>
      <c r="B1" s="188">
        <f>DATEVALUE(1&amp;"/"&amp;'IP1'!$B$3&amp;"/"&amp;'IP1'!$B$4)</f>
        <v>41275</v>
      </c>
      <c r="C1" s="188">
        <f>DATE(YEAR(B1),MONTH(B1)+1,1)</f>
        <v>41306</v>
      </c>
      <c r="D1" s="188">
        <f t="shared" ref="D1:M1" si="0">DATE(YEAR(C1),MONTH(C1)+1,1)</f>
        <v>41334</v>
      </c>
      <c r="E1" s="188">
        <f t="shared" si="0"/>
        <v>41365</v>
      </c>
      <c r="F1" s="188">
        <f t="shared" si="0"/>
        <v>41395</v>
      </c>
      <c r="G1" s="188">
        <f t="shared" si="0"/>
        <v>41426</v>
      </c>
      <c r="H1" s="188">
        <f t="shared" si="0"/>
        <v>41456</v>
      </c>
      <c r="I1" s="188">
        <f t="shared" si="0"/>
        <v>41487</v>
      </c>
      <c r="J1" s="188">
        <f t="shared" si="0"/>
        <v>41518</v>
      </c>
      <c r="K1" s="188">
        <f t="shared" si="0"/>
        <v>41548</v>
      </c>
      <c r="L1" s="188">
        <f t="shared" si="0"/>
        <v>41579</v>
      </c>
      <c r="M1" s="188">
        <f t="shared" si="0"/>
        <v>41609</v>
      </c>
    </row>
    <row r="2" spans="1:14">
      <c r="A2" t="s">
        <v>503</v>
      </c>
      <c r="B2" s="189">
        <v>1</v>
      </c>
      <c r="C2" s="189">
        <v>2</v>
      </c>
      <c r="D2" s="189">
        <v>3</v>
      </c>
      <c r="E2" s="189">
        <v>4</v>
      </c>
      <c r="F2" s="189">
        <v>5</v>
      </c>
      <c r="G2" s="189">
        <v>6</v>
      </c>
      <c r="H2" s="189">
        <v>7</v>
      </c>
      <c r="I2" s="189">
        <v>8</v>
      </c>
      <c r="J2" s="189">
        <v>9</v>
      </c>
      <c r="K2" s="189">
        <v>10</v>
      </c>
      <c r="L2" s="189">
        <v>11</v>
      </c>
      <c r="M2" s="189">
        <v>12</v>
      </c>
    </row>
    <row r="3" spans="1:14" ht="13.8">
      <c r="A3" t="s">
        <v>428</v>
      </c>
      <c r="B3" s="176">
        <v>0.03</v>
      </c>
      <c r="C3" s="176">
        <v>0.03</v>
      </c>
      <c r="D3" s="176">
        <v>0.05</v>
      </c>
      <c r="E3" s="176">
        <v>0.09</v>
      </c>
      <c r="F3" s="176">
        <v>0.1</v>
      </c>
      <c r="G3" s="176">
        <v>0.1</v>
      </c>
      <c r="H3" s="176">
        <v>0.13</v>
      </c>
      <c r="I3" s="176">
        <v>0.13</v>
      </c>
      <c r="J3" s="176">
        <v>0.1</v>
      </c>
      <c r="K3" s="176">
        <v>0.09</v>
      </c>
      <c r="L3" s="176">
        <v>0.03</v>
      </c>
      <c r="M3" s="176">
        <v>0.12</v>
      </c>
    </row>
    <row r="4" spans="1:14" ht="13.8">
      <c r="A4" t="s">
        <v>429</v>
      </c>
      <c r="B4" s="176">
        <v>0.02</v>
      </c>
      <c r="C4" s="176">
        <v>0.02</v>
      </c>
      <c r="D4" s="176">
        <v>0.06</v>
      </c>
      <c r="E4" s="176">
        <v>0.06</v>
      </c>
      <c r="F4" s="176">
        <v>0.12</v>
      </c>
      <c r="G4" s="176">
        <v>0.12</v>
      </c>
      <c r="H4" s="176">
        <v>0.12</v>
      </c>
      <c r="I4" s="176">
        <v>0.12</v>
      </c>
      <c r="J4" s="176">
        <v>0.12</v>
      </c>
      <c r="K4" s="176">
        <v>0.12</v>
      </c>
      <c r="L4" s="176">
        <v>0.02</v>
      </c>
      <c r="M4" s="176">
        <v>0.1</v>
      </c>
    </row>
    <row r="5" spans="1:14">
      <c r="N5" s="190"/>
    </row>
    <row r="6" spans="1:14">
      <c r="B6" s="189" t="s">
        <v>506</v>
      </c>
      <c r="C6" s="189" t="s">
        <v>119</v>
      </c>
    </row>
    <row r="7" spans="1:14">
      <c r="A7" t="s">
        <v>428</v>
      </c>
      <c r="B7" s="191">
        <f>SUM(B3:M3)</f>
        <v>1</v>
      </c>
      <c r="C7" s="190" t="b">
        <f>EXACT(SUM(B3:M3),1)</f>
        <v>1</v>
      </c>
    </row>
    <row r="8" spans="1:14">
      <c r="A8" t="s">
        <v>429</v>
      </c>
      <c r="B8" s="191">
        <f>SUM(B4:M4)</f>
        <v>1</v>
      </c>
      <c r="C8" s="190" t="b">
        <f>EXACT(SUM(B4:M4),1)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FFFF99"/>
  </sheetPr>
  <dimension ref="A1:H164"/>
  <sheetViews>
    <sheetView topLeftCell="A10" zoomScaleNormal="100" zoomScaleSheetLayoutView="140" workbookViewId="0"/>
  </sheetViews>
  <sheetFormatPr defaultColWidth="9.109375" defaultRowHeight="13.8"/>
  <cols>
    <col min="1" max="1" width="3" style="1" customWidth="1"/>
    <col min="2" max="2" width="28.6640625" style="1" bestFit="1" customWidth="1"/>
    <col min="3" max="3" width="23.33203125" style="1" bestFit="1" customWidth="1"/>
    <col min="4" max="4" width="11.6640625" style="1" customWidth="1"/>
    <col min="5" max="5" width="12.44140625" style="1" bestFit="1" customWidth="1"/>
    <col min="6" max="7" width="13.109375" style="1" bestFit="1" customWidth="1"/>
    <col min="8" max="8" width="39.5546875" style="1" bestFit="1" customWidth="1"/>
    <col min="9" max="9" width="9.5546875" style="1" customWidth="1"/>
    <col min="10" max="16384" width="9.109375" style="1"/>
  </cols>
  <sheetData>
    <row r="1" spans="1:7" ht="21" customHeight="1">
      <c r="A1" s="2" t="s">
        <v>28</v>
      </c>
      <c r="B1" s="3" t="s">
        <v>247</v>
      </c>
      <c r="C1" s="3"/>
      <c r="D1" s="4"/>
      <c r="E1" s="4"/>
      <c r="F1" s="4"/>
      <c r="G1" s="4"/>
    </row>
    <row r="2" spans="1:7">
      <c r="B2" s="164" t="s">
        <v>427</v>
      </c>
      <c r="C2" s="1" t="s">
        <v>422</v>
      </c>
    </row>
    <row r="3" spans="1:7">
      <c r="B3" s="165" t="s">
        <v>222</v>
      </c>
      <c r="C3" s="1" t="s">
        <v>223</v>
      </c>
    </row>
    <row r="4" spans="1:7">
      <c r="B4" s="166">
        <v>2013</v>
      </c>
      <c r="C4" s="1" t="s">
        <v>224</v>
      </c>
    </row>
    <row r="6" spans="1:7">
      <c r="A6" s="2" t="s">
        <v>15</v>
      </c>
      <c r="B6" s="3" t="s">
        <v>438</v>
      </c>
      <c r="C6" s="5"/>
      <c r="D6" s="5" t="s">
        <v>269</v>
      </c>
      <c r="E6" s="5" t="s">
        <v>269</v>
      </c>
      <c r="F6" s="5" t="s">
        <v>180</v>
      </c>
      <c r="G6" s="5"/>
    </row>
    <row r="7" spans="1:7" ht="41.4">
      <c r="D7" s="184" t="s">
        <v>494</v>
      </c>
      <c r="E7" s="125" t="s">
        <v>432</v>
      </c>
      <c r="F7" s="185" t="s">
        <v>495</v>
      </c>
      <c r="G7" s="8" t="s">
        <v>173</v>
      </c>
    </row>
    <row r="8" spans="1:7">
      <c r="B8" s="178" t="s">
        <v>428</v>
      </c>
      <c r="C8" s="1" t="s">
        <v>430</v>
      </c>
      <c r="D8" s="167">
        <v>75</v>
      </c>
      <c r="E8" s="172">
        <v>0.65</v>
      </c>
      <c r="F8" s="167">
        <v>80</v>
      </c>
      <c r="G8" s="168" t="s">
        <v>176</v>
      </c>
    </row>
    <row r="9" spans="1:7">
      <c r="B9" s="179"/>
      <c r="C9" s="1" t="s">
        <v>436</v>
      </c>
      <c r="D9" s="167">
        <v>75</v>
      </c>
      <c r="E9" s="172">
        <v>0.65</v>
      </c>
      <c r="F9" s="167">
        <v>75</v>
      </c>
    </row>
    <row r="10" spans="1:7">
      <c r="B10" s="180"/>
      <c r="C10" s="1" t="s">
        <v>431</v>
      </c>
      <c r="D10" s="167">
        <v>75</v>
      </c>
      <c r="E10" s="172">
        <v>0.6</v>
      </c>
      <c r="F10" s="167">
        <v>70</v>
      </c>
    </row>
    <row r="11" spans="1:7">
      <c r="B11" s="1" t="s">
        <v>180</v>
      </c>
      <c r="C11" s="181" t="s">
        <v>501</v>
      </c>
    </row>
    <row r="12" spans="1:7" ht="27.6">
      <c r="B12" s="183" t="s">
        <v>496</v>
      </c>
      <c r="C12" s="182">
        <v>0.1</v>
      </c>
    </row>
    <row r="14" spans="1:7" ht="27.6">
      <c r="D14" s="184" t="s">
        <v>497</v>
      </c>
      <c r="E14" s="125" t="s">
        <v>498</v>
      </c>
      <c r="F14" s="8" t="s">
        <v>435</v>
      </c>
      <c r="G14" s="8" t="s">
        <v>173</v>
      </c>
    </row>
    <row r="15" spans="1:7">
      <c r="B15" s="178" t="s">
        <v>429</v>
      </c>
      <c r="C15" s="1" t="s">
        <v>430</v>
      </c>
      <c r="D15" s="167">
        <v>2</v>
      </c>
      <c r="E15" s="172">
        <v>0.8</v>
      </c>
      <c r="F15" s="167">
        <v>500</v>
      </c>
      <c r="G15" s="168" t="s">
        <v>174</v>
      </c>
    </row>
    <row r="16" spans="1:7">
      <c r="B16" s="179"/>
      <c r="C16" s="1" t="s">
        <v>436</v>
      </c>
      <c r="D16" s="167">
        <v>2</v>
      </c>
      <c r="E16" s="172">
        <v>0.5</v>
      </c>
      <c r="F16" s="167">
        <v>1500</v>
      </c>
    </row>
    <row r="17" spans="1:7">
      <c r="B17" s="180"/>
      <c r="C17" s="1" t="s">
        <v>431</v>
      </c>
      <c r="D17" s="167">
        <v>1</v>
      </c>
      <c r="E17" s="172">
        <v>0.45</v>
      </c>
      <c r="F17" s="167">
        <v>400</v>
      </c>
    </row>
    <row r="18" spans="1:7">
      <c r="B18" s="1" t="s">
        <v>180</v>
      </c>
      <c r="C18" s="181" t="s">
        <v>502</v>
      </c>
    </row>
    <row r="19" spans="1:7" ht="27.6">
      <c r="B19" s="183" t="s">
        <v>499</v>
      </c>
      <c r="C19" s="182">
        <v>0.1</v>
      </c>
    </row>
    <row r="21" spans="1:7">
      <c r="A21" s="2" t="s">
        <v>21</v>
      </c>
      <c r="B21" s="3" t="s">
        <v>439</v>
      </c>
      <c r="C21" s="5" t="s">
        <v>180</v>
      </c>
      <c r="D21" s="100" t="s">
        <v>270</v>
      </c>
      <c r="E21" s="5"/>
      <c r="F21" s="100" t="s">
        <v>437</v>
      </c>
      <c r="G21" s="5"/>
    </row>
    <row r="22" spans="1:7">
      <c r="F22" s="125">
        <f>DATEVALUE(1&amp;"/"&amp;'IP1'!$B$3&amp;"/"&amp;('IP1'!$B$4+1))-1</f>
        <v>41639</v>
      </c>
      <c r="G22" s="125">
        <f>DATEVALUE(1&amp;"/"&amp;'IP1'!$B$3&amp;"/"&amp;('IP1'!$B$4+2))-1</f>
        <v>42004</v>
      </c>
    </row>
    <row r="23" spans="1:7">
      <c r="B23" s="131" t="s">
        <v>433</v>
      </c>
      <c r="C23" s="168" t="s">
        <v>183</v>
      </c>
      <c r="D23" s="169" t="s">
        <v>174</v>
      </c>
      <c r="E23" s="6" t="s">
        <v>27</v>
      </c>
      <c r="F23" s="167">
        <v>500000</v>
      </c>
      <c r="G23" s="167">
        <v>550000</v>
      </c>
    </row>
    <row r="24" spans="1:7">
      <c r="B24" s="131" t="s">
        <v>434</v>
      </c>
      <c r="C24" s="168" t="s">
        <v>183</v>
      </c>
      <c r="D24" s="169" t="s">
        <v>176</v>
      </c>
      <c r="E24" s="6" t="s">
        <v>27</v>
      </c>
      <c r="F24" s="167">
        <v>750000</v>
      </c>
      <c r="G24" s="167">
        <v>750000</v>
      </c>
    </row>
    <row r="25" spans="1:7">
      <c r="B25" s="1" t="s">
        <v>30</v>
      </c>
      <c r="C25" s="1" t="s">
        <v>509</v>
      </c>
      <c r="D25" s="169" t="s">
        <v>174</v>
      </c>
      <c r="E25" s="6" t="s">
        <v>22</v>
      </c>
      <c r="F25" s="171">
        <v>5.0000000000000001E-3</v>
      </c>
    </row>
    <row r="27" spans="1:7">
      <c r="A27" s="2" t="s">
        <v>248</v>
      </c>
      <c r="B27" s="3" t="s">
        <v>116</v>
      </c>
      <c r="C27" s="5"/>
      <c r="D27" s="100" t="s">
        <v>270</v>
      </c>
      <c r="E27" s="5"/>
      <c r="F27" s="5" t="s">
        <v>271</v>
      </c>
      <c r="G27" s="5"/>
    </row>
    <row r="29" spans="1:7">
      <c r="B29" s="131" t="str">
        <f>B23</f>
        <v>Bar</v>
      </c>
      <c r="C29" s="1" t="s">
        <v>491</v>
      </c>
      <c r="D29" s="169" t="s">
        <v>174</v>
      </c>
      <c r="E29" s="6" t="s">
        <v>22</v>
      </c>
      <c r="F29" s="172">
        <v>0.65</v>
      </c>
    </row>
    <row r="30" spans="1:7">
      <c r="B30" s="131" t="s">
        <v>428</v>
      </c>
      <c r="C30" s="1" t="s">
        <v>492</v>
      </c>
      <c r="D30" s="169" t="s">
        <v>174</v>
      </c>
      <c r="E30" s="6" t="s">
        <v>22</v>
      </c>
      <c r="F30" s="172">
        <v>0.1</v>
      </c>
    </row>
    <row r="31" spans="1:7">
      <c r="B31" s="131" t="str">
        <f>B24</f>
        <v>Restaurant</v>
      </c>
      <c r="C31" s="1" t="s">
        <v>508</v>
      </c>
      <c r="D31" s="169" t="s">
        <v>174</v>
      </c>
      <c r="E31" s="6" t="s">
        <v>22</v>
      </c>
      <c r="F31" s="172">
        <v>0.6</v>
      </c>
    </row>
    <row r="32" spans="1:7" ht="24.75" customHeight="1">
      <c r="B32" s="131" t="s">
        <v>429</v>
      </c>
      <c r="C32" s="192" t="s">
        <v>507</v>
      </c>
      <c r="D32" s="169" t="s">
        <v>174</v>
      </c>
      <c r="E32" s="6" t="s">
        <v>22</v>
      </c>
      <c r="F32" s="172">
        <v>0.7</v>
      </c>
    </row>
    <row r="34" spans="1:7">
      <c r="A34" s="2" t="s">
        <v>107</v>
      </c>
      <c r="B34" s="3" t="s">
        <v>208</v>
      </c>
      <c r="C34" s="5"/>
      <c r="D34" s="5"/>
      <c r="E34" s="5"/>
      <c r="F34" s="5"/>
      <c r="G34" s="5"/>
    </row>
    <row r="36" spans="1:7">
      <c r="B36" s="7" t="s">
        <v>277</v>
      </c>
      <c r="C36" s="7" t="s">
        <v>182</v>
      </c>
      <c r="D36" s="125">
        <f>DATEVALUE(1&amp;"/"&amp;'IP1'!$B$3&amp;"/"&amp;('IP1'!$B$4+1))-1</f>
        <v>41639</v>
      </c>
      <c r="E36" s="125">
        <f>DATEVALUE(1&amp;"/"&amp;'IP1'!$B$3&amp;"/"&amp;('IP1'!$B$4+2))-1</f>
        <v>42004</v>
      </c>
      <c r="F36" s="8" t="s">
        <v>173</v>
      </c>
      <c r="G36" s="8" t="s">
        <v>180</v>
      </c>
    </row>
    <row r="37" spans="1:7">
      <c r="A37" s="117" t="str">
        <f>B37&amp;C37</f>
        <v>MarketingAdvertising</v>
      </c>
      <c r="B37" s="173" t="s">
        <v>10</v>
      </c>
      <c r="C37" s="173" t="s">
        <v>440</v>
      </c>
      <c r="D37" s="167">
        <v>5000</v>
      </c>
      <c r="E37" s="167">
        <v>5000</v>
      </c>
      <c r="F37" s="168" t="s">
        <v>174</v>
      </c>
      <c r="G37" s="168" t="s">
        <v>187</v>
      </c>
    </row>
    <row r="38" spans="1:7">
      <c r="A38" s="117" t="str">
        <f t="shared" ref="A38:A89" si="0">B38&amp;C38</f>
        <v>MarketingFees / Commissions</v>
      </c>
      <c r="B38" s="173" t="s">
        <v>10</v>
      </c>
      <c r="C38" s="173" t="s">
        <v>441</v>
      </c>
      <c r="D38" s="167">
        <v>5000</v>
      </c>
      <c r="E38" s="167">
        <v>5000</v>
      </c>
      <c r="F38" s="168" t="s">
        <v>174</v>
      </c>
      <c r="G38" s="168" t="s">
        <v>187</v>
      </c>
    </row>
    <row r="39" spans="1:7">
      <c r="A39" s="117" t="str">
        <f t="shared" si="0"/>
        <v>MarketingMerchandising</v>
      </c>
      <c r="B39" s="173" t="s">
        <v>10</v>
      </c>
      <c r="C39" s="173" t="s">
        <v>442</v>
      </c>
      <c r="D39" s="167">
        <v>5000</v>
      </c>
      <c r="E39" s="167">
        <v>5000</v>
      </c>
      <c r="F39" s="168" t="s">
        <v>174</v>
      </c>
      <c r="G39" s="168" t="s">
        <v>189</v>
      </c>
    </row>
    <row r="40" spans="1:7">
      <c r="A40" s="117" t="str">
        <f t="shared" si="0"/>
        <v>MarketingSales</v>
      </c>
      <c r="B40" s="173" t="s">
        <v>10</v>
      </c>
      <c r="C40" s="173" t="s">
        <v>29</v>
      </c>
      <c r="D40" s="167">
        <v>5000</v>
      </c>
      <c r="E40" s="167">
        <v>5000</v>
      </c>
      <c r="F40" s="168" t="s">
        <v>174</v>
      </c>
      <c r="G40" s="168" t="s">
        <v>187</v>
      </c>
    </row>
    <row r="41" spans="1:7">
      <c r="A41" s="117" t="str">
        <f t="shared" si="0"/>
        <v>MarketingMarketing &amp; Promotion</v>
      </c>
      <c r="B41" s="173" t="s">
        <v>10</v>
      </c>
      <c r="C41" s="173" t="s">
        <v>4</v>
      </c>
      <c r="D41" s="167">
        <v>5000</v>
      </c>
      <c r="E41" s="167">
        <v>5000</v>
      </c>
      <c r="F41" s="168" t="s">
        <v>174</v>
      </c>
      <c r="G41" s="168" t="s">
        <v>188</v>
      </c>
    </row>
    <row r="42" spans="1:7">
      <c r="A42" s="117" t="str">
        <f t="shared" si="0"/>
        <v xml:space="preserve">AdministrationBank charges </v>
      </c>
      <c r="B42" s="173" t="s">
        <v>155</v>
      </c>
      <c r="C42" s="173" t="s">
        <v>452</v>
      </c>
      <c r="D42" s="167">
        <v>1000</v>
      </c>
      <c r="E42" s="167">
        <v>1000</v>
      </c>
      <c r="F42" s="168" t="s">
        <v>174</v>
      </c>
      <c r="G42" s="168" t="s">
        <v>187</v>
      </c>
    </row>
    <row r="43" spans="1:7">
      <c r="A43" s="117" t="str">
        <f t="shared" si="0"/>
        <v>AdministrationBad Debts</v>
      </c>
      <c r="B43" s="1" t="s">
        <v>155</v>
      </c>
      <c r="C43" s="1" t="s">
        <v>30</v>
      </c>
      <c r="D43" s="120">
        <f>((PRODUCT('IP1'!$D$8:$F$8)*4)+(PRODUCT('IP1'!$D$9:$F$9)*2)+PRODUCT('IP1'!$D$10:$F$10)+
PRODUCT('IP1'!$D$15:$F$15)+PRODUCT('IP1'!$D$16:$F$16)+PRODUCT('IP1'!$D$17:$F$17))
*(365.25/7)*$F$25</f>
        <v>7446.5343750000002</v>
      </c>
      <c r="E43" s="120">
        <f>((((PRODUCT('IP1'!$D$8:$F$8)*4)+(PRODUCT('IP1'!$D$9:$F$9)*2)+PRODUCT('IP1'!$D$10:$F$10))*(1+C12))
+
((PRODUCT('IP1'!$D$15:$F$15)+PRODUCT('IP1'!$D$16:$F$16)+PRODUCT('IP1'!$D$17:$F$17)))*(1+C19))
*(365.25/7)*$F$25</f>
        <v>8191.1878125000012</v>
      </c>
      <c r="F43" s="168" t="s">
        <v>174</v>
      </c>
      <c r="G43" s="168" t="s">
        <v>502</v>
      </c>
    </row>
    <row r="44" spans="1:7">
      <c r="A44" s="117" t="str">
        <f t="shared" si="0"/>
        <v>AdministrationCleaning</v>
      </c>
      <c r="B44" s="173" t="s">
        <v>155</v>
      </c>
      <c r="C44" s="173" t="s">
        <v>31</v>
      </c>
      <c r="D44" s="167">
        <v>50000</v>
      </c>
      <c r="E44" s="167">
        <v>55000</v>
      </c>
      <c r="F44" s="168" t="s">
        <v>174</v>
      </c>
      <c r="G44" s="168" t="s">
        <v>183</v>
      </c>
    </row>
    <row r="45" spans="1:7">
      <c r="A45" s="117" t="str">
        <f t="shared" si="0"/>
        <v xml:space="preserve">AdministrationContract services </v>
      </c>
      <c r="B45" s="173" t="s">
        <v>155</v>
      </c>
      <c r="C45" s="173" t="s">
        <v>453</v>
      </c>
      <c r="D45" s="167">
        <v>20000</v>
      </c>
      <c r="E45" s="167">
        <v>20000</v>
      </c>
      <c r="F45" s="168" t="s">
        <v>174</v>
      </c>
      <c r="G45" s="168" t="s">
        <v>502</v>
      </c>
    </row>
    <row r="46" spans="1:7">
      <c r="A46" s="117" t="str">
        <f t="shared" si="0"/>
        <v xml:space="preserve">AdministrationCredit card costs </v>
      </c>
      <c r="B46" s="173" t="s">
        <v>155</v>
      </c>
      <c r="C46" s="173" t="s">
        <v>487</v>
      </c>
      <c r="D46" s="167">
        <v>36000</v>
      </c>
      <c r="E46" s="167">
        <v>40000</v>
      </c>
      <c r="F46" s="168" t="s">
        <v>174</v>
      </c>
      <c r="G46" s="168" t="s">
        <v>501</v>
      </c>
    </row>
    <row r="47" spans="1:7">
      <c r="A47" s="117" t="str">
        <f t="shared" si="0"/>
        <v xml:space="preserve">AdministrationDues and subscriptions </v>
      </c>
      <c r="B47" s="173" t="s">
        <v>155</v>
      </c>
      <c r="C47" s="173" t="s">
        <v>454</v>
      </c>
      <c r="D47" s="167">
        <v>1000</v>
      </c>
      <c r="E47" s="167">
        <v>1500</v>
      </c>
      <c r="F47" s="168" t="s">
        <v>174</v>
      </c>
      <c r="G47" s="168" t="s">
        <v>188</v>
      </c>
    </row>
    <row r="48" spans="1:7">
      <c r="A48" s="117" t="str">
        <f t="shared" si="0"/>
        <v xml:space="preserve">AdministrationInformation systems </v>
      </c>
      <c r="B48" s="173" t="s">
        <v>155</v>
      </c>
      <c r="C48" s="173" t="s">
        <v>455</v>
      </c>
      <c r="D48" s="167">
        <v>10000</v>
      </c>
      <c r="E48" s="167">
        <v>10000</v>
      </c>
      <c r="F48" s="168" t="s">
        <v>174</v>
      </c>
      <c r="G48" s="168" t="s">
        <v>183</v>
      </c>
    </row>
    <row r="49" spans="1:7">
      <c r="A49" s="117" t="str">
        <f t="shared" si="0"/>
        <v>AdministrationLegal fees</v>
      </c>
      <c r="B49" s="173" t="s">
        <v>155</v>
      </c>
      <c r="C49" s="173" t="s">
        <v>456</v>
      </c>
      <c r="D49" s="167">
        <v>5000</v>
      </c>
      <c r="E49" s="167">
        <v>5000</v>
      </c>
      <c r="F49" s="168" t="s">
        <v>174</v>
      </c>
      <c r="G49" s="168" t="s">
        <v>188</v>
      </c>
    </row>
    <row r="50" spans="1:7">
      <c r="A50" s="117" t="str">
        <f t="shared" si="0"/>
        <v xml:space="preserve">AdministrationLoss and damage </v>
      </c>
      <c r="B50" s="173" t="s">
        <v>155</v>
      </c>
      <c r="C50" s="173" t="s">
        <v>457</v>
      </c>
      <c r="D50" s="167">
        <v>2500</v>
      </c>
      <c r="E50" s="167">
        <v>5000</v>
      </c>
      <c r="F50" s="168" t="s">
        <v>174</v>
      </c>
      <c r="G50" s="168" t="s">
        <v>501</v>
      </c>
    </row>
    <row r="51" spans="1:7">
      <c r="A51" s="117" t="str">
        <f t="shared" si="0"/>
        <v>AdministrationOperating supplies &amp; equip.</v>
      </c>
      <c r="B51" s="173" t="s">
        <v>155</v>
      </c>
      <c r="C51" s="173" t="s">
        <v>460</v>
      </c>
      <c r="D51" s="167">
        <v>5000</v>
      </c>
      <c r="E51" s="167">
        <v>5000</v>
      </c>
      <c r="F51" s="168" t="s">
        <v>174</v>
      </c>
      <c r="G51" s="168" t="s">
        <v>183</v>
      </c>
    </row>
    <row r="52" spans="1:7">
      <c r="A52" s="117" t="str">
        <f t="shared" si="0"/>
        <v xml:space="preserve">AdministrationPostage </v>
      </c>
      <c r="B52" s="173" t="s">
        <v>155</v>
      </c>
      <c r="C52" s="173" t="s">
        <v>458</v>
      </c>
      <c r="D52" s="167">
        <v>500</v>
      </c>
      <c r="E52" s="167">
        <v>500</v>
      </c>
      <c r="F52" s="168" t="s">
        <v>174</v>
      </c>
      <c r="G52" s="168" t="s">
        <v>183</v>
      </c>
    </row>
    <row r="53" spans="1:7">
      <c r="A53" s="117" t="str">
        <f t="shared" si="0"/>
        <v xml:space="preserve">AdministrationPrinting and stationery </v>
      </c>
      <c r="B53" s="173" t="s">
        <v>155</v>
      </c>
      <c r="C53" s="173" t="s">
        <v>459</v>
      </c>
      <c r="D53" s="167">
        <v>2500</v>
      </c>
      <c r="E53" s="167">
        <v>2500</v>
      </c>
      <c r="F53" s="168" t="s">
        <v>174</v>
      </c>
      <c r="G53" s="168" t="s">
        <v>183</v>
      </c>
    </row>
    <row r="54" spans="1:7">
      <c r="A54" s="117" t="str">
        <f t="shared" si="0"/>
        <v>AdministrationProfessional fees</v>
      </c>
      <c r="B54" s="173" t="s">
        <v>155</v>
      </c>
      <c r="C54" s="173" t="s">
        <v>488</v>
      </c>
      <c r="D54" s="167">
        <v>7500</v>
      </c>
      <c r="E54" s="167">
        <v>7500</v>
      </c>
      <c r="F54" s="168" t="s">
        <v>174</v>
      </c>
      <c r="G54" s="168" t="s">
        <v>183</v>
      </c>
    </row>
    <row r="55" spans="1:7">
      <c r="A55" s="117" t="str">
        <f t="shared" si="0"/>
        <v>AdministrationSecurity</v>
      </c>
      <c r="B55" s="173" t="s">
        <v>155</v>
      </c>
      <c r="C55" s="173" t="s">
        <v>489</v>
      </c>
      <c r="D55" s="167">
        <v>10000</v>
      </c>
      <c r="E55" s="167">
        <v>10000</v>
      </c>
      <c r="F55" s="168" t="s">
        <v>174</v>
      </c>
      <c r="G55" s="168" t="s">
        <v>183</v>
      </c>
    </row>
    <row r="56" spans="1:7">
      <c r="A56" s="117" t="str">
        <f t="shared" si="0"/>
        <v>AdministrationTelecommunications</v>
      </c>
      <c r="B56" s="173" t="s">
        <v>155</v>
      </c>
      <c r="C56" s="173" t="s">
        <v>490</v>
      </c>
      <c r="D56" s="167">
        <v>5000</v>
      </c>
      <c r="E56" s="167">
        <v>5000</v>
      </c>
      <c r="F56" s="168" t="s">
        <v>174</v>
      </c>
      <c r="G56" s="168" t="s">
        <v>183</v>
      </c>
    </row>
    <row r="57" spans="1:7">
      <c r="A57" s="117" t="str">
        <f t="shared" si="0"/>
        <v>AdministrationTraining and development</v>
      </c>
      <c r="B57" s="173" t="s">
        <v>155</v>
      </c>
      <c r="C57" s="173" t="s">
        <v>461</v>
      </c>
      <c r="D57" s="167">
        <v>10000</v>
      </c>
      <c r="E57" s="167">
        <v>10000</v>
      </c>
      <c r="F57" s="168" t="s">
        <v>174</v>
      </c>
      <c r="G57" s="168" t="s">
        <v>183</v>
      </c>
    </row>
    <row r="58" spans="1:7">
      <c r="A58" s="117" t="str">
        <f t="shared" si="0"/>
        <v>AdministrationTravel</v>
      </c>
      <c r="B58" s="173" t="s">
        <v>155</v>
      </c>
      <c r="C58" s="173" t="s">
        <v>462</v>
      </c>
      <c r="D58" s="167">
        <v>5000</v>
      </c>
      <c r="E58" s="167">
        <v>5000</v>
      </c>
      <c r="F58" s="168" t="s">
        <v>174</v>
      </c>
      <c r="G58" s="168" t="s">
        <v>183</v>
      </c>
    </row>
    <row r="59" spans="1:7">
      <c r="A59" s="117" t="str">
        <f t="shared" si="0"/>
        <v>AdministrationUniforms</v>
      </c>
      <c r="B59" s="173" t="s">
        <v>155</v>
      </c>
      <c r="C59" s="173" t="s">
        <v>3</v>
      </c>
      <c r="D59" s="167">
        <v>10000</v>
      </c>
      <c r="E59" s="167">
        <v>10000</v>
      </c>
      <c r="F59" s="168" t="s">
        <v>174</v>
      </c>
      <c r="G59" s="168" t="s">
        <v>190</v>
      </c>
    </row>
    <row r="60" spans="1:7">
      <c r="A60" s="117" t="str">
        <f t="shared" si="0"/>
        <v>AdministrationOther</v>
      </c>
      <c r="B60" s="173" t="s">
        <v>155</v>
      </c>
      <c r="C60" s="173" t="s">
        <v>2</v>
      </c>
      <c r="D60" s="167">
        <v>1000</v>
      </c>
      <c r="E60" s="167">
        <v>1000</v>
      </c>
      <c r="F60" s="168" t="s">
        <v>174</v>
      </c>
      <c r="G60" s="168" t="s">
        <v>183</v>
      </c>
    </row>
    <row r="61" spans="1:7">
      <c r="A61" s="117" t="str">
        <f t="shared" si="0"/>
        <v xml:space="preserve">UtilitiesElectricity </v>
      </c>
      <c r="B61" s="173" t="s">
        <v>443</v>
      </c>
      <c r="C61" s="173" t="s">
        <v>444</v>
      </c>
      <c r="D61" s="167">
        <v>50000</v>
      </c>
      <c r="E61" s="167">
        <v>60000</v>
      </c>
      <c r="F61" s="168" t="s">
        <v>174</v>
      </c>
      <c r="G61" s="168" t="s">
        <v>187</v>
      </c>
    </row>
    <row r="62" spans="1:7">
      <c r="A62" s="117" t="str">
        <f t="shared" si="0"/>
        <v xml:space="preserve">UtilitiesGas </v>
      </c>
      <c r="B62" s="173" t="s">
        <v>443</v>
      </c>
      <c r="C62" s="173" t="s">
        <v>445</v>
      </c>
      <c r="D62" s="167">
        <v>50000</v>
      </c>
      <c r="E62" s="167">
        <v>75000</v>
      </c>
      <c r="F62" s="168" t="s">
        <v>174</v>
      </c>
      <c r="G62" s="168" t="s">
        <v>187</v>
      </c>
    </row>
    <row r="63" spans="1:7">
      <c r="A63" s="117" t="str">
        <f t="shared" si="0"/>
        <v xml:space="preserve">UtilitiesOil </v>
      </c>
      <c r="B63" s="173" t="s">
        <v>443</v>
      </c>
      <c r="C63" s="173" t="s">
        <v>446</v>
      </c>
      <c r="D63" s="167">
        <v>0</v>
      </c>
      <c r="E63" s="167">
        <v>0</v>
      </c>
      <c r="F63" s="168" t="s">
        <v>174</v>
      </c>
      <c r="G63" s="168" t="s">
        <v>183</v>
      </c>
    </row>
    <row r="64" spans="1:7">
      <c r="A64" s="117" t="str">
        <f t="shared" si="0"/>
        <v xml:space="preserve">UtilitiesWater </v>
      </c>
      <c r="B64" s="173" t="s">
        <v>443</v>
      </c>
      <c r="C64" s="173" t="s">
        <v>447</v>
      </c>
      <c r="D64" s="167">
        <v>5000</v>
      </c>
      <c r="E64" s="167">
        <v>5000</v>
      </c>
      <c r="F64" s="168" t="s">
        <v>174</v>
      </c>
      <c r="G64" s="168" t="s">
        <v>183</v>
      </c>
    </row>
    <row r="65" spans="1:7">
      <c r="A65" s="117" t="str">
        <f t="shared" si="0"/>
        <v>Property-relatedRents</v>
      </c>
      <c r="B65" s="173" t="s">
        <v>448</v>
      </c>
      <c r="C65" s="173" t="s">
        <v>449</v>
      </c>
      <c r="D65" s="167">
        <v>0</v>
      </c>
      <c r="E65" s="167">
        <v>0</v>
      </c>
      <c r="F65" s="168" t="s">
        <v>174</v>
      </c>
      <c r="G65" s="168" t="s">
        <v>183</v>
      </c>
    </row>
    <row r="66" spans="1:7">
      <c r="A66" s="117" t="str">
        <f t="shared" si="0"/>
        <v>Property-relatedRates</v>
      </c>
      <c r="B66" s="173" t="s">
        <v>448</v>
      </c>
      <c r="C66" s="173" t="s">
        <v>450</v>
      </c>
      <c r="D66" s="167">
        <v>7500</v>
      </c>
      <c r="E66" s="167">
        <v>7500</v>
      </c>
      <c r="F66" s="168" t="s">
        <v>174</v>
      </c>
      <c r="G66" s="168" t="s">
        <v>196</v>
      </c>
    </row>
    <row r="67" spans="1:7">
      <c r="A67" s="117" t="str">
        <f t="shared" si="0"/>
        <v>Property-relatedBuilding Insurance</v>
      </c>
      <c r="B67" s="173" t="s">
        <v>448</v>
      </c>
      <c r="C67" s="173" t="s">
        <v>451</v>
      </c>
      <c r="D67" s="167">
        <v>11500</v>
      </c>
      <c r="E67" s="167">
        <v>25000</v>
      </c>
      <c r="F67" s="168" t="s">
        <v>174</v>
      </c>
      <c r="G67" s="168" t="s">
        <v>196</v>
      </c>
    </row>
    <row r="68" spans="1:7">
      <c r="A68" s="117" t="str">
        <f t="shared" si="0"/>
        <v xml:space="preserve">OperationsBuilding supplies </v>
      </c>
      <c r="B68" s="173" t="s">
        <v>463</v>
      </c>
      <c r="C68" s="173" t="s">
        <v>464</v>
      </c>
      <c r="D68" s="167">
        <v>2400</v>
      </c>
      <c r="E68" s="167">
        <v>2400</v>
      </c>
      <c r="F68" s="168" t="s">
        <v>174</v>
      </c>
      <c r="G68" s="168" t="s">
        <v>183</v>
      </c>
    </row>
    <row r="69" spans="1:7">
      <c r="A69" s="117" t="str">
        <f t="shared" si="0"/>
        <v>OperationsElectrical &amp; mech. equip.</v>
      </c>
      <c r="B69" s="173" t="s">
        <v>463</v>
      </c>
      <c r="C69" s="173" t="s">
        <v>477</v>
      </c>
      <c r="D69" s="167">
        <v>7500</v>
      </c>
      <c r="E69" s="167">
        <v>7500</v>
      </c>
      <c r="F69" s="168" t="s">
        <v>174</v>
      </c>
      <c r="G69" s="168" t="s">
        <v>183</v>
      </c>
    </row>
    <row r="70" spans="1:7">
      <c r="A70" s="117" t="str">
        <f t="shared" si="0"/>
        <v xml:space="preserve">OperationsEngineering supplies </v>
      </c>
      <c r="B70" s="173" t="s">
        <v>463</v>
      </c>
      <c r="C70" s="173" t="s">
        <v>465</v>
      </c>
      <c r="D70" s="167">
        <v>6500</v>
      </c>
      <c r="E70" s="167">
        <v>6500</v>
      </c>
      <c r="F70" s="168" t="s">
        <v>174</v>
      </c>
      <c r="G70" s="168" t="s">
        <v>183</v>
      </c>
    </row>
    <row r="71" spans="1:7">
      <c r="A71" s="117" t="str">
        <f t="shared" si="0"/>
        <v xml:space="preserve">OperationsFurniture </v>
      </c>
      <c r="B71" s="173" t="s">
        <v>463</v>
      </c>
      <c r="C71" s="173" t="s">
        <v>466</v>
      </c>
      <c r="D71" s="167">
        <v>2500</v>
      </c>
      <c r="E71" s="167">
        <v>2500</v>
      </c>
      <c r="F71" s="168" t="s">
        <v>174</v>
      </c>
      <c r="G71" s="168" t="s">
        <v>197</v>
      </c>
    </row>
    <row r="72" spans="1:7">
      <c r="A72" s="117" t="str">
        <f t="shared" si="0"/>
        <v xml:space="preserve">OperationsGrounds and landscaping </v>
      </c>
      <c r="B72" s="173" t="s">
        <v>463</v>
      </c>
      <c r="C72" s="173" t="s">
        <v>467</v>
      </c>
      <c r="D72" s="167">
        <v>17500</v>
      </c>
      <c r="E72" s="167">
        <v>50000</v>
      </c>
      <c r="F72" s="168" t="s">
        <v>174</v>
      </c>
      <c r="G72" s="168" t="s">
        <v>183</v>
      </c>
    </row>
    <row r="73" spans="1:7">
      <c r="A73" s="117" t="str">
        <f t="shared" si="0"/>
        <v xml:space="preserve">OperationsHeating, vent &amp; a/c equip </v>
      </c>
      <c r="B73" s="173" t="s">
        <v>463</v>
      </c>
      <c r="C73" s="173" t="s">
        <v>478</v>
      </c>
      <c r="D73" s="167">
        <v>25000</v>
      </c>
      <c r="E73" s="167">
        <v>50000</v>
      </c>
      <c r="F73" s="168" t="s">
        <v>174</v>
      </c>
      <c r="G73" s="168" t="s">
        <v>183</v>
      </c>
    </row>
    <row r="74" spans="1:7">
      <c r="A74" s="117" t="str">
        <f t="shared" si="0"/>
        <v xml:space="preserve">OperationsKitchen equipment </v>
      </c>
      <c r="B74" s="173" t="s">
        <v>463</v>
      </c>
      <c r="C74" s="173" t="s">
        <v>468</v>
      </c>
      <c r="D74" s="167">
        <v>5000</v>
      </c>
      <c r="E74" s="167">
        <v>5000</v>
      </c>
      <c r="F74" s="168" t="s">
        <v>174</v>
      </c>
      <c r="G74" s="168" t="s">
        <v>183</v>
      </c>
    </row>
    <row r="75" spans="1:7">
      <c r="A75" s="117" t="str">
        <f t="shared" si="0"/>
        <v xml:space="preserve">OperationsLaundry equipment </v>
      </c>
      <c r="B75" s="173" t="s">
        <v>463</v>
      </c>
      <c r="C75" s="173" t="s">
        <v>469</v>
      </c>
      <c r="D75" s="167">
        <v>5000</v>
      </c>
      <c r="E75" s="167">
        <v>5000</v>
      </c>
      <c r="F75" s="168" t="s">
        <v>174</v>
      </c>
      <c r="G75" s="168" t="s">
        <v>183</v>
      </c>
    </row>
    <row r="76" spans="1:7">
      <c r="A76" s="117" t="str">
        <f t="shared" si="0"/>
        <v xml:space="preserve">OperationsLife/safety </v>
      </c>
      <c r="B76" s="173" t="s">
        <v>463</v>
      </c>
      <c r="C76" s="173" t="s">
        <v>470</v>
      </c>
      <c r="D76" s="167">
        <v>7500</v>
      </c>
      <c r="E76" s="167">
        <v>7500</v>
      </c>
      <c r="F76" s="168" t="s">
        <v>174</v>
      </c>
      <c r="G76" s="168" t="s">
        <v>183</v>
      </c>
    </row>
    <row r="77" spans="1:7">
      <c r="A77" s="117" t="str">
        <f t="shared" si="0"/>
        <v xml:space="preserve">OperationsOperating supplies </v>
      </c>
      <c r="B77" s="173" t="s">
        <v>463</v>
      </c>
      <c r="C77" s="173" t="s">
        <v>471</v>
      </c>
      <c r="D77" s="167">
        <v>10000</v>
      </c>
      <c r="E77" s="167">
        <v>10000</v>
      </c>
      <c r="F77" s="168" t="s">
        <v>174</v>
      </c>
      <c r="G77" s="168" t="s">
        <v>183</v>
      </c>
    </row>
    <row r="78" spans="1:7">
      <c r="A78" s="117" t="str">
        <f t="shared" si="0"/>
        <v xml:space="preserve">OperationsPainting and decorating </v>
      </c>
      <c r="B78" s="173" t="s">
        <v>463</v>
      </c>
      <c r="C78" s="173" t="s">
        <v>472</v>
      </c>
      <c r="D78" s="167">
        <v>2500</v>
      </c>
      <c r="E78" s="167">
        <v>2500</v>
      </c>
      <c r="F78" s="168" t="s">
        <v>174</v>
      </c>
      <c r="G78" s="168" t="s">
        <v>183</v>
      </c>
    </row>
    <row r="79" spans="1:7">
      <c r="A79" s="117" t="str">
        <f t="shared" si="0"/>
        <v xml:space="preserve">OperationsRemoval of waste matter </v>
      </c>
      <c r="B79" s="173" t="s">
        <v>463</v>
      </c>
      <c r="C79" s="173" t="s">
        <v>473</v>
      </c>
      <c r="D79" s="167">
        <v>5000</v>
      </c>
      <c r="E79" s="167">
        <v>5000</v>
      </c>
      <c r="F79" s="168" t="s">
        <v>174</v>
      </c>
      <c r="G79" s="168" t="s">
        <v>183</v>
      </c>
    </row>
    <row r="80" spans="1:7">
      <c r="A80" s="117" t="str">
        <f t="shared" si="0"/>
        <v>OperationsSpa / Wellness</v>
      </c>
      <c r="B80" s="173" t="s">
        <v>463</v>
      </c>
      <c r="C80" s="173" t="s">
        <v>479</v>
      </c>
      <c r="D80" s="167">
        <v>6500</v>
      </c>
      <c r="E80" s="167">
        <v>6500</v>
      </c>
      <c r="F80" s="168" t="s">
        <v>174</v>
      </c>
      <c r="G80" s="168" t="s">
        <v>183</v>
      </c>
    </row>
    <row r="81" spans="1:7">
      <c r="A81" s="117" t="str">
        <f t="shared" si="0"/>
        <v xml:space="preserve">OperationsSwimming pool </v>
      </c>
      <c r="B81" s="173" t="s">
        <v>463</v>
      </c>
      <c r="C81" s="173" t="s">
        <v>474</v>
      </c>
      <c r="D81" s="167">
        <v>50000</v>
      </c>
      <c r="E81" s="167">
        <v>50000</v>
      </c>
      <c r="F81" s="168" t="s">
        <v>174</v>
      </c>
      <c r="G81" s="168" t="s">
        <v>183</v>
      </c>
    </row>
    <row r="82" spans="1:7">
      <c r="A82" s="117" t="str">
        <f t="shared" si="0"/>
        <v xml:space="preserve">OperationsTraining </v>
      </c>
      <c r="B82" s="173" t="s">
        <v>463</v>
      </c>
      <c r="C82" s="173" t="s">
        <v>475</v>
      </c>
      <c r="D82" s="167">
        <v>12500</v>
      </c>
      <c r="E82" s="167">
        <v>12500</v>
      </c>
      <c r="F82" s="168" t="s">
        <v>174</v>
      </c>
      <c r="G82" s="168" t="s">
        <v>183</v>
      </c>
    </row>
    <row r="83" spans="1:7">
      <c r="A83" s="117" t="str">
        <f t="shared" si="0"/>
        <v xml:space="preserve">OperationsVehicle maintenance </v>
      </c>
      <c r="B83" s="173" t="s">
        <v>463</v>
      </c>
      <c r="C83" s="173" t="s">
        <v>476</v>
      </c>
      <c r="D83" s="167">
        <v>3000</v>
      </c>
      <c r="E83" s="167">
        <v>3000</v>
      </c>
      <c r="F83" s="168" t="s">
        <v>174</v>
      </c>
      <c r="G83" s="168" t="s">
        <v>183</v>
      </c>
    </row>
    <row r="84" spans="1:7">
      <c r="A84" s="117" t="str">
        <f t="shared" si="0"/>
        <v xml:space="preserve">Rooms / Rest. / EventsCable/satellite television </v>
      </c>
      <c r="B84" s="173" t="s">
        <v>480</v>
      </c>
      <c r="C84" s="173" t="s">
        <v>481</v>
      </c>
      <c r="D84" s="167">
        <v>20000</v>
      </c>
      <c r="E84" s="167">
        <v>20000</v>
      </c>
      <c r="F84" s="168" t="s">
        <v>174</v>
      </c>
      <c r="G84" s="168" t="s">
        <v>183</v>
      </c>
    </row>
    <row r="85" spans="1:7">
      <c r="A85" s="117" t="str">
        <f t="shared" si="0"/>
        <v>Rooms / Rest. / EventsChina, Glassware, cutlery</v>
      </c>
      <c r="B85" s="173" t="s">
        <v>480</v>
      </c>
      <c r="C85" s="173" t="s">
        <v>486</v>
      </c>
      <c r="D85" s="167">
        <v>20000</v>
      </c>
      <c r="E85" s="167">
        <v>20000</v>
      </c>
      <c r="F85" s="168" t="s">
        <v>174</v>
      </c>
      <c r="G85" s="168" t="s">
        <v>502</v>
      </c>
    </row>
    <row r="86" spans="1:7">
      <c r="A86" s="117" t="str">
        <f t="shared" si="0"/>
        <v xml:space="preserve">Rooms / Rest. / EventsLaundry and dry cleaning </v>
      </c>
      <c r="B86" s="173" t="s">
        <v>480</v>
      </c>
      <c r="C86" s="173" t="s">
        <v>482</v>
      </c>
      <c r="D86" s="167">
        <v>10000</v>
      </c>
      <c r="E86" s="167">
        <v>10000</v>
      </c>
      <c r="F86" s="168" t="s">
        <v>174</v>
      </c>
      <c r="G86" s="168" t="s">
        <v>502</v>
      </c>
    </row>
    <row r="87" spans="1:7">
      <c r="A87" s="117" t="str">
        <f t="shared" si="0"/>
        <v xml:space="preserve">Rooms / Rest. / EventsLicenses </v>
      </c>
      <c r="B87" s="173" t="s">
        <v>480</v>
      </c>
      <c r="C87" s="173" t="s">
        <v>483</v>
      </c>
      <c r="D87" s="167">
        <v>1000</v>
      </c>
      <c r="E87" s="167">
        <v>1000</v>
      </c>
      <c r="F87" s="168" t="s">
        <v>174</v>
      </c>
      <c r="G87" s="168" t="s">
        <v>502</v>
      </c>
    </row>
    <row r="88" spans="1:7">
      <c r="A88" s="117" t="str">
        <f t="shared" si="0"/>
        <v xml:space="preserve">Rooms / Rest. / EventsLinen </v>
      </c>
      <c r="B88" s="173" t="s">
        <v>480</v>
      </c>
      <c r="C88" s="173" t="s">
        <v>484</v>
      </c>
      <c r="D88" s="167">
        <v>5000</v>
      </c>
      <c r="E88" s="167">
        <v>5000</v>
      </c>
      <c r="F88" s="168" t="s">
        <v>174</v>
      </c>
      <c r="G88" s="168" t="s">
        <v>502</v>
      </c>
    </row>
    <row r="89" spans="1:7">
      <c r="A89" s="117" t="str">
        <f t="shared" si="0"/>
        <v xml:space="preserve">Rooms / Rest. / EventsMusic and entertainment </v>
      </c>
      <c r="B89" s="173" t="s">
        <v>480</v>
      </c>
      <c r="C89" s="173" t="s">
        <v>485</v>
      </c>
      <c r="D89" s="167">
        <v>17500</v>
      </c>
      <c r="E89" s="167">
        <v>17500</v>
      </c>
      <c r="F89" s="168" t="s">
        <v>174</v>
      </c>
      <c r="G89" s="168" t="s">
        <v>502</v>
      </c>
    </row>
    <row r="90" spans="1:7">
      <c r="A90" s="117"/>
    </row>
    <row r="91" spans="1:7">
      <c r="A91" s="117" t="str">
        <f>B91&amp;C91</f>
        <v>Capital a/cDrawings</v>
      </c>
      <c r="B91" s="1" t="s">
        <v>423</v>
      </c>
      <c r="C91" s="1" t="s">
        <v>424</v>
      </c>
      <c r="D91" s="167">
        <v>37500</v>
      </c>
      <c r="E91" s="167">
        <v>75000</v>
      </c>
      <c r="G91" s="168" t="s">
        <v>183</v>
      </c>
    </row>
    <row r="92" spans="1:7">
      <c r="A92" s="117"/>
      <c r="D92" s="85"/>
    </row>
    <row r="93" spans="1:7" ht="12.75" customHeight="1">
      <c r="A93" s="2" t="s">
        <v>113</v>
      </c>
      <c r="B93" s="3" t="s">
        <v>162</v>
      </c>
      <c r="C93" s="5"/>
      <c r="D93" s="5"/>
      <c r="E93" s="5"/>
      <c r="F93" s="5"/>
      <c r="G93" s="5"/>
    </row>
    <row r="95" spans="1:7">
      <c r="B95" s="7" t="s">
        <v>277</v>
      </c>
      <c r="C95" s="8" t="s">
        <v>278</v>
      </c>
      <c r="D95" s="125">
        <f>DATEVALUE(1&amp;"/"&amp;'IP1'!$B$3&amp;"/"&amp;('IP1'!$B$4+1))-1</f>
        <v>41639</v>
      </c>
      <c r="E95" s="125">
        <f>DATEVALUE(1&amp;"/"&amp;'IP1'!$B$3&amp;"/"&amp;('IP1'!$B$4+2))-1</f>
        <v>42004</v>
      </c>
    </row>
    <row r="96" spans="1:7">
      <c r="B96" s="169" t="s">
        <v>10</v>
      </c>
      <c r="C96" s="174" t="s">
        <v>225</v>
      </c>
      <c r="D96" s="167">
        <v>20000</v>
      </c>
      <c r="E96" s="167">
        <v>30000</v>
      </c>
    </row>
    <row r="97" spans="2:5">
      <c r="B97" s="169" t="s">
        <v>10</v>
      </c>
      <c r="C97" s="174" t="s">
        <v>226</v>
      </c>
      <c r="D97" s="167"/>
      <c r="E97" s="167"/>
    </row>
    <row r="98" spans="2:5">
      <c r="B98" s="169" t="s">
        <v>155</v>
      </c>
      <c r="C98" s="174" t="s">
        <v>227</v>
      </c>
      <c r="D98" s="167">
        <v>25000</v>
      </c>
      <c r="E98" s="167">
        <v>25000</v>
      </c>
    </row>
    <row r="99" spans="2:5">
      <c r="B99" s="169" t="s">
        <v>155</v>
      </c>
      <c r="C99" s="174" t="s">
        <v>228</v>
      </c>
      <c r="D99" s="167">
        <v>45000</v>
      </c>
      <c r="E99" s="167">
        <v>45000</v>
      </c>
    </row>
    <row r="100" spans="2:5">
      <c r="B100" s="169" t="s">
        <v>155</v>
      </c>
      <c r="C100" s="174" t="s">
        <v>229</v>
      </c>
      <c r="D100" s="167">
        <v>75000</v>
      </c>
      <c r="E100" s="167">
        <v>80000</v>
      </c>
    </row>
    <row r="101" spans="2:5">
      <c r="B101" s="169" t="s">
        <v>155</v>
      </c>
      <c r="C101" s="174" t="s">
        <v>230</v>
      </c>
      <c r="D101" s="167"/>
      <c r="E101" s="167"/>
    </row>
    <row r="102" spans="2:5">
      <c r="B102" s="169" t="s">
        <v>463</v>
      </c>
      <c r="C102" s="174" t="s">
        <v>231</v>
      </c>
      <c r="D102" s="167">
        <v>20000</v>
      </c>
      <c r="E102" s="167">
        <v>20000</v>
      </c>
    </row>
    <row r="103" spans="2:5">
      <c r="B103" s="169" t="s">
        <v>463</v>
      </c>
      <c r="C103" s="174" t="s">
        <v>232</v>
      </c>
      <c r="D103" s="167">
        <v>30000</v>
      </c>
      <c r="E103" s="167">
        <v>30000</v>
      </c>
    </row>
    <row r="104" spans="2:5">
      <c r="B104" s="169" t="s">
        <v>463</v>
      </c>
      <c r="C104" s="174" t="s">
        <v>233</v>
      </c>
      <c r="D104" s="167">
        <v>75000</v>
      </c>
      <c r="E104" s="167">
        <v>80000</v>
      </c>
    </row>
    <row r="105" spans="2:5">
      <c r="B105" s="169" t="s">
        <v>463</v>
      </c>
      <c r="C105" s="174" t="s">
        <v>234</v>
      </c>
      <c r="D105" s="167"/>
      <c r="E105" s="167"/>
    </row>
    <row r="106" spans="2:5">
      <c r="B106" s="169" t="s">
        <v>480</v>
      </c>
      <c r="C106" s="174" t="s">
        <v>235</v>
      </c>
      <c r="D106" s="167">
        <v>30000</v>
      </c>
      <c r="E106" s="167">
        <v>30000</v>
      </c>
    </row>
    <row r="107" spans="2:5">
      <c r="B107" s="169" t="s">
        <v>480</v>
      </c>
      <c r="C107" s="174" t="s">
        <v>236</v>
      </c>
      <c r="D107" s="167">
        <v>30000</v>
      </c>
      <c r="E107" s="167">
        <v>30000</v>
      </c>
    </row>
    <row r="108" spans="2:5">
      <c r="B108" s="169" t="s">
        <v>480</v>
      </c>
      <c r="C108" s="174" t="s">
        <v>237</v>
      </c>
      <c r="D108" s="167">
        <v>30000</v>
      </c>
      <c r="E108" s="167">
        <v>30000</v>
      </c>
    </row>
    <row r="109" spans="2:5">
      <c r="B109" s="169" t="s">
        <v>480</v>
      </c>
      <c r="C109" s="174" t="s">
        <v>238</v>
      </c>
      <c r="D109" s="167">
        <v>30000</v>
      </c>
      <c r="E109" s="167">
        <v>30000</v>
      </c>
    </row>
    <row r="110" spans="2:5">
      <c r="B110" s="169" t="s">
        <v>480</v>
      </c>
      <c r="C110" s="174" t="s">
        <v>239</v>
      </c>
      <c r="D110" s="167">
        <v>30000</v>
      </c>
      <c r="E110" s="167">
        <v>30000</v>
      </c>
    </row>
    <row r="111" spans="2:5">
      <c r="B111" s="169" t="s">
        <v>480</v>
      </c>
      <c r="C111" s="174" t="s">
        <v>240</v>
      </c>
      <c r="D111" s="167">
        <v>30000</v>
      </c>
      <c r="E111" s="167">
        <v>30000</v>
      </c>
    </row>
    <row r="112" spans="2:5">
      <c r="B112" s="169" t="s">
        <v>480</v>
      </c>
      <c r="C112" s="174" t="s">
        <v>241</v>
      </c>
      <c r="D112" s="167">
        <v>30000</v>
      </c>
      <c r="E112" s="167">
        <v>30000</v>
      </c>
    </row>
    <row r="113" spans="1:8">
      <c r="B113" s="169" t="s">
        <v>480</v>
      </c>
      <c r="C113" s="174" t="s">
        <v>242</v>
      </c>
      <c r="D113" s="167">
        <v>30000</v>
      </c>
      <c r="E113" s="167">
        <v>30000</v>
      </c>
    </row>
    <row r="114" spans="1:8" ht="12.75" customHeight="1">
      <c r="B114" s="169" t="s">
        <v>480</v>
      </c>
      <c r="C114" s="174" t="s">
        <v>243</v>
      </c>
      <c r="D114" s="167">
        <v>30000</v>
      </c>
      <c r="E114" s="167">
        <v>30000</v>
      </c>
    </row>
    <row r="116" spans="1:8">
      <c r="A116" s="2" t="s">
        <v>114</v>
      </c>
      <c r="B116" s="3" t="s">
        <v>117</v>
      </c>
      <c r="C116" s="3"/>
      <c r="D116" s="4"/>
      <c r="E116" s="4"/>
      <c r="F116" s="4"/>
      <c r="G116" s="4"/>
    </row>
    <row r="117" spans="1:8">
      <c r="D117" s="6"/>
      <c r="E117" s="6"/>
      <c r="F117" s="6"/>
    </row>
    <row r="118" spans="1:8">
      <c r="B118" s="7" t="s">
        <v>16</v>
      </c>
      <c r="D118" s="8" t="s">
        <v>17</v>
      </c>
      <c r="E118" s="8" t="s">
        <v>115</v>
      </c>
      <c r="F118" s="8" t="s">
        <v>1</v>
      </c>
      <c r="H118" s="108"/>
    </row>
    <row r="119" spans="1:8">
      <c r="B119" s="1" t="s">
        <v>18</v>
      </c>
      <c r="D119" s="164">
        <v>0.75</v>
      </c>
      <c r="E119" s="164">
        <v>0.25</v>
      </c>
      <c r="F119" s="164">
        <v>0.25</v>
      </c>
    </row>
    <row r="120" spans="1:8">
      <c r="B120" s="1" t="s">
        <v>19</v>
      </c>
      <c r="D120" s="164">
        <v>0.15</v>
      </c>
      <c r="E120" s="164">
        <v>0.75</v>
      </c>
      <c r="F120" s="164">
        <v>0.75</v>
      </c>
    </row>
    <row r="121" spans="1:8">
      <c r="B121" s="1" t="s">
        <v>20</v>
      </c>
      <c r="D121" s="164">
        <v>0.05</v>
      </c>
      <c r="E121" s="164"/>
      <c r="F121" s="164"/>
    </row>
    <row r="122" spans="1:8">
      <c r="B122" s="1" t="s">
        <v>104</v>
      </c>
      <c r="D122" s="164">
        <v>0.05</v>
      </c>
      <c r="E122" s="164"/>
      <c r="F122" s="164"/>
    </row>
    <row r="123" spans="1:8">
      <c r="B123" s="83" t="s">
        <v>246</v>
      </c>
      <c r="C123" s="83"/>
      <c r="D123" s="84" t="str">
        <f>IF(SUM(D119:D122)&lt;&gt;1,"ERROR","OK")</f>
        <v>OK</v>
      </c>
      <c r="E123" s="84" t="str">
        <f>IF(SUM(E119:E122)&lt;&gt;1,"ERROR","OK")</f>
        <v>OK</v>
      </c>
      <c r="F123" s="84" t="str">
        <f>IF(SUM(F119:F122)&lt;&gt;1,"ERROR","OK")</f>
        <v>OK</v>
      </c>
    </row>
    <row r="124" spans="1:8">
      <c r="B124" s="83"/>
      <c r="C124" s="83"/>
      <c r="D124" s="84"/>
      <c r="E124" s="84"/>
      <c r="F124" s="84"/>
    </row>
    <row r="125" spans="1:8">
      <c r="A125" s="2" t="s">
        <v>249</v>
      </c>
      <c r="B125" s="3" t="s">
        <v>276</v>
      </c>
      <c r="C125" s="3"/>
      <c r="D125" s="5"/>
      <c r="E125" s="5"/>
      <c r="F125" s="5"/>
      <c r="G125" s="5"/>
    </row>
    <row r="126" spans="1:8">
      <c r="D126" s="6"/>
      <c r="E126" s="6"/>
      <c r="F126" s="6"/>
    </row>
    <row r="127" spans="1:8">
      <c r="B127" s="7" t="s">
        <v>0</v>
      </c>
      <c r="D127" s="129" t="s">
        <v>267</v>
      </c>
      <c r="E127" s="6" t="s">
        <v>266</v>
      </c>
      <c r="F127" s="6" t="s">
        <v>133</v>
      </c>
    </row>
    <row r="128" spans="1:8">
      <c r="B128" s="1" t="s">
        <v>40</v>
      </c>
      <c r="D128" s="175">
        <v>25</v>
      </c>
      <c r="E128" s="168" t="s">
        <v>268</v>
      </c>
      <c r="F128" s="130">
        <f>IFERROR(1/D128,0)</f>
        <v>0.04</v>
      </c>
    </row>
    <row r="129" spans="2:6">
      <c r="B129" s="1" t="s">
        <v>273</v>
      </c>
      <c r="D129" s="175">
        <v>10</v>
      </c>
      <c r="E129" s="168" t="s">
        <v>268</v>
      </c>
      <c r="F129" s="130">
        <f>IFERROR(1/D129,0)</f>
        <v>0.1</v>
      </c>
    </row>
    <row r="130" spans="2:6">
      <c r="B130" s="1" t="s">
        <v>274</v>
      </c>
      <c r="D130" s="175">
        <v>5</v>
      </c>
      <c r="E130" s="168" t="s">
        <v>272</v>
      </c>
      <c r="F130" s="130">
        <f>IFERROR(1/D130,0)</f>
        <v>0.2</v>
      </c>
    </row>
    <row r="131" spans="2:6">
      <c r="B131" s="1" t="s">
        <v>275</v>
      </c>
      <c r="D131" s="175">
        <v>5</v>
      </c>
      <c r="E131" s="168" t="s">
        <v>268</v>
      </c>
      <c r="F131" s="130">
        <f>IFERROR(1/D131,0)</f>
        <v>0.2</v>
      </c>
    </row>
    <row r="132" spans="2:6">
      <c r="E132" s="9"/>
      <c r="F132" s="6"/>
    </row>
    <row r="133" spans="2:6">
      <c r="B133" s="7" t="s">
        <v>23</v>
      </c>
      <c r="E133" s="9"/>
      <c r="F133" s="6"/>
    </row>
    <row r="134" spans="2:6">
      <c r="B134" s="1" t="s">
        <v>24</v>
      </c>
      <c r="E134" s="57" t="s">
        <v>22</v>
      </c>
      <c r="F134" s="176">
        <v>0.1</v>
      </c>
    </row>
    <row r="135" spans="2:6">
      <c r="B135" s="1" t="s">
        <v>500</v>
      </c>
      <c r="E135" s="57" t="s">
        <v>22</v>
      </c>
      <c r="F135" s="176">
        <v>0.08</v>
      </c>
    </row>
    <row r="136" spans="2:6" ht="64.5" customHeight="1">
      <c r="C136" s="202" t="s">
        <v>292</v>
      </c>
      <c r="D136" s="194"/>
      <c r="E136" s="194"/>
      <c r="F136" s="6"/>
    </row>
    <row r="137" spans="2:6">
      <c r="B137" s="7" t="s">
        <v>493</v>
      </c>
      <c r="D137" s="8" t="s">
        <v>143</v>
      </c>
      <c r="E137" s="8" t="s">
        <v>144</v>
      </c>
      <c r="F137" s="8" t="s">
        <v>146</v>
      </c>
    </row>
    <row r="138" spans="2:6">
      <c r="B138" s="11" t="s">
        <v>131</v>
      </c>
      <c r="C138" s="6" t="s">
        <v>27</v>
      </c>
      <c r="D138" s="167">
        <v>250000</v>
      </c>
      <c r="E138" s="167">
        <v>250000</v>
      </c>
      <c r="F138" s="167">
        <v>100000</v>
      </c>
    </row>
    <row r="139" spans="2:6">
      <c r="B139" s="11" t="s">
        <v>132</v>
      </c>
      <c r="C139" s="6" t="s">
        <v>95</v>
      </c>
      <c r="D139" s="170">
        <v>2</v>
      </c>
      <c r="E139" s="170">
        <v>2</v>
      </c>
      <c r="F139" s="170">
        <v>2</v>
      </c>
    </row>
    <row r="140" spans="2:6">
      <c r="B140" s="11" t="s">
        <v>133</v>
      </c>
      <c r="C140" s="6" t="s">
        <v>22</v>
      </c>
      <c r="D140" s="177">
        <v>7.4999999999999997E-2</v>
      </c>
      <c r="E140" s="177">
        <v>7.4999999999999997E-2</v>
      </c>
    </row>
    <row r="141" spans="2:6">
      <c r="B141" s="11" t="s">
        <v>96</v>
      </c>
      <c r="C141" s="6" t="s">
        <v>27</v>
      </c>
      <c r="D141" s="167">
        <v>0</v>
      </c>
      <c r="E141" s="167">
        <v>0</v>
      </c>
      <c r="F141" s="167">
        <v>0</v>
      </c>
    </row>
    <row r="142" spans="2:6">
      <c r="B142" s="1" t="s">
        <v>105</v>
      </c>
      <c r="C142" s="6" t="s">
        <v>97</v>
      </c>
      <c r="D142" s="165">
        <v>41306</v>
      </c>
      <c r="E142" s="165">
        <v>41699</v>
      </c>
      <c r="F142" s="165">
        <v>41275</v>
      </c>
    </row>
    <row r="143" spans="2:6" ht="12.75" customHeight="1">
      <c r="B143" s="134" t="s">
        <v>287</v>
      </c>
      <c r="C143" s="6"/>
      <c r="E143" s="6" t="str">
        <f>IF(F143&lt;DATEVALUE(1&amp;"/"&amp;$B$3&amp;"/"&amp;$B$4),"ERROR","")</f>
        <v/>
      </c>
      <c r="F143" s="165">
        <v>41334</v>
      </c>
    </row>
    <row r="145" spans="1:7">
      <c r="B145" s="7" t="s">
        <v>150</v>
      </c>
      <c r="D145" s="8" t="s">
        <v>143</v>
      </c>
      <c r="E145" s="8" t="s">
        <v>144</v>
      </c>
      <c r="F145" s="8" t="s">
        <v>145</v>
      </c>
    </row>
    <row r="146" spans="1:7">
      <c r="B146" s="11" t="s">
        <v>131</v>
      </c>
      <c r="C146" s="6" t="s">
        <v>27</v>
      </c>
      <c r="D146" s="167"/>
      <c r="E146" s="167"/>
      <c r="F146" s="167"/>
    </row>
    <row r="147" spans="1:7">
      <c r="B147" s="11" t="s">
        <v>132</v>
      </c>
      <c r="C147" s="6" t="s">
        <v>95</v>
      </c>
      <c r="D147" s="170"/>
      <c r="E147" s="170"/>
      <c r="F147" s="170"/>
    </row>
    <row r="148" spans="1:7">
      <c r="B148" s="11" t="s">
        <v>32</v>
      </c>
      <c r="C148" s="6" t="s">
        <v>27</v>
      </c>
      <c r="D148" s="167"/>
      <c r="E148" s="167"/>
      <c r="F148" s="167"/>
    </row>
    <row r="149" spans="1:7" ht="12.75" customHeight="1">
      <c r="B149" s="1" t="s">
        <v>151</v>
      </c>
      <c r="C149" s="6" t="s">
        <v>97</v>
      </c>
      <c r="D149" s="165">
        <v>41275</v>
      </c>
      <c r="E149" s="165">
        <v>41275</v>
      </c>
      <c r="F149" s="165">
        <v>41275</v>
      </c>
      <c r="G149" s="86"/>
    </row>
    <row r="151" spans="1:7" ht="12.75" customHeight="1">
      <c r="A151" s="2" t="s">
        <v>250</v>
      </c>
      <c r="B151" s="3" t="s">
        <v>6</v>
      </c>
      <c r="C151" s="3"/>
      <c r="D151" s="5"/>
      <c r="E151" s="5"/>
      <c r="F151" s="5"/>
      <c r="G151" s="5"/>
    </row>
    <row r="153" spans="1:7">
      <c r="B153" s="7" t="s">
        <v>6</v>
      </c>
      <c r="D153" s="9"/>
      <c r="F153" s="6">
        <v>2013</v>
      </c>
      <c r="G153" s="6">
        <v>2014</v>
      </c>
    </row>
    <row r="154" spans="1:7">
      <c r="B154" s="1" t="s">
        <v>372</v>
      </c>
      <c r="E154" s="57" t="s">
        <v>22</v>
      </c>
      <c r="F154" s="176">
        <v>0.15</v>
      </c>
      <c r="G154" s="176">
        <v>0.15</v>
      </c>
    </row>
    <row r="155" spans="1:7" ht="12.75" customHeight="1">
      <c r="B155" s="1" t="s">
        <v>26</v>
      </c>
      <c r="E155" s="57" t="s">
        <v>22</v>
      </c>
      <c r="F155" s="130">
        <v>0.125</v>
      </c>
      <c r="G155" s="130">
        <v>0.125</v>
      </c>
    </row>
    <row r="157" spans="1:7">
      <c r="B157" s="7" t="s">
        <v>173</v>
      </c>
      <c r="C157" s="1" t="s">
        <v>244</v>
      </c>
      <c r="D157" s="165" t="s">
        <v>245</v>
      </c>
    </row>
    <row r="158" spans="1:7">
      <c r="B158" s="1" t="s">
        <v>174</v>
      </c>
      <c r="F158" s="130">
        <f>CHOOSE(IF($D$157="On",1,2),23%,0)</f>
        <v>0.23</v>
      </c>
      <c r="G158" s="130">
        <v>0.23</v>
      </c>
    </row>
    <row r="159" spans="1:7">
      <c r="B159" s="1" t="s">
        <v>175</v>
      </c>
      <c r="F159" s="130">
        <f>CHOOSE(IF($D$157="On",1,2),13.5%,0)</f>
        <v>0.13500000000000001</v>
      </c>
      <c r="G159" s="130">
        <f>CHOOSE(IF($D$157="On",1,2),13.5%,0)</f>
        <v>0.13500000000000001</v>
      </c>
    </row>
    <row r="160" spans="1:7">
      <c r="B160" s="1" t="s">
        <v>176</v>
      </c>
      <c r="F160" s="130">
        <f>CHOOSE(IF($D$157="On",1,2),9%,0)</f>
        <v>0.09</v>
      </c>
      <c r="G160" s="130">
        <f>CHOOSE(IF($D$157="On",1,2),13.5%,0)</f>
        <v>0.13500000000000001</v>
      </c>
    </row>
    <row r="161" spans="2:7">
      <c r="B161" s="1" t="s">
        <v>177</v>
      </c>
      <c r="F161" s="130">
        <f>CHOOSE(IF($D$157="On",1,2),4.8%,0)</f>
        <v>4.8000000000000001E-2</v>
      </c>
      <c r="G161" s="130">
        <f>CHOOSE(IF($D$157="On",1,2),4.8%,0)</f>
        <v>4.8000000000000001E-2</v>
      </c>
    </row>
    <row r="162" spans="2:7">
      <c r="B162" s="1" t="s">
        <v>178</v>
      </c>
      <c r="F162" s="130">
        <f>CHOOSE(IF($D$157="On",1,2),0%,0)</f>
        <v>0</v>
      </c>
      <c r="G162" s="130">
        <f>CHOOSE(IF($D$157="On",1,2),0%,0)</f>
        <v>0</v>
      </c>
    </row>
    <row r="163" spans="2:7">
      <c r="B163" s="1" t="s">
        <v>179</v>
      </c>
      <c r="F163" s="130">
        <f>CHOOSE(IF($D$157="On",1,2),0%,0)</f>
        <v>0</v>
      </c>
      <c r="G163" s="130">
        <f>CHOOSE(IF($D$157="On",1,2),0%,0)</f>
        <v>0</v>
      </c>
    </row>
    <row r="164" spans="2:7">
      <c r="D164" s="6"/>
    </row>
  </sheetData>
  <sheetProtection selectLockedCells="1"/>
  <mergeCells count="1">
    <mergeCell ref="C136:E136"/>
  </mergeCells>
  <phoneticPr fontId="2" type="noConversion"/>
  <conditionalFormatting sqref="D157">
    <cfRule type="expression" dxfId="3" priority="4" stopIfTrue="1">
      <formula>D157="Off"</formula>
    </cfRule>
  </conditionalFormatting>
  <conditionalFormatting sqref="D137:F137">
    <cfRule type="expression" dxfId="2" priority="3" stopIfTrue="1">
      <formula>D142&lt;DATEVALUE(1&amp;"/"&amp;$B$3&amp;"/"&amp;$B$4)</formula>
    </cfRule>
  </conditionalFormatting>
  <conditionalFormatting sqref="E143">
    <cfRule type="expression" dxfId="1" priority="2" stopIfTrue="1">
      <formula>E143="ERROR"</formula>
    </cfRule>
  </conditionalFormatting>
  <conditionalFormatting sqref="D145:F145">
    <cfRule type="expression" dxfId="0" priority="1" stopIfTrue="1">
      <formula>D149&lt;DATEVALUE(1&amp;"/"&amp;$B$3&amp;"/"&amp;$B$4)</formula>
    </cfRule>
  </conditionalFormatting>
  <dataValidations count="9">
    <dataValidation type="list" allowBlank="1" showInputMessage="1" showErrorMessage="1" sqref="D142:F142 F143 D149:F149" xr:uid="{00000000-0002-0000-0400-000000000000}">
      <formula1>Mths</formula1>
    </dataValidation>
    <dataValidation type="list" allowBlank="1" showInputMessage="1" showErrorMessage="1" sqref="G8 F37:F89 D23:D25 D29:D32 G15" xr:uid="{00000000-0002-0000-0400-000001000000}">
      <formula1>VAT</formula1>
    </dataValidation>
    <dataValidation type="list" allowBlank="1" showInputMessage="1" showErrorMessage="1" sqref="G91 C23:C24 C11 C18 G37:G89" xr:uid="{00000000-0002-0000-0400-000002000000}">
      <formula1>Patterns</formula1>
    </dataValidation>
    <dataValidation type="list" allowBlank="1" showInputMessage="1" showErrorMessage="1" sqref="B3" xr:uid="{00000000-0002-0000-0400-000003000000}">
      <formula1>"January,February,March,April,May,June,July,August,September,October,November,December"</formula1>
    </dataValidation>
    <dataValidation type="list" allowBlank="1" showInputMessage="1" showErrorMessage="1" sqref="B4" xr:uid="{00000000-0002-0000-0400-000004000000}">
      <formula1>"2013,2014,2015,2016,2017"</formula1>
    </dataValidation>
    <dataValidation type="list" allowBlank="1" showInputMessage="1" showErrorMessage="1" sqref="D157" xr:uid="{00000000-0002-0000-0400-000005000000}">
      <formula1>"On,Off"</formula1>
    </dataValidation>
    <dataValidation type="list" allowBlank="1" showInputMessage="1" showErrorMessage="1" sqref="F25" xr:uid="{00000000-0002-0000-0400-000006000000}">
      <formula1>"0.5%,1.0%,1.5%,2.0%,2.5%"</formula1>
    </dataValidation>
    <dataValidation type="list" allowBlank="1" showInputMessage="1" showErrorMessage="1" sqref="E128:E131" xr:uid="{00000000-0002-0000-0400-000007000000}">
      <formula1>"St.Line,Red.Balance"</formula1>
    </dataValidation>
    <dataValidation type="list" allowBlank="1" showInputMessage="1" showErrorMessage="1" sqref="B37 B96:B114" xr:uid="{00000000-0002-0000-0400-000008000000}">
      <formula1>"Administration,Marketing,Operations,Rooms / Rest. / Events"</formula1>
    </dataValidation>
  </dataValidations>
  <pageMargins left="0.74803149606299213" right="0.74803149606299213" top="0.98425196850393704" bottom="0.98425196850393704" header="0.51181102362204722" footer="0.51181102362204722"/>
  <pageSetup paperSize="9" scale="75" orientation="portrait" verticalDpi="300" r:id="rId1"/>
  <headerFooter alignWithMargins="0"/>
  <rowBreaks count="1" manualBreakCount="1">
    <brk id="18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FFFF99"/>
  </sheetPr>
  <dimension ref="A1:AC28"/>
  <sheetViews>
    <sheetView zoomScaleNormal="100" workbookViewId="0">
      <pane ySplit="4" topLeftCell="A5" activePane="bottomLeft" state="frozen"/>
      <selection pane="bottomLeft"/>
    </sheetView>
  </sheetViews>
  <sheetFormatPr defaultRowHeight="13.2"/>
  <cols>
    <col min="1" max="1" width="4" bestFit="1" customWidth="1"/>
    <col min="2" max="2" width="17" customWidth="1"/>
    <col min="3" max="3" width="12.6640625" bestFit="1" customWidth="1"/>
    <col min="4" max="4" width="9" customWidth="1"/>
    <col min="5" max="28" width="8.33203125" customWidth="1"/>
  </cols>
  <sheetData>
    <row r="1" spans="1:29" ht="13.8">
      <c r="A1" s="119" t="str">
        <f>'IP1'!$B$2</f>
        <v>XYZ Ltd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</row>
    <row r="2" spans="1:29" ht="13.8">
      <c r="A2" s="97" t="s">
        <v>251</v>
      </c>
      <c r="B2" s="97" t="s">
        <v>120</v>
      </c>
      <c r="C2" s="145"/>
      <c r="D2" s="145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1"/>
    </row>
    <row r="3" spans="1:29" ht="13.8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1"/>
    </row>
    <row r="4" spans="1:29" ht="27.6">
      <c r="A4" s="91"/>
      <c r="B4" s="91"/>
      <c r="C4" s="91"/>
      <c r="D4" s="126" t="s">
        <v>262</v>
      </c>
      <c r="E4" s="13">
        <f>DATEVALUE(1&amp;"/"&amp;'IP1'!$B$3&amp;"/"&amp;'IP1'!$B$4)</f>
        <v>41275</v>
      </c>
      <c r="F4" s="13">
        <f>DATE(YEAR(E4),MONTH(E4)+1,1)</f>
        <v>41306</v>
      </c>
      <c r="G4" s="13">
        <f t="shared" ref="G4:AB4" si="0">DATE(YEAR(F4),MONTH(F4)+1,1)</f>
        <v>41334</v>
      </c>
      <c r="H4" s="13">
        <f t="shared" si="0"/>
        <v>41365</v>
      </c>
      <c r="I4" s="13">
        <f t="shared" si="0"/>
        <v>41395</v>
      </c>
      <c r="J4" s="13">
        <f t="shared" si="0"/>
        <v>41426</v>
      </c>
      <c r="K4" s="13">
        <f t="shared" si="0"/>
        <v>41456</v>
      </c>
      <c r="L4" s="13">
        <f t="shared" si="0"/>
        <v>41487</v>
      </c>
      <c r="M4" s="13">
        <f t="shared" si="0"/>
        <v>41518</v>
      </c>
      <c r="N4" s="13">
        <f t="shared" si="0"/>
        <v>41548</v>
      </c>
      <c r="O4" s="13">
        <f t="shared" si="0"/>
        <v>41579</v>
      </c>
      <c r="P4" s="13">
        <f t="shared" si="0"/>
        <v>41609</v>
      </c>
      <c r="Q4" s="13">
        <f t="shared" si="0"/>
        <v>41640</v>
      </c>
      <c r="R4" s="13">
        <f t="shared" si="0"/>
        <v>41671</v>
      </c>
      <c r="S4" s="13">
        <f t="shared" si="0"/>
        <v>41699</v>
      </c>
      <c r="T4" s="13">
        <f t="shared" si="0"/>
        <v>41730</v>
      </c>
      <c r="U4" s="13">
        <f t="shared" si="0"/>
        <v>41760</v>
      </c>
      <c r="V4" s="13">
        <f t="shared" si="0"/>
        <v>41791</v>
      </c>
      <c r="W4" s="13">
        <f t="shared" si="0"/>
        <v>41821</v>
      </c>
      <c r="X4" s="13">
        <f t="shared" si="0"/>
        <v>41852</v>
      </c>
      <c r="Y4" s="13">
        <f t="shared" si="0"/>
        <v>41883</v>
      </c>
      <c r="Z4" s="13">
        <f t="shared" si="0"/>
        <v>41913</v>
      </c>
      <c r="AA4" s="13">
        <f t="shared" si="0"/>
        <v>41944</v>
      </c>
      <c r="AB4" s="13">
        <f t="shared" si="0"/>
        <v>41974</v>
      </c>
      <c r="AC4" s="1"/>
    </row>
    <row r="5" spans="1:29" ht="13.8">
      <c r="A5" s="1" t="s">
        <v>122</v>
      </c>
      <c r="B5" s="109" t="s">
        <v>123</v>
      </c>
      <c r="C5" s="1" t="s">
        <v>36</v>
      </c>
      <c r="D5" s="167">
        <v>7500000</v>
      </c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"/>
    </row>
    <row r="6" spans="1:29" ht="13.8">
      <c r="A6" s="1" t="s">
        <v>122</v>
      </c>
      <c r="B6" s="109" t="s">
        <v>123</v>
      </c>
      <c r="C6" s="1" t="s">
        <v>0</v>
      </c>
      <c r="D6" s="167">
        <v>1500000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"/>
    </row>
    <row r="7" spans="1:29" ht="13.8">
      <c r="A7" s="1" t="s">
        <v>122</v>
      </c>
      <c r="B7" s="109" t="s">
        <v>124</v>
      </c>
      <c r="C7" s="1" t="s">
        <v>36</v>
      </c>
      <c r="D7" s="167">
        <v>1500000</v>
      </c>
      <c r="E7" s="167"/>
      <c r="F7" s="167"/>
      <c r="G7" s="167">
        <v>475000</v>
      </c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>
        <v>475000</v>
      </c>
      <c r="V7" s="167"/>
      <c r="W7" s="167"/>
      <c r="X7" s="167"/>
      <c r="Y7" s="167"/>
      <c r="Z7" s="167"/>
      <c r="AA7" s="167"/>
      <c r="AB7" s="167"/>
      <c r="AC7" s="1"/>
    </row>
    <row r="8" spans="1:29" ht="13.8">
      <c r="A8" s="1" t="s">
        <v>122</v>
      </c>
      <c r="B8" s="109" t="s">
        <v>124</v>
      </c>
      <c r="C8" s="1" t="s">
        <v>0</v>
      </c>
      <c r="D8" s="167">
        <v>450000</v>
      </c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"/>
    </row>
    <row r="9" spans="1:29" ht="13.8">
      <c r="A9" s="1" t="s">
        <v>122</v>
      </c>
      <c r="B9" s="109" t="s">
        <v>42</v>
      </c>
      <c r="C9" s="1" t="s">
        <v>36</v>
      </c>
      <c r="D9" s="167">
        <v>200000</v>
      </c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"/>
    </row>
    <row r="10" spans="1:29" ht="13.8">
      <c r="A10" s="1" t="s">
        <v>122</v>
      </c>
      <c r="B10" s="109" t="s">
        <v>42</v>
      </c>
      <c r="C10" s="1" t="s">
        <v>0</v>
      </c>
      <c r="D10" s="167">
        <v>100000</v>
      </c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"/>
    </row>
    <row r="11" spans="1:29" ht="13.8">
      <c r="A11" s="1" t="s">
        <v>122</v>
      </c>
      <c r="B11" s="109" t="s">
        <v>43</v>
      </c>
      <c r="C11" s="1" t="s">
        <v>36</v>
      </c>
      <c r="D11" s="167">
        <v>25000</v>
      </c>
      <c r="E11" s="167"/>
      <c r="F11" s="167"/>
      <c r="G11" s="167"/>
      <c r="H11" s="167"/>
      <c r="I11" s="167"/>
      <c r="J11" s="167"/>
      <c r="K11" s="167"/>
      <c r="L11" s="167">
        <v>40000</v>
      </c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"/>
    </row>
    <row r="12" spans="1:29" ht="13.8">
      <c r="A12" s="1" t="s">
        <v>122</v>
      </c>
      <c r="B12" s="109" t="s">
        <v>43</v>
      </c>
      <c r="C12" s="1" t="s">
        <v>125</v>
      </c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"/>
    </row>
    <row r="13" spans="1:29" ht="13.8">
      <c r="A13" s="1" t="s">
        <v>122</v>
      </c>
      <c r="B13" s="109" t="s">
        <v>43</v>
      </c>
      <c r="C13" s="1" t="s">
        <v>0</v>
      </c>
      <c r="D13" s="167">
        <v>10000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1"/>
    </row>
    <row r="14" spans="1:29" ht="13.8">
      <c r="A14" s="1" t="s">
        <v>126</v>
      </c>
      <c r="B14" s="109" t="s">
        <v>423</v>
      </c>
      <c r="C14" s="1" t="s">
        <v>36</v>
      </c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"/>
    </row>
    <row r="15" spans="1:29" ht="13.8">
      <c r="A15" s="1" t="s">
        <v>127</v>
      </c>
      <c r="B15" s="109" t="s">
        <v>49</v>
      </c>
      <c r="C15" s="1" t="s">
        <v>128</v>
      </c>
      <c r="D15" s="167">
        <v>30000</v>
      </c>
      <c r="E15" s="120">
        <f>$D$15-($D$15*SUM('IP1'!$D119:$D119))</f>
        <v>7500</v>
      </c>
      <c r="F15" s="120">
        <f>$D$15-($D$15*SUM('IP1'!$D$119:D120))</f>
        <v>3000</v>
      </c>
      <c r="G15" s="120">
        <f>$D$15-($D$15*SUM('IP1'!$D$119:D121))</f>
        <v>1499.9999999999964</v>
      </c>
      <c r="H15" s="120">
        <f>$D$15-($D$15*SUM('IP1'!$D$119:D122))</f>
        <v>0</v>
      </c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1"/>
    </row>
    <row r="16" spans="1:29" ht="13.8">
      <c r="A16" s="1" t="s">
        <v>127</v>
      </c>
      <c r="B16" s="109" t="s">
        <v>53</v>
      </c>
      <c r="C16" s="1" t="s">
        <v>128</v>
      </c>
      <c r="D16" s="167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1"/>
    </row>
    <row r="17" spans="1:29" ht="13.8">
      <c r="A17" s="1" t="s">
        <v>127</v>
      </c>
      <c r="B17" s="109" t="s">
        <v>57</v>
      </c>
      <c r="C17" s="1" t="s">
        <v>128</v>
      </c>
      <c r="D17" s="167">
        <v>45000</v>
      </c>
      <c r="E17" s="120">
        <f>$D$17-($D$17*SUM('IP1'!E$119:$E119))</f>
        <v>33750</v>
      </c>
      <c r="F17" s="120">
        <f>$D$17-($D$17*SUM('IP1'!E$119:$E120))</f>
        <v>0</v>
      </c>
      <c r="G17" s="120">
        <f>$D$17-($D$17*SUM('IP1'!E$119:$E121))</f>
        <v>0</v>
      </c>
      <c r="H17" s="120">
        <f>$D$17-($D$17*SUM('IP1'!E$119:$E122))</f>
        <v>0</v>
      </c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1"/>
    </row>
    <row r="18" spans="1:29" ht="27.6">
      <c r="A18" s="1" t="s">
        <v>127</v>
      </c>
      <c r="B18" s="109" t="s">
        <v>100</v>
      </c>
      <c r="C18" s="1" t="s">
        <v>128</v>
      </c>
      <c r="D18" s="167"/>
      <c r="E18" s="120">
        <f>$D$18-($D$18*SUM('IP1'!F$119:$F119))</f>
        <v>0</v>
      </c>
      <c r="F18" s="120">
        <f>$D$18-($D$18*SUM('IP1'!F$119:$F120))</f>
        <v>0</v>
      </c>
      <c r="G18" s="120">
        <f>$D$18-($D$18*SUM('IP1'!F$119:$F121))</f>
        <v>0</v>
      </c>
      <c r="H18" s="120">
        <f>$D$18-($D$18*SUM('IP1'!F$119:$F122))</f>
        <v>0</v>
      </c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1"/>
    </row>
    <row r="19" spans="1:29" ht="27.6">
      <c r="A19" s="1" t="s">
        <v>127</v>
      </c>
      <c r="B19" s="109" t="s">
        <v>62</v>
      </c>
      <c r="C19" s="1" t="s">
        <v>128</v>
      </c>
      <c r="D19" s="167"/>
      <c r="F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1"/>
    </row>
    <row r="20" spans="1:29" ht="27.6">
      <c r="A20" s="1" t="s">
        <v>127</v>
      </c>
      <c r="B20" s="109" t="s">
        <v>65</v>
      </c>
      <c r="C20" s="1" t="s">
        <v>128</v>
      </c>
      <c r="D20" s="16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.8">
      <c r="A21" s="1" t="s">
        <v>127</v>
      </c>
      <c r="B21" s="109" t="s">
        <v>60</v>
      </c>
      <c r="C21" s="1" t="s">
        <v>128</v>
      </c>
      <c r="D21" s="16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.8">
      <c r="A22" s="1" t="s">
        <v>127</v>
      </c>
      <c r="B22" s="133" t="s">
        <v>173</v>
      </c>
      <c r="C22" s="1" t="s">
        <v>128</v>
      </c>
      <c r="D22" s="16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8">
      <c r="A23" s="1" t="s">
        <v>127</v>
      </c>
      <c r="B23" s="109" t="s">
        <v>159</v>
      </c>
      <c r="C23" s="1" t="s">
        <v>128</v>
      </c>
      <c r="D23" s="167">
        <v>-20000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.8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.8">
      <c r="A25" s="1" t="s">
        <v>127</v>
      </c>
      <c r="B25" s="109" t="s">
        <v>281</v>
      </c>
      <c r="C25" s="1" t="s">
        <v>131</v>
      </c>
      <c r="D25" s="167"/>
      <c r="F25" s="1" t="s">
        <v>127</v>
      </c>
      <c r="G25" s="202" t="s">
        <v>286</v>
      </c>
      <c r="H25" s="203"/>
      <c r="I25" s="1" t="s">
        <v>131</v>
      </c>
      <c r="J25" s="167"/>
      <c r="L25" s="1" t="s">
        <v>127</v>
      </c>
      <c r="M25" s="202" t="s">
        <v>289</v>
      </c>
      <c r="N25" s="203"/>
      <c r="O25" s="1" t="s">
        <v>131</v>
      </c>
      <c r="P25" s="167"/>
    </row>
    <row r="26" spans="1:29" ht="12.75" customHeight="1">
      <c r="A26" s="1" t="s">
        <v>127</v>
      </c>
      <c r="B26" s="109" t="s">
        <v>281</v>
      </c>
      <c r="C26" s="1" t="s">
        <v>132</v>
      </c>
      <c r="D26" s="167"/>
      <c r="F26" s="1" t="s">
        <v>127</v>
      </c>
      <c r="G26" s="202" t="s">
        <v>286</v>
      </c>
      <c r="H26" s="203"/>
      <c r="I26" s="1" t="s">
        <v>132</v>
      </c>
      <c r="J26" s="167"/>
      <c r="L26" s="1" t="s">
        <v>127</v>
      </c>
      <c r="M26" s="202" t="s">
        <v>289</v>
      </c>
      <c r="N26" s="203"/>
      <c r="O26" s="1" t="s">
        <v>132</v>
      </c>
      <c r="P26" s="167"/>
    </row>
    <row r="27" spans="1:29" ht="12.75" customHeight="1">
      <c r="A27" s="1" t="s">
        <v>127</v>
      </c>
      <c r="B27" s="109" t="s">
        <v>281</v>
      </c>
      <c r="C27" s="1" t="s">
        <v>426</v>
      </c>
      <c r="D27" s="177"/>
      <c r="F27" s="1" t="s">
        <v>127</v>
      </c>
      <c r="G27" s="202" t="s">
        <v>286</v>
      </c>
      <c r="H27" s="203"/>
      <c r="I27" s="1" t="s">
        <v>426</v>
      </c>
      <c r="J27" s="177"/>
      <c r="L27" s="1" t="s">
        <v>127</v>
      </c>
      <c r="M27" s="202" t="s">
        <v>289</v>
      </c>
      <c r="N27" s="203"/>
      <c r="O27" s="1" t="s">
        <v>426</v>
      </c>
      <c r="P27" s="177"/>
    </row>
    <row r="28" spans="1:29" ht="12.75" customHeight="1">
      <c r="A28" s="1" t="s">
        <v>127</v>
      </c>
      <c r="B28" s="109" t="s">
        <v>281</v>
      </c>
      <c r="C28" s="1" t="s">
        <v>128</v>
      </c>
      <c r="D28" s="167"/>
      <c r="F28" s="1" t="s">
        <v>127</v>
      </c>
      <c r="G28" s="202" t="s">
        <v>286</v>
      </c>
      <c r="H28" s="203"/>
      <c r="I28" s="1" t="s">
        <v>128</v>
      </c>
      <c r="J28" s="167"/>
      <c r="L28" s="1" t="s">
        <v>127</v>
      </c>
      <c r="M28" s="202" t="s">
        <v>289</v>
      </c>
      <c r="N28" s="203"/>
      <c r="O28" s="1" t="s">
        <v>128</v>
      </c>
      <c r="P28" s="167"/>
    </row>
  </sheetData>
  <sheetProtection selectLockedCells="1"/>
  <mergeCells count="8">
    <mergeCell ref="G25:H25"/>
    <mergeCell ref="G26:H26"/>
    <mergeCell ref="G27:H27"/>
    <mergeCell ref="G28:H28"/>
    <mergeCell ref="M25:N25"/>
    <mergeCell ref="M26:N26"/>
    <mergeCell ref="M27:N27"/>
    <mergeCell ref="M28:N28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FFFF00"/>
    <pageSetUpPr fitToPage="1"/>
  </sheetPr>
  <dimension ref="A1:AS29"/>
  <sheetViews>
    <sheetView zoomScaleNormal="100" zoomScaleSheetLayoutView="120" workbookViewId="0"/>
  </sheetViews>
  <sheetFormatPr defaultColWidth="9.109375" defaultRowHeight="13.8"/>
  <cols>
    <col min="1" max="1" width="22.44140625" style="1" customWidth="1"/>
    <col min="2" max="7" width="9.33203125" style="6" customWidth="1"/>
    <col min="8" max="8" width="9.33203125" style="12" customWidth="1"/>
    <col min="9" max="13" width="9.33203125" style="6" customWidth="1"/>
    <col min="14" max="14" width="11.88671875" style="6" customWidth="1"/>
    <col min="15" max="16384" width="9.109375" style="1"/>
  </cols>
  <sheetData>
    <row r="1" spans="1:45">
      <c r="A1" s="92" t="s">
        <v>108</v>
      </c>
      <c r="B1" s="13">
        <f>DATEVALUE(1&amp;"/"&amp;'IP1'!$B$3&amp;"/"&amp;'IP1'!$B$4)</f>
        <v>41275</v>
      </c>
      <c r="C1" s="13">
        <f>DATE(YEAR(B1),MONTH(B1)+1,1)</f>
        <v>41306</v>
      </c>
      <c r="D1" s="13">
        <f t="shared" ref="D1:M1" si="0">DATE(YEAR(C1),MONTH(C1)+1,1)</f>
        <v>41334</v>
      </c>
      <c r="E1" s="13">
        <f t="shared" si="0"/>
        <v>41365</v>
      </c>
      <c r="F1" s="13">
        <f t="shared" si="0"/>
        <v>41395</v>
      </c>
      <c r="G1" s="13">
        <f t="shared" si="0"/>
        <v>41426</v>
      </c>
      <c r="H1" s="13">
        <f t="shared" si="0"/>
        <v>41456</v>
      </c>
      <c r="I1" s="13">
        <f t="shared" si="0"/>
        <v>41487</v>
      </c>
      <c r="J1" s="13">
        <f t="shared" si="0"/>
        <v>41518</v>
      </c>
      <c r="K1" s="13">
        <f t="shared" si="0"/>
        <v>41548</v>
      </c>
      <c r="L1" s="13">
        <f t="shared" si="0"/>
        <v>41579</v>
      </c>
      <c r="M1" s="13">
        <f t="shared" si="0"/>
        <v>41609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0"/>
      <c r="AM1" s="10"/>
      <c r="AN1" s="10"/>
      <c r="AO1" s="10"/>
      <c r="AP1" s="10"/>
      <c r="AQ1" s="10"/>
      <c r="AR1" s="10"/>
      <c r="AS1" s="10"/>
    </row>
    <row r="2" spans="1:45">
      <c r="A2" s="78" t="str">
        <f>'IP1'!B8</f>
        <v>Rooms</v>
      </c>
      <c r="B2" s="24">
        <f>((PRODUCT('IP1'!$D$8:$F$8)*4)+(PRODUCT('IP1'!$D$9:$F$9)*2)+PRODUCT('IP1'!$D$10:$F$10))
*(365.25/7)
*(VLOOKUP('IP1'!$C$11,Pattern,COLUMN(B2)+1,0))/(VLOOKUP('IP1'!$C$11,Pattern,2,0))</f>
        <v>40797.12053571429</v>
      </c>
      <c r="C2" s="24">
        <f>((PRODUCT('IP1'!$D$8:$F$8)*4)+(PRODUCT('IP1'!$D$9:$F$9)*2)+PRODUCT('IP1'!$D$10:$F$10))
*(365.25/7)
*(VLOOKUP('IP1'!$C$11,Pattern,COLUMN(C2)+1,0))/(VLOOKUP('IP1'!$C$11,Pattern,2,0))</f>
        <v>40797.12053571429</v>
      </c>
      <c r="D2" s="24">
        <f>((PRODUCT('IP1'!$D$8:$F$8)*4)+(PRODUCT('IP1'!$D$9:$F$9)*2)+PRODUCT('IP1'!$D$10:$F$10))
*(365.25/7)
*(VLOOKUP('IP1'!$C$11,Pattern,COLUMN(D2)+1,0))/(VLOOKUP('IP1'!$C$11,Pattern,2,0))</f>
        <v>67995.200892857145</v>
      </c>
      <c r="E2" s="24">
        <f>((PRODUCT('IP1'!$D$8:$F$8)*4)+(PRODUCT('IP1'!$D$9:$F$9)*2)+PRODUCT('IP1'!$D$10:$F$10))
*(365.25/7)
*(VLOOKUP('IP1'!$C$11,Pattern,COLUMN(E2)+1,0))/(VLOOKUP('IP1'!$C$11,Pattern,2,0))</f>
        <v>122391.36160714286</v>
      </c>
      <c r="F2" s="24">
        <f>((PRODUCT('IP1'!$D$8:$F$8)*4)+(PRODUCT('IP1'!$D$9:$F$9)*2)+PRODUCT('IP1'!$D$10:$F$10))
*(365.25/7)
*(VLOOKUP('IP1'!$C$11,Pattern,COLUMN(F2)+1,0))/(VLOOKUP('IP1'!$C$11,Pattern,2,0))</f>
        <v>135990.40178571429</v>
      </c>
      <c r="G2" s="24">
        <f>((PRODUCT('IP1'!$D$8:$F$8)*4)+(PRODUCT('IP1'!$D$9:$F$9)*2)+PRODUCT('IP1'!$D$10:$F$10))
*(365.25/7)
*(VLOOKUP('IP1'!$C$11,Pattern,COLUMN(G2)+1,0))/(VLOOKUP('IP1'!$C$11,Pattern,2,0))</f>
        <v>135990.40178571429</v>
      </c>
      <c r="H2" s="24">
        <f>((PRODUCT('IP1'!$D$8:$F$8)*4)+(PRODUCT('IP1'!$D$9:$F$9)*2)+PRODUCT('IP1'!$D$10:$F$10))
*(365.25/7)
*(VLOOKUP('IP1'!$C$11,Pattern,COLUMN(H2)+1,0))/(VLOOKUP('IP1'!$C$11,Pattern,2,0))</f>
        <v>176787.52232142858</v>
      </c>
      <c r="I2" s="24">
        <f>((PRODUCT('IP1'!$D$8:$F$8)*4)+(PRODUCT('IP1'!$D$9:$F$9)*2)+PRODUCT('IP1'!$D$10:$F$10))
*(365.25/7)
*(VLOOKUP('IP1'!$C$11,Pattern,COLUMN(I2)+1,0))/(VLOOKUP('IP1'!$C$11,Pattern,2,0))</f>
        <v>176787.52232142858</v>
      </c>
      <c r="J2" s="24">
        <f>((PRODUCT('IP1'!$D$8:$F$8)*4)+(PRODUCT('IP1'!$D$9:$F$9)*2)+PRODUCT('IP1'!$D$10:$F$10))
*(365.25/7)
*(VLOOKUP('IP1'!$C$11,Pattern,COLUMN(J2)+1,0))/(VLOOKUP('IP1'!$C$11,Pattern,2,0))</f>
        <v>135990.40178571429</v>
      </c>
      <c r="K2" s="24">
        <f>((PRODUCT('IP1'!$D$8:$F$8)*4)+(PRODUCT('IP1'!$D$9:$F$9)*2)+PRODUCT('IP1'!$D$10:$F$10))
*(365.25/7)
*(VLOOKUP('IP1'!$C$11,Pattern,COLUMN(K2)+1,0))/(VLOOKUP('IP1'!$C$11,Pattern,2,0))</f>
        <v>122391.36160714286</v>
      </c>
      <c r="L2" s="24">
        <f>((PRODUCT('IP1'!$D$8:$F$8)*4)+(PRODUCT('IP1'!$D$9:$F$9)*2)+PRODUCT('IP1'!$D$10:$F$10))
*(365.25/7)
*(VLOOKUP('IP1'!$C$11,Pattern,COLUMN(L2)+1,0))/(VLOOKUP('IP1'!$C$11,Pattern,2,0))</f>
        <v>40797.12053571429</v>
      </c>
      <c r="M2" s="24">
        <f>((PRODUCT('IP1'!$D$8:$F$8)*4)+(PRODUCT('IP1'!$D$9:$F$9)*2)+PRODUCT('IP1'!$D$10:$F$10))
*(365.25/7)
*(VLOOKUP('IP1'!$C$11,Pattern,COLUMN(M2)+1,0))/(VLOOKUP('IP1'!$C$11,Pattern,2,0))</f>
        <v>163188.48214285716</v>
      </c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6"/>
      <c r="AM2" s="10"/>
      <c r="AN2" s="10"/>
      <c r="AO2" s="10"/>
      <c r="AP2" s="10"/>
      <c r="AQ2" s="10"/>
      <c r="AR2" s="10"/>
      <c r="AS2" s="10"/>
    </row>
    <row r="3" spans="1:45">
      <c r="A3" s="78" t="str">
        <f>'IP1'!B15</f>
        <v>Events</v>
      </c>
      <c r="B3" s="24">
        <f>((PRODUCT('IP1'!$D$15:$F$15)+PRODUCT('IP1'!$D$16:$F$16)+PRODUCT('IP1'!$D$17:$F$17))
*(365.25/7)
*(VLOOKUP('IP1'!$C$18,Pattern,COLUMN(B3)+1,0))/(VLOOKUP('IP1'!$C$18,Pattern,2,0)))</f>
        <v>2588.0571428571429</v>
      </c>
      <c r="C3" s="24">
        <f>((PRODUCT('IP1'!$D$15:$F$15)+PRODUCT('IP1'!$D$16:$F$16)+PRODUCT('IP1'!$D$17:$F$17))
*(365.25/7)
*(VLOOKUP('IP1'!$C$18,Pattern,COLUMN(C3)+1,0))/(VLOOKUP('IP1'!$C$18,Pattern,2,0)))</f>
        <v>2588.0571428571429</v>
      </c>
      <c r="D3" s="24">
        <f>((PRODUCT('IP1'!$D$15:$F$15)+PRODUCT('IP1'!$D$16:$F$16)+PRODUCT('IP1'!$D$17:$F$17))
*(365.25/7)
*(VLOOKUP('IP1'!$C$18,Pattern,COLUMN(D3)+1,0))/(VLOOKUP('IP1'!$C$18,Pattern,2,0)))</f>
        <v>7764.1714285714288</v>
      </c>
      <c r="E3" s="24">
        <f>((PRODUCT('IP1'!$D$15:$F$15)+PRODUCT('IP1'!$D$16:$F$16)+PRODUCT('IP1'!$D$17:$F$17))
*(365.25/7)
*(VLOOKUP('IP1'!$C$18,Pattern,COLUMN(E3)+1,0))/(VLOOKUP('IP1'!$C$18,Pattern,2,0)))</f>
        <v>7764.1714285714288</v>
      </c>
      <c r="F3" s="24">
        <f>((PRODUCT('IP1'!$D$15:$F$15)+PRODUCT('IP1'!$D$16:$F$16)+PRODUCT('IP1'!$D$17:$F$17))
*(365.25/7)
*(VLOOKUP('IP1'!$C$18,Pattern,COLUMN(F3)+1,0))/(VLOOKUP('IP1'!$C$18,Pattern,2,0)))</f>
        <v>15528.342857142858</v>
      </c>
      <c r="G3" s="24">
        <f>((PRODUCT('IP1'!$D$15:$F$15)+PRODUCT('IP1'!$D$16:$F$16)+PRODUCT('IP1'!$D$17:$F$17))
*(365.25/7)
*(VLOOKUP('IP1'!$C$18,Pattern,COLUMN(G3)+1,0))/(VLOOKUP('IP1'!$C$18,Pattern,2,0)))</f>
        <v>15528.342857142858</v>
      </c>
      <c r="H3" s="24">
        <f>((PRODUCT('IP1'!$D$15:$F$15)+PRODUCT('IP1'!$D$16:$F$16)+PRODUCT('IP1'!$D$17:$F$17))
*(365.25/7)
*(VLOOKUP('IP1'!$C$18,Pattern,COLUMN(H3)+1,0))/(VLOOKUP('IP1'!$C$18,Pattern,2,0)))</f>
        <v>15528.342857142858</v>
      </c>
      <c r="I3" s="24">
        <f>((PRODUCT('IP1'!$D$15:$F$15)+PRODUCT('IP1'!$D$16:$F$16)+PRODUCT('IP1'!$D$17:$F$17))
*(365.25/7)
*(VLOOKUP('IP1'!$C$18,Pattern,COLUMN(I3)+1,0))/(VLOOKUP('IP1'!$C$18,Pattern,2,0)))</f>
        <v>15528.342857142858</v>
      </c>
      <c r="J3" s="24">
        <f>((PRODUCT('IP1'!$D$15:$F$15)+PRODUCT('IP1'!$D$16:$F$16)+PRODUCT('IP1'!$D$17:$F$17))
*(365.25/7)
*(VLOOKUP('IP1'!$C$18,Pattern,COLUMN(J3)+1,0))/(VLOOKUP('IP1'!$C$18,Pattern,2,0)))</f>
        <v>15528.342857142858</v>
      </c>
      <c r="K3" s="24">
        <f>((PRODUCT('IP1'!$D$15:$F$15)+PRODUCT('IP1'!$D$16:$F$16)+PRODUCT('IP1'!$D$17:$F$17))
*(365.25/7)
*(VLOOKUP('IP1'!$C$18,Pattern,COLUMN(K3)+1,0))/(VLOOKUP('IP1'!$C$18,Pattern,2,0)))</f>
        <v>15528.342857142858</v>
      </c>
      <c r="L3" s="24">
        <f>((PRODUCT('IP1'!$D$15:$F$15)+PRODUCT('IP1'!$D$16:$F$16)+PRODUCT('IP1'!$D$17:$F$17))
*(365.25/7)
*(VLOOKUP('IP1'!$C$18,Pattern,COLUMN(L3)+1,0))/(VLOOKUP('IP1'!$C$18,Pattern,2,0)))</f>
        <v>2588.0571428571429</v>
      </c>
      <c r="M3" s="24">
        <f>((PRODUCT('IP1'!$D$15:$F$15)+PRODUCT('IP1'!$D$16:$F$16)+PRODUCT('IP1'!$D$17:$F$17))
*(365.25/7)
*(VLOOKUP('IP1'!$C$18,Pattern,COLUMN(M3)+1,0))/(VLOOKUP('IP1'!$C$18,Pattern,2,0)))</f>
        <v>12940.285714285716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6"/>
      <c r="AM3" s="10"/>
      <c r="AN3" s="10"/>
      <c r="AO3" s="10"/>
      <c r="AP3" s="10"/>
      <c r="AQ3" s="10"/>
      <c r="AR3" s="10"/>
      <c r="AS3" s="10"/>
    </row>
    <row r="4" spans="1:45">
      <c r="A4" s="78" t="str">
        <f>'IP1'!B23</f>
        <v>Bar</v>
      </c>
      <c r="B4" s="24">
        <f>VLOOKUP($A4,'IP1'!$B$23:$G$24,5,0)
*(VLOOKUP('IP1'!$C$18,Pattern,COLUMN(B4)+1,0))/(VLOOKUP('IP1'!$C$18,Pattern,2,0))</f>
        <v>10000</v>
      </c>
      <c r="C4" s="24">
        <f>VLOOKUP($A4,'IP1'!$B$23:$G$24,5,0)
*(VLOOKUP('IP1'!$C$18,Pattern,COLUMN(C4)+1,0))/(VLOOKUP('IP1'!$C$18,Pattern,2,0))</f>
        <v>10000</v>
      </c>
      <c r="D4" s="24">
        <f>VLOOKUP($A4,'IP1'!$B$23:$G$24,5,0)
*(VLOOKUP('IP1'!$C$18,Pattern,COLUMN(D4)+1,0))/(VLOOKUP('IP1'!$C$18,Pattern,2,0))</f>
        <v>30000</v>
      </c>
      <c r="E4" s="24">
        <f>VLOOKUP($A4,'IP1'!$B$23:$G$24,5,0)
*(VLOOKUP('IP1'!$C$18,Pattern,COLUMN(E4)+1,0))/(VLOOKUP('IP1'!$C$18,Pattern,2,0))</f>
        <v>30000</v>
      </c>
      <c r="F4" s="24">
        <f>VLOOKUP($A4,'IP1'!$B$23:$G$24,5,0)
*(VLOOKUP('IP1'!$C$18,Pattern,COLUMN(F4)+1,0))/(VLOOKUP('IP1'!$C$18,Pattern,2,0))</f>
        <v>60000</v>
      </c>
      <c r="G4" s="24">
        <f>VLOOKUP($A4,'IP1'!$B$23:$G$24,5,0)
*(VLOOKUP('IP1'!$C$18,Pattern,COLUMN(G4)+1,0))/(VLOOKUP('IP1'!$C$18,Pattern,2,0))</f>
        <v>60000</v>
      </c>
      <c r="H4" s="24">
        <f>VLOOKUP($A4,'IP1'!$B$23:$G$24,5,0)
*(VLOOKUP('IP1'!$C$18,Pattern,COLUMN(H4)+1,0))/(VLOOKUP('IP1'!$C$18,Pattern,2,0))</f>
        <v>60000</v>
      </c>
      <c r="I4" s="24">
        <f>VLOOKUP($A4,'IP1'!$B$23:$G$24,5,0)
*(VLOOKUP('IP1'!$C$18,Pattern,COLUMN(I4)+1,0))/(VLOOKUP('IP1'!$C$18,Pattern,2,0))</f>
        <v>60000</v>
      </c>
      <c r="J4" s="24">
        <f>VLOOKUP($A4,'IP1'!$B$23:$G$24,5,0)
*(VLOOKUP('IP1'!$C$18,Pattern,COLUMN(J4)+1,0))/(VLOOKUP('IP1'!$C$18,Pattern,2,0))</f>
        <v>60000</v>
      </c>
      <c r="K4" s="24">
        <f>VLOOKUP($A4,'IP1'!$B$23:$G$24,5,0)
*(VLOOKUP('IP1'!$C$18,Pattern,COLUMN(K4)+1,0))/(VLOOKUP('IP1'!$C$18,Pattern,2,0))</f>
        <v>60000</v>
      </c>
      <c r="L4" s="24">
        <f>VLOOKUP($A4,'IP1'!$B$23:$G$24,5,0)
*(VLOOKUP('IP1'!$C$18,Pattern,COLUMN(L4)+1,0))/(VLOOKUP('IP1'!$C$18,Pattern,2,0))</f>
        <v>10000</v>
      </c>
      <c r="M4" s="24">
        <f>VLOOKUP($A4,'IP1'!$B$23:$G$24,5,0)
*(VLOOKUP('IP1'!$C$18,Pattern,COLUMN(M4)+1,0))/(VLOOKUP('IP1'!$C$18,Pattern,2,0))</f>
        <v>50000</v>
      </c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6"/>
      <c r="AM4" s="10"/>
      <c r="AN4" s="10"/>
      <c r="AO4" s="10"/>
      <c r="AP4" s="10"/>
      <c r="AQ4" s="10"/>
      <c r="AR4" s="10"/>
      <c r="AS4" s="10"/>
    </row>
    <row r="5" spans="1:45">
      <c r="A5" s="78" t="str">
        <f>'IP1'!B24</f>
        <v>Restaurant</v>
      </c>
      <c r="B5" s="24">
        <f>VLOOKUP($A5,'IP1'!$B$23:$G$24,5,0)
*(VLOOKUP('IP1'!$C$18,Pattern,COLUMN(B5)+1,0))/(VLOOKUP('IP1'!$C$18,Pattern,2,0))</f>
        <v>15000</v>
      </c>
      <c r="C5" s="24">
        <f>VLOOKUP($A5,'IP1'!$B$23:$G$24,5,0)
*(VLOOKUP('IP1'!$C$18,Pattern,COLUMN(C5)+1,0))/(VLOOKUP('IP1'!$C$18,Pattern,2,0))</f>
        <v>15000</v>
      </c>
      <c r="D5" s="24">
        <f>VLOOKUP($A5,'IP1'!$B$23:$G$24,5,0)
*(VLOOKUP('IP1'!$C$18,Pattern,COLUMN(D5)+1,0))/(VLOOKUP('IP1'!$C$18,Pattern,2,0))</f>
        <v>45000</v>
      </c>
      <c r="E5" s="24">
        <f>VLOOKUP($A5,'IP1'!$B$23:$G$24,5,0)
*(VLOOKUP('IP1'!$C$18,Pattern,COLUMN(E5)+1,0))/(VLOOKUP('IP1'!$C$18,Pattern,2,0))</f>
        <v>45000</v>
      </c>
      <c r="F5" s="24">
        <f>VLOOKUP($A5,'IP1'!$B$23:$G$24,5,0)
*(VLOOKUP('IP1'!$C$18,Pattern,COLUMN(F5)+1,0))/(VLOOKUP('IP1'!$C$18,Pattern,2,0))</f>
        <v>90000</v>
      </c>
      <c r="G5" s="24">
        <f>VLOOKUP($A5,'IP1'!$B$23:$G$24,5,0)
*(VLOOKUP('IP1'!$C$18,Pattern,COLUMN(G5)+1,0))/(VLOOKUP('IP1'!$C$18,Pattern,2,0))</f>
        <v>90000</v>
      </c>
      <c r="H5" s="24">
        <f>VLOOKUP($A5,'IP1'!$B$23:$G$24,5,0)
*(VLOOKUP('IP1'!$C$18,Pattern,COLUMN(H5)+1,0))/(VLOOKUP('IP1'!$C$18,Pattern,2,0))</f>
        <v>90000</v>
      </c>
      <c r="I5" s="24">
        <f>VLOOKUP($A5,'IP1'!$B$23:$G$24,5,0)
*(VLOOKUP('IP1'!$C$18,Pattern,COLUMN(I5)+1,0))/(VLOOKUP('IP1'!$C$18,Pattern,2,0))</f>
        <v>90000</v>
      </c>
      <c r="J5" s="24">
        <f>VLOOKUP($A5,'IP1'!$B$23:$G$24,5,0)
*(VLOOKUP('IP1'!$C$18,Pattern,COLUMN(J5)+1,0))/(VLOOKUP('IP1'!$C$18,Pattern,2,0))</f>
        <v>90000</v>
      </c>
      <c r="K5" s="24">
        <f>VLOOKUP($A5,'IP1'!$B$23:$G$24,5,0)
*(VLOOKUP('IP1'!$C$18,Pattern,COLUMN(K5)+1,0))/(VLOOKUP('IP1'!$C$18,Pattern,2,0))</f>
        <v>90000</v>
      </c>
      <c r="L5" s="24">
        <f>VLOOKUP($A5,'IP1'!$B$23:$G$24,5,0)
*(VLOOKUP('IP1'!$C$18,Pattern,COLUMN(L5)+1,0))/(VLOOKUP('IP1'!$C$18,Pattern,2,0))</f>
        <v>15000</v>
      </c>
      <c r="M5" s="24">
        <f>VLOOKUP($A5,'IP1'!$B$23:$G$24,5,0)
*(VLOOKUP('IP1'!$C$18,Pattern,COLUMN(M5)+1,0))/(VLOOKUP('IP1'!$C$18,Pattern,2,0))</f>
        <v>75000</v>
      </c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6"/>
      <c r="AM5" s="10"/>
      <c r="AN5" s="10"/>
      <c r="AO5" s="10"/>
      <c r="AP5" s="10"/>
      <c r="AQ5" s="10"/>
      <c r="AR5" s="10"/>
      <c r="AS5" s="10"/>
    </row>
    <row r="6" spans="1:45" s="7" customFormat="1">
      <c r="A6" s="7" t="s">
        <v>29</v>
      </c>
      <c r="B6" s="21">
        <f>SUM(B2:B5)</f>
        <v>68385.177678571432</v>
      </c>
      <c r="C6" s="21">
        <f t="shared" ref="C6:M6" si="1">SUM(C2:C5)</f>
        <v>68385.177678571432</v>
      </c>
      <c r="D6" s="21">
        <f t="shared" si="1"/>
        <v>150759.37232142856</v>
      </c>
      <c r="E6" s="21">
        <f t="shared" si="1"/>
        <v>205155.5330357143</v>
      </c>
      <c r="F6" s="21">
        <f t="shared" si="1"/>
        <v>301518.74464285711</v>
      </c>
      <c r="G6" s="21">
        <f t="shared" si="1"/>
        <v>301518.74464285711</v>
      </c>
      <c r="H6" s="21">
        <f t="shared" si="1"/>
        <v>342315.86517857143</v>
      </c>
      <c r="I6" s="21">
        <f t="shared" si="1"/>
        <v>342315.86517857143</v>
      </c>
      <c r="J6" s="21">
        <f t="shared" si="1"/>
        <v>301518.74464285711</v>
      </c>
      <c r="K6" s="21">
        <f t="shared" si="1"/>
        <v>287919.70446428575</v>
      </c>
      <c r="L6" s="21">
        <f t="shared" si="1"/>
        <v>68385.177678571432</v>
      </c>
      <c r="M6" s="21">
        <f t="shared" si="1"/>
        <v>301128.76785714284</v>
      </c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3"/>
    </row>
    <row r="7" spans="1:45">
      <c r="A7" s="92" t="s">
        <v>9</v>
      </c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45">
      <c r="A8" s="78" t="str">
        <f>A2</f>
        <v>Rooms</v>
      </c>
      <c r="B8" s="24">
        <f>VLOOKUP($A8,'IP1'!$B$29:$F$32,5,0)
*VLOOKUP($A8,$A$2:$M$5,COLUMN(),0)</f>
        <v>4079.7120535714294</v>
      </c>
      <c r="C8" s="24">
        <f>VLOOKUP($A8,'IP1'!$B$29:$F$32,5,0)
*VLOOKUP($A8,$A$2:$M$5,COLUMN(),0)</f>
        <v>4079.7120535714294</v>
      </c>
      <c r="D8" s="24">
        <f>VLOOKUP($A8,'IP1'!$B$29:$F$32,5,0)
*VLOOKUP($A8,$A$2:$M$5,COLUMN(),0)</f>
        <v>6799.5200892857147</v>
      </c>
      <c r="E8" s="24">
        <f>VLOOKUP($A8,'IP1'!$B$29:$F$32,5,0)
*VLOOKUP($A8,$A$2:$M$5,COLUMN(),0)</f>
        <v>12239.136160714286</v>
      </c>
      <c r="F8" s="24">
        <f>VLOOKUP($A8,'IP1'!$B$29:$F$32,5,0)
*VLOOKUP($A8,$A$2:$M$5,COLUMN(),0)</f>
        <v>13599.040178571429</v>
      </c>
      <c r="G8" s="24">
        <f>VLOOKUP($A8,'IP1'!$B$29:$F$32,5,0)
*VLOOKUP($A8,$A$2:$M$5,COLUMN(),0)</f>
        <v>13599.040178571429</v>
      </c>
      <c r="H8" s="24">
        <f>VLOOKUP($A8,'IP1'!$B$29:$F$32,5,0)
*VLOOKUP($A8,$A$2:$M$5,COLUMN(),0)</f>
        <v>17678.752232142859</v>
      </c>
      <c r="I8" s="24">
        <f>VLOOKUP($A8,'IP1'!$B$29:$F$32,5,0)
*VLOOKUP($A8,$A$2:$M$5,COLUMN(),0)</f>
        <v>17678.752232142859</v>
      </c>
      <c r="J8" s="24">
        <f>VLOOKUP($A8,'IP1'!$B$29:$F$32,5,0)
*VLOOKUP($A8,$A$2:$M$5,COLUMN(),0)</f>
        <v>13599.040178571429</v>
      </c>
      <c r="K8" s="24">
        <f>VLOOKUP($A8,'IP1'!$B$29:$F$32,5,0)
*VLOOKUP($A8,$A$2:$M$5,COLUMN(),0)</f>
        <v>12239.136160714286</v>
      </c>
      <c r="L8" s="24">
        <f>VLOOKUP($A8,'IP1'!$B$29:$F$32,5,0)
*VLOOKUP($A8,$A$2:$M$5,COLUMN(),0)</f>
        <v>4079.7120535714294</v>
      </c>
      <c r="M8" s="24">
        <f>VLOOKUP($A8,'IP1'!$B$29:$F$32,5,0)
*VLOOKUP($A8,$A$2:$M$5,COLUMN(),0)</f>
        <v>16318.848214285717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6"/>
    </row>
    <row r="9" spans="1:45">
      <c r="A9" s="78" t="str">
        <f>'IP1'!B15</f>
        <v>Events</v>
      </c>
      <c r="B9" s="24">
        <f>VLOOKUP($A9,'IP1'!$B$29:$F$32,5,0)
*VLOOKUP($A9,$A$2:$M$5,COLUMN(),0)</f>
        <v>1811.6399999999999</v>
      </c>
      <c r="C9" s="24">
        <f>VLOOKUP($A9,'IP1'!$B$29:$F$32,5,0)
*VLOOKUP($A9,$A$2:$M$5,COLUMN(),0)</f>
        <v>1811.6399999999999</v>
      </c>
      <c r="D9" s="24">
        <f>VLOOKUP($A9,'IP1'!$B$29:$F$32,5,0)
*VLOOKUP($A9,$A$2:$M$5,COLUMN(),0)</f>
        <v>5434.92</v>
      </c>
      <c r="E9" s="24">
        <f>VLOOKUP($A9,'IP1'!$B$29:$F$32,5,0)
*VLOOKUP($A9,$A$2:$M$5,COLUMN(),0)</f>
        <v>5434.92</v>
      </c>
      <c r="F9" s="24">
        <f>VLOOKUP($A9,'IP1'!$B$29:$F$32,5,0)
*VLOOKUP($A9,$A$2:$M$5,COLUMN(),0)</f>
        <v>10869.84</v>
      </c>
      <c r="G9" s="24">
        <f>VLOOKUP($A9,'IP1'!$B$29:$F$32,5,0)
*VLOOKUP($A9,$A$2:$M$5,COLUMN(),0)</f>
        <v>10869.84</v>
      </c>
      <c r="H9" s="24">
        <f>VLOOKUP($A9,'IP1'!$B$29:$F$32,5,0)
*VLOOKUP($A9,$A$2:$M$5,COLUMN(),0)</f>
        <v>10869.84</v>
      </c>
      <c r="I9" s="24">
        <f>VLOOKUP($A9,'IP1'!$B$29:$F$32,5,0)
*VLOOKUP($A9,$A$2:$M$5,COLUMN(),0)</f>
        <v>10869.84</v>
      </c>
      <c r="J9" s="24">
        <f>VLOOKUP($A9,'IP1'!$B$29:$F$32,5,0)
*VLOOKUP($A9,$A$2:$M$5,COLUMN(),0)</f>
        <v>10869.84</v>
      </c>
      <c r="K9" s="24">
        <f>VLOOKUP($A9,'IP1'!$B$29:$F$32,5,0)
*VLOOKUP($A9,$A$2:$M$5,COLUMN(),0)</f>
        <v>10869.84</v>
      </c>
      <c r="L9" s="24">
        <f>VLOOKUP($A9,'IP1'!$B$29:$F$32,5,0)
*VLOOKUP($A9,$A$2:$M$5,COLUMN(),0)</f>
        <v>1811.6399999999999</v>
      </c>
      <c r="M9" s="24">
        <f>VLOOKUP($A9,'IP1'!$B$29:$F$32,5,0)
*VLOOKUP($A9,$A$2:$M$5,COLUMN(),0)</f>
        <v>9058.2000000000007</v>
      </c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6"/>
    </row>
    <row r="10" spans="1:45">
      <c r="A10" s="78" t="str">
        <f>'IP1'!B23</f>
        <v>Bar</v>
      </c>
      <c r="B10" s="24">
        <f>VLOOKUP($A10,'IP1'!$B$29:$F$32,5,0)
*VLOOKUP($A10,$A$2:$M$5,COLUMN(),0)</f>
        <v>6500</v>
      </c>
      <c r="C10" s="24">
        <f>VLOOKUP($A10,'IP1'!$B$29:$F$32,5,0)
*VLOOKUP($A10,$A$2:$M$5,COLUMN(),0)</f>
        <v>6500</v>
      </c>
      <c r="D10" s="24">
        <f>VLOOKUP($A10,'IP1'!$B$29:$F$32,5,0)
*VLOOKUP($A10,$A$2:$M$5,COLUMN(),0)</f>
        <v>19500</v>
      </c>
      <c r="E10" s="24">
        <f>VLOOKUP($A10,'IP1'!$B$29:$F$32,5,0)
*VLOOKUP($A10,$A$2:$M$5,COLUMN(),0)</f>
        <v>19500</v>
      </c>
      <c r="F10" s="24">
        <f>VLOOKUP($A10,'IP1'!$B$29:$F$32,5,0)
*VLOOKUP($A10,$A$2:$M$5,COLUMN(),0)</f>
        <v>39000</v>
      </c>
      <c r="G10" s="24">
        <f>VLOOKUP($A10,'IP1'!$B$29:$F$32,5,0)
*VLOOKUP($A10,$A$2:$M$5,COLUMN(),0)</f>
        <v>39000</v>
      </c>
      <c r="H10" s="24">
        <f>VLOOKUP($A10,'IP1'!$B$29:$F$32,5,0)
*VLOOKUP($A10,$A$2:$M$5,COLUMN(),0)</f>
        <v>39000</v>
      </c>
      <c r="I10" s="24">
        <f>VLOOKUP($A10,'IP1'!$B$29:$F$32,5,0)
*VLOOKUP($A10,$A$2:$M$5,COLUMN(),0)</f>
        <v>39000</v>
      </c>
      <c r="J10" s="24">
        <f>VLOOKUP($A10,'IP1'!$B$29:$F$32,5,0)
*VLOOKUP($A10,$A$2:$M$5,COLUMN(),0)</f>
        <v>39000</v>
      </c>
      <c r="K10" s="24">
        <f>VLOOKUP($A10,'IP1'!$B$29:$F$32,5,0)
*VLOOKUP($A10,$A$2:$M$5,COLUMN(),0)</f>
        <v>39000</v>
      </c>
      <c r="L10" s="24">
        <f>VLOOKUP($A10,'IP1'!$B$29:$F$32,5,0)
*VLOOKUP($A10,$A$2:$M$5,COLUMN(),0)</f>
        <v>6500</v>
      </c>
      <c r="M10" s="24">
        <f>VLOOKUP($A10,'IP1'!$B$29:$F$32,5,0)
*VLOOKUP($A10,$A$2:$M$5,COLUMN(),0)</f>
        <v>32500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6"/>
    </row>
    <row r="11" spans="1:45">
      <c r="A11" s="78" t="str">
        <f>'IP1'!B24</f>
        <v>Restaurant</v>
      </c>
      <c r="B11" s="24">
        <f>VLOOKUP($A11,'IP1'!$B$29:$F$32,5,0)
*VLOOKUP($A11,$A$2:$M$5,COLUMN(),0)</f>
        <v>9000</v>
      </c>
      <c r="C11" s="24">
        <f>VLOOKUP($A11,'IP1'!$B$29:$F$32,5,0)
*VLOOKUP($A11,$A$2:$M$5,COLUMN(),0)</f>
        <v>9000</v>
      </c>
      <c r="D11" s="24">
        <f>VLOOKUP($A11,'IP1'!$B$29:$F$32,5,0)
*VLOOKUP($A11,$A$2:$M$5,COLUMN(),0)</f>
        <v>27000</v>
      </c>
      <c r="E11" s="24">
        <f>VLOOKUP($A11,'IP1'!$B$29:$F$32,5,0)
*VLOOKUP($A11,$A$2:$M$5,COLUMN(),0)</f>
        <v>27000</v>
      </c>
      <c r="F11" s="24">
        <f>VLOOKUP($A11,'IP1'!$B$29:$F$32,5,0)
*VLOOKUP($A11,$A$2:$M$5,COLUMN(),0)</f>
        <v>54000</v>
      </c>
      <c r="G11" s="24">
        <f>VLOOKUP($A11,'IP1'!$B$29:$F$32,5,0)
*VLOOKUP($A11,$A$2:$M$5,COLUMN(),0)</f>
        <v>54000</v>
      </c>
      <c r="H11" s="24">
        <f>VLOOKUP($A11,'IP1'!$B$29:$F$32,5,0)
*VLOOKUP($A11,$A$2:$M$5,COLUMN(),0)</f>
        <v>54000</v>
      </c>
      <c r="I11" s="24">
        <f>VLOOKUP($A11,'IP1'!$B$29:$F$32,5,0)
*VLOOKUP($A11,$A$2:$M$5,COLUMN(),0)</f>
        <v>54000</v>
      </c>
      <c r="J11" s="24">
        <f>VLOOKUP($A11,'IP1'!$B$29:$F$32,5,0)
*VLOOKUP($A11,$A$2:$M$5,COLUMN(),0)</f>
        <v>54000</v>
      </c>
      <c r="K11" s="24">
        <f>VLOOKUP($A11,'IP1'!$B$29:$F$32,5,0)
*VLOOKUP($A11,$A$2:$M$5,COLUMN(),0)</f>
        <v>54000</v>
      </c>
      <c r="L11" s="24">
        <f>VLOOKUP($A11,'IP1'!$B$29:$F$32,5,0)
*VLOOKUP($A11,$A$2:$M$5,COLUMN(),0)</f>
        <v>9000</v>
      </c>
      <c r="M11" s="24">
        <f>VLOOKUP($A11,'IP1'!$B$29:$F$32,5,0)
*VLOOKUP($A11,$A$2:$M$5,COLUMN(),0)</f>
        <v>45000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6"/>
    </row>
    <row r="12" spans="1:45">
      <c r="A12" s="7" t="s">
        <v>115</v>
      </c>
      <c r="B12" s="21">
        <f>SUM(B8:B11)</f>
        <v>21391.352053571427</v>
      </c>
      <c r="C12" s="21">
        <f t="shared" ref="C12:M12" si="2">SUM(C8:C11)</f>
        <v>21391.352053571427</v>
      </c>
      <c r="D12" s="21">
        <f t="shared" si="2"/>
        <v>58734.440089285716</v>
      </c>
      <c r="E12" s="21">
        <f t="shared" si="2"/>
        <v>64174.056160714288</v>
      </c>
      <c r="F12" s="21">
        <f t="shared" si="2"/>
        <v>117468.88017857143</v>
      </c>
      <c r="G12" s="21">
        <f t="shared" si="2"/>
        <v>117468.88017857143</v>
      </c>
      <c r="H12" s="21">
        <f t="shared" si="2"/>
        <v>121548.59223214287</v>
      </c>
      <c r="I12" s="21">
        <f t="shared" si="2"/>
        <v>121548.59223214287</v>
      </c>
      <c r="J12" s="21">
        <f t="shared" si="2"/>
        <v>117468.88017857143</v>
      </c>
      <c r="K12" s="21">
        <f t="shared" si="2"/>
        <v>116108.97616071429</v>
      </c>
      <c r="L12" s="21">
        <f t="shared" si="2"/>
        <v>21391.352053571427</v>
      </c>
      <c r="M12" s="21">
        <f t="shared" si="2"/>
        <v>102877.04821428572</v>
      </c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16"/>
    </row>
    <row r="13" spans="1:45">
      <c r="B13" s="1"/>
      <c r="C13" s="1"/>
      <c r="D13" s="1"/>
      <c r="E13" s="1"/>
      <c r="F13" s="1"/>
      <c r="G13" s="1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45">
      <c r="A14" s="92" t="s">
        <v>108</v>
      </c>
      <c r="B14" s="13">
        <f>DATEVALUE(1&amp;"/"&amp;'IP1'!$B$3&amp;"/"&amp;('IP1'!$B$4+1))</f>
        <v>41640</v>
      </c>
      <c r="C14" s="13">
        <f>DATE(YEAR(B14),MONTH(B14)+1,1)</f>
        <v>41671</v>
      </c>
      <c r="D14" s="13">
        <f t="shared" ref="D14:M14" si="3">DATE(YEAR(C14),MONTH(C14)+1,1)</f>
        <v>41699</v>
      </c>
      <c r="E14" s="13">
        <f t="shared" si="3"/>
        <v>41730</v>
      </c>
      <c r="F14" s="13">
        <f t="shared" si="3"/>
        <v>41760</v>
      </c>
      <c r="G14" s="13">
        <f t="shared" si="3"/>
        <v>41791</v>
      </c>
      <c r="H14" s="13">
        <f t="shared" si="3"/>
        <v>41821</v>
      </c>
      <c r="I14" s="13">
        <f t="shared" si="3"/>
        <v>41852</v>
      </c>
      <c r="J14" s="13">
        <f t="shared" si="3"/>
        <v>41883</v>
      </c>
      <c r="K14" s="13">
        <f t="shared" si="3"/>
        <v>41913</v>
      </c>
      <c r="L14" s="13">
        <f t="shared" si="3"/>
        <v>41944</v>
      </c>
      <c r="M14" s="13">
        <f t="shared" si="3"/>
        <v>41974</v>
      </c>
      <c r="N14" s="14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45">
      <c r="A15" s="78" t="str">
        <f>A2</f>
        <v>Rooms</v>
      </c>
      <c r="B15" s="24">
        <f>((PRODUCT('IP1'!$D$8:$F$8)*4)+(PRODUCT('IP1'!$D$9:$F$9)*2)+PRODUCT('IP1'!$D$10:$F$10))
*(365.25/7)
*(VLOOKUP('IP1'!$C$11,Pattern,COLUMN(B2)+1,0))/(VLOOKUP('IP1'!$C$11,Pattern,2,0))
*(1+'IP1'!$C$12)</f>
        <v>44876.832589285725</v>
      </c>
      <c r="C15" s="24">
        <f>((PRODUCT('IP1'!$D$8:$F$8)*4)+(PRODUCT('IP1'!$D$9:$F$9)*2)+PRODUCT('IP1'!$D$10:$F$10))
*(365.25/7)
*(VLOOKUP('IP1'!$C$11,Pattern,COLUMN(C2)+1,0))/(VLOOKUP('IP1'!$C$11,Pattern,2,0))
*(1+'IP1'!$C$12)</f>
        <v>44876.832589285725</v>
      </c>
      <c r="D15" s="24">
        <f>((PRODUCT('IP1'!$D$8:$F$8)*4)+(PRODUCT('IP1'!$D$9:$F$9)*2)+PRODUCT('IP1'!$D$10:$F$10))
*(365.25/7)
*(VLOOKUP('IP1'!$C$11,Pattern,COLUMN(D2)+1,0))/(VLOOKUP('IP1'!$C$11,Pattern,2,0))
*(1+'IP1'!$C$12)</f>
        <v>74794.72098214287</v>
      </c>
      <c r="E15" s="24">
        <f>((PRODUCT('IP1'!$D$8:$F$8)*4)+(PRODUCT('IP1'!$D$9:$F$9)*2)+PRODUCT('IP1'!$D$10:$F$10))
*(365.25/7)
*(VLOOKUP('IP1'!$C$11,Pattern,COLUMN(E2)+1,0))/(VLOOKUP('IP1'!$C$11,Pattern,2,0))
*(1+'IP1'!$C$12)</f>
        <v>134630.49776785716</v>
      </c>
      <c r="F15" s="24">
        <f>((PRODUCT('IP1'!$D$8:$F$8)*4)+(PRODUCT('IP1'!$D$9:$F$9)*2)+PRODUCT('IP1'!$D$10:$F$10))
*(365.25/7)
*(VLOOKUP('IP1'!$C$11,Pattern,COLUMN(F2)+1,0))/(VLOOKUP('IP1'!$C$11,Pattern,2,0))
*(1+'IP1'!$C$12)</f>
        <v>149589.44196428574</v>
      </c>
      <c r="G15" s="24">
        <f>((PRODUCT('IP1'!$D$8:$F$8)*4)+(PRODUCT('IP1'!$D$9:$F$9)*2)+PRODUCT('IP1'!$D$10:$F$10))
*(365.25/7)
*(VLOOKUP('IP1'!$C$11,Pattern,COLUMN(G2)+1,0))/(VLOOKUP('IP1'!$C$11,Pattern,2,0))
*(1+'IP1'!$C$12)</f>
        <v>149589.44196428574</v>
      </c>
      <c r="H15" s="24">
        <f>((PRODUCT('IP1'!$D$8:$F$8)*4)+(PRODUCT('IP1'!$D$9:$F$9)*2)+PRODUCT('IP1'!$D$10:$F$10))
*(365.25/7)
*(VLOOKUP('IP1'!$C$11,Pattern,COLUMN(H2)+1,0))/(VLOOKUP('IP1'!$C$11,Pattern,2,0))
*(1+'IP1'!$C$12)</f>
        <v>194466.27455357145</v>
      </c>
      <c r="I15" s="24">
        <f>((PRODUCT('IP1'!$D$8:$F$8)*4)+(PRODUCT('IP1'!$D$9:$F$9)*2)+PRODUCT('IP1'!$D$10:$F$10))
*(365.25/7)
*(VLOOKUP('IP1'!$C$11,Pattern,COLUMN(I2)+1,0))/(VLOOKUP('IP1'!$C$11,Pattern,2,0))
*(1+'IP1'!$C$12)</f>
        <v>194466.27455357145</v>
      </c>
      <c r="J15" s="24">
        <f>((PRODUCT('IP1'!$D$8:$F$8)*4)+(PRODUCT('IP1'!$D$9:$F$9)*2)+PRODUCT('IP1'!$D$10:$F$10))
*(365.25/7)
*(VLOOKUP('IP1'!$C$11,Pattern,COLUMN(J2)+1,0))/(VLOOKUP('IP1'!$C$11,Pattern,2,0))
*(1+'IP1'!$C$12)</f>
        <v>149589.44196428574</v>
      </c>
      <c r="K15" s="24">
        <f>((PRODUCT('IP1'!$D$8:$F$8)*4)+(PRODUCT('IP1'!$D$9:$F$9)*2)+PRODUCT('IP1'!$D$10:$F$10))
*(365.25/7)
*(VLOOKUP('IP1'!$C$11,Pattern,COLUMN(K2)+1,0))/(VLOOKUP('IP1'!$C$11,Pattern,2,0))
*(1+'IP1'!$C$12)</f>
        <v>134630.49776785716</v>
      </c>
      <c r="L15" s="24">
        <f>((PRODUCT('IP1'!$D$8:$F$8)*4)+(PRODUCT('IP1'!$D$9:$F$9)*2)+PRODUCT('IP1'!$D$10:$F$10))
*(365.25/7)
*(VLOOKUP('IP1'!$C$11,Pattern,COLUMN(L2)+1,0))/(VLOOKUP('IP1'!$C$11,Pattern,2,0))
*(1+'IP1'!$C$12)</f>
        <v>44876.832589285725</v>
      </c>
      <c r="M15" s="24">
        <f>((PRODUCT('IP1'!$D$8:$F$8)*4)+(PRODUCT('IP1'!$D$9:$F$9)*2)+PRODUCT('IP1'!$D$10:$F$10))
*(365.25/7)
*(VLOOKUP('IP1'!$C$11,Pattern,COLUMN(M2)+1,0))/(VLOOKUP('IP1'!$C$11,Pattern,2,0))
*(1+'IP1'!$C$12)</f>
        <v>179507.3303571429</v>
      </c>
      <c r="N15" s="17"/>
    </row>
    <row r="16" spans="1:45">
      <c r="A16" s="78" t="str">
        <f>A3</f>
        <v>Events</v>
      </c>
      <c r="B16" s="24">
        <f>((PRODUCT('IP1'!$D$15:$F$15)+PRODUCT('IP1'!$D$16:$F$16)+PRODUCT('IP1'!$D$17:$F$17))*(365.25/7)
*(VLOOKUP('IP1'!$C$18,Pattern,COLUMN(B3)+1,0))/(VLOOKUP('IP1'!$C$18,Pattern,2,0)))*(1+'IP1'!$C$12)</f>
        <v>2846.8628571428576</v>
      </c>
      <c r="C16" s="24">
        <f>((PRODUCT('IP1'!$D$15:$F$15)+PRODUCT('IP1'!$D$16:$F$16)+PRODUCT('IP1'!$D$17:$F$17))*(365.25/7)
*(VLOOKUP('IP1'!$C$18,Pattern,COLUMN(C3)+1,0))/(VLOOKUP('IP1'!$C$18,Pattern,2,0)))*(1+'IP1'!$C$12)</f>
        <v>2846.8628571428576</v>
      </c>
      <c r="D16" s="24">
        <f>((PRODUCT('IP1'!$D$15:$F$15)+PRODUCT('IP1'!$D$16:$F$16)+PRODUCT('IP1'!$D$17:$F$17))*(365.25/7)
*(VLOOKUP('IP1'!$C$18,Pattern,COLUMN(D3)+1,0))/(VLOOKUP('IP1'!$C$18,Pattern,2,0)))*(1+'IP1'!$C$12)</f>
        <v>8540.5885714285723</v>
      </c>
      <c r="E16" s="24">
        <f>((PRODUCT('IP1'!$D$15:$F$15)+PRODUCT('IP1'!$D$16:$F$16)+PRODUCT('IP1'!$D$17:$F$17))*(365.25/7)
*(VLOOKUP('IP1'!$C$18,Pattern,COLUMN(E3)+1,0))/(VLOOKUP('IP1'!$C$18,Pattern,2,0)))*(1+'IP1'!$C$12)</f>
        <v>8540.5885714285723</v>
      </c>
      <c r="F16" s="24">
        <f>((PRODUCT('IP1'!$D$15:$F$15)+PRODUCT('IP1'!$D$16:$F$16)+PRODUCT('IP1'!$D$17:$F$17))*(365.25/7)
*(VLOOKUP('IP1'!$C$18,Pattern,COLUMN(F3)+1,0))/(VLOOKUP('IP1'!$C$18,Pattern,2,0)))*(1+'IP1'!$C$12)</f>
        <v>17081.177142857145</v>
      </c>
      <c r="G16" s="24">
        <f>((PRODUCT('IP1'!$D$15:$F$15)+PRODUCT('IP1'!$D$16:$F$16)+PRODUCT('IP1'!$D$17:$F$17))*(365.25/7)
*(VLOOKUP('IP1'!$C$18,Pattern,COLUMN(G3)+1,0))/(VLOOKUP('IP1'!$C$18,Pattern,2,0)))*(1+'IP1'!$C$12)</f>
        <v>17081.177142857145</v>
      </c>
      <c r="H16" s="24">
        <f>((PRODUCT('IP1'!$D$15:$F$15)+PRODUCT('IP1'!$D$16:$F$16)+PRODUCT('IP1'!$D$17:$F$17))*(365.25/7)
*(VLOOKUP('IP1'!$C$18,Pattern,COLUMN(H3)+1,0))/(VLOOKUP('IP1'!$C$18,Pattern,2,0)))*(1+'IP1'!$C$12)</f>
        <v>17081.177142857145</v>
      </c>
      <c r="I16" s="24">
        <f>((PRODUCT('IP1'!$D$15:$F$15)+PRODUCT('IP1'!$D$16:$F$16)+PRODUCT('IP1'!$D$17:$F$17))*(365.25/7)
*(VLOOKUP('IP1'!$C$18,Pattern,COLUMN(I3)+1,0))/(VLOOKUP('IP1'!$C$18,Pattern,2,0)))*(1+'IP1'!$C$12)</f>
        <v>17081.177142857145</v>
      </c>
      <c r="J16" s="24">
        <f>((PRODUCT('IP1'!$D$15:$F$15)+PRODUCT('IP1'!$D$16:$F$16)+PRODUCT('IP1'!$D$17:$F$17))*(365.25/7)
*(VLOOKUP('IP1'!$C$18,Pattern,COLUMN(J3)+1,0))/(VLOOKUP('IP1'!$C$18,Pattern,2,0)))*(1+'IP1'!$C$12)</f>
        <v>17081.177142857145</v>
      </c>
      <c r="K16" s="24">
        <f>((PRODUCT('IP1'!$D$15:$F$15)+PRODUCT('IP1'!$D$16:$F$16)+PRODUCT('IP1'!$D$17:$F$17))*(365.25/7)
*(VLOOKUP('IP1'!$C$18,Pattern,COLUMN(K3)+1,0))/(VLOOKUP('IP1'!$C$18,Pattern,2,0)))*(1+'IP1'!$C$12)</f>
        <v>17081.177142857145</v>
      </c>
      <c r="L16" s="24">
        <f>((PRODUCT('IP1'!$D$15:$F$15)+PRODUCT('IP1'!$D$16:$F$16)+PRODUCT('IP1'!$D$17:$F$17))*(365.25/7)
*(VLOOKUP('IP1'!$C$18,Pattern,COLUMN(L3)+1,0))/(VLOOKUP('IP1'!$C$18,Pattern,2,0)))*(1+'IP1'!$C$12)</f>
        <v>2846.8628571428576</v>
      </c>
      <c r="M16" s="24">
        <f>((PRODUCT('IP1'!$D$15:$F$15)+PRODUCT('IP1'!$D$16:$F$16)+PRODUCT('IP1'!$D$17:$F$17))*(365.25/7)
*(VLOOKUP('IP1'!$C$18,Pattern,COLUMN(M3)+1,0))/(VLOOKUP('IP1'!$C$18,Pattern,2,0)))*(1+'IP1'!$C$12)</f>
        <v>14234.314285714288</v>
      </c>
      <c r="N16" s="17"/>
    </row>
    <row r="17" spans="1:38">
      <c r="A17" s="78" t="str">
        <f>A4</f>
        <v>Bar</v>
      </c>
      <c r="B17" s="24">
        <f>VLOOKUP($A17,'IP1'!$B$23:$G$24,6,0)
*(VLOOKUP('IP1'!$C$18,Pattern,COLUMN(B17)+1,0))/(VLOOKUP('IP1'!$C$18,Pattern,2,0))</f>
        <v>11000</v>
      </c>
      <c r="C17" s="24">
        <f>VLOOKUP($A17,'IP1'!$B$23:$G$24,6,0)
*(VLOOKUP('IP1'!$C$18,Pattern,COLUMN(C17)+1,0))/(VLOOKUP('IP1'!$C$18,Pattern,2,0))</f>
        <v>11000</v>
      </c>
      <c r="D17" s="24">
        <f>VLOOKUP($A17,'IP1'!$B$23:$G$24,6,0)
*(VLOOKUP('IP1'!$C$18,Pattern,COLUMN(D17)+1,0))/(VLOOKUP('IP1'!$C$18,Pattern,2,0))</f>
        <v>33000</v>
      </c>
      <c r="E17" s="24">
        <f>VLOOKUP($A17,'IP1'!$B$23:$G$24,6,0)
*(VLOOKUP('IP1'!$C$18,Pattern,COLUMN(E17)+1,0))/(VLOOKUP('IP1'!$C$18,Pattern,2,0))</f>
        <v>33000</v>
      </c>
      <c r="F17" s="24">
        <f>VLOOKUP($A17,'IP1'!$B$23:$G$24,6,0)
*(VLOOKUP('IP1'!$C$18,Pattern,COLUMN(F17)+1,0))/(VLOOKUP('IP1'!$C$18,Pattern,2,0))</f>
        <v>66000</v>
      </c>
      <c r="G17" s="24">
        <f>VLOOKUP($A17,'IP1'!$B$23:$G$24,6,0)
*(VLOOKUP('IP1'!$C$18,Pattern,COLUMN(G17)+1,0))/(VLOOKUP('IP1'!$C$18,Pattern,2,0))</f>
        <v>66000</v>
      </c>
      <c r="H17" s="24">
        <f>VLOOKUP($A17,'IP1'!$B$23:$G$24,6,0)
*(VLOOKUP('IP1'!$C$18,Pattern,COLUMN(H17)+1,0))/(VLOOKUP('IP1'!$C$18,Pattern,2,0))</f>
        <v>66000</v>
      </c>
      <c r="I17" s="24">
        <f>VLOOKUP($A17,'IP1'!$B$23:$G$24,6,0)
*(VLOOKUP('IP1'!$C$18,Pattern,COLUMN(I17)+1,0))/(VLOOKUP('IP1'!$C$18,Pattern,2,0))</f>
        <v>66000</v>
      </c>
      <c r="J17" s="24">
        <f>VLOOKUP($A17,'IP1'!$B$23:$G$24,6,0)
*(VLOOKUP('IP1'!$C$18,Pattern,COLUMN(J17)+1,0))/(VLOOKUP('IP1'!$C$18,Pattern,2,0))</f>
        <v>66000</v>
      </c>
      <c r="K17" s="24">
        <f>VLOOKUP($A17,'IP1'!$B$23:$G$24,6,0)
*(VLOOKUP('IP1'!$C$18,Pattern,COLUMN(K17)+1,0))/(VLOOKUP('IP1'!$C$18,Pattern,2,0))</f>
        <v>66000</v>
      </c>
      <c r="L17" s="24">
        <f>VLOOKUP($A17,'IP1'!$B$23:$G$24,6,0)
*(VLOOKUP('IP1'!$C$18,Pattern,COLUMN(L17)+1,0))/(VLOOKUP('IP1'!$C$18,Pattern,2,0))</f>
        <v>11000</v>
      </c>
      <c r="M17" s="24">
        <f>VLOOKUP($A17,'IP1'!$B$23:$G$24,6,0)
*(VLOOKUP('IP1'!$C$18,Pattern,COLUMN(M17)+1,0))/(VLOOKUP('IP1'!$C$18,Pattern,2,0))</f>
        <v>55000</v>
      </c>
      <c r="N17" s="17"/>
    </row>
    <row r="18" spans="1:38">
      <c r="A18" s="78" t="str">
        <f>A5</f>
        <v>Restaurant</v>
      </c>
      <c r="B18" s="24">
        <f>VLOOKUP($A18,'IP1'!$B$23:$G$24,6,0)
*(VLOOKUP('IP1'!$C$18,Pattern,COLUMN(B18)+1,0))/(VLOOKUP('IP1'!$C$18,Pattern,2,0))</f>
        <v>15000</v>
      </c>
      <c r="C18" s="24">
        <f>VLOOKUP($A18,'IP1'!$B$23:$G$24,6,0)
*(VLOOKUP('IP1'!$C$18,Pattern,COLUMN(C18)+1,0))/(VLOOKUP('IP1'!$C$18,Pattern,2,0))</f>
        <v>15000</v>
      </c>
      <c r="D18" s="24">
        <f>VLOOKUP($A18,'IP1'!$B$23:$G$24,6,0)
*(VLOOKUP('IP1'!$C$18,Pattern,COLUMN(D18)+1,0))/(VLOOKUP('IP1'!$C$18,Pattern,2,0))</f>
        <v>45000</v>
      </c>
      <c r="E18" s="24">
        <f>VLOOKUP($A18,'IP1'!$B$23:$G$24,6,0)
*(VLOOKUP('IP1'!$C$18,Pattern,COLUMN(E18)+1,0))/(VLOOKUP('IP1'!$C$18,Pattern,2,0))</f>
        <v>45000</v>
      </c>
      <c r="F18" s="24">
        <f>VLOOKUP($A18,'IP1'!$B$23:$G$24,6,0)
*(VLOOKUP('IP1'!$C$18,Pattern,COLUMN(F18)+1,0))/(VLOOKUP('IP1'!$C$18,Pattern,2,0))</f>
        <v>90000</v>
      </c>
      <c r="G18" s="24">
        <f>VLOOKUP($A18,'IP1'!$B$23:$G$24,6,0)
*(VLOOKUP('IP1'!$C$18,Pattern,COLUMN(G18)+1,0))/(VLOOKUP('IP1'!$C$18,Pattern,2,0))</f>
        <v>90000</v>
      </c>
      <c r="H18" s="24">
        <f>VLOOKUP($A18,'IP1'!$B$23:$G$24,6,0)
*(VLOOKUP('IP1'!$C$18,Pattern,COLUMN(H18)+1,0))/(VLOOKUP('IP1'!$C$18,Pattern,2,0))</f>
        <v>90000</v>
      </c>
      <c r="I18" s="24">
        <f>VLOOKUP($A18,'IP1'!$B$23:$G$24,6,0)
*(VLOOKUP('IP1'!$C$18,Pattern,COLUMN(I18)+1,0))/(VLOOKUP('IP1'!$C$18,Pattern,2,0))</f>
        <v>90000</v>
      </c>
      <c r="J18" s="24">
        <f>VLOOKUP($A18,'IP1'!$B$23:$G$24,6,0)
*(VLOOKUP('IP1'!$C$18,Pattern,COLUMN(J18)+1,0))/(VLOOKUP('IP1'!$C$18,Pattern,2,0))</f>
        <v>90000</v>
      </c>
      <c r="K18" s="24">
        <f>VLOOKUP($A18,'IP1'!$B$23:$G$24,6,0)
*(VLOOKUP('IP1'!$C$18,Pattern,COLUMN(K18)+1,0))/(VLOOKUP('IP1'!$C$18,Pattern,2,0))</f>
        <v>90000</v>
      </c>
      <c r="L18" s="24">
        <f>VLOOKUP($A18,'IP1'!$B$23:$G$24,6,0)
*(VLOOKUP('IP1'!$C$18,Pattern,COLUMN(L18)+1,0))/(VLOOKUP('IP1'!$C$18,Pattern,2,0))</f>
        <v>15000</v>
      </c>
      <c r="M18" s="24">
        <f>VLOOKUP($A18,'IP1'!$B$23:$G$24,6,0)
*(VLOOKUP('IP1'!$C$18,Pattern,COLUMN(M18)+1,0))/(VLOOKUP('IP1'!$C$18,Pattern,2,0))</f>
        <v>75000</v>
      </c>
      <c r="N18" s="17"/>
    </row>
    <row r="19" spans="1:38" s="7" customFormat="1">
      <c r="A19" s="7" t="s">
        <v>29</v>
      </c>
      <c r="B19" s="21">
        <f t="shared" ref="B19:M19" si="4">SUM(B15:B18)</f>
        <v>73723.695446428581</v>
      </c>
      <c r="C19" s="21">
        <f t="shared" si="4"/>
        <v>73723.695446428581</v>
      </c>
      <c r="D19" s="21">
        <f t="shared" si="4"/>
        <v>161335.30955357145</v>
      </c>
      <c r="E19" s="21">
        <f t="shared" si="4"/>
        <v>221171.08633928574</v>
      </c>
      <c r="F19" s="21">
        <f t="shared" si="4"/>
        <v>322670.61910714291</v>
      </c>
      <c r="G19" s="21">
        <f t="shared" si="4"/>
        <v>322670.61910714291</v>
      </c>
      <c r="H19" s="21">
        <f t="shared" si="4"/>
        <v>367547.45169642859</v>
      </c>
      <c r="I19" s="21">
        <f t="shared" si="4"/>
        <v>367547.45169642859</v>
      </c>
      <c r="J19" s="21">
        <f t="shared" si="4"/>
        <v>322670.61910714291</v>
      </c>
      <c r="K19" s="21">
        <f t="shared" si="4"/>
        <v>307711.67491071427</v>
      </c>
      <c r="L19" s="21">
        <f t="shared" si="4"/>
        <v>73723.695446428581</v>
      </c>
      <c r="M19" s="21">
        <f t="shared" si="4"/>
        <v>323741.64464285719</v>
      </c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3"/>
    </row>
    <row r="20" spans="1:38">
      <c r="A20" s="92" t="s">
        <v>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6"/>
    </row>
    <row r="21" spans="1:38">
      <c r="A21" s="78" t="str">
        <f>A8</f>
        <v>Rooms</v>
      </c>
      <c r="B21" s="24">
        <f>VLOOKUP($A21,'IP1'!$B$29:$F$32,5,0)
*VLOOKUP($A21,$A$15:$M$18,COLUMN(),0)</f>
        <v>4487.6832589285723</v>
      </c>
      <c r="C21" s="24">
        <f>VLOOKUP($A21,'IP1'!$B$29:$F$32,5,0)
*VLOOKUP($A21,$A$15:$M$18,COLUMN(),0)</f>
        <v>4487.6832589285723</v>
      </c>
      <c r="D21" s="24">
        <f>VLOOKUP($A21,'IP1'!$B$29:$F$32,5,0)
*VLOOKUP($A21,$A$15:$M$18,COLUMN(),0)</f>
        <v>7479.4720982142871</v>
      </c>
      <c r="E21" s="24">
        <f>VLOOKUP($A21,'IP1'!$B$29:$F$32,5,0)
*VLOOKUP($A21,$A$15:$M$18,COLUMN(),0)</f>
        <v>13463.049776785716</v>
      </c>
      <c r="F21" s="24">
        <f>VLOOKUP($A21,'IP1'!$B$29:$F$32,5,0)
*VLOOKUP($A21,$A$15:$M$18,COLUMN(),0)</f>
        <v>14958.944196428574</v>
      </c>
      <c r="G21" s="24">
        <f>VLOOKUP($A21,'IP1'!$B$29:$F$32,5,0)
*VLOOKUP($A21,$A$15:$M$18,COLUMN(),0)</f>
        <v>14958.944196428574</v>
      </c>
      <c r="H21" s="24">
        <f>VLOOKUP($A21,'IP1'!$B$29:$F$32,5,0)
*VLOOKUP($A21,$A$15:$M$18,COLUMN(),0)</f>
        <v>19446.627455357146</v>
      </c>
      <c r="I21" s="24">
        <f>VLOOKUP($A21,'IP1'!$B$29:$F$32,5,0)
*VLOOKUP($A21,$A$15:$M$18,COLUMN(),0)</f>
        <v>19446.627455357146</v>
      </c>
      <c r="J21" s="24">
        <f>VLOOKUP($A21,'IP1'!$B$29:$F$32,5,0)
*VLOOKUP($A21,$A$15:$M$18,COLUMN(),0)</f>
        <v>14958.944196428574</v>
      </c>
      <c r="K21" s="24">
        <f>VLOOKUP($A21,'IP1'!$B$29:$F$32,5,0)
*VLOOKUP($A21,$A$15:$M$18,COLUMN(),0)</f>
        <v>13463.049776785716</v>
      </c>
      <c r="L21" s="24">
        <f>VLOOKUP($A21,'IP1'!$B$29:$F$32,5,0)
*VLOOKUP($A21,$A$15:$M$18,COLUMN(),0)</f>
        <v>4487.6832589285723</v>
      </c>
      <c r="M21" s="24">
        <f>VLOOKUP($A21,'IP1'!$B$29:$F$32,5,0)
*VLOOKUP($A21,$A$15:$M$18,COLUMN(),0)</f>
        <v>17950.733035714289</v>
      </c>
      <c r="N21" s="12"/>
    </row>
    <row r="22" spans="1:38">
      <c r="A22" s="78" t="str">
        <f>A9</f>
        <v>Events</v>
      </c>
      <c r="B22" s="24">
        <f>VLOOKUP($A22,'IP1'!$B$29:$F$32,5,0)
*VLOOKUP($A22,$A$15:$M$18,COLUMN(),0)</f>
        <v>1992.8040000000001</v>
      </c>
      <c r="C22" s="24">
        <f>VLOOKUP($A22,'IP1'!$B$29:$F$32,5,0)
*VLOOKUP($A22,$A$15:$M$18,COLUMN(),0)</f>
        <v>1992.8040000000001</v>
      </c>
      <c r="D22" s="24">
        <f>VLOOKUP($A22,'IP1'!$B$29:$F$32,5,0)
*VLOOKUP($A22,$A$15:$M$18,COLUMN(),0)</f>
        <v>5978.4120000000003</v>
      </c>
      <c r="E22" s="24">
        <f>VLOOKUP($A22,'IP1'!$B$29:$F$32,5,0)
*VLOOKUP($A22,$A$15:$M$18,COLUMN(),0)</f>
        <v>5978.4120000000003</v>
      </c>
      <c r="F22" s="24">
        <f>VLOOKUP($A22,'IP1'!$B$29:$F$32,5,0)
*VLOOKUP($A22,$A$15:$M$18,COLUMN(),0)</f>
        <v>11956.824000000001</v>
      </c>
      <c r="G22" s="24">
        <f>VLOOKUP($A22,'IP1'!$B$29:$F$32,5,0)
*VLOOKUP($A22,$A$15:$M$18,COLUMN(),0)</f>
        <v>11956.824000000001</v>
      </c>
      <c r="H22" s="24">
        <f>VLOOKUP($A22,'IP1'!$B$29:$F$32,5,0)
*VLOOKUP($A22,$A$15:$M$18,COLUMN(),0)</f>
        <v>11956.824000000001</v>
      </c>
      <c r="I22" s="24">
        <f>VLOOKUP($A22,'IP1'!$B$29:$F$32,5,0)
*VLOOKUP($A22,$A$15:$M$18,COLUMN(),0)</f>
        <v>11956.824000000001</v>
      </c>
      <c r="J22" s="24">
        <f>VLOOKUP($A22,'IP1'!$B$29:$F$32,5,0)
*VLOOKUP($A22,$A$15:$M$18,COLUMN(),0)</f>
        <v>11956.824000000001</v>
      </c>
      <c r="K22" s="24">
        <f>VLOOKUP($A22,'IP1'!$B$29:$F$32,5,0)
*VLOOKUP($A22,$A$15:$M$18,COLUMN(),0)</f>
        <v>11956.824000000001</v>
      </c>
      <c r="L22" s="24">
        <f>VLOOKUP($A22,'IP1'!$B$29:$F$32,5,0)
*VLOOKUP($A22,$A$15:$M$18,COLUMN(),0)</f>
        <v>1992.8040000000001</v>
      </c>
      <c r="M22" s="24">
        <f>VLOOKUP($A22,'IP1'!$B$29:$F$32,5,0)
*VLOOKUP($A22,$A$15:$M$18,COLUMN(),0)</f>
        <v>9964.02</v>
      </c>
      <c r="N22" s="12"/>
    </row>
    <row r="23" spans="1:38">
      <c r="A23" s="78" t="str">
        <f>A10</f>
        <v>Bar</v>
      </c>
      <c r="B23" s="24">
        <f>VLOOKUP($A23,'IP1'!$B$29:$F$32,5,0)
*VLOOKUP($A23,$A$15:$M$18,COLUMN(),0)</f>
        <v>7150</v>
      </c>
      <c r="C23" s="24">
        <f>VLOOKUP($A23,'IP1'!$B$29:$F$32,5,0)
*VLOOKUP($A23,$A$15:$M$18,COLUMN(),0)</f>
        <v>7150</v>
      </c>
      <c r="D23" s="24">
        <f>VLOOKUP($A23,'IP1'!$B$29:$F$32,5,0)
*VLOOKUP($A23,$A$15:$M$18,COLUMN(),0)</f>
        <v>21450</v>
      </c>
      <c r="E23" s="24">
        <f>VLOOKUP($A23,'IP1'!$B$29:$F$32,5,0)
*VLOOKUP($A23,$A$15:$M$18,COLUMN(),0)</f>
        <v>21450</v>
      </c>
      <c r="F23" s="24">
        <f>VLOOKUP($A23,'IP1'!$B$29:$F$32,5,0)
*VLOOKUP($A23,$A$15:$M$18,COLUMN(),0)</f>
        <v>42900</v>
      </c>
      <c r="G23" s="24">
        <f>VLOOKUP($A23,'IP1'!$B$29:$F$32,5,0)
*VLOOKUP($A23,$A$15:$M$18,COLUMN(),0)</f>
        <v>42900</v>
      </c>
      <c r="H23" s="24">
        <f>VLOOKUP($A23,'IP1'!$B$29:$F$32,5,0)
*VLOOKUP($A23,$A$15:$M$18,COLUMN(),0)</f>
        <v>42900</v>
      </c>
      <c r="I23" s="24">
        <f>VLOOKUP($A23,'IP1'!$B$29:$F$32,5,0)
*VLOOKUP($A23,$A$15:$M$18,COLUMN(),0)</f>
        <v>42900</v>
      </c>
      <c r="J23" s="24">
        <f>VLOOKUP($A23,'IP1'!$B$29:$F$32,5,0)
*VLOOKUP($A23,$A$15:$M$18,COLUMN(),0)</f>
        <v>42900</v>
      </c>
      <c r="K23" s="24">
        <f>VLOOKUP($A23,'IP1'!$B$29:$F$32,5,0)
*VLOOKUP($A23,$A$15:$M$18,COLUMN(),0)</f>
        <v>42900</v>
      </c>
      <c r="L23" s="24">
        <f>VLOOKUP($A23,'IP1'!$B$29:$F$32,5,0)
*VLOOKUP($A23,$A$15:$M$18,COLUMN(),0)</f>
        <v>7150</v>
      </c>
      <c r="M23" s="24">
        <f>VLOOKUP($A23,'IP1'!$B$29:$F$32,5,0)
*VLOOKUP($A23,$A$15:$M$18,COLUMN(),0)</f>
        <v>35750</v>
      </c>
      <c r="N23" s="12"/>
    </row>
    <row r="24" spans="1:38">
      <c r="A24" s="78" t="str">
        <f>A11</f>
        <v>Restaurant</v>
      </c>
      <c r="B24" s="24">
        <f>VLOOKUP($A24,'IP1'!$B$29:$F$32,5,0)
*VLOOKUP($A24,$A$15:$M$18,COLUMN(),0)</f>
        <v>9000</v>
      </c>
      <c r="C24" s="24">
        <f>VLOOKUP($A24,'IP1'!$B$29:$F$32,5,0)
*VLOOKUP($A24,$A$15:$M$18,COLUMN(),0)</f>
        <v>9000</v>
      </c>
      <c r="D24" s="24">
        <f>VLOOKUP($A24,'IP1'!$B$29:$F$32,5,0)
*VLOOKUP($A24,$A$15:$M$18,COLUMN(),0)</f>
        <v>27000</v>
      </c>
      <c r="E24" s="24">
        <f>VLOOKUP($A24,'IP1'!$B$29:$F$32,5,0)
*VLOOKUP($A24,$A$15:$M$18,COLUMN(),0)</f>
        <v>27000</v>
      </c>
      <c r="F24" s="24">
        <f>VLOOKUP($A24,'IP1'!$B$29:$F$32,5,0)
*VLOOKUP($A24,$A$15:$M$18,COLUMN(),0)</f>
        <v>54000</v>
      </c>
      <c r="G24" s="24">
        <f>VLOOKUP($A24,'IP1'!$B$29:$F$32,5,0)
*VLOOKUP($A24,$A$15:$M$18,COLUMN(),0)</f>
        <v>54000</v>
      </c>
      <c r="H24" s="24">
        <f>VLOOKUP($A24,'IP1'!$B$29:$F$32,5,0)
*VLOOKUP($A24,$A$15:$M$18,COLUMN(),0)</f>
        <v>54000</v>
      </c>
      <c r="I24" s="24">
        <f>VLOOKUP($A24,'IP1'!$B$29:$F$32,5,0)
*VLOOKUP($A24,$A$15:$M$18,COLUMN(),0)</f>
        <v>54000</v>
      </c>
      <c r="J24" s="24">
        <f>VLOOKUP($A24,'IP1'!$B$29:$F$32,5,0)
*VLOOKUP($A24,$A$15:$M$18,COLUMN(),0)</f>
        <v>54000</v>
      </c>
      <c r="K24" s="24">
        <f>VLOOKUP($A24,'IP1'!$B$29:$F$32,5,0)
*VLOOKUP($A24,$A$15:$M$18,COLUMN(),0)</f>
        <v>54000</v>
      </c>
      <c r="L24" s="24">
        <f>VLOOKUP($A24,'IP1'!$B$29:$F$32,5,0)
*VLOOKUP($A24,$A$15:$M$18,COLUMN(),0)</f>
        <v>9000</v>
      </c>
      <c r="M24" s="24">
        <f>VLOOKUP($A24,'IP1'!$B$29:$F$32,5,0)
*VLOOKUP($A24,$A$15:$M$18,COLUMN(),0)</f>
        <v>45000</v>
      </c>
      <c r="N24" s="12"/>
    </row>
    <row r="25" spans="1:38">
      <c r="A25" s="7" t="s">
        <v>115</v>
      </c>
      <c r="B25" s="21">
        <f>SUM(B21:B24)</f>
        <v>22630.487258928573</v>
      </c>
      <c r="C25" s="21">
        <f t="shared" ref="C25:M25" si="5">SUM(C21:C24)</f>
        <v>22630.487258928573</v>
      </c>
      <c r="D25" s="21">
        <f t="shared" si="5"/>
        <v>61907.884098214286</v>
      </c>
      <c r="E25" s="21">
        <f t="shared" si="5"/>
        <v>67891.461776785713</v>
      </c>
      <c r="F25" s="21">
        <f t="shared" si="5"/>
        <v>123815.76819642857</v>
      </c>
      <c r="G25" s="21">
        <f t="shared" si="5"/>
        <v>123815.76819642857</v>
      </c>
      <c r="H25" s="21">
        <f t="shared" si="5"/>
        <v>128303.45145535715</v>
      </c>
      <c r="I25" s="21">
        <f t="shared" si="5"/>
        <v>128303.45145535715</v>
      </c>
      <c r="J25" s="21">
        <f t="shared" si="5"/>
        <v>123815.76819642857</v>
      </c>
      <c r="K25" s="21">
        <f t="shared" si="5"/>
        <v>122319.87377678571</v>
      </c>
      <c r="L25" s="21">
        <f t="shared" si="5"/>
        <v>22630.487258928573</v>
      </c>
      <c r="M25" s="21">
        <f t="shared" si="5"/>
        <v>108664.7530357143</v>
      </c>
      <c r="N25" s="22"/>
    </row>
    <row r="26" spans="1:38">
      <c r="B26" s="1"/>
      <c r="C26" s="1"/>
      <c r="D26" s="1"/>
      <c r="E26" s="1"/>
      <c r="F26" s="1"/>
      <c r="G26" s="1"/>
    </row>
    <row r="27" spans="1:38">
      <c r="B27" s="1"/>
      <c r="C27" s="1"/>
      <c r="D27" s="1"/>
      <c r="E27" s="1"/>
      <c r="F27" s="1"/>
      <c r="G27" s="1"/>
    </row>
    <row r="28" spans="1:38">
      <c r="B28" s="1"/>
      <c r="C28" s="1"/>
      <c r="D28" s="1"/>
      <c r="E28" s="1"/>
      <c r="F28" s="1"/>
      <c r="G28" s="1"/>
    </row>
    <row r="29" spans="1:38">
      <c r="B29" s="1"/>
      <c r="C29" s="1"/>
      <c r="D29" s="1"/>
      <c r="E29" s="1"/>
      <c r="F29" s="1"/>
      <c r="G29" s="1"/>
    </row>
  </sheetData>
  <sheetProtection selectLockedCells="1"/>
  <phoneticPr fontId="2" type="noConversion"/>
  <pageMargins left="0.75" right="0.75" top="1" bottom="1" header="0.5" footer="0.5"/>
  <pageSetup paperSize="9" scale="9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>
    <tabColor rgb="FFFFFF00"/>
    <outlinePr summaryRight="0"/>
  </sheetPr>
  <dimension ref="A1:AB66"/>
  <sheetViews>
    <sheetView zoomScaleNormal="100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B1" sqref="B1"/>
    </sheetView>
  </sheetViews>
  <sheetFormatPr defaultColWidth="9.109375" defaultRowHeight="13.8"/>
  <cols>
    <col min="1" max="1" width="3.109375" style="1" hidden="1" customWidth="1"/>
    <col min="2" max="2" width="12.88671875" style="1" bestFit="1" customWidth="1"/>
    <col min="3" max="3" width="23.33203125" style="1" bestFit="1" customWidth="1"/>
    <col min="4" max="4" width="23.33203125" style="1" customWidth="1"/>
    <col min="5" max="16384" width="9.109375" style="1"/>
  </cols>
  <sheetData>
    <row r="1" spans="1:28">
      <c r="B1" s="119" t="str">
        <f>'IP1'!$B$2</f>
        <v>XYZ Ltd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119" t="str">
        <f>'IP1'!$B$2</f>
        <v>XYZ Ltd</v>
      </c>
      <c r="R1" s="91"/>
      <c r="S1" s="91"/>
      <c r="T1" s="91"/>
      <c r="U1" s="91"/>
      <c r="V1" s="46"/>
      <c r="W1" s="46"/>
      <c r="X1" s="46"/>
      <c r="Y1" s="46"/>
      <c r="Z1" s="46"/>
      <c r="AA1" s="46"/>
      <c r="AB1" s="46"/>
    </row>
    <row r="2" spans="1:28">
      <c r="B2" s="91" t="s">
        <v>260</v>
      </c>
      <c r="C2" s="91"/>
      <c r="D2" s="118">
        <f>DATEVALUE(1&amp;"/"&amp;'IP1'!$B$3&amp;"/"&amp;('IP1'!$B$4+1))-1</f>
        <v>41639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 t="s">
        <v>260</v>
      </c>
      <c r="R2" s="91"/>
      <c r="S2" s="118"/>
      <c r="T2" s="118"/>
      <c r="U2" s="118">
        <f>DATEVALUE(1&amp;"/"&amp;'IP1'!$B$3&amp;"/"&amp;('IP1'!$B$4+2))-1</f>
        <v>42004</v>
      </c>
      <c r="V2" s="46"/>
      <c r="W2" s="46"/>
      <c r="X2" s="46"/>
      <c r="Y2" s="46"/>
      <c r="Z2" s="46"/>
      <c r="AA2" s="46"/>
      <c r="AB2" s="46"/>
    </row>
    <row r="3" spans="1:28">
      <c r="B3" s="123" t="s">
        <v>258</v>
      </c>
      <c r="C3" s="123" t="s">
        <v>182</v>
      </c>
      <c r="D3" s="123" t="s">
        <v>259</v>
      </c>
      <c r="E3" s="46">
        <f>DATEVALUE(1&amp;"/"&amp;'IP1'!$B$3&amp;"/"&amp;'IP1'!$B$4)</f>
        <v>41275</v>
      </c>
      <c r="F3" s="46">
        <f>DATE(YEAR(E3),MONTH(E3)+1,1)</f>
        <v>41306</v>
      </c>
      <c r="G3" s="46">
        <f t="shared" ref="G3:P3" si="0">DATE(YEAR(F3),MONTH(F3)+1,1)</f>
        <v>41334</v>
      </c>
      <c r="H3" s="46">
        <f t="shared" si="0"/>
        <v>41365</v>
      </c>
      <c r="I3" s="46">
        <f t="shared" si="0"/>
        <v>41395</v>
      </c>
      <c r="J3" s="46">
        <f t="shared" si="0"/>
        <v>41426</v>
      </c>
      <c r="K3" s="46">
        <f t="shared" si="0"/>
        <v>41456</v>
      </c>
      <c r="L3" s="46">
        <f t="shared" si="0"/>
        <v>41487</v>
      </c>
      <c r="M3" s="46">
        <f t="shared" si="0"/>
        <v>41518</v>
      </c>
      <c r="N3" s="46">
        <f t="shared" si="0"/>
        <v>41548</v>
      </c>
      <c r="O3" s="46">
        <f t="shared" si="0"/>
        <v>41579</v>
      </c>
      <c r="P3" s="46">
        <f t="shared" si="0"/>
        <v>41609</v>
      </c>
      <c r="Q3" s="46">
        <f t="shared" ref="Q3:AB3" si="1">DATE(YEAR(P3),MONTH(P3)+1,1)</f>
        <v>41640</v>
      </c>
      <c r="R3" s="46">
        <f t="shared" si="1"/>
        <v>41671</v>
      </c>
      <c r="S3" s="46">
        <f t="shared" si="1"/>
        <v>41699</v>
      </c>
      <c r="T3" s="46">
        <f t="shared" si="1"/>
        <v>41730</v>
      </c>
      <c r="U3" s="46">
        <f t="shared" si="1"/>
        <v>41760</v>
      </c>
      <c r="V3" s="46">
        <f t="shared" si="1"/>
        <v>41791</v>
      </c>
      <c r="W3" s="46">
        <f t="shared" si="1"/>
        <v>41821</v>
      </c>
      <c r="X3" s="46">
        <f t="shared" si="1"/>
        <v>41852</v>
      </c>
      <c r="Y3" s="46">
        <f t="shared" si="1"/>
        <v>41883</v>
      </c>
      <c r="Z3" s="46">
        <f t="shared" si="1"/>
        <v>41913</v>
      </c>
      <c r="AA3" s="46">
        <f t="shared" si="1"/>
        <v>41944</v>
      </c>
      <c r="AB3" s="46">
        <f t="shared" si="1"/>
        <v>41974</v>
      </c>
    </row>
    <row r="4" spans="1:28">
      <c r="A4" s="1" t="str">
        <f>B4&amp;C4</f>
        <v>MarketingWages &amp; Salaries</v>
      </c>
      <c r="B4" s="1" t="s">
        <v>10</v>
      </c>
      <c r="C4" s="1" t="s">
        <v>66</v>
      </c>
      <c r="D4" s="11" t="s">
        <v>62</v>
      </c>
      <c r="E4" s="85">
        <f>IF(LEFT($D4,5)="Other",
VLOOKUP($A4,'IP1'!$A$37:$G$89,4,0)*
VLOOKUP(
VLOOKUP($A4,'IP1'!$A$37:$G$89,7,0),Patterns!$A$2:$N$28,COLUMN(E4)-2,0)/
VLOOKUP(
VLOOKUP($A4,'IP1'!$A$37:$G$89,7,0),Patterns!$A$2:$N$28,2,0),
IF(LEFT($D4,7)="Payroll",
SUMPRODUCT(($B4='IP1'!$B$96:$B$114)*('IP1'!$D$96:$D$114))/12,
SUMPRODUCT(($B4='IP1'!$B$96:$B$114)*('IP1'!$D$96:$D$114))/12*
IF(YEAR(E$3)=2013,'IP1'!$F$154,'IP1'!$G$154)
))</f>
        <v>1666.6666666666667</v>
      </c>
      <c r="F4" s="85">
        <f>IF(LEFT($D4,5)="Other",
VLOOKUP($A4,'IP1'!$A$37:$G$89,4,0)*
VLOOKUP(
VLOOKUP($A4,'IP1'!$A$37:$G$89,7,0),Patterns!$A$2:$N$28,COLUMN(F4)-2,0)/
VLOOKUP(
VLOOKUP($A4,'IP1'!$A$37:$G$89,7,0),Patterns!$A$2:$N$28,2,0),
IF(LEFT($D4,7)="Payroll",
SUMPRODUCT(($B4='IP1'!$B$96:$B$114)*('IP1'!$D$96:$D$114))/12,
SUMPRODUCT(($B4='IP1'!$B$96:$B$114)*('IP1'!$D$96:$D$114))/12*
IF(YEAR(F$3)=2013,'IP1'!$F$154,'IP1'!$G$154)
))</f>
        <v>1666.6666666666667</v>
      </c>
      <c r="G4" s="85">
        <f>IF(LEFT($D4,5)="Other",
VLOOKUP($A4,'IP1'!$A$37:$G$89,4,0)*
VLOOKUP(
VLOOKUP($A4,'IP1'!$A$37:$G$89,7,0),Patterns!$A$2:$N$28,COLUMN(G4)-2,0)/
VLOOKUP(
VLOOKUP($A4,'IP1'!$A$37:$G$89,7,0),Patterns!$A$2:$N$28,2,0),
IF(LEFT($D4,7)="Payroll",
SUMPRODUCT(($B4='IP1'!$B$96:$B$114)*('IP1'!$D$96:$D$114))/12,
SUMPRODUCT(($B4='IP1'!$B$96:$B$114)*('IP1'!$D$96:$D$114))/12*
IF(YEAR(G$3)=2013,'IP1'!$F$154,'IP1'!$G$154)
))</f>
        <v>1666.6666666666667</v>
      </c>
      <c r="H4" s="85">
        <f>IF(LEFT($D4,5)="Other",
VLOOKUP($A4,'IP1'!$A$37:$G$89,4,0)*
VLOOKUP(
VLOOKUP($A4,'IP1'!$A$37:$G$89,7,0),Patterns!$A$2:$N$28,COLUMN(H4)-2,0)/
VLOOKUP(
VLOOKUP($A4,'IP1'!$A$37:$G$89,7,0),Patterns!$A$2:$N$28,2,0),
IF(LEFT($D4,7)="Payroll",
SUMPRODUCT(($B4='IP1'!$B$96:$B$114)*('IP1'!$D$96:$D$114))/12,
SUMPRODUCT(($B4='IP1'!$B$96:$B$114)*('IP1'!$D$96:$D$114))/12*
IF(YEAR(H$3)=2013,'IP1'!$F$154,'IP1'!$G$154)
))</f>
        <v>1666.6666666666667</v>
      </c>
      <c r="I4" s="85">
        <f>IF(LEFT($D4,5)="Other",
VLOOKUP($A4,'IP1'!$A$37:$G$89,4,0)*
VLOOKUP(
VLOOKUP($A4,'IP1'!$A$37:$G$89,7,0),Patterns!$A$2:$N$28,COLUMN(I4)-2,0)/
VLOOKUP(
VLOOKUP($A4,'IP1'!$A$37:$G$89,7,0),Patterns!$A$2:$N$28,2,0),
IF(LEFT($D4,7)="Payroll",
SUMPRODUCT(($B4='IP1'!$B$96:$B$114)*('IP1'!$D$96:$D$114))/12,
SUMPRODUCT(($B4='IP1'!$B$96:$B$114)*('IP1'!$D$96:$D$114))/12*
IF(YEAR(I$3)=2013,'IP1'!$F$154,'IP1'!$G$154)
))</f>
        <v>1666.6666666666667</v>
      </c>
      <c r="J4" s="85">
        <f>IF(LEFT($D4,5)="Other",
VLOOKUP($A4,'IP1'!$A$37:$G$89,4,0)*
VLOOKUP(
VLOOKUP($A4,'IP1'!$A$37:$G$89,7,0),Patterns!$A$2:$N$28,COLUMN(J4)-2,0)/
VLOOKUP(
VLOOKUP($A4,'IP1'!$A$37:$G$89,7,0),Patterns!$A$2:$N$28,2,0),
IF(LEFT($D4,7)="Payroll",
SUMPRODUCT(($B4='IP1'!$B$96:$B$114)*('IP1'!$D$96:$D$114))/12,
SUMPRODUCT(($B4='IP1'!$B$96:$B$114)*('IP1'!$D$96:$D$114))/12*
IF(YEAR(J$3)=2013,'IP1'!$F$154,'IP1'!$G$154)
))</f>
        <v>1666.6666666666667</v>
      </c>
      <c r="K4" s="85">
        <f>IF(LEFT($D4,5)="Other",
VLOOKUP($A4,'IP1'!$A$37:$G$89,4,0)*
VLOOKUP(
VLOOKUP($A4,'IP1'!$A$37:$G$89,7,0),Patterns!$A$2:$N$28,COLUMN(K4)-2,0)/
VLOOKUP(
VLOOKUP($A4,'IP1'!$A$37:$G$89,7,0),Patterns!$A$2:$N$28,2,0),
IF(LEFT($D4,7)="Payroll",
SUMPRODUCT(($B4='IP1'!$B$96:$B$114)*('IP1'!$D$96:$D$114))/12,
SUMPRODUCT(($B4='IP1'!$B$96:$B$114)*('IP1'!$D$96:$D$114))/12*
IF(YEAR(K$3)=2013,'IP1'!$F$154,'IP1'!$G$154)
))</f>
        <v>1666.6666666666667</v>
      </c>
      <c r="L4" s="85">
        <f>IF(LEFT($D4,5)="Other",
VLOOKUP($A4,'IP1'!$A$37:$G$89,4,0)*
VLOOKUP(
VLOOKUP($A4,'IP1'!$A$37:$G$89,7,0),Patterns!$A$2:$N$28,COLUMN(L4)-2,0)/
VLOOKUP(
VLOOKUP($A4,'IP1'!$A$37:$G$89,7,0),Patterns!$A$2:$N$28,2,0),
IF(LEFT($D4,7)="Payroll",
SUMPRODUCT(($B4='IP1'!$B$96:$B$114)*('IP1'!$D$96:$D$114))/12,
SUMPRODUCT(($B4='IP1'!$B$96:$B$114)*('IP1'!$D$96:$D$114))/12*
IF(YEAR(L$3)=2013,'IP1'!$F$154,'IP1'!$G$154)
))</f>
        <v>1666.6666666666667</v>
      </c>
      <c r="M4" s="85">
        <f>IF(LEFT($D4,5)="Other",
VLOOKUP($A4,'IP1'!$A$37:$G$89,4,0)*
VLOOKUP(
VLOOKUP($A4,'IP1'!$A$37:$G$89,7,0),Patterns!$A$2:$N$28,COLUMN(M4)-2,0)/
VLOOKUP(
VLOOKUP($A4,'IP1'!$A$37:$G$89,7,0),Patterns!$A$2:$N$28,2,0),
IF(LEFT($D4,7)="Payroll",
SUMPRODUCT(($B4='IP1'!$B$96:$B$114)*('IP1'!$D$96:$D$114))/12,
SUMPRODUCT(($B4='IP1'!$B$96:$B$114)*('IP1'!$D$96:$D$114))/12*
IF(YEAR(M$3)=2013,'IP1'!$F$154,'IP1'!$G$154)
))</f>
        <v>1666.6666666666667</v>
      </c>
      <c r="N4" s="85">
        <f>IF(LEFT($D4,5)="Other",
VLOOKUP($A4,'IP1'!$A$37:$G$89,4,0)*
VLOOKUP(
VLOOKUP($A4,'IP1'!$A$37:$G$89,7,0),Patterns!$A$2:$N$28,COLUMN(N4)-2,0)/
VLOOKUP(
VLOOKUP($A4,'IP1'!$A$37:$G$89,7,0),Patterns!$A$2:$N$28,2,0),
IF(LEFT($D4,7)="Payroll",
SUMPRODUCT(($B4='IP1'!$B$96:$B$114)*('IP1'!$D$96:$D$114))/12,
SUMPRODUCT(($B4='IP1'!$B$96:$B$114)*('IP1'!$D$96:$D$114))/12*
IF(YEAR(N$3)=2013,'IP1'!$F$154,'IP1'!$G$154)
))</f>
        <v>1666.6666666666667</v>
      </c>
      <c r="O4" s="85">
        <f>IF(LEFT($D4,5)="Other",
VLOOKUP($A4,'IP1'!$A$37:$G$89,4,0)*
VLOOKUP(
VLOOKUP($A4,'IP1'!$A$37:$G$89,7,0),Patterns!$A$2:$N$28,COLUMN(O4)-2,0)/
VLOOKUP(
VLOOKUP($A4,'IP1'!$A$37:$G$89,7,0),Patterns!$A$2:$N$28,2,0),
IF(LEFT($D4,7)="Payroll",
SUMPRODUCT(($B4='IP1'!$B$96:$B$114)*('IP1'!$D$96:$D$114))/12,
SUMPRODUCT(($B4='IP1'!$B$96:$B$114)*('IP1'!$D$96:$D$114))/12*
IF(YEAR(O$3)=2013,'IP1'!$F$154,'IP1'!$G$154)
))</f>
        <v>1666.6666666666667</v>
      </c>
      <c r="P4" s="85">
        <f>IF(LEFT($D4,5)="Other",
VLOOKUP($A4,'IP1'!$A$37:$G$89,4,0)*
VLOOKUP(
VLOOKUP($A4,'IP1'!$A$37:$G$89,7,0),Patterns!$A$2:$N$28,COLUMN(P4)-2,0)/
VLOOKUP(
VLOOKUP($A4,'IP1'!$A$37:$G$89,7,0),Patterns!$A$2:$N$28,2,0),
IF(LEFT($D4,7)="Payroll",
SUMPRODUCT(($B4='IP1'!$B$96:$B$114)*('IP1'!$D$96:$D$114))/12,
SUMPRODUCT(($B4='IP1'!$B$96:$B$114)*('IP1'!$D$96:$D$114))/12*
IF(YEAR(P$3)=2013,'IP1'!$F$154,'IP1'!$G$154)
))</f>
        <v>1666.6666666666667</v>
      </c>
      <c r="Q4" s="85">
        <f>IF(LEFT($D4,5)="Other",
VLOOKUP($A4,'IP1'!$A$37:$G$89,5,0)*
VLOOKUP(
VLOOKUP($A4,'IP1'!$A$37:$G$89,7,0),Patterns!$A$2:$N$28,COLUMN(Q4)-14,0)/
VLOOKUP(
VLOOKUP($A4,'IP1'!$A$37:$G$89,7,0),Patterns!$A$2:$N$28,2,0),
IF(LEFT($D4,7)="Payroll",
SUMPRODUCT(($B4='IP1'!$B$96:$B$114)*('IP1'!$E$96:$E$114))/12,
SUMPRODUCT(($B4='IP1'!$B$96:$B$114)*('IP1'!$E$96:$E$114))/12*
IF(YEAR(Q$3)=2013,'IP1'!$F$154,'IP1'!$G$154)
))</f>
        <v>2500</v>
      </c>
      <c r="R4" s="85">
        <f>IF(LEFT($D4,5)="Other",
VLOOKUP($A4,'IP1'!$A$37:$G$89,5,0)*
VLOOKUP(
VLOOKUP($A4,'IP1'!$A$37:$G$89,7,0),Patterns!$A$2:$N$28,COLUMN(R4)-14,0)/
VLOOKUP(
VLOOKUP($A4,'IP1'!$A$37:$G$89,7,0),Patterns!$A$2:$N$28,2,0),
IF(LEFT($D4,7)="Payroll",
SUMPRODUCT(($B4='IP1'!$B$96:$B$114)*('IP1'!$E$96:$E$114))/12,
SUMPRODUCT(($B4='IP1'!$B$96:$B$114)*('IP1'!$E$96:$E$114))/12*
IF(YEAR(R$3)=2013,'IP1'!$F$154,'IP1'!$G$154)
))</f>
        <v>2500</v>
      </c>
      <c r="S4" s="85">
        <f>IF(LEFT($D4,5)="Other",
VLOOKUP($A4,'IP1'!$A$37:$G$89,5,0)*
VLOOKUP(
VLOOKUP($A4,'IP1'!$A$37:$G$89,7,0),Patterns!$A$2:$N$28,COLUMN(S4)-14,0)/
VLOOKUP(
VLOOKUP($A4,'IP1'!$A$37:$G$89,7,0),Patterns!$A$2:$N$28,2,0),
IF(LEFT($D4,7)="Payroll",
SUMPRODUCT(($B4='IP1'!$B$96:$B$114)*('IP1'!$E$96:$E$114))/12,
SUMPRODUCT(($B4='IP1'!$B$96:$B$114)*('IP1'!$E$96:$E$114))/12*
IF(YEAR(S$3)=2013,'IP1'!$F$154,'IP1'!$G$154)
))</f>
        <v>2500</v>
      </c>
      <c r="T4" s="85">
        <f>IF(LEFT($D4,5)="Other",
VLOOKUP($A4,'IP1'!$A$37:$G$89,5,0)*
VLOOKUP(
VLOOKUP($A4,'IP1'!$A$37:$G$89,7,0),Patterns!$A$2:$N$28,COLUMN(T4)-14,0)/
VLOOKUP(
VLOOKUP($A4,'IP1'!$A$37:$G$89,7,0),Patterns!$A$2:$N$28,2,0),
IF(LEFT($D4,7)="Payroll",
SUMPRODUCT(($B4='IP1'!$B$96:$B$114)*('IP1'!$E$96:$E$114))/12,
SUMPRODUCT(($B4='IP1'!$B$96:$B$114)*('IP1'!$E$96:$E$114))/12*
IF(YEAR(T$3)=2013,'IP1'!$F$154,'IP1'!$G$154)
))</f>
        <v>2500</v>
      </c>
      <c r="U4" s="85">
        <f>IF(LEFT($D4,5)="Other",
VLOOKUP($A4,'IP1'!$A$37:$G$89,5,0)*
VLOOKUP(
VLOOKUP($A4,'IP1'!$A$37:$G$89,7,0),Patterns!$A$2:$N$28,COLUMN(U4)-14,0)/
VLOOKUP(
VLOOKUP($A4,'IP1'!$A$37:$G$89,7,0),Patterns!$A$2:$N$28,2,0),
IF(LEFT($D4,7)="Payroll",
SUMPRODUCT(($B4='IP1'!$B$96:$B$114)*('IP1'!$E$96:$E$114))/12,
SUMPRODUCT(($B4='IP1'!$B$96:$B$114)*('IP1'!$E$96:$E$114))/12*
IF(YEAR(U$3)=2013,'IP1'!$F$154,'IP1'!$G$154)
))</f>
        <v>2500</v>
      </c>
      <c r="V4" s="85">
        <f>IF(LEFT($D4,5)="Other",
VLOOKUP($A4,'IP1'!$A$37:$G$89,5,0)*
VLOOKUP(
VLOOKUP($A4,'IP1'!$A$37:$G$89,7,0),Patterns!$A$2:$N$28,COLUMN(V4)-14,0)/
VLOOKUP(
VLOOKUP($A4,'IP1'!$A$37:$G$89,7,0),Patterns!$A$2:$N$28,2,0),
IF(LEFT($D4,7)="Payroll",
SUMPRODUCT(($B4='IP1'!$B$96:$B$114)*('IP1'!$E$96:$E$114))/12,
SUMPRODUCT(($B4='IP1'!$B$96:$B$114)*('IP1'!$E$96:$E$114))/12*
IF(YEAR(V$3)=2013,'IP1'!$F$154,'IP1'!$G$154)
))</f>
        <v>2500</v>
      </c>
      <c r="W4" s="85">
        <f>IF(LEFT($D4,5)="Other",
VLOOKUP($A4,'IP1'!$A$37:$G$89,5,0)*
VLOOKUP(
VLOOKUP($A4,'IP1'!$A$37:$G$89,7,0),Patterns!$A$2:$N$28,COLUMN(W4)-14,0)/
VLOOKUP(
VLOOKUP($A4,'IP1'!$A$37:$G$89,7,0),Patterns!$A$2:$N$28,2,0),
IF(LEFT($D4,7)="Payroll",
SUMPRODUCT(($B4='IP1'!$B$96:$B$114)*('IP1'!$E$96:$E$114))/12,
SUMPRODUCT(($B4='IP1'!$B$96:$B$114)*('IP1'!$E$96:$E$114))/12*
IF(YEAR(W$3)=2013,'IP1'!$F$154,'IP1'!$G$154)
))</f>
        <v>2500</v>
      </c>
      <c r="X4" s="85">
        <f>IF(LEFT($D4,5)="Other",
VLOOKUP($A4,'IP1'!$A$37:$G$89,5,0)*
VLOOKUP(
VLOOKUP($A4,'IP1'!$A$37:$G$89,7,0),Patterns!$A$2:$N$28,COLUMN(X4)-14,0)/
VLOOKUP(
VLOOKUP($A4,'IP1'!$A$37:$G$89,7,0),Patterns!$A$2:$N$28,2,0),
IF(LEFT($D4,7)="Payroll",
SUMPRODUCT(($B4='IP1'!$B$96:$B$114)*('IP1'!$E$96:$E$114))/12,
SUMPRODUCT(($B4='IP1'!$B$96:$B$114)*('IP1'!$E$96:$E$114))/12*
IF(YEAR(X$3)=2013,'IP1'!$F$154,'IP1'!$G$154)
))</f>
        <v>2500</v>
      </c>
      <c r="Y4" s="85">
        <f>IF(LEFT($D4,5)="Other",
VLOOKUP($A4,'IP1'!$A$37:$G$89,5,0)*
VLOOKUP(
VLOOKUP($A4,'IP1'!$A$37:$G$89,7,0),Patterns!$A$2:$N$28,COLUMN(Y4)-14,0)/
VLOOKUP(
VLOOKUP($A4,'IP1'!$A$37:$G$89,7,0),Patterns!$A$2:$N$28,2,0),
IF(LEFT($D4,7)="Payroll",
SUMPRODUCT(($B4='IP1'!$B$96:$B$114)*('IP1'!$E$96:$E$114))/12,
SUMPRODUCT(($B4='IP1'!$B$96:$B$114)*('IP1'!$E$96:$E$114))/12*
IF(YEAR(Y$3)=2013,'IP1'!$F$154,'IP1'!$G$154)
))</f>
        <v>2500</v>
      </c>
      <c r="Z4" s="85">
        <f>IF(LEFT($D4,5)="Other",
VLOOKUP($A4,'IP1'!$A$37:$G$89,5,0)*
VLOOKUP(
VLOOKUP($A4,'IP1'!$A$37:$G$89,7,0),Patterns!$A$2:$N$28,COLUMN(Z4)-14,0)/
VLOOKUP(
VLOOKUP($A4,'IP1'!$A$37:$G$89,7,0),Patterns!$A$2:$N$28,2,0),
IF(LEFT($D4,7)="Payroll",
SUMPRODUCT(($B4='IP1'!$B$96:$B$114)*('IP1'!$E$96:$E$114))/12,
SUMPRODUCT(($B4='IP1'!$B$96:$B$114)*('IP1'!$E$96:$E$114))/12*
IF(YEAR(Z$3)=2013,'IP1'!$F$154,'IP1'!$G$154)
))</f>
        <v>2500</v>
      </c>
      <c r="AA4" s="85">
        <f>IF(LEFT($D4,5)="Other",
VLOOKUP($A4,'IP1'!$A$37:$G$89,5,0)*
VLOOKUP(
VLOOKUP($A4,'IP1'!$A$37:$G$89,7,0),Patterns!$A$2:$N$28,COLUMN(AA4)-14,0)/
VLOOKUP(
VLOOKUP($A4,'IP1'!$A$37:$G$89,7,0),Patterns!$A$2:$N$28,2,0),
IF(LEFT($D4,7)="Payroll",
SUMPRODUCT(($B4='IP1'!$B$96:$B$114)*('IP1'!$E$96:$E$114))/12,
SUMPRODUCT(($B4='IP1'!$B$96:$B$114)*('IP1'!$E$96:$E$114))/12*
IF(YEAR(AA$3)=2013,'IP1'!$F$154,'IP1'!$G$154)
))</f>
        <v>2500</v>
      </c>
      <c r="AB4" s="85">
        <f>IF(LEFT($D4,5)="Other",
VLOOKUP($A4,'IP1'!$A$37:$G$89,5,0)*
VLOOKUP(
VLOOKUP($A4,'IP1'!$A$37:$G$89,7,0),Patterns!$A$2:$N$28,COLUMN(AB4)-14,0)/
VLOOKUP(
VLOOKUP($A4,'IP1'!$A$37:$G$89,7,0),Patterns!$A$2:$N$28,2,0),
IF(LEFT($D4,7)="Payroll",
SUMPRODUCT(($B4='IP1'!$B$96:$B$114)*('IP1'!$E$96:$E$114))/12,
SUMPRODUCT(($B4='IP1'!$B$96:$B$114)*('IP1'!$E$96:$E$114))/12*
IF(YEAR(AB$3)=2013,'IP1'!$F$154,'IP1'!$G$154)
))</f>
        <v>2500</v>
      </c>
    </row>
    <row r="5" spans="1:28">
      <c r="A5" s="1" t="str">
        <f t="shared" ref="A5:A64" si="2">B5&amp;C5</f>
        <v>MarketingPAYE / PRSI</v>
      </c>
      <c r="B5" s="1" t="s">
        <v>10</v>
      </c>
      <c r="C5" s="1" t="s">
        <v>25</v>
      </c>
      <c r="D5" s="11" t="s">
        <v>65</v>
      </c>
      <c r="E5" s="85">
        <f>IF(LEFT($D5,5)="Other",
VLOOKUP($A5,'IP1'!$A$37:$G$89,4,0)*
VLOOKUP(
VLOOKUP($A5,'IP1'!$A$37:$G$89,7,0),Patterns!$A$2:$N$28,COLUMN(E5)-2,0)/
VLOOKUP(
VLOOKUP($A5,'IP1'!$A$37:$G$89,7,0),Patterns!$A$2:$N$28,2,0),
IF(LEFT($D5,7)="Payroll",
SUMPRODUCT(($B5='IP1'!$B$96:$B$114)*('IP1'!$D$96:$D$114))/12,
SUMPRODUCT(($B5='IP1'!$B$96:$B$114)*('IP1'!$D$96:$D$114))/12*
IF(YEAR(E$3)=2013,'IP1'!$F$154,'IP1'!$G$154)
))</f>
        <v>250</v>
      </c>
      <c r="F5" s="85">
        <f>IF(LEFT($D5,5)="Other",
VLOOKUP($A5,'IP1'!$A$37:$G$89,4,0)*
VLOOKUP(
VLOOKUP($A5,'IP1'!$A$37:$G$89,7,0),Patterns!$A$2:$N$28,COLUMN(F5)-2,0)/
VLOOKUP(
VLOOKUP($A5,'IP1'!$A$37:$G$89,7,0),Patterns!$A$2:$N$28,2,0),
IF(LEFT($D5,7)="Payroll",
SUMPRODUCT(($B5='IP1'!$B$96:$B$114)*('IP1'!$D$96:$D$114))/12,
SUMPRODUCT(($B5='IP1'!$B$96:$B$114)*('IP1'!$D$96:$D$114))/12*
IF(YEAR(F$3)=2013,'IP1'!$F$154,'IP1'!$G$154)
))</f>
        <v>250</v>
      </c>
      <c r="G5" s="85">
        <f>IF(LEFT($D5,5)="Other",
VLOOKUP($A5,'IP1'!$A$37:$G$89,4,0)*
VLOOKUP(
VLOOKUP($A5,'IP1'!$A$37:$G$89,7,0),Patterns!$A$2:$N$28,COLUMN(G5)-2,0)/
VLOOKUP(
VLOOKUP($A5,'IP1'!$A$37:$G$89,7,0),Patterns!$A$2:$N$28,2,0),
IF(LEFT($D5,7)="Payroll",
SUMPRODUCT(($B5='IP1'!$B$96:$B$114)*('IP1'!$D$96:$D$114))/12,
SUMPRODUCT(($B5='IP1'!$B$96:$B$114)*('IP1'!$D$96:$D$114))/12*
IF(YEAR(G$3)=2013,'IP1'!$F$154,'IP1'!$G$154)
))</f>
        <v>250</v>
      </c>
      <c r="H5" s="85">
        <f>IF(LEFT($D5,5)="Other",
VLOOKUP($A5,'IP1'!$A$37:$G$89,4,0)*
VLOOKUP(
VLOOKUP($A5,'IP1'!$A$37:$G$89,7,0),Patterns!$A$2:$N$28,COLUMN(H5)-2,0)/
VLOOKUP(
VLOOKUP($A5,'IP1'!$A$37:$G$89,7,0),Patterns!$A$2:$N$28,2,0),
IF(LEFT($D5,7)="Payroll",
SUMPRODUCT(($B5='IP1'!$B$96:$B$114)*('IP1'!$D$96:$D$114))/12,
SUMPRODUCT(($B5='IP1'!$B$96:$B$114)*('IP1'!$D$96:$D$114))/12*
IF(YEAR(H$3)=2013,'IP1'!$F$154,'IP1'!$G$154)
))</f>
        <v>250</v>
      </c>
      <c r="I5" s="85">
        <f>IF(LEFT($D5,5)="Other",
VLOOKUP($A5,'IP1'!$A$37:$G$89,4,0)*
VLOOKUP(
VLOOKUP($A5,'IP1'!$A$37:$G$89,7,0),Patterns!$A$2:$N$28,COLUMN(I5)-2,0)/
VLOOKUP(
VLOOKUP($A5,'IP1'!$A$37:$G$89,7,0),Patterns!$A$2:$N$28,2,0),
IF(LEFT($D5,7)="Payroll",
SUMPRODUCT(($B5='IP1'!$B$96:$B$114)*('IP1'!$D$96:$D$114))/12,
SUMPRODUCT(($B5='IP1'!$B$96:$B$114)*('IP1'!$D$96:$D$114))/12*
IF(YEAR(I$3)=2013,'IP1'!$F$154,'IP1'!$G$154)
))</f>
        <v>250</v>
      </c>
      <c r="J5" s="85">
        <f>IF(LEFT($D5,5)="Other",
VLOOKUP($A5,'IP1'!$A$37:$G$89,4,0)*
VLOOKUP(
VLOOKUP($A5,'IP1'!$A$37:$G$89,7,0),Patterns!$A$2:$N$28,COLUMN(J5)-2,0)/
VLOOKUP(
VLOOKUP($A5,'IP1'!$A$37:$G$89,7,0),Patterns!$A$2:$N$28,2,0),
IF(LEFT($D5,7)="Payroll",
SUMPRODUCT(($B5='IP1'!$B$96:$B$114)*('IP1'!$D$96:$D$114))/12,
SUMPRODUCT(($B5='IP1'!$B$96:$B$114)*('IP1'!$D$96:$D$114))/12*
IF(YEAR(J$3)=2013,'IP1'!$F$154,'IP1'!$G$154)
))</f>
        <v>250</v>
      </c>
      <c r="K5" s="85">
        <f>IF(LEFT($D5,5)="Other",
VLOOKUP($A5,'IP1'!$A$37:$G$89,4,0)*
VLOOKUP(
VLOOKUP($A5,'IP1'!$A$37:$G$89,7,0),Patterns!$A$2:$N$28,COLUMN(K5)-2,0)/
VLOOKUP(
VLOOKUP($A5,'IP1'!$A$37:$G$89,7,0),Patterns!$A$2:$N$28,2,0),
IF(LEFT($D5,7)="Payroll",
SUMPRODUCT(($B5='IP1'!$B$96:$B$114)*('IP1'!$D$96:$D$114))/12,
SUMPRODUCT(($B5='IP1'!$B$96:$B$114)*('IP1'!$D$96:$D$114))/12*
IF(YEAR(K$3)=2013,'IP1'!$F$154,'IP1'!$G$154)
))</f>
        <v>250</v>
      </c>
      <c r="L5" s="85">
        <f>IF(LEFT($D5,5)="Other",
VLOOKUP($A5,'IP1'!$A$37:$G$89,4,0)*
VLOOKUP(
VLOOKUP($A5,'IP1'!$A$37:$G$89,7,0),Patterns!$A$2:$N$28,COLUMN(L5)-2,0)/
VLOOKUP(
VLOOKUP($A5,'IP1'!$A$37:$G$89,7,0),Patterns!$A$2:$N$28,2,0),
IF(LEFT($D5,7)="Payroll",
SUMPRODUCT(($B5='IP1'!$B$96:$B$114)*('IP1'!$D$96:$D$114))/12,
SUMPRODUCT(($B5='IP1'!$B$96:$B$114)*('IP1'!$D$96:$D$114))/12*
IF(YEAR(L$3)=2013,'IP1'!$F$154,'IP1'!$G$154)
))</f>
        <v>250</v>
      </c>
      <c r="M5" s="85">
        <f>IF(LEFT($D5,5)="Other",
VLOOKUP($A5,'IP1'!$A$37:$G$89,4,0)*
VLOOKUP(
VLOOKUP($A5,'IP1'!$A$37:$G$89,7,0),Patterns!$A$2:$N$28,COLUMN(M5)-2,0)/
VLOOKUP(
VLOOKUP($A5,'IP1'!$A$37:$G$89,7,0),Patterns!$A$2:$N$28,2,0),
IF(LEFT($D5,7)="Payroll",
SUMPRODUCT(($B5='IP1'!$B$96:$B$114)*('IP1'!$D$96:$D$114))/12,
SUMPRODUCT(($B5='IP1'!$B$96:$B$114)*('IP1'!$D$96:$D$114))/12*
IF(YEAR(M$3)=2013,'IP1'!$F$154,'IP1'!$G$154)
))</f>
        <v>250</v>
      </c>
      <c r="N5" s="85">
        <f>IF(LEFT($D5,5)="Other",
VLOOKUP($A5,'IP1'!$A$37:$G$89,4,0)*
VLOOKUP(
VLOOKUP($A5,'IP1'!$A$37:$G$89,7,0),Patterns!$A$2:$N$28,COLUMN(N5)-2,0)/
VLOOKUP(
VLOOKUP($A5,'IP1'!$A$37:$G$89,7,0),Patterns!$A$2:$N$28,2,0),
IF(LEFT($D5,7)="Payroll",
SUMPRODUCT(($B5='IP1'!$B$96:$B$114)*('IP1'!$D$96:$D$114))/12,
SUMPRODUCT(($B5='IP1'!$B$96:$B$114)*('IP1'!$D$96:$D$114))/12*
IF(YEAR(N$3)=2013,'IP1'!$F$154,'IP1'!$G$154)
))</f>
        <v>250</v>
      </c>
      <c r="O5" s="85">
        <f>IF(LEFT($D5,5)="Other",
VLOOKUP($A5,'IP1'!$A$37:$G$89,4,0)*
VLOOKUP(
VLOOKUP($A5,'IP1'!$A$37:$G$89,7,0),Patterns!$A$2:$N$28,COLUMN(O5)-2,0)/
VLOOKUP(
VLOOKUP($A5,'IP1'!$A$37:$G$89,7,0),Patterns!$A$2:$N$28,2,0),
IF(LEFT($D5,7)="Payroll",
SUMPRODUCT(($B5='IP1'!$B$96:$B$114)*('IP1'!$D$96:$D$114))/12,
SUMPRODUCT(($B5='IP1'!$B$96:$B$114)*('IP1'!$D$96:$D$114))/12*
IF(YEAR(O$3)=2013,'IP1'!$F$154,'IP1'!$G$154)
))</f>
        <v>250</v>
      </c>
      <c r="P5" s="85">
        <f>IF(LEFT($D5,5)="Other",
VLOOKUP($A5,'IP1'!$A$37:$G$89,4,0)*
VLOOKUP(
VLOOKUP($A5,'IP1'!$A$37:$G$89,7,0),Patterns!$A$2:$N$28,COLUMN(P5)-2,0)/
VLOOKUP(
VLOOKUP($A5,'IP1'!$A$37:$G$89,7,0),Patterns!$A$2:$N$28,2,0),
IF(LEFT($D5,7)="Payroll",
SUMPRODUCT(($B5='IP1'!$B$96:$B$114)*('IP1'!$D$96:$D$114))/12,
SUMPRODUCT(($B5='IP1'!$B$96:$B$114)*('IP1'!$D$96:$D$114))/12*
IF(YEAR(P$3)=2013,'IP1'!$F$154,'IP1'!$G$154)
))</f>
        <v>250</v>
      </c>
      <c r="Q5" s="85">
        <f>IF(LEFT($D5,5)="Other",
VLOOKUP($A5,'IP1'!$A$37:$G$89,5,0)*
VLOOKUP(
VLOOKUP($A5,'IP1'!$A$37:$G$89,7,0),Patterns!$A$2:$N$28,COLUMN(Q5)-14,0)/
VLOOKUP(
VLOOKUP($A5,'IP1'!$A$37:$G$89,7,0),Patterns!$A$2:$N$28,2,0),
IF(LEFT($D5,7)="Payroll",
SUMPRODUCT(($B5='IP1'!$B$96:$B$114)*('IP1'!$E$96:$E$114))/12,
SUMPRODUCT(($B5='IP1'!$B$96:$B$114)*('IP1'!$E$96:$E$114))/12*
IF(YEAR(Q$3)=2013,'IP1'!$F$154,'IP1'!$G$154)
))</f>
        <v>375</v>
      </c>
      <c r="R5" s="85">
        <f>IF(LEFT($D5,5)="Other",
VLOOKUP($A5,'IP1'!$A$37:$G$89,5,0)*
VLOOKUP(
VLOOKUP($A5,'IP1'!$A$37:$G$89,7,0),Patterns!$A$2:$N$28,COLUMN(R5)-14,0)/
VLOOKUP(
VLOOKUP($A5,'IP1'!$A$37:$G$89,7,0),Patterns!$A$2:$N$28,2,0),
IF(LEFT($D5,7)="Payroll",
SUMPRODUCT(($B5='IP1'!$B$96:$B$114)*('IP1'!$E$96:$E$114))/12,
SUMPRODUCT(($B5='IP1'!$B$96:$B$114)*('IP1'!$E$96:$E$114))/12*
IF(YEAR(R$3)=2013,'IP1'!$F$154,'IP1'!$G$154)
))</f>
        <v>375</v>
      </c>
      <c r="S5" s="85">
        <f>IF(LEFT($D5,5)="Other",
VLOOKUP($A5,'IP1'!$A$37:$G$89,5,0)*
VLOOKUP(
VLOOKUP($A5,'IP1'!$A$37:$G$89,7,0),Patterns!$A$2:$N$28,COLUMN(S5)-14,0)/
VLOOKUP(
VLOOKUP($A5,'IP1'!$A$37:$G$89,7,0),Patterns!$A$2:$N$28,2,0),
IF(LEFT($D5,7)="Payroll",
SUMPRODUCT(($B5='IP1'!$B$96:$B$114)*('IP1'!$E$96:$E$114))/12,
SUMPRODUCT(($B5='IP1'!$B$96:$B$114)*('IP1'!$E$96:$E$114))/12*
IF(YEAR(S$3)=2013,'IP1'!$F$154,'IP1'!$G$154)
))</f>
        <v>375</v>
      </c>
      <c r="T5" s="85">
        <f>IF(LEFT($D5,5)="Other",
VLOOKUP($A5,'IP1'!$A$37:$G$89,5,0)*
VLOOKUP(
VLOOKUP($A5,'IP1'!$A$37:$G$89,7,0),Patterns!$A$2:$N$28,COLUMN(T5)-14,0)/
VLOOKUP(
VLOOKUP($A5,'IP1'!$A$37:$G$89,7,0),Patterns!$A$2:$N$28,2,0),
IF(LEFT($D5,7)="Payroll",
SUMPRODUCT(($B5='IP1'!$B$96:$B$114)*('IP1'!$E$96:$E$114))/12,
SUMPRODUCT(($B5='IP1'!$B$96:$B$114)*('IP1'!$E$96:$E$114))/12*
IF(YEAR(T$3)=2013,'IP1'!$F$154,'IP1'!$G$154)
))</f>
        <v>375</v>
      </c>
      <c r="U5" s="85">
        <f>IF(LEFT($D5,5)="Other",
VLOOKUP($A5,'IP1'!$A$37:$G$89,5,0)*
VLOOKUP(
VLOOKUP($A5,'IP1'!$A$37:$G$89,7,0),Patterns!$A$2:$N$28,COLUMN(U5)-14,0)/
VLOOKUP(
VLOOKUP($A5,'IP1'!$A$37:$G$89,7,0),Patterns!$A$2:$N$28,2,0),
IF(LEFT($D5,7)="Payroll",
SUMPRODUCT(($B5='IP1'!$B$96:$B$114)*('IP1'!$E$96:$E$114))/12,
SUMPRODUCT(($B5='IP1'!$B$96:$B$114)*('IP1'!$E$96:$E$114))/12*
IF(YEAR(U$3)=2013,'IP1'!$F$154,'IP1'!$G$154)
))</f>
        <v>375</v>
      </c>
      <c r="V5" s="85">
        <f>IF(LEFT($D5,5)="Other",
VLOOKUP($A5,'IP1'!$A$37:$G$89,5,0)*
VLOOKUP(
VLOOKUP($A5,'IP1'!$A$37:$G$89,7,0),Patterns!$A$2:$N$28,COLUMN(V5)-14,0)/
VLOOKUP(
VLOOKUP($A5,'IP1'!$A$37:$G$89,7,0),Patterns!$A$2:$N$28,2,0),
IF(LEFT($D5,7)="Payroll",
SUMPRODUCT(($B5='IP1'!$B$96:$B$114)*('IP1'!$E$96:$E$114))/12,
SUMPRODUCT(($B5='IP1'!$B$96:$B$114)*('IP1'!$E$96:$E$114))/12*
IF(YEAR(V$3)=2013,'IP1'!$F$154,'IP1'!$G$154)
))</f>
        <v>375</v>
      </c>
      <c r="W5" s="85">
        <f>IF(LEFT($D5,5)="Other",
VLOOKUP($A5,'IP1'!$A$37:$G$89,5,0)*
VLOOKUP(
VLOOKUP($A5,'IP1'!$A$37:$G$89,7,0),Patterns!$A$2:$N$28,COLUMN(W5)-14,0)/
VLOOKUP(
VLOOKUP($A5,'IP1'!$A$37:$G$89,7,0),Patterns!$A$2:$N$28,2,0),
IF(LEFT($D5,7)="Payroll",
SUMPRODUCT(($B5='IP1'!$B$96:$B$114)*('IP1'!$E$96:$E$114))/12,
SUMPRODUCT(($B5='IP1'!$B$96:$B$114)*('IP1'!$E$96:$E$114))/12*
IF(YEAR(W$3)=2013,'IP1'!$F$154,'IP1'!$G$154)
))</f>
        <v>375</v>
      </c>
      <c r="X5" s="85">
        <f>IF(LEFT($D5,5)="Other",
VLOOKUP($A5,'IP1'!$A$37:$G$89,5,0)*
VLOOKUP(
VLOOKUP($A5,'IP1'!$A$37:$G$89,7,0),Patterns!$A$2:$N$28,COLUMN(X5)-14,0)/
VLOOKUP(
VLOOKUP($A5,'IP1'!$A$37:$G$89,7,0),Patterns!$A$2:$N$28,2,0),
IF(LEFT($D5,7)="Payroll",
SUMPRODUCT(($B5='IP1'!$B$96:$B$114)*('IP1'!$E$96:$E$114))/12,
SUMPRODUCT(($B5='IP1'!$B$96:$B$114)*('IP1'!$E$96:$E$114))/12*
IF(YEAR(X$3)=2013,'IP1'!$F$154,'IP1'!$G$154)
))</f>
        <v>375</v>
      </c>
      <c r="Y5" s="85">
        <f>IF(LEFT($D5,5)="Other",
VLOOKUP($A5,'IP1'!$A$37:$G$89,5,0)*
VLOOKUP(
VLOOKUP($A5,'IP1'!$A$37:$G$89,7,0),Patterns!$A$2:$N$28,COLUMN(Y5)-14,0)/
VLOOKUP(
VLOOKUP($A5,'IP1'!$A$37:$G$89,7,0),Patterns!$A$2:$N$28,2,0),
IF(LEFT($D5,7)="Payroll",
SUMPRODUCT(($B5='IP1'!$B$96:$B$114)*('IP1'!$E$96:$E$114))/12,
SUMPRODUCT(($B5='IP1'!$B$96:$B$114)*('IP1'!$E$96:$E$114))/12*
IF(YEAR(Y$3)=2013,'IP1'!$F$154,'IP1'!$G$154)
))</f>
        <v>375</v>
      </c>
      <c r="Z5" s="85">
        <f>IF(LEFT($D5,5)="Other",
VLOOKUP($A5,'IP1'!$A$37:$G$89,5,0)*
VLOOKUP(
VLOOKUP($A5,'IP1'!$A$37:$G$89,7,0),Patterns!$A$2:$N$28,COLUMN(Z5)-14,0)/
VLOOKUP(
VLOOKUP($A5,'IP1'!$A$37:$G$89,7,0),Patterns!$A$2:$N$28,2,0),
IF(LEFT($D5,7)="Payroll",
SUMPRODUCT(($B5='IP1'!$B$96:$B$114)*('IP1'!$E$96:$E$114))/12,
SUMPRODUCT(($B5='IP1'!$B$96:$B$114)*('IP1'!$E$96:$E$114))/12*
IF(YEAR(Z$3)=2013,'IP1'!$F$154,'IP1'!$G$154)
))</f>
        <v>375</v>
      </c>
      <c r="AA5" s="85">
        <f>IF(LEFT($D5,5)="Other",
VLOOKUP($A5,'IP1'!$A$37:$G$89,5,0)*
VLOOKUP(
VLOOKUP($A5,'IP1'!$A$37:$G$89,7,0),Patterns!$A$2:$N$28,COLUMN(AA5)-14,0)/
VLOOKUP(
VLOOKUP($A5,'IP1'!$A$37:$G$89,7,0),Patterns!$A$2:$N$28,2,0),
IF(LEFT($D5,7)="Payroll",
SUMPRODUCT(($B5='IP1'!$B$96:$B$114)*('IP1'!$E$96:$E$114))/12,
SUMPRODUCT(($B5='IP1'!$B$96:$B$114)*('IP1'!$E$96:$E$114))/12*
IF(YEAR(AA$3)=2013,'IP1'!$F$154,'IP1'!$G$154)
))</f>
        <v>375</v>
      </c>
      <c r="AB5" s="85">
        <f>IF(LEFT($D5,5)="Other",
VLOOKUP($A5,'IP1'!$A$37:$G$89,5,0)*
VLOOKUP(
VLOOKUP($A5,'IP1'!$A$37:$G$89,7,0),Patterns!$A$2:$N$28,COLUMN(AB5)-14,0)/
VLOOKUP(
VLOOKUP($A5,'IP1'!$A$37:$G$89,7,0),Patterns!$A$2:$N$28,2,0),
IF(LEFT($D5,7)="Payroll",
SUMPRODUCT(($B5='IP1'!$B$96:$B$114)*('IP1'!$E$96:$E$114))/12,
SUMPRODUCT(($B5='IP1'!$B$96:$B$114)*('IP1'!$E$96:$E$114))/12*
IF(YEAR(AB$3)=2013,'IP1'!$F$154,'IP1'!$G$154)
))</f>
        <v>375</v>
      </c>
    </row>
    <row r="6" spans="1:28">
      <c r="A6" s="1" t="str">
        <f t="shared" si="2"/>
        <v>MarketingAdvertising</v>
      </c>
      <c r="B6" s="1" t="s">
        <v>10</v>
      </c>
      <c r="C6" s="1" t="s">
        <v>440</v>
      </c>
      <c r="D6" s="11" t="s">
        <v>100</v>
      </c>
      <c r="E6" s="85">
        <f>IF(LEFT($D6,5)="Other",
VLOOKUP($A6,'IP1'!$A$37:$G$89,4,0)*
VLOOKUP(
VLOOKUP($A6,'IP1'!$A$37:$G$89,7,0),Patterns!$A$2:$N$28,COLUMN(E6)-2,0)/
VLOOKUP(
VLOOKUP($A6,'IP1'!$A$37:$G$89,7,0),Patterns!$A$2:$N$28,2,0),
IF(LEFT($D6,7)="Payroll",
SUMPRODUCT(($B6='IP1'!$B$96:$B$114)*('IP1'!$D$96:$D$114))/12,
SUMPRODUCT(($B6='IP1'!$B$96:$B$114)*('IP1'!$D$96:$D$114))/12*
IF(YEAR(E$3)=2013,'IP1'!$F$154,'IP1'!$G$154)
))</f>
        <v>1250</v>
      </c>
      <c r="F6" s="85">
        <f>IF(LEFT($D6,5)="Other",
VLOOKUP($A6,'IP1'!$A$37:$G$89,4,0)*
VLOOKUP(
VLOOKUP($A6,'IP1'!$A$37:$G$89,7,0),Patterns!$A$2:$N$28,COLUMN(F6)-2,0)/
VLOOKUP(
VLOOKUP($A6,'IP1'!$A$37:$G$89,7,0),Patterns!$A$2:$N$28,2,0),
IF(LEFT($D6,7)="Payroll",
SUMPRODUCT(($B6='IP1'!$B$96:$B$114)*('IP1'!$D$96:$D$114))/12,
SUMPRODUCT(($B6='IP1'!$B$96:$B$114)*('IP1'!$D$96:$D$114))/12*
IF(YEAR(F$3)=2013,'IP1'!$F$154,'IP1'!$G$154)
))</f>
        <v>0</v>
      </c>
      <c r="G6" s="85">
        <f>IF(LEFT($D6,5)="Other",
VLOOKUP($A6,'IP1'!$A$37:$G$89,4,0)*
VLOOKUP(
VLOOKUP($A6,'IP1'!$A$37:$G$89,7,0),Patterns!$A$2:$N$28,COLUMN(G6)-2,0)/
VLOOKUP(
VLOOKUP($A6,'IP1'!$A$37:$G$89,7,0),Patterns!$A$2:$N$28,2,0),
IF(LEFT($D6,7)="Payroll",
SUMPRODUCT(($B6='IP1'!$B$96:$B$114)*('IP1'!$D$96:$D$114))/12,
SUMPRODUCT(($B6='IP1'!$B$96:$B$114)*('IP1'!$D$96:$D$114))/12*
IF(YEAR(G$3)=2013,'IP1'!$F$154,'IP1'!$G$154)
))</f>
        <v>0</v>
      </c>
      <c r="H6" s="85">
        <f>IF(LEFT($D6,5)="Other",
VLOOKUP($A6,'IP1'!$A$37:$G$89,4,0)*
VLOOKUP(
VLOOKUP($A6,'IP1'!$A$37:$G$89,7,0),Patterns!$A$2:$N$28,COLUMN(H6)-2,0)/
VLOOKUP(
VLOOKUP($A6,'IP1'!$A$37:$G$89,7,0),Patterns!$A$2:$N$28,2,0),
IF(LEFT($D6,7)="Payroll",
SUMPRODUCT(($B6='IP1'!$B$96:$B$114)*('IP1'!$D$96:$D$114))/12,
SUMPRODUCT(($B6='IP1'!$B$96:$B$114)*('IP1'!$D$96:$D$114))/12*
IF(YEAR(H$3)=2013,'IP1'!$F$154,'IP1'!$G$154)
))</f>
        <v>1250</v>
      </c>
      <c r="I6" s="85">
        <f>IF(LEFT($D6,5)="Other",
VLOOKUP($A6,'IP1'!$A$37:$G$89,4,0)*
VLOOKUP(
VLOOKUP($A6,'IP1'!$A$37:$G$89,7,0),Patterns!$A$2:$N$28,COLUMN(I6)-2,0)/
VLOOKUP(
VLOOKUP($A6,'IP1'!$A$37:$G$89,7,0),Patterns!$A$2:$N$28,2,0),
IF(LEFT($D6,7)="Payroll",
SUMPRODUCT(($B6='IP1'!$B$96:$B$114)*('IP1'!$D$96:$D$114))/12,
SUMPRODUCT(($B6='IP1'!$B$96:$B$114)*('IP1'!$D$96:$D$114))/12*
IF(YEAR(I$3)=2013,'IP1'!$F$154,'IP1'!$G$154)
))</f>
        <v>0</v>
      </c>
      <c r="J6" s="85">
        <f>IF(LEFT($D6,5)="Other",
VLOOKUP($A6,'IP1'!$A$37:$G$89,4,0)*
VLOOKUP(
VLOOKUP($A6,'IP1'!$A$37:$G$89,7,0),Patterns!$A$2:$N$28,COLUMN(J6)-2,0)/
VLOOKUP(
VLOOKUP($A6,'IP1'!$A$37:$G$89,7,0),Patterns!$A$2:$N$28,2,0),
IF(LEFT($D6,7)="Payroll",
SUMPRODUCT(($B6='IP1'!$B$96:$B$114)*('IP1'!$D$96:$D$114))/12,
SUMPRODUCT(($B6='IP1'!$B$96:$B$114)*('IP1'!$D$96:$D$114))/12*
IF(YEAR(J$3)=2013,'IP1'!$F$154,'IP1'!$G$154)
))</f>
        <v>0</v>
      </c>
      <c r="K6" s="85">
        <f>IF(LEFT($D6,5)="Other",
VLOOKUP($A6,'IP1'!$A$37:$G$89,4,0)*
VLOOKUP(
VLOOKUP($A6,'IP1'!$A$37:$G$89,7,0),Patterns!$A$2:$N$28,COLUMN(K6)-2,0)/
VLOOKUP(
VLOOKUP($A6,'IP1'!$A$37:$G$89,7,0),Patterns!$A$2:$N$28,2,0),
IF(LEFT($D6,7)="Payroll",
SUMPRODUCT(($B6='IP1'!$B$96:$B$114)*('IP1'!$D$96:$D$114))/12,
SUMPRODUCT(($B6='IP1'!$B$96:$B$114)*('IP1'!$D$96:$D$114))/12*
IF(YEAR(K$3)=2013,'IP1'!$F$154,'IP1'!$G$154)
))</f>
        <v>1250</v>
      </c>
      <c r="L6" s="85">
        <f>IF(LEFT($D6,5)="Other",
VLOOKUP($A6,'IP1'!$A$37:$G$89,4,0)*
VLOOKUP(
VLOOKUP($A6,'IP1'!$A$37:$G$89,7,0),Patterns!$A$2:$N$28,COLUMN(L6)-2,0)/
VLOOKUP(
VLOOKUP($A6,'IP1'!$A$37:$G$89,7,0),Patterns!$A$2:$N$28,2,0),
IF(LEFT($D6,7)="Payroll",
SUMPRODUCT(($B6='IP1'!$B$96:$B$114)*('IP1'!$D$96:$D$114))/12,
SUMPRODUCT(($B6='IP1'!$B$96:$B$114)*('IP1'!$D$96:$D$114))/12*
IF(YEAR(L$3)=2013,'IP1'!$F$154,'IP1'!$G$154)
))</f>
        <v>0</v>
      </c>
      <c r="M6" s="85">
        <f>IF(LEFT($D6,5)="Other",
VLOOKUP($A6,'IP1'!$A$37:$G$89,4,0)*
VLOOKUP(
VLOOKUP($A6,'IP1'!$A$37:$G$89,7,0),Patterns!$A$2:$N$28,COLUMN(M6)-2,0)/
VLOOKUP(
VLOOKUP($A6,'IP1'!$A$37:$G$89,7,0),Patterns!$A$2:$N$28,2,0),
IF(LEFT($D6,7)="Payroll",
SUMPRODUCT(($B6='IP1'!$B$96:$B$114)*('IP1'!$D$96:$D$114))/12,
SUMPRODUCT(($B6='IP1'!$B$96:$B$114)*('IP1'!$D$96:$D$114))/12*
IF(YEAR(M$3)=2013,'IP1'!$F$154,'IP1'!$G$154)
))</f>
        <v>0</v>
      </c>
      <c r="N6" s="85">
        <f>IF(LEFT($D6,5)="Other",
VLOOKUP($A6,'IP1'!$A$37:$G$89,4,0)*
VLOOKUP(
VLOOKUP($A6,'IP1'!$A$37:$G$89,7,0),Patterns!$A$2:$N$28,COLUMN(N6)-2,0)/
VLOOKUP(
VLOOKUP($A6,'IP1'!$A$37:$G$89,7,0),Patterns!$A$2:$N$28,2,0),
IF(LEFT($D6,7)="Payroll",
SUMPRODUCT(($B6='IP1'!$B$96:$B$114)*('IP1'!$D$96:$D$114))/12,
SUMPRODUCT(($B6='IP1'!$B$96:$B$114)*('IP1'!$D$96:$D$114))/12*
IF(YEAR(N$3)=2013,'IP1'!$F$154,'IP1'!$G$154)
))</f>
        <v>1250</v>
      </c>
      <c r="O6" s="85">
        <f>IF(LEFT($D6,5)="Other",
VLOOKUP($A6,'IP1'!$A$37:$G$89,4,0)*
VLOOKUP(
VLOOKUP($A6,'IP1'!$A$37:$G$89,7,0),Patterns!$A$2:$N$28,COLUMN(O6)-2,0)/
VLOOKUP(
VLOOKUP($A6,'IP1'!$A$37:$G$89,7,0),Patterns!$A$2:$N$28,2,0),
IF(LEFT($D6,7)="Payroll",
SUMPRODUCT(($B6='IP1'!$B$96:$B$114)*('IP1'!$D$96:$D$114))/12,
SUMPRODUCT(($B6='IP1'!$B$96:$B$114)*('IP1'!$D$96:$D$114))/12*
IF(YEAR(O$3)=2013,'IP1'!$F$154,'IP1'!$G$154)
))</f>
        <v>0</v>
      </c>
      <c r="P6" s="85">
        <f>IF(LEFT($D6,5)="Other",
VLOOKUP($A6,'IP1'!$A$37:$G$89,4,0)*
VLOOKUP(
VLOOKUP($A6,'IP1'!$A$37:$G$89,7,0),Patterns!$A$2:$N$28,COLUMN(P6)-2,0)/
VLOOKUP(
VLOOKUP($A6,'IP1'!$A$37:$G$89,7,0),Patterns!$A$2:$N$28,2,0),
IF(LEFT($D6,7)="Payroll",
SUMPRODUCT(($B6='IP1'!$B$96:$B$114)*('IP1'!$D$96:$D$114))/12,
SUMPRODUCT(($B6='IP1'!$B$96:$B$114)*('IP1'!$D$96:$D$114))/12*
IF(YEAR(P$3)=2013,'IP1'!$F$154,'IP1'!$G$154)
))</f>
        <v>0</v>
      </c>
      <c r="Q6" s="85">
        <f>IF(LEFT($D6,5)="Other",
VLOOKUP($A6,'IP1'!$A$37:$G$89,5,0)*
VLOOKUP(
VLOOKUP($A6,'IP1'!$A$37:$G$89,7,0),Patterns!$A$2:$N$28,COLUMN(Q6)-14,0)/
VLOOKUP(
VLOOKUP($A6,'IP1'!$A$37:$G$89,7,0),Patterns!$A$2:$N$28,2,0),
IF(LEFT($D6,7)="Payroll",
SUMPRODUCT(($B6='IP1'!$B$96:$B$114)*('IP1'!$E$96:$E$114))/12,
SUMPRODUCT(($B6='IP1'!$B$96:$B$114)*('IP1'!$E$96:$E$114))/12*
IF(YEAR(Q$3)=2013,'IP1'!$F$154,'IP1'!$G$154)
))</f>
        <v>1250</v>
      </c>
      <c r="R6" s="85">
        <f>IF(LEFT($D6,5)="Other",
VLOOKUP($A6,'IP1'!$A$37:$G$89,5,0)*
VLOOKUP(
VLOOKUP($A6,'IP1'!$A$37:$G$89,7,0),Patterns!$A$2:$N$28,COLUMN(R6)-14,0)/
VLOOKUP(
VLOOKUP($A6,'IP1'!$A$37:$G$89,7,0),Patterns!$A$2:$N$28,2,0),
IF(LEFT($D6,7)="Payroll",
SUMPRODUCT(($B6='IP1'!$B$96:$B$114)*('IP1'!$E$96:$E$114))/12,
SUMPRODUCT(($B6='IP1'!$B$96:$B$114)*('IP1'!$E$96:$E$114))/12*
IF(YEAR(R$3)=2013,'IP1'!$F$154,'IP1'!$G$154)
))</f>
        <v>0</v>
      </c>
      <c r="S6" s="85">
        <f>IF(LEFT($D6,5)="Other",
VLOOKUP($A6,'IP1'!$A$37:$G$89,5,0)*
VLOOKUP(
VLOOKUP($A6,'IP1'!$A$37:$G$89,7,0),Patterns!$A$2:$N$28,COLUMN(S6)-14,0)/
VLOOKUP(
VLOOKUP($A6,'IP1'!$A$37:$G$89,7,0),Patterns!$A$2:$N$28,2,0),
IF(LEFT($D6,7)="Payroll",
SUMPRODUCT(($B6='IP1'!$B$96:$B$114)*('IP1'!$E$96:$E$114))/12,
SUMPRODUCT(($B6='IP1'!$B$96:$B$114)*('IP1'!$E$96:$E$114))/12*
IF(YEAR(S$3)=2013,'IP1'!$F$154,'IP1'!$G$154)
))</f>
        <v>0</v>
      </c>
      <c r="T6" s="85">
        <f>IF(LEFT($D6,5)="Other",
VLOOKUP($A6,'IP1'!$A$37:$G$89,5,0)*
VLOOKUP(
VLOOKUP($A6,'IP1'!$A$37:$G$89,7,0),Patterns!$A$2:$N$28,COLUMN(T6)-14,0)/
VLOOKUP(
VLOOKUP($A6,'IP1'!$A$37:$G$89,7,0),Patterns!$A$2:$N$28,2,0),
IF(LEFT($D6,7)="Payroll",
SUMPRODUCT(($B6='IP1'!$B$96:$B$114)*('IP1'!$E$96:$E$114))/12,
SUMPRODUCT(($B6='IP1'!$B$96:$B$114)*('IP1'!$E$96:$E$114))/12*
IF(YEAR(T$3)=2013,'IP1'!$F$154,'IP1'!$G$154)
))</f>
        <v>1250</v>
      </c>
      <c r="U6" s="85">
        <f>IF(LEFT($D6,5)="Other",
VLOOKUP($A6,'IP1'!$A$37:$G$89,5,0)*
VLOOKUP(
VLOOKUP($A6,'IP1'!$A$37:$G$89,7,0),Patterns!$A$2:$N$28,COLUMN(U6)-14,0)/
VLOOKUP(
VLOOKUP($A6,'IP1'!$A$37:$G$89,7,0),Patterns!$A$2:$N$28,2,0),
IF(LEFT($D6,7)="Payroll",
SUMPRODUCT(($B6='IP1'!$B$96:$B$114)*('IP1'!$E$96:$E$114))/12,
SUMPRODUCT(($B6='IP1'!$B$96:$B$114)*('IP1'!$E$96:$E$114))/12*
IF(YEAR(U$3)=2013,'IP1'!$F$154,'IP1'!$G$154)
))</f>
        <v>0</v>
      </c>
      <c r="V6" s="85">
        <f>IF(LEFT($D6,5)="Other",
VLOOKUP($A6,'IP1'!$A$37:$G$89,5,0)*
VLOOKUP(
VLOOKUP($A6,'IP1'!$A$37:$G$89,7,0),Patterns!$A$2:$N$28,COLUMN(V6)-14,0)/
VLOOKUP(
VLOOKUP($A6,'IP1'!$A$37:$G$89,7,0),Patterns!$A$2:$N$28,2,0),
IF(LEFT($D6,7)="Payroll",
SUMPRODUCT(($B6='IP1'!$B$96:$B$114)*('IP1'!$E$96:$E$114))/12,
SUMPRODUCT(($B6='IP1'!$B$96:$B$114)*('IP1'!$E$96:$E$114))/12*
IF(YEAR(V$3)=2013,'IP1'!$F$154,'IP1'!$G$154)
))</f>
        <v>0</v>
      </c>
      <c r="W6" s="85">
        <f>IF(LEFT($D6,5)="Other",
VLOOKUP($A6,'IP1'!$A$37:$G$89,5,0)*
VLOOKUP(
VLOOKUP($A6,'IP1'!$A$37:$G$89,7,0),Patterns!$A$2:$N$28,COLUMN(W6)-14,0)/
VLOOKUP(
VLOOKUP($A6,'IP1'!$A$37:$G$89,7,0),Patterns!$A$2:$N$28,2,0),
IF(LEFT($D6,7)="Payroll",
SUMPRODUCT(($B6='IP1'!$B$96:$B$114)*('IP1'!$E$96:$E$114))/12,
SUMPRODUCT(($B6='IP1'!$B$96:$B$114)*('IP1'!$E$96:$E$114))/12*
IF(YEAR(W$3)=2013,'IP1'!$F$154,'IP1'!$G$154)
))</f>
        <v>1250</v>
      </c>
      <c r="X6" s="85">
        <f>IF(LEFT($D6,5)="Other",
VLOOKUP($A6,'IP1'!$A$37:$G$89,5,0)*
VLOOKUP(
VLOOKUP($A6,'IP1'!$A$37:$G$89,7,0),Patterns!$A$2:$N$28,COLUMN(X6)-14,0)/
VLOOKUP(
VLOOKUP($A6,'IP1'!$A$37:$G$89,7,0),Patterns!$A$2:$N$28,2,0),
IF(LEFT($D6,7)="Payroll",
SUMPRODUCT(($B6='IP1'!$B$96:$B$114)*('IP1'!$E$96:$E$114))/12,
SUMPRODUCT(($B6='IP1'!$B$96:$B$114)*('IP1'!$E$96:$E$114))/12*
IF(YEAR(X$3)=2013,'IP1'!$F$154,'IP1'!$G$154)
))</f>
        <v>0</v>
      </c>
      <c r="Y6" s="85">
        <f>IF(LEFT($D6,5)="Other",
VLOOKUP($A6,'IP1'!$A$37:$G$89,5,0)*
VLOOKUP(
VLOOKUP($A6,'IP1'!$A$37:$G$89,7,0),Patterns!$A$2:$N$28,COLUMN(Y6)-14,0)/
VLOOKUP(
VLOOKUP($A6,'IP1'!$A$37:$G$89,7,0),Patterns!$A$2:$N$28,2,0),
IF(LEFT($D6,7)="Payroll",
SUMPRODUCT(($B6='IP1'!$B$96:$B$114)*('IP1'!$E$96:$E$114))/12,
SUMPRODUCT(($B6='IP1'!$B$96:$B$114)*('IP1'!$E$96:$E$114))/12*
IF(YEAR(Y$3)=2013,'IP1'!$F$154,'IP1'!$G$154)
))</f>
        <v>0</v>
      </c>
      <c r="Z6" s="85">
        <f>IF(LEFT($D6,5)="Other",
VLOOKUP($A6,'IP1'!$A$37:$G$89,5,0)*
VLOOKUP(
VLOOKUP($A6,'IP1'!$A$37:$G$89,7,0),Patterns!$A$2:$N$28,COLUMN(Z6)-14,0)/
VLOOKUP(
VLOOKUP($A6,'IP1'!$A$37:$G$89,7,0),Patterns!$A$2:$N$28,2,0),
IF(LEFT($D6,7)="Payroll",
SUMPRODUCT(($B6='IP1'!$B$96:$B$114)*('IP1'!$E$96:$E$114))/12,
SUMPRODUCT(($B6='IP1'!$B$96:$B$114)*('IP1'!$E$96:$E$114))/12*
IF(YEAR(Z$3)=2013,'IP1'!$F$154,'IP1'!$G$154)
))</f>
        <v>1250</v>
      </c>
      <c r="AA6" s="85">
        <f>IF(LEFT($D6,5)="Other",
VLOOKUP($A6,'IP1'!$A$37:$G$89,5,0)*
VLOOKUP(
VLOOKUP($A6,'IP1'!$A$37:$G$89,7,0),Patterns!$A$2:$N$28,COLUMN(AA6)-14,0)/
VLOOKUP(
VLOOKUP($A6,'IP1'!$A$37:$G$89,7,0),Patterns!$A$2:$N$28,2,0),
IF(LEFT($D6,7)="Payroll",
SUMPRODUCT(($B6='IP1'!$B$96:$B$114)*('IP1'!$E$96:$E$114))/12,
SUMPRODUCT(($B6='IP1'!$B$96:$B$114)*('IP1'!$E$96:$E$114))/12*
IF(YEAR(AA$3)=2013,'IP1'!$F$154,'IP1'!$G$154)
))</f>
        <v>0</v>
      </c>
      <c r="AB6" s="85">
        <f>IF(LEFT($D6,5)="Other",
VLOOKUP($A6,'IP1'!$A$37:$G$89,5,0)*
VLOOKUP(
VLOOKUP($A6,'IP1'!$A$37:$G$89,7,0),Patterns!$A$2:$N$28,COLUMN(AB6)-14,0)/
VLOOKUP(
VLOOKUP($A6,'IP1'!$A$37:$G$89,7,0),Patterns!$A$2:$N$28,2,0),
IF(LEFT($D6,7)="Payroll",
SUMPRODUCT(($B6='IP1'!$B$96:$B$114)*('IP1'!$E$96:$E$114))/12,
SUMPRODUCT(($B6='IP1'!$B$96:$B$114)*('IP1'!$E$96:$E$114))/12*
IF(YEAR(AB$3)=2013,'IP1'!$F$154,'IP1'!$G$154)
))</f>
        <v>0</v>
      </c>
    </row>
    <row r="7" spans="1:28">
      <c r="A7" s="1" t="str">
        <f t="shared" si="2"/>
        <v>MarketingFees / Commissions</v>
      </c>
      <c r="B7" s="1" t="s">
        <v>10</v>
      </c>
      <c r="C7" s="1" t="s">
        <v>441</v>
      </c>
      <c r="D7" s="11" t="s">
        <v>100</v>
      </c>
      <c r="E7" s="85">
        <f>IF(LEFT($D7,5)="Other",
VLOOKUP($A7,'IP1'!$A$37:$G$89,4,0)*
VLOOKUP(
VLOOKUP($A7,'IP1'!$A$37:$G$89,7,0),Patterns!$A$2:$N$28,COLUMN(E7)-2,0)/
VLOOKUP(
VLOOKUP($A7,'IP1'!$A$37:$G$89,7,0),Patterns!$A$2:$N$28,2,0),
IF(LEFT($D7,7)="Payroll",
SUMPRODUCT(($B7='IP1'!$B$96:$B$114)*('IP1'!$D$96:$D$114))/12,
SUMPRODUCT(($B7='IP1'!$B$96:$B$114)*('IP1'!$D$96:$D$114))/12*
IF(YEAR(E$3)=2013,'IP1'!$F$154,'IP1'!$G$154)
))</f>
        <v>1250</v>
      </c>
      <c r="F7" s="85">
        <f>IF(LEFT($D7,5)="Other",
VLOOKUP($A7,'IP1'!$A$37:$G$89,4,0)*
VLOOKUP(
VLOOKUP($A7,'IP1'!$A$37:$G$89,7,0),Patterns!$A$2:$N$28,COLUMN(F7)-2,0)/
VLOOKUP(
VLOOKUP($A7,'IP1'!$A$37:$G$89,7,0),Patterns!$A$2:$N$28,2,0),
IF(LEFT($D7,7)="Payroll",
SUMPRODUCT(($B7='IP1'!$B$96:$B$114)*('IP1'!$D$96:$D$114))/12,
SUMPRODUCT(($B7='IP1'!$B$96:$B$114)*('IP1'!$D$96:$D$114))/12*
IF(YEAR(F$3)=2013,'IP1'!$F$154,'IP1'!$G$154)
))</f>
        <v>0</v>
      </c>
      <c r="G7" s="85">
        <f>IF(LEFT($D7,5)="Other",
VLOOKUP($A7,'IP1'!$A$37:$G$89,4,0)*
VLOOKUP(
VLOOKUP($A7,'IP1'!$A$37:$G$89,7,0),Patterns!$A$2:$N$28,COLUMN(G7)-2,0)/
VLOOKUP(
VLOOKUP($A7,'IP1'!$A$37:$G$89,7,0),Patterns!$A$2:$N$28,2,0),
IF(LEFT($D7,7)="Payroll",
SUMPRODUCT(($B7='IP1'!$B$96:$B$114)*('IP1'!$D$96:$D$114))/12,
SUMPRODUCT(($B7='IP1'!$B$96:$B$114)*('IP1'!$D$96:$D$114))/12*
IF(YEAR(G$3)=2013,'IP1'!$F$154,'IP1'!$G$154)
))</f>
        <v>0</v>
      </c>
      <c r="H7" s="85">
        <f>IF(LEFT($D7,5)="Other",
VLOOKUP($A7,'IP1'!$A$37:$G$89,4,0)*
VLOOKUP(
VLOOKUP($A7,'IP1'!$A$37:$G$89,7,0),Patterns!$A$2:$N$28,COLUMN(H7)-2,0)/
VLOOKUP(
VLOOKUP($A7,'IP1'!$A$37:$G$89,7,0),Patterns!$A$2:$N$28,2,0),
IF(LEFT($D7,7)="Payroll",
SUMPRODUCT(($B7='IP1'!$B$96:$B$114)*('IP1'!$D$96:$D$114))/12,
SUMPRODUCT(($B7='IP1'!$B$96:$B$114)*('IP1'!$D$96:$D$114))/12*
IF(YEAR(H$3)=2013,'IP1'!$F$154,'IP1'!$G$154)
))</f>
        <v>1250</v>
      </c>
      <c r="I7" s="85">
        <f>IF(LEFT($D7,5)="Other",
VLOOKUP($A7,'IP1'!$A$37:$G$89,4,0)*
VLOOKUP(
VLOOKUP($A7,'IP1'!$A$37:$G$89,7,0),Patterns!$A$2:$N$28,COLUMN(I7)-2,0)/
VLOOKUP(
VLOOKUP($A7,'IP1'!$A$37:$G$89,7,0),Patterns!$A$2:$N$28,2,0),
IF(LEFT($D7,7)="Payroll",
SUMPRODUCT(($B7='IP1'!$B$96:$B$114)*('IP1'!$D$96:$D$114))/12,
SUMPRODUCT(($B7='IP1'!$B$96:$B$114)*('IP1'!$D$96:$D$114))/12*
IF(YEAR(I$3)=2013,'IP1'!$F$154,'IP1'!$G$154)
))</f>
        <v>0</v>
      </c>
      <c r="J7" s="85">
        <f>IF(LEFT($D7,5)="Other",
VLOOKUP($A7,'IP1'!$A$37:$G$89,4,0)*
VLOOKUP(
VLOOKUP($A7,'IP1'!$A$37:$G$89,7,0),Patterns!$A$2:$N$28,COLUMN(J7)-2,0)/
VLOOKUP(
VLOOKUP($A7,'IP1'!$A$37:$G$89,7,0),Patterns!$A$2:$N$28,2,0),
IF(LEFT($D7,7)="Payroll",
SUMPRODUCT(($B7='IP1'!$B$96:$B$114)*('IP1'!$D$96:$D$114))/12,
SUMPRODUCT(($B7='IP1'!$B$96:$B$114)*('IP1'!$D$96:$D$114))/12*
IF(YEAR(J$3)=2013,'IP1'!$F$154,'IP1'!$G$154)
))</f>
        <v>0</v>
      </c>
      <c r="K7" s="85">
        <f>IF(LEFT($D7,5)="Other",
VLOOKUP($A7,'IP1'!$A$37:$G$89,4,0)*
VLOOKUP(
VLOOKUP($A7,'IP1'!$A$37:$G$89,7,0),Patterns!$A$2:$N$28,COLUMN(K7)-2,0)/
VLOOKUP(
VLOOKUP($A7,'IP1'!$A$37:$G$89,7,0),Patterns!$A$2:$N$28,2,0),
IF(LEFT($D7,7)="Payroll",
SUMPRODUCT(($B7='IP1'!$B$96:$B$114)*('IP1'!$D$96:$D$114))/12,
SUMPRODUCT(($B7='IP1'!$B$96:$B$114)*('IP1'!$D$96:$D$114))/12*
IF(YEAR(K$3)=2013,'IP1'!$F$154,'IP1'!$G$154)
))</f>
        <v>1250</v>
      </c>
      <c r="L7" s="85">
        <f>IF(LEFT($D7,5)="Other",
VLOOKUP($A7,'IP1'!$A$37:$G$89,4,0)*
VLOOKUP(
VLOOKUP($A7,'IP1'!$A$37:$G$89,7,0),Patterns!$A$2:$N$28,COLUMN(L7)-2,0)/
VLOOKUP(
VLOOKUP($A7,'IP1'!$A$37:$G$89,7,0),Patterns!$A$2:$N$28,2,0),
IF(LEFT($D7,7)="Payroll",
SUMPRODUCT(($B7='IP1'!$B$96:$B$114)*('IP1'!$D$96:$D$114))/12,
SUMPRODUCT(($B7='IP1'!$B$96:$B$114)*('IP1'!$D$96:$D$114))/12*
IF(YEAR(L$3)=2013,'IP1'!$F$154,'IP1'!$G$154)
))</f>
        <v>0</v>
      </c>
      <c r="M7" s="85">
        <f>IF(LEFT($D7,5)="Other",
VLOOKUP($A7,'IP1'!$A$37:$G$89,4,0)*
VLOOKUP(
VLOOKUP($A7,'IP1'!$A$37:$G$89,7,0),Patterns!$A$2:$N$28,COLUMN(M7)-2,0)/
VLOOKUP(
VLOOKUP($A7,'IP1'!$A$37:$G$89,7,0),Patterns!$A$2:$N$28,2,0),
IF(LEFT($D7,7)="Payroll",
SUMPRODUCT(($B7='IP1'!$B$96:$B$114)*('IP1'!$D$96:$D$114))/12,
SUMPRODUCT(($B7='IP1'!$B$96:$B$114)*('IP1'!$D$96:$D$114))/12*
IF(YEAR(M$3)=2013,'IP1'!$F$154,'IP1'!$G$154)
))</f>
        <v>0</v>
      </c>
      <c r="N7" s="85">
        <f>IF(LEFT($D7,5)="Other",
VLOOKUP($A7,'IP1'!$A$37:$G$89,4,0)*
VLOOKUP(
VLOOKUP($A7,'IP1'!$A$37:$G$89,7,0),Patterns!$A$2:$N$28,COLUMN(N7)-2,0)/
VLOOKUP(
VLOOKUP($A7,'IP1'!$A$37:$G$89,7,0),Patterns!$A$2:$N$28,2,0),
IF(LEFT($D7,7)="Payroll",
SUMPRODUCT(($B7='IP1'!$B$96:$B$114)*('IP1'!$D$96:$D$114))/12,
SUMPRODUCT(($B7='IP1'!$B$96:$B$114)*('IP1'!$D$96:$D$114))/12*
IF(YEAR(N$3)=2013,'IP1'!$F$154,'IP1'!$G$154)
))</f>
        <v>1250</v>
      </c>
      <c r="O7" s="85">
        <f>IF(LEFT($D7,5)="Other",
VLOOKUP($A7,'IP1'!$A$37:$G$89,4,0)*
VLOOKUP(
VLOOKUP($A7,'IP1'!$A$37:$G$89,7,0),Patterns!$A$2:$N$28,COLUMN(O7)-2,0)/
VLOOKUP(
VLOOKUP($A7,'IP1'!$A$37:$G$89,7,0),Patterns!$A$2:$N$28,2,0),
IF(LEFT($D7,7)="Payroll",
SUMPRODUCT(($B7='IP1'!$B$96:$B$114)*('IP1'!$D$96:$D$114))/12,
SUMPRODUCT(($B7='IP1'!$B$96:$B$114)*('IP1'!$D$96:$D$114))/12*
IF(YEAR(O$3)=2013,'IP1'!$F$154,'IP1'!$G$154)
))</f>
        <v>0</v>
      </c>
      <c r="P7" s="85">
        <f>IF(LEFT($D7,5)="Other",
VLOOKUP($A7,'IP1'!$A$37:$G$89,4,0)*
VLOOKUP(
VLOOKUP($A7,'IP1'!$A$37:$G$89,7,0),Patterns!$A$2:$N$28,COLUMN(P7)-2,0)/
VLOOKUP(
VLOOKUP($A7,'IP1'!$A$37:$G$89,7,0),Patterns!$A$2:$N$28,2,0),
IF(LEFT($D7,7)="Payroll",
SUMPRODUCT(($B7='IP1'!$B$96:$B$114)*('IP1'!$D$96:$D$114))/12,
SUMPRODUCT(($B7='IP1'!$B$96:$B$114)*('IP1'!$D$96:$D$114))/12*
IF(YEAR(P$3)=2013,'IP1'!$F$154,'IP1'!$G$154)
))</f>
        <v>0</v>
      </c>
      <c r="Q7" s="85">
        <f>IF(LEFT($D7,5)="Other",
VLOOKUP($A7,'IP1'!$A$37:$G$89,5,0)*
VLOOKUP(
VLOOKUP($A7,'IP1'!$A$37:$G$89,7,0),Patterns!$A$2:$N$28,COLUMN(Q7)-14,0)/
VLOOKUP(
VLOOKUP($A7,'IP1'!$A$37:$G$89,7,0),Patterns!$A$2:$N$28,2,0),
IF(LEFT($D7,7)="Payroll",
SUMPRODUCT(($B7='IP1'!$B$96:$B$114)*('IP1'!$E$96:$E$114))/12,
SUMPRODUCT(($B7='IP1'!$B$96:$B$114)*('IP1'!$E$96:$E$114))/12*
IF(YEAR(Q$3)=2013,'IP1'!$F$154,'IP1'!$G$154)
))</f>
        <v>1250</v>
      </c>
      <c r="R7" s="85">
        <f>IF(LEFT($D7,5)="Other",
VLOOKUP($A7,'IP1'!$A$37:$G$89,5,0)*
VLOOKUP(
VLOOKUP($A7,'IP1'!$A$37:$G$89,7,0),Patterns!$A$2:$N$28,COLUMN(R7)-14,0)/
VLOOKUP(
VLOOKUP($A7,'IP1'!$A$37:$G$89,7,0),Patterns!$A$2:$N$28,2,0),
IF(LEFT($D7,7)="Payroll",
SUMPRODUCT(($B7='IP1'!$B$96:$B$114)*('IP1'!$E$96:$E$114))/12,
SUMPRODUCT(($B7='IP1'!$B$96:$B$114)*('IP1'!$E$96:$E$114))/12*
IF(YEAR(R$3)=2013,'IP1'!$F$154,'IP1'!$G$154)
))</f>
        <v>0</v>
      </c>
      <c r="S7" s="85">
        <f>IF(LEFT($D7,5)="Other",
VLOOKUP($A7,'IP1'!$A$37:$G$89,5,0)*
VLOOKUP(
VLOOKUP($A7,'IP1'!$A$37:$G$89,7,0),Patterns!$A$2:$N$28,COLUMN(S7)-14,0)/
VLOOKUP(
VLOOKUP($A7,'IP1'!$A$37:$G$89,7,0),Patterns!$A$2:$N$28,2,0),
IF(LEFT($D7,7)="Payroll",
SUMPRODUCT(($B7='IP1'!$B$96:$B$114)*('IP1'!$E$96:$E$114))/12,
SUMPRODUCT(($B7='IP1'!$B$96:$B$114)*('IP1'!$E$96:$E$114))/12*
IF(YEAR(S$3)=2013,'IP1'!$F$154,'IP1'!$G$154)
))</f>
        <v>0</v>
      </c>
      <c r="T7" s="85">
        <f>IF(LEFT($D7,5)="Other",
VLOOKUP($A7,'IP1'!$A$37:$G$89,5,0)*
VLOOKUP(
VLOOKUP($A7,'IP1'!$A$37:$G$89,7,0),Patterns!$A$2:$N$28,COLUMN(T7)-14,0)/
VLOOKUP(
VLOOKUP($A7,'IP1'!$A$37:$G$89,7,0),Patterns!$A$2:$N$28,2,0),
IF(LEFT($D7,7)="Payroll",
SUMPRODUCT(($B7='IP1'!$B$96:$B$114)*('IP1'!$E$96:$E$114))/12,
SUMPRODUCT(($B7='IP1'!$B$96:$B$114)*('IP1'!$E$96:$E$114))/12*
IF(YEAR(T$3)=2013,'IP1'!$F$154,'IP1'!$G$154)
))</f>
        <v>1250</v>
      </c>
      <c r="U7" s="85">
        <f>IF(LEFT($D7,5)="Other",
VLOOKUP($A7,'IP1'!$A$37:$G$89,5,0)*
VLOOKUP(
VLOOKUP($A7,'IP1'!$A$37:$G$89,7,0),Patterns!$A$2:$N$28,COLUMN(U7)-14,0)/
VLOOKUP(
VLOOKUP($A7,'IP1'!$A$37:$G$89,7,0),Patterns!$A$2:$N$28,2,0),
IF(LEFT($D7,7)="Payroll",
SUMPRODUCT(($B7='IP1'!$B$96:$B$114)*('IP1'!$E$96:$E$114))/12,
SUMPRODUCT(($B7='IP1'!$B$96:$B$114)*('IP1'!$E$96:$E$114))/12*
IF(YEAR(U$3)=2013,'IP1'!$F$154,'IP1'!$G$154)
))</f>
        <v>0</v>
      </c>
      <c r="V7" s="85">
        <f>IF(LEFT($D7,5)="Other",
VLOOKUP($A7,'IP1'!$A$37:$G$89,5,0)*
VLOOKUP(
VLOOKUP($A7,'IP1'!$A$37:$G$89,7,0),Patterns!$A$2:$N$28,COLUMN(V7)-14,0)/
VLOOKUP(
VLOOKUP($A7,'IP1'!$A$37:$G$89,7,0),Patterns!$A$2:$N$28,2,0),
IF(LEFT($D7,7)="Payroll",
SUMPRODUCT(($B7='IP1'!$B$96:$B$114)*('IP1'!$E$96:$E$114))/12,
SUMPRODUCT(($B7='IP1'!$B$96:$B$114)*('IP1'!$E$96:$E$114))/12*
IF(YEAR(V$3)=2013,'IP1'!$F$154,'IP1'!$G$154)
))</f>
        <v>0</v>
      </c>
      <c r="W7" s="85">
        <f>IF(LEFT($D7,5)="Other",
VLOOKUP($A7,'IP1'!$A$37:$G$89,5,0)*
VLOOKUP(
VLOOKUP($A7,'IP1'!$A$37:$G$89,7,0),Patterns!$A$2:$N$28,COLUMN(W7)-14,0)/
VLOOKUP(
VLOOKUP($A7,'IP1'!$A$37:$G$89,7,0),Patterns!$A$2:$N$28,2,0),
IF(LEFT($D7,7)="Payroll",
SUMPRODUCT(($B7='IP1'!$B$96:$B$114)*('IP1'!$E$96:$E$114))/12,
SUMPRODUCT(($B7='IP1'!$B$96:$B$114)*('IP1'!$E$96:$E$114))/12*
IF(YEAR(W$3)=2013,'IP1'!$F$154,'IP1'!$G$154)
))</f>
        <v>1250</v>
      </c>
      <c r="X7" s="85">
        <f>IF(LEFT($D7,5)="Other",
VLOOKUP($A7,'IP1'!$A$37:$G$89,5,0)*
VLOOKUP(
VLOOKUP($A7,'IP1'!$A$37:$G$89,7,0),Patterns!$A$2:$N$28,COLUMN(X7)-14,0)/
VLOOKUP(
VLOOKUP($A7,'IP1'!$A$37:$G$89,7,0),Patterns!$A$2:$N$28,2,0),
IF(LEFT($D7,7)="Payroll",
SUMPRODUCT(($B7='IP1'!$B$96:$B$114)*('IP1'!$E$96:$E$114))/12,
SUMPRODUCT(($B7='IP1'!$B$96:$B$114)*('IP1'!$E$96:$E$114))/12*
IF(YEAR(X$3)=2013,'IP1'!$F$154,'IP1'!$G$154)
))</f>
        <v>0</v>
      </c>
      <c r="Y7" s="85">
        <f>IF(LEFT($D7,5)="Other",
VLOOKUP($A7,'IP1'!$A$37:$G$89,5,0)*
VLOOKUP(
VLOOKUP($A7,'IP1'!$A$37:$G$89,7,0),Patterns!$A$2:$N$28,COLUMN(Y7)-14,0)/
VLOOKUP(
VLOOKUP($A7,'IP1'!$A$37:$G$89,7,0),Patterns!$A$2:$N$28,2,0),
IF(LEFT($D7,7)="Payroll",
SUMPRODUCT(($B7='IP1'!$B$96:$B$114)*('IP1'!$E$96:$E$114))/12,
SUMPRODUCT(($B7='IP1'!$B$96:$B$114)*('IP1'!$E$96:$E$114))/12*
IF(YEAR(Y$3)=2013,'IP1'!$F$154,'IP1'!$G$154)
))</f>
        <v>0</v>
      </c>
      <c r="Z7" s="85">
        <f>IF(LEFT($D7,5)="Other",
VLOOKUP($A7,'IP1'!$A$37:$G$89,5,0)*
VLOOKUP(
VLOOKUP($A7,'IP1'!$A$37:$G$89,7,0),Patterns!$A$2:$N$28,COLUMN(Z7)-14,0)/
VLOOKUP(
VLOOKUP($A7,'IP1'!$A$37:$G$89,7,0),Patterns!$A$2:$N$28,2,0),
IF(LEFT($D7,7)="Payroll",
SUMPRODUCT(($B7='IP1'!$B$96:$B$114)*('IP1'!$E$96:$E$114))/12,
SUMPRODUCT(($B7='IP1'!$B$96:$B$114)*('IP1'!$E$96:$E$114))/12*
IF(YEAR(Z$3)=2013,'IP1'!$F$154,'IP1'!$G$154)
))</f>
        <v>1250</v>
      </c>
      <c r="AA7" s="85">
        <f>IF(LEFT($D7,5)="Other",
VLOOKUP($A7,'IP1'!$A$37:$G$89,5,0)*
VLOOKUP(
VLOOKUP($A7,'IP1'!$A$37:$G$89,7,0),Patterns!$A$2:$N$28,COLUMN(AA7)-14,0)/
VLOOKUP(
VLOOKUP($A7,'IP1'!$A$37:$G$89,7,0),Patterns!$A$2:$N$28,2,0),
IF(LEFT($D7,7)="Payroll",
SUMPRODUCT(($B7='IP1'!$B$96:$B$114)*('IP1'!$E$96:$E$114))/12,
SUMPRODUCT(($B7='IP1'!$B$96:$B$114)*('IP1'!$E$96:$E$114))/12*
IF(YEAR(AA$3)=2013,'IP1'!$F$154,'IP1'!$G$154)
))</f>
        <v>0</v>
      </c>
      <c r="AB7" s="85">
        <f>IF(LEFT($D7,5)="Other",
VLOOKUP($A7,'IP1'!$A$37:$G$89,5,0)*
VLOOKUP(
VLOOKUP($A7,'IP1'!$A$37:$G$89,7,0),Patterns!$A$2:$N$28,COLUMN(AB7)-14,0)/
VLOOKUP(
VLOOKUP($A7,'IP1'!$A$37:$G$89,7,0),Patterns!$A$2:$N$28,2,0),
IF(LEFT($D7,7)="Payroll",
SUMPRODUCT(($B7='IP1'!$B$96:$B$114)*('IP1'!$E$96:$E$114))/12,
SUMPRODUCT(($B7='IP1'!$B$96:$B$114)*('IP1'!$E$96:$E$114))/12*
IF(YEAR(AB$3)=2013,'IP1'!$F$154,'IP1'!$G$154)
))</f>
        <v>0</v>
      </c>
    </row>
    <row r="8" spans="1:28">
      <c r="A8" s="1" t="str">
        <f t="shared" si="2"/>
        <v>MarketingMerchandising</v>
      </c>
      <c r="B8" s="1" t="s">
        <v>10</v>
      </c>
      <c r="C8" s="1" t="s">
        <v>442</v>
      </c>
      <c r="D8" s="11" t="s">
        <v>100</v>
      </c>
      <c r="E8" s="85">
        <f>IF(LEFT($D8,5)="Other",
VLOOKUP($A8,'IP1'!$A$37:$G$89,4,0)*
VLOOKUP(
VLOOKUP($A8,'IP1'!$A$37:$G$89,7,0),Patterns!$A$2:$N$28,COLUMN(E8)-2,0)/
VLOOKUP(
VLOOKUP($A8,'IP1'!$A$37:$G$89,7,0),Patterns!$A$2:$N$28,2,0),
IF(LEFT($D8,7)="Payroll",
SUMPRODUCT(($B8='IP1'!$B$96:$B$114)*('IP1'!$D$96:$D$114))/12,
SUMPRODUCT(($B8='IP1'!$B$96:$B$114)*('IP1'!$D$96:$D$114))/12*
IF(YEAR(E$3)=2013,'IP1'!$F$154,'IP1'!$G$154)
))</f>
        <v>0</v>
      </c>
      <c r="F8" s="85">
        <f>IF(LEFT($D8,5)="Other",
VLOOKUP($A8,'IP1'!$A$37:$G$89,4,0)*
VLOOKUP(
VLOOKUP($A8,'IP1'!$A$37:$G$89,7,0),Patterns!$A$2:$N$28,COLUMN(F8)-2,0)/
VLOOKUP(
VLOOKUP($A8,'IP1'!$A$37:$G$89,7,0),Patterns!$A$2:$N$28,2,0),
IF(LEFT($D8,7)="Payroll",
SUMPRODUCT(($B8='IP1'!$B$96:$B$114)*('IP1'!$D$96:$D$114))/12,
SUMPRODUCT(($B8='IP1'!$B$96:$B$114)*('IP1'!$D$96:$D$114))/12*
IF(YEAR(F$3)=2013,'IP1'!$F$154,'IP1'!$G$154)
))</f>
        <v>0</v>
      </c>
      <c r="G8" s="85">
        <f>IF(LEFT($D8,5)="Other",
VLOOKUP($A8,'IP1'!$A$37:$G$89,4,0)*
VLOOKUP(
VLOOKUP($A8,'IP1'!$A$37:$G$89,7,0),Patterns!$A$2:$N$28,COLUMN(G8)-2,0)/
VLOOKUP(
VLOOKUP($A8,'IP1'!$A$37:$G$89,7,0),Patterns!$A$2:$N$28,2,0),
IF(LEFT($D8,7)="Payroll",
SUMPRODUCT(($B8='IP1'!$B$96:$B$114)*('IP1'!$D$96:$D$114))/12,
SUMPRODUCT(($B8='IP1'!$B$96:$B$114)*('IP1'!$D$96:$D$114))/12*
IF(YEAR(G$3)=2013,'IP1'!$F$154,'IP1'!$G$154)
))</f>
        <v>1250</v>
      </c>
      <c r="H8" s="85">
        <f>IF(LEFT($D8,5)="Other",
VLOOKUP($A8,'IP1'!$A$37:$G$89,4,0)*
VLOOKUP(
VLOOKUP($A8,'IP1'!$A$37:$G$89,7,0),Patterns!$A$2:$N$28,COLUMN(H8)-2,0)/
VLOOKUP(
VLOOKUP($A8,'IP1'!$A$37:$G$89,7,0),Patterns!$A$2:$N$28,2,0),
IF(LEFT($D8,7)="Payroll",
SUMPRODUCT(($B8='IP1'!$B$96:$B$114)*('IP1'!$D$96:$D$114))/12,
SUMPRODUCT(($B8='IP1'!$B$96:$B$114)*('IP1'!$D$96:$D$114))/12*
IF(YEAR(H$3)=2013,'IP1'!$F$154,'IP1'!$G$154)
))</f>
        <v>0</v>
      </c>
      <c r="I8" s="85">
        <f>IF(LEFT($D8,5)="Other",
VLOOKUP($A8,'IP1'!$A$37:$G$89,4,0)*
VLOOKUP(
VLOOKUP($A8,'IP1'!$A$37:$G$89,7,0),Patterns!$A$2:$N$28,COLUMN(I8)-2,0)/
VLOOKUP(
VLOOKUP($A8,'IP1'!$A$37:$G$89,7,0),Patterns!$A$2:$N$28,2,0),
IF(LEFT($D8,7)="Payroll",
SUMPRODUCT(($B8='IP1'!$B$96:$B$114)*('IP1'!$D$96:$D$114))/12,
SUMPRODUCT(($B8='IP1'!$B$96:$B$114)*('IP1'!$D$96:$D$114))/12*
IF(YEAR(I$3)=2013,'IP1'!$F$154,'IP1'!$G$154)
))</f>
        <v>0</v>
      </c>
      <c r="J8" s="85">
        <f>IF(LEFT($D8,5)="Other",
VLOOKUP($A8,'IP1'!$A$37:$G$89,4,0)*
VLOOKUP(
VLOOKUP($A8,'IP1'!$A$37:$G$89,7,0),Patterns!$A$2:$N$28,COLUMN(J8)-2,0)/
VLOOKUP(
VLOOKUP($A8,'IP1'!$A$37:$G$89,7,0),Patterns!$A$2:$N$28,2,0),
IF(LEFT($D8,7)="Payroll",
SUMPRODUCT(($B8='IP1'!$B$96:$B$114)*('IP1'!$D$96:$D$114))/12,
SUMPRODUCT(($B8='IP1'!$B$96:$B$114)*('IP1'!$D$96:$D$114))/12*
IF(YEAR(J$3)=2013,'IP1'!$F$154,'IP1'!$G$154)
))</f>
        <v>1250</v>
      </c>
      <c r="K8" s="85">
        <f>IF(LEFT($D8,5)="Other",
VLOOKUP($A8,'IP1'!$A$37:$G$89,4,0)*
VLOOKUP(
VLOOKUP($A8,'IP1'!$A$37:$G$89,7,0),Patterns!$A$2:$N$28,COLUMN(K8)-2,0)/
VLOOKUP(
VLOOKUP($A8,'IP1'!$A$37:$G$89,7,0),Patterns!$A$2:$N$28,2,0),
IF(LEFT($D8,7)="Payroll",
SUMPRODUCT(($B8='IP1'!$B$96:$B$114)*('IP1'!$D$96:$D$114))/12,
SUMPRODUCT(($B8='IP1'!$B$96:$B$114)*('IP1'!$D$96:$D$114))/12*
IF(YEAR(K$3)=2013,'IP1'!$F$154,'IP1'!$G$154)
))</f>
        <v>0</v>
      </c>
      <c r="L8" s="85">
        <f>IF(LEFT($D8,5)="Other",
VLOOKUP($A8,'IP1'!$A$37:$G$89,4,0)*
VLOOKUP(
VLOOKUP($A8,'IP1'!$A$37:$G$89,7,0),Patterns!$A$2:$N$28,COLUMN(L8)-2,0)/
VLOOKUP(
VLOOKUP($A8,'IP1'!$A$37:$G$89,7,0),Patterns!$A$2:$N$28,2,0),
IF(LEFT($D8,7)="Payroll",
SUMPRODUCT(($B8='IP1'!$B$96:$B$114)*('IP1'!$D$96:$D$114))/12,
SUMPRODUCT(($B8='IP1'!$B$96:$B$114)*('IP1'!$D$96:$D$114))/12*
IF(YEAR(L$3)=2013,'IP1'!$F$154,'IP1'!$G$154)
))</f>
        <v>0</v>
      </c>
      <c r="M8" s="85">
        <f>IF(LEFT($D8,5)="Other",
VLOOKUP($A8,'IP1'!$A$37:$G$89,4,0)*
VLOOKUP(
VLOOKUP($A8,'IP1'!$A$37:$G$89,7,0),Patterns!$A$2:$N$28,COLUMN(M8)-2,0)/
VLOOKUP(
VLOOKUP($A8,'IP1'!$A$37:$G$89,7,0),Patterns!$A$2:$N$28,2,0),
IF(LEFT($D8,7)="Payroll",
SUMPRODUCT(($B8='IP1'!$B$96:$B$114)*('IP1'!$D$96:$D$114))/12,
SUMPRODUCT(($B8='IP1'!$B$96:$B$114)*('IP1'!$D$96:$D$114))/12*
IF(YEAR(M$3)=2013,'IP1'!$F$154,'IP1'!$G$154)
))</f>
        <v>1250</v>
      </c>
      <c r="N8" s="85">
        <f>IF(LEFT($D8,5)="Other",
VLOOKUP($A8,'IP1'!$A$37:$G$89,4,0)*
VLOOKUP(
VLOOKUP($A8,'IP1'!$A$37:$G$89,7,0),Patterns!$A$2:$N$28,COLUMN(N8)-2,0)/
VLOOKUP(
VLOOKUP($A8,'IP1'!$A$37:$G$89,7,0),Patterns!$A$2:$N$28,2,0),
IF(LEFT($D8,7)="Payroll",
SUMPRODUCT(($B8='IP1'!$B$96:$B$114)*('IP1'!$D$96:$D$114))/12,
SUMPRODUCT(($B8='IP1'!$B$96:$B$114)*('IP1'!$D$96:$D$114))/12*
IF(YEAR(N$3)=2013,'IP1'!$F$154,'IP1'!$G$154)
))</f>
        <v>0</v>
      </c>
      <c r="O8" s="85">
        <f>IF(LEFT($D8,5)="Other",
VLOOKUP($A8,'IP1'!$A$37:$G$89,4,0)*
VLOOKUP(
VLOOKUP($A8,'IP1'!$A$37:$G$89,7,0),Patterns!$A$2:$N$28,COLUMN(O8)-2,0)/
VLOOKUP(
VLOOKUP($A8,'IP1'!$A$37:$G$89,7,0),Patterns!$A$2:$N$28,2,0),
IF(LEFT($D8,7)="Payroll",
SUMPRODUCT(($B8='IP1'!$B$96:$B$114)*('IP1'!$D$96:$D$114))/12,
SUMPRODUCT(($B8='IP1'!$B$96:$B$114)*('IP1'!$D$96:$D$114))/12*
IF(YEAR(O$3)=2013,'IP1'!$F$154,'IP1'!$G$154)
))</f>
        <v>0</v>
      </c>
      <c r="P8" s="85">
        <f>IF(LEFT($D8,5)="Other",
VLOOKUP($A8,'IP1'!$A$37:$G$89,4,0)*
VLOOKUP(
VLOOKUP($A8,'IP1'!$A$37:$G$89,7,0),Patterns!$A$2:$N$28,COLUMN(P8)-2,0)/
VLOOKUP(
VLOOKUP($A8,'IP1'!$A$37:$G$89,7,0),Patterns!$A$2:$N$28,2,0),
IF(LEFT($D8,7)="Payroll",
SUMPRODUCT(($B8='IP1'!$B$96:$B$114)*('IP1'!$D$96:$D$114))/12,
SUMPRODUCT(($B8='IP1'!$B$96:$B$114)*('IP1'!$D$96:$D$114))/12*
IF(YEAR(P$3)=2013,'IP1'!$F$154,'IP1'!$G$154)
))</f>
        <v>1250</v>
      </c>
      <c r="Q8" s="85">
        <f>IF(LEFT($D8,5)="Other",
VLOOKUP($A8,'IP1'!$A$37:$G$89,5,0)*
VLOOKUP(
VLOOKUP($A8,'IP1'!$A$37:$G$89,7,0),Patterns!$A$2:$N$28,COLUMN(Q8)-14,0)/
VLOOKUP(
VLOOKUP($A8,'IP1'!$A$37:$G$89,7,0),Patterns!$A$2:$N$28,2,0),
IF(LEFT($D8,7)="Payroll",
SUMPRODUCT(($B8='IP1'!$B$96:$B$114)*('IP1'!$E$96:$E$114))/12,
SUMPRODUCT(($B8='IP1'!$B$96:$B$114)*('IP1'!$E$96:$E$114))/12*
IF(YEAR(Q$3)=2013,'IP1'!$F$154,'IP1'!$G$154)
))</f>
        <v>0</v>
      </c>
      <c r="R8" s="85">
        <f>IF(LEFT($D8,5)="Other",
VLOOKUP($A8,'IP1'!$A$37:$G$89,5,0)*
VLOOKUP(
VLOOKUP($A8,'IP1'!$A$37:$G$89,7,0),Patterns!$A$2:$N$28,COLUMN(R8)-14,0)/
VLOOKUP(
VLOOKUP($A8,'IP1'!$A$37:$G$89,7,0),Patterns!$A$2:$N$28,2,0),
IF(LEFT($D8,7)="Payroll",
SUMPRODUCT(($B8='IP1'!$B$96:$B$114)*('IP1'!$E$96:$E$114))/12,
SUMPRODUCT(($B8='IP1'!$B$96:$B$114)*('IP1'!$E$96:$E$114))/12*
IF(YEAR(R$3)=2013,'IP1'!$F$154,'IP1'!$G$154)
))</f>
        <v>0</v>
      </c>
      <c r="S8" s="85">
        <f>IF(LEFT($D8,5)="Other",
VLOOKUP($A8,'IP1'!$A$37:$G$89,5,0)*
VLOOKUP(
VLOOKUP($A8,'IP1'!$A$37:$G$89,7,0),Patterns!$A$2:$N$28,COLUMN(S8)-14,0)/
VLOOKUP(
VLOOKUP($A8,'IP1'!$A$37:$G$89,7,0),Patterns!$A$2:$N$28,2,0),
IF(LEFT($D8,7)="Payroll",
SUMPRODUCT(($B8='IP1'!$B$96:$B$114)*('IP1'!$E$96:$E$114))/12,
SUMPRODUCT(($B8='IP1'!$B$96:$B$114)*('IP1'!$E$96:$E$114))/12*
IF(YEAR(S$3)=2013,'IP1'!$F$154,'IP1'!$G$154)
))</f>
        <v>1250</v>
      </c>
      <c r="T8" s="85">
        <f>IF(LEFT($D8,5)="Other",
VLOOKUP($A8,'IP1'!$A$37:$G$89,5,0)*
VLOOKUP(
VLOOKUP($A8,'IP1'!$A$37:$G$89,7,0),Patterns!$A$2:$N$28,COLUMN(T8)-14,0)/
VLOOKUP(
VLOOKUP($A8,'IP1'!$A$37:$G$89,7,0),Patterns!$A$2:$N$28,2,0),
IF(LEFT($D8,7)="Payroll",
SUMPRODUCT(($B8='IP1'!$B$96:$B$114)*('IP1'!$E$96:$E$114))/12,
SUMPRODUCT(($B8='IP1'!$B$96:$B$114)*('IP1'!$E$96:$E$114))/12*
IF(YEAR(T$3)=2013,'IP1'!$F$154,'IP1'!$G$154)
))</f>
        <v>0</v>
      </c>
      <c r="U8" s="85">
        <f>IF(LEFT($D8,5)="Other",
VLOOKUP($A8,'IP1'!$A$37:$G$89,5,0)*
VLOOKUP(
VLOOKUP($A8,'IP1'!$A$37:$G$89,7,0),Patterns!$A$2:$N$28,COLUMN(U8)-14,0)/
VLOOKUP(
VLOOKUP($A8,'IP1'!$A$37:$G$89,7,0),Patterns!$A$2:$N$28,2,0),
IF(LEFT($D8,7)="Payroll",
SUMPRODUCT(($B8='IP1'!$B$96:$B$114)*('IP1'!$E$96:$E$114))/12,
SUMPRODUCT(($B8='IP1'!$B$96:$B$114)*('IP1'!$E$96:$E$114))/12*
IF(YEAR(U$3)=2013,'IP1'!$F$154,'IP1'!$G$154)
))</f>
        <v>0</v>
      </c>
      <c r="V8" s="85">
        <f>IF(LEFT($D8,5)="Other",
VLOOKUP($A8,'IP1'!$A$37:$G$89,5,0)*
VLOOKUP(
VLOOKUP($A8,'IP1'!$A$37:$G$89,7,0),Patterns!$A$2:$N$28,COLUMN(V8)-14,0)/
VLOOKUP(
VLOOKUP($A8,'IP1'!$A$37:$G$89,7,0),Patterns!$A$2:$N$28,2,0),
IF(LEFT($D8,7)="Payroll",
SUMPRODUCT(($B8='IP1'!$B$96:$B$114)*('IP1'!$E$96:$E$114))/12,
SUMPRODUCT(($B8='IP1'!$B$96:$B$114)*('IP1'!$E$96:$E$114))/12*
IF(YEAR(V$3)=2013,'IP1'!$F$154,'IP1'!$G$154)
))</f>
        <v>1250</v>
      </c>
      <c r="W8" s="85">
        <f>IF(LEFT($D8,5)="Other",
VLOOKUP($A8,'IP1'!$A$37:$G$89,5,0)*
VLOOKUP(
VLOOKUP($A8,'IP1'!$A$37:$G$89,7,0),Patterns!$A$2:$N$28,COLUMN(W8)-14,0)/
VLOOKUP(
VLOOKUP($A8,'IP1'!$A$37:$G$89,7,0),Patterns!$A$2:$N$28,2,0),
IF(LEFT($D8,7)="Payroll",
SUMPRODUCT(($B8='IP1'!$B$96:$B$114)*('IP1'!$E$96:$E$114))/12,
SUMPRODUCT(($B8='IP1'!$B$96:$B$114)*('IP1'!$E$96:$E$114))/12*
IF(YEAR(W$3)=2013,'IP1'!$F$154,'IP1'!$G$154)
))</f>
        <v>0</v>
      </c>
      <c r="X8" s="85">
        <f>IF(LEFT($D8,5)="Other",
VLOOKUP($A8,'IP1'!$A$37:$G$89,5,0)*
VLOOKUP(
VLOOKUP($A8,'IP1'!$A$37:$G$89,7,0),Patterns!$A$2:$N$28,COLUMN(X8)-14,0)/
VLOOKUP(
VLOOKUP($A8,'IP1'!$A$37:$G$89,7,0),Patterns!$A$2:$N$28,2,0),
IF(LEFT($D8,7)="Payroll",
SUMPRODUCT(($B8='IP1'!$B$96:$B$114)*('IP1'!$E$96:$E$114))/12,
SUMPRODUCT(($B8='IP1'!$B$96:$B$114)*('IP1'!$E$96:$E$114))/12*
IF(YEAR(X$3)=2013,'IP1'!$F$154,'IP1'!$G$154)
))</f>
        <v>0</v>
      </c>
      <c r="Y8" s="85">
        <f>IF(LEFT($D8,5)="Other",
VLOOKUP($A8,'IP1'!$A$37:$G$89,5,0)*
VLOOKUP(
VLOOKUP($A8,'IP1'!$A$37:$G$89,7,0),Patterns!$A$2:$N$28,COLUMN(Y8)-14,0)/
VLOOKUP(
VLOOKUP($A8,'IP1'!$A$37:$G$89,7,0),Patterns!$A$2:$N$28,2,0),
IF(LEFT($D8,7)="Payroll",
SUMPRODUCT(($B8='IP1'!$B$96:$B$114)*('IP1'!$E$96:$E$114))/12,
SUMPRODUCT(($B8='IP1'!$B$96:$B$114)*('IP1'!$E$96:$E$114))/12*
IF(YEAR(Y$3)=2013,'IP1'!$F$154,'IP1'!$G$154)
))</f>
        <v>1250</v>
      </c>
      <c r="Z8" s="85">
        <f>IF(LEFT($D8,5)="Other",
VLOOKUP($A8,'IP1'!$A$37:$G$89,5,0)*
VLOOKUP(
VLOOKUP($A8,'IP1'!$A$37:$G$89,7,0),Patterns!$A$2:$N$28,COLUMN(Z8)-14,0)/
VLOOKUP(
VLOOKUP($A8,'IP1'!$A$37:$G$89,7,0),Patterns!$A$2:$N$28,2,0),
IF(LEFT($D8,7)="Payroll",
SUMPRODUCT(($B8='IP1'!$B$96:$B$114)*('IP1'!$E$96:$E$114))/12,
SUMPRODUCT(($B8='IP1'!$B$96:$B$114)*('IP1'!$E$96:$E$114))/12*
IF(YEAR(Z$3)=2013,'IP1'!$F$154,'IP1'!$G$154)
))</f>
        <v>0</v>
      </c>
      <c r="AA8" s="85">
        <f>IF(LEFT($D8,5)="Other",
VLOOKUP($A8,'IP1'!$A$37:$G$89,5,0)*
VLOOKUP(
VLOOKUP($A8,'IP1'!$A$37:$G$89,7,0),Patterns!$A$2:$N$28,COLUMN(AA8)-14,0)/
VLOOKUP(
VLOOKUP($A8,'IP1'!$A$37:$G$89,7,0),Patterns!$A$2:$N$28,2,0),
IF(LEFT($D8,7)="Payroll",
SUMPRODUCT(($B8='IP1'!$B$96:$B$114)*('IP1'!$E$96:$E$114))/12,
SUMPRODUCT(($B8='IP1'!$B$96:$B$114)*('IP1'!$E$96:$E$114))/12*
IF(YEAR(AA$3)=2013,'IP1'!$F$154,'IP1'!$G$154)
))</f>
        <v>0</v>
      </c>
      <c r="AB8" s="85">
        <f>IF(LEFT($D8,5)="Other",
VLOOKUP($A8,'IP1'!$A$37:$G$89,5,0)*
VLOOKUP(
VLOOKUP($A8,'IP1'!$A$37:$G$89,7,0),Patterns!$A$2:$N$28,COLUMN(AB8)-14,0)/
VLOOKUP(
VLOOKUP($A8,'IP1'!$A$37:$G$89,7,0),Patterns!$A$2:$N$28,2,0),
IF(LEFT($D8,7)="Payroll",
SUMPRODUCT(($B8='IP1'!$B$96:$B$114)*('IP1'!$E$96:$E$114))/12,
SUMPRODUCT(($B8='IP1'!$B$96:$B$114)*('IP1'!$E$96:$E$114))/12*
IF(YEAR(AB$3)=2013,'IP1'!$F$154,'IP1'!$G$154)
))</f>
        <v>1250</v>
      </c>
    </row>
    <row r="9" spans="1:28">
      <c r="A9" s="1" t="str">
        <f t="shared" si="2"/>
        <v>MarketingSales</v>
      </c>
      <c r="B9" s="1" t="s">
        <v>10</v>
      </c>
      <c r="C9" s="1" t="s">
        <v>29</v>
      </c>
      <c r="D9" s="11" t="s">
        <v>100</v>
      </c>
      <c r="E9" s="85">
        <f>IF(LEFT($D9,5)="Other",
VLOOKUP($A9,'IP1'!$A$37:$G$89,4,0)*
VLOOKUP(
VLOOKUP($A9,'IP1'!$A$37:$G$89,7,0),Patterns!$A$2:$N$28,COLUMN(E9)-2,0)/
VLOOKUP(
VLOOKUP($A9,'IP1'!$A$37:$G$89,7,0),Patterns!$A$2:$N$28,2,0),
IF(LEFT($D9,7)="Payroll",
SUMPRODUCT(($B9='IP1'!$B$96:$B$114)*('IP1'!$D$96:$D$114))/12,
SUMPRODUCT(($B9='IP1'!$B$96:$B$114)*('IP1'!$D$96:$D$114))/12*
IF(YEAR(E$3)=2013,'IP1'!$F$154,'IP1'!$G$154)
))</f>
        <v>1250</v>
      </c>
      <c r="F9" s="85">
        <f>IF(LEFT($D9,5)="Other",
VLOOKUP($A9,'IP1'!$A$37:$G$89,4,0)*
VLOOKUP(
VLOOKUP($A9,'IP1'!$A$37:$G$89,7,0),Patterns!$A$2:$N$28,COLUMN(F9)-2,0)/
VLOOKUP(
VLOOKUP($A9,'IP1'!$A$37:$G$89,7,0),Patterns!$A$2:$N$28,2,0),
IF(LEFT($D9,7)="Payroll",
SUMPRODUCT(($B9='IP1'!$B$96:$B$114)*('IP1'!$D$96:$D$114))/12,
SUMPRODUCT(($B9='IP1'!$B$96:$B$114)*('IP1'!$D$96:$D$114))/12*
IF(YEAR(F$3)=2013,'IP1'!$F$154,'IP1'!$G$154)
))</f>
        <v>0</v>
      </c>
      <c r="G9" s="85">
        <f>IF(LEFT($D9,5)="Other",
VLOOKUP($A9,'IP1'!$A$37:$G$89,4,0)*
VLOOKUP(
VLOOKUP($A9,'IP1'!$A$37:$G$89,7,0),Patterns!$A$2:$N$28,COLUMN(G9)-2,0)/
VLOOKUP(
VLOOKUP($A9,'IP1'!$A$37:$G$89,7,0),Patterns!$A$2:$N$28,2,0),
IF(LEFT($D9,7)="Payroll",
SUMPRODUCT(($B9='IP1'!$B$96:$B$114)*('IP1'!$D$96:$D$114))/12,
SUMPRODUCT(($B9='IP1'!$B$96:$B$114)*('IP1'!$D$96:$D$114))/12*
IF(YEAR(G$3)=2013,'IP1'!$F$154,'IP1'!$G$154)
))</f>
        <v>0</v>
      </c>
      <c r="H9" s="85">
        <f>IF(LEFT($D9,5)="Other",
VLOOKUP($A9,'IP1'!$A$37:$G$89,4,0)*
VLOOKUP(
VLOOKUP($A9,'IP1'!$A$37:$G$89,7,0),Patterns!$A$2:$N$28,COLUMN(H9)-2,0)/
VLOOKUP(
VLOOKUP($A9,'IP1'!$A$37:$G$89,7,0),Patterns!$A$2:$N$28,2,0),
IF(LEFT($D9,7)="Payroll",
SUMPRODUCT(($B9='IP1'!$B$96:$B$114)*('IP1'!$D$96:$D$114))/12,
SUMPRODUCT(($B9='IP1'!$B$96:$B$114)*('IP1'!$D$96:$D$114))/12*
IF(YEAR(H$3)=2013,'IP1'!$F$154,'IP1'!$G$154)
))</f>
        <v>1250</v>
      </c>
      <c r="I9" s="85">
        <f>IF(LEFT($D9,5)="Other",
VLOOKUP($A9,'IP1'!$A$37:$G$89,4,0)*
VLOOKUP(
VLOOKUP($A9,'IP1'!$A$37:$G$89,7,0),Patterns!$A$2:$N$28,COLUMN(I9)-2,0)/
VLOOKUP(
VLOOKUP($A9,'IP1'!$A$37:$G$89,7,0),Patterns!$A$2:$N$28,2,0),
IF(LEFT($D9,7)="Payroll",
SUMPRODUCT(($B9='IP1'!$B$96:$B$114)*('IP1'!$D$96:$D$114))/12,
SUMPRODUCT(($B9='IP1'!$B$96:$B$114)*('IP1'!$D$96:$D$114))/12*
IF(YEAR(I$3)=2013,'IP1'!$F$154,'IP1'!$G$154)
))</f>
        <v>0</v>
      </c>
      <c r="J9" s="85">
        <f>IF(LEFT($D9,5)="Other",
VLOOKUP($A9,'IP1'!$A$37:$G$89,4,0)*
VLOOKUP(
VLOOKUP($A9,'IP1'!$A$37:$G$89,7,0),Patterns!$A$2:$N$28,COLUMN(J9)-2,0)/
VLOOKUP(
VLOOKUP($A9,'IP1'!$A$37:$G$89,7,0),Patterns!$A$2:$N$28,2,0),
IF(LEFT($D9,7)="Payroll",
SUMPRODUCT(($B9='IP1'!$B$96:$B$114)*('IP1'!$D$96:$D$114))/12,
SUMPRODUCT(($B9='IP1'!$B$96:$B$114)*('IP1'!$D$96:$D$114))/12*
IF(YEAR(J$3)=2013,'IP1'!$F$154,'IP1'!$G$154)
))</f>
        <v>0</v>
      </c>
      <c r="K9" s="85">
        <f>IF(LEFT($D9,5)="Other",
VLOOKUP($A9,'IP1'!$A$37:$G$89,4,0)*
VLOOKUP(
VLOOKUP($A9,'IP1'!$A$37:$G$89,7,0),Patterns!$A$2:$N$28,COLUMN(K9)-2,0)/
VLOOKUP(
VLOOKUP($A9,'IP1'!$A$37:$G$89,7,0),Patterns!$A$2:$N$28,2,0),
IF(LEFT($D9,7)="Payroll",
SUMPRODUCT(($B9='IP1'!$B$96:$B$114)*('IP1'!$D$96:$D$114))/12,
SUMPRODUCT(($B9='IP1'!$B$96:$B$114)*('IP1'!$D$96:$D$114))/12*
IF(YEAR(K$3)=2013,'IP1'!$F$154,'IP1'!$G$154)
))</f>
        <v>1250</v>
      </c>
      <c r="L9" s="85">
        <f>IF(LEFT($D9,5)="Other",
VLOOKUP($A9,'IP1'!$A$37:$G$89,4,0)*
VLOOKUP(
VLOOKUP($A9,'IP1'!$A$37:$G$89,7,0),Patterns!$A$2:$N$28,COLUMN(L9)-2,0)/
VLOOKUP(
VLOOKUP($A9,'IP1'!$A$37:$G$89,7,0),Patterns!$A$2:$N$28,2,0),
IF(LEFT($D9,7)="Payroll",
SUMPRODUCT(($B9='IP1'!$B$96:$B$114)*('IP1'!$D$96:$D$114))/12,
SUMPRODUCT(($B9='IP1'!$B$96:$B$114)*('IP1'!$D$96:$D$114))/12*
IF(YEAR(L$3)=2013,'IP1'!$F$154,'IP1'!$G$154)
))</f>
        <v>0</v>
      </c>
      <c r="M9" s="85">
        <f>IF(LEFT($D9,5)="Other",
VLOOKUP($A9,'IP1'!$A$37:$G$89,4,0)*
VLOOKUP(
VLOOKUP($A9,'IP1'!$A$37:$G$89,7,0),Patterns!$A$2:$N$28,COLUMN(M9)-2,0)/
VLOOKUP(
VLOOKUP($A9,'IP1'!$A$37:$G$89,7,0),Patterns!$A$2:$N$28,2,0),
IF(LEFT($D9,7)="Payroll",
SUMPRODUCT(($B9='IP1'!$B$96:$B$114)*('IP1'!$D$96:$D$114))/12,
SUMPRODUCT(($B9='IP1'!$B$96:$B$114)*('IP1'!$D$96:$D$114))/12*
IF(YEAR(M$3)=2013,'IP1'!$F$154,'IP1'!$G$154)
))</f>
        <v>0</v>
      </c>
      <c r="N9" s="85">
        <f>IF(LEFT($D9,5)="Other",
VLOOKUP($A9,'IP1'!$A$37:$G$89,4,0)*
VLOOKUP(
VLOOKUP($A9,'IP1'!$A$37:$G$89,7,0),Patterns!$A$2:$N$28,COLUMN(N9)-2,0)/
VLOOKUP(
VLOOKUP($A9,'IP1'!$A$37:$G$89,7,0),Patterns!$A$2:$N$28,2,0),
IF(LEFT($D9,7)="Payroll",
SUMPRODUCT(($B9='IP1'!$B$96:$B$114)*('IP1'!$D$96:$D$114))/12,
SUMPRODUCT(($B9='IP1'!$B$96:$B$114)*('IP1'!$D$96:$D$114))/12*
IF(YEAR(N$3)=2013,'IP1'!$F$154,'IP1'!$G$154)
))</f>
        <v>1250</v>
      </c>
      <c r="O9" s="85">
        <f>IF(LEFT($D9,5)="Other",
VLOOKUP($A9,'IP1'!$A$37:$G$89,4,0)*
VLOOKUP(
VLOOKUP($A9,'IP1'!$A$37:$G$89,7,0),Patterns!$A$2:$N$28,COLUMN(O9)-2,0)/
VLOOKUP(
VLOOKUP($A9,'IP1'!$A$37:$G$89,7,0),Patterns!$A$2:$N$28,2,0),
IF(LEFT($D9,7)="Payroll",
SUMPRODUCT(($B9='IP1'!$B$96:$B$114)*('IP1'!$D$96:$D$114))/12,
SUMPRODUCT(($B9='IP1'!$B$96:$B$114)*('IP1'!$D$96:$D$114))/12*
IF(YEAR(O$3)=2013,'IP1'!$F$154,'IP1'!$G$154)
))</f>
        <v>0</v>
      </c>
      <c r="P9" s="85">
        <f>IF(LEFT($D9,5)="Other",
VLOOKUP($A9,'IP1'!$A$37:$G$89,4,0)*
VLOOKUP(
VLOOKUP($A9,'IP1'!$A$37:$G$89,7,0),Patterns!$A$2:$N$28,COLUMN(P9)-2,0)/
VLOOKUP(
VLOOKUP($A9,'IP1'!$A$37:$G$89,7,0),Patterns!$A$2:$N$28,2,0),
IF(LEFT($D9,7)="Payroll",
SUMPRODUCT(($B9='IP1'!$B$96:$B$114)*('IP1'!$D$96:$D$114))/12,
SUMPRODUCT(($B9='IP1'!$B$96:$B$114)*('IP1'!$D$96:$D$114))/12*
IF(YEAR(P$3)=2013,'IP1'!$F$154,'IP1'!$G$154)
))</f>
        <v>0</v>
      </c>
      <c r="Q9" s="85">
        <f>IF(LEFT($D9,5)="Other",
VLOOKUP($A9,'IP1'!$A$37:$G$89,5,0)*
VLOOKUP(
VLOOKUP($A9,'IP1'!$A$37:$G$89,7,0),Patterns!$A$2:$N$28,COLUMN(Q9)-14,0)/
VLOOKUP(
VLOOKUP($A9,'IP1'!$A$37:$G$89,7,0),Patterns!$A$2:$N$28,2,0),
IF(LEFT($D9,7)="Payroll",
SUMPRODUCT(($B9='IP1'!$B$96:$B$114)*('IP1'!$E$96:$E$114))/12,
SUMPRODUCT(($B9='IP1'!$B$96:$B$114)*('IP1'!$E$96:$E$114))/12*
IF(YEAR(Q$3)=2013,'IP1'!$F$154,'IP1'!$G$154)
))</f>
        <v>1250</v>
      </c>
      <c r="R9" s="85">
        <f>IF(LEFT($D9,5)="Other",
VLOOKUP($A9,'IP1'!$A$37:$G$89,5,0)*
VLOOKUP(
VLOOKUP($A9,'IP1'!$A$37:$G$89,7,0),Patterns!$A$2:$N$28,COLUMN(R9)-14,0)/
VLOOKUP(
VLOOKUP($A9,'IP1'!$A$37:$G$89,7,0),Patterns!$A$2:$N$28,2,0),
IF(LEFT($D9,7)="Payroll",
SUMPRODUCT(($B9='IP1'!$B$96:$B$114)*('IP1'!$E$96:$E$114))/12,
SUMPRODUCT(($B9='IP1'!$B$96:$B$114)*('IP1'!$E$96:$E$114))/12*
IF(YEAR(R$3)=2013,'IP1'!$F$154,'IP1'!$G$154)
))</f>
        <v>0</v>
      </c>
      <c r="S9" s="85">
        <f>IF(LEFT($D9,5)="Other",
VLOOKUP($A9,'IP1'!$A$37:$G$89,5,0)*
VLOOKUP(
VLOOKUP($A9,'IP1'!$A$37:$G$89,7,0),Patterns!$A$2:$N$28,COLUMN(S9)-14,0)/
VLOOKUP(
VLOOKUP($A9,'IP1'!$A$37:$G$89,7,0),Patterns!$A$2:$N$28,2,0),
IF(LEFT($D9,7)="Payroll",
SUMPRODUCT(($B9='IP1'!$B$96:$B$114)*('IP1'!$E$96:$E$114))/12,
SUMPRODUCT(($B9='IP1'!$B$96:$B$114)*('IP1'!$E$96:$E$114))/12*
IF(YEAR(S$3)=2013,'IP1'!$F$154,'IP1'!$G$154)
))</f>
        <v>0</v>
      </c>
      <c r="T9" s="85">
        <f>IF(LEFT($D9,5)="Other",
VLOOKUP($A9,'IP1'!$A$37:$G$89,5,0)*
VLOOKUP(
VLOOKUP($A9,'IP1'!$A$37:$G$89,7,0),Patterns!$A$2:$N$28,COLUMN(T9)-14,0)/
VLOOKUP(
VLOOKUP($A9,'IP1'!$A$37:$G$89,7,0),Patterns!$A$2:$N$28,2,0),
IF(LEFT($D9,7)="Payroll",
SUMPRODUCT(($B9='IP1'!$B$96:$B$114)*('IP1'!$E$96:$E$114))/12,
SUMPRODUCT(($B9='IP1'!$B$96:$B$114)*('IP1'!$E$96:$E$114))/12*
IF(YEAR(T$3)=2013,'IP1'!$F$154,'IP1'!$G$154)
))</f>
        <v>1250</v>
      </c>
      <c r="U9" s="85">
        <f>IF(LEFT($D9,5)="Other",
VLOOKUP($A9,'IP1'!$A$37:$G$89,5,0)*
VLOOKUP(
VLOOKUP($A9,'IP1'!$A$37:$G$89,7,0),Patterns!$A$2:$N$28,COLUMN(U9)-14,0)/
VLOOKUP(
VLOOKUP($A9,'IP1'!$A$37:$G$89,7,0),Patterns!$A$2:$N$28,2,0),
IF(LEFT($D9,7)="Payroll",
SUMPRODUCT(($B9='IP1'!$B$96:$B$114)*('IP1'!$E$96:$E$114))/12,
SUMPRODUCT(($B9='IP1'!$B$96:$B$114)*('IP1'!$E$96:$E$114))/12*
IF(YEAR(U$3)=2013,'IP1'!$F$154,'IP1'!$G$154)
))</f>
        <v>0</v>
      </c>
      <c r="V9" s="85">
        <f>IF(LEFT($D9,5)="Other",
VLOOKUP($A9,'IP1'!$A$37:$G$89,5,0)*
VLOOKUP(
VLOOKUP($A9,'IP1'!$A$37:$G$89,7,0),Patterns!$A$2:$N$28,COLUMN(V9)-14,0)/
VLOOKUP(
VLOOKUP($A9,'IP1'!$A$37:$G$89,7,0),Patterns!$A$2:$N$28,2,0),
IF(LEFT($D9,7)="Payroll",
SUMPRODUCT(($B9='IP1'!$B$96:$B$114)*('IP1'!$E$96:$E$114))/12,
SUMPRODUCT(($B9='IP1'!$B$96:$B$114)*('IP1'!$E$96:$E$114))/12*
IF(YEAR(V$3)=2013,'IP1'!$F$154,'IP1'!$G$154)
))</f>
        <v>0</v>
      </c>
      <c r="W9" s="85">
        <f>IF(LEFT($D9,5)="Other",
VLOOKUP($A9,'IP1'!$A$37:$G$89,5,0)*
VLOOKUP(
VLOOKUP($A9,'IP1'!$A$37:$G$89,7,0),Patterns!$A$2:$N$28,COLUMN(W9)-14,0)/
VLOOKUP(
VLOOKUP($A9,'IP1'!$A$37:$G$89,7,0),Patterns!$A$2:$N$28,2,0),
IF(LEFT($D9,7)="Payroll",
SUMPRODUCT(($B9='IP1'!$B$96:$B$114)*('IP1'!$E$96:$E$114))/12,
SUMPRODUCT(($B9='IP1'!$B$96:$B$114)*('IP1'!$E$96:$E$114))/12*
IF(YEAR(W$3)=2013,'IP1'!$F$154,'IP1'!$G$154)
))</f>
        <v>1250</v>
      </c>
      <c r="X9" s="85">
        <f>IF(LEFT($D9,5)="Other",
VLOOKUP($A9,'IP1'!$A$37:$G$89,5,0)*
VLOOKUP(
VLOOKUP($A9,'IP1'!$A$37:$G$89,7,0),Patterns!$A$2:$N$28,COLUMN(X9)-14,0)/
VLOOKUP(
VLOOKUP($A9,'IP1'!$A$37:$G$89,7,0),Patterns!$A$2:$N$28,2,0),
IF(LEFT($D9,7)="Payroll",
SUMPRODUCT(($B9='IP1'!$B$96:$B$114)*('IP1'!$E$96:$E$114))/12,
SUMPRODUCT(($B9='IP1'!$B$96:$B$114)*('IP1'!$E$96:$E$114))/12*
IF(YEAR(X$3)=2013,'IP1'!$F$154,'IP1'!$G$154)
))</f>
        <v>0</v>
      </c>
      <c r="Y9" s="85">
        <f>IF(LEFT($D9,5)="Other",
VLOOKUP($A9,'IP1'!$A$37:$G$89,5,0)*
VLOOKUP(
VLOOKUP($A9,'IP1'!$A$37:$G$89,7,0),Patterns!$A$2:$N$28,COLUMN(Y9)-14,0)/
VLOOKUP(
VLOOKUP($A9,'IP1'!$A$37:$G$89,7,0),Patterns!$A$2:$N$28,2,0),
IF(LEFT($D9,7)="Payroll",
SUMPRODUCT(($B9='IP1'!$B$96:$B$114)*('IP1'!$E$96:$E$114))/12,
SUMPRODUCT(($B9='IP1'!$B$96:$B$114)*('IP1'!$E$96:$E$114))/12*
IF(YEAR(Y$3)=2013,'IP1'!$F$154,'IP1'!$G$154)
))</f>
        <v>0</v>
      </c>
      <c r="Z9" s="85">
        <f>IF(LEFT($D9,5)="Other",
VLOOKUP($A9,'IP1'!$A$37:$G$89,5,0)*
VLOOKUP(
VLOOKUP($A9,'IP1'!$A$37:$G$89,7,0),Patterns!$A$2:$N$28,COLUMN(Z9)-14,0)/
VLOOKUP(
VLOOKUP($A9,'IP1'!$A$37:$G$89,7,0),Patterns!$A$2:$N$28,2,0),
IF(LEFT($D9,7)="Payroll",
SUMPRODUCT(($B9='IP1'!$B$96:$B$114)*('IP1'!$E$96:$E$114))/12,
SUMPRODUCT(($B9='IP1'!$B$96:$B$114)*('IP1'!$E$96:$E$114))/12*
IF(YEAR(Z$3)=2013,'IP1'!$F$154,'IP1'!$G$154)
))</f>
        <v>1250</v>
      </c>
      <c r="AA9" s="85">
        <f>IF(LEFT($D9,5)="Other",
VLOOKUP($A9,'IP1'!$A$37:$G$89,5,0)*
VLOOKUP(
VLOOKUP($A9,'IP1'!$A$37:$G$89,7,0),Patterns!$A$2:$N$28,COLUMN(AA9)-14,0)/
VLOOKUP(
VLOOKUP($A9,'IP1'!$A$37:$G$89,7,0),Patterns!$A$2:$N$28,2,0),
IF(LEFT($D9,7)="Payroll",
SUMPRODUCT(($B9='IP1'!$B$96:$B$114)*('IP1'!$E$96:$E$114))/12,
SUMPRODUCT(($B9='IP1'!$B$96:$B$114)*('IP1'!$E$96:$E$114))/12*
IF(YEAR(AA$3)=2013,'IP1'!$F$154,'IP1'!$G$154)
))</f>
        <v>0</v>
      </c>
      <c r="AB9" s="85">
        <f>IF(LEFT($D9,5)="Other",
VLOOKUP($A9,'IP1'!$A$37:$G$89,5,0)*
VLOOKUP(
VLOOKUP($A9,'IP1'!$A$37:$G$89,7,0),Patterns!$A$2:$N$28,COLUMN(AB9)-14,0)/
VLOOKUP(
VLOOKUP($A9,'IP1'!$A$37:$G$89,7,0),Patterns!$A$2:$N$28,2,0),
IF(LEFT($D9,7)="Payroll",
SUMPRODUCT(($B9='IP1'!$B$96:$B$114)*('IP1'!$E$96:$E$114))/12,
SUMPRODUCT(($B9='IP1'!$B$96:$B$114)*('IP1'!$E$96:$E$114))/12*
IF(YEAR(AB$3)=2013,'IP1'!$F$154,'IP1'!$G$154)
))</f>
        <v>0</v>
      </c>
    </row>
    <row r="10" spans="1:28">
      <c r="A10" s="1" t="str">
        <f t="shared" si="2"/>
        <v>MarketingMarketing &amp; Promotion</v>
      </c>
      <c r="B10" s="1" t="s">
        <v>10</v>
      </c>
      <c r="C10" s="1" t="s">
        <v>4</v>
      </c>
      <c r="D10" s="11" t="s">
        <v>100</v>
      </c>
      <c r="E10" s="85">
        <f>IF(LEFT($D10,5)="Other",
VLOOKUP($A10,'IP1'!$A$37:$G$89,4,0)*
VLOOKUP(
VLOOKUP($A10,'IP1'!$A$37:$G$89,7,0),Patterns!$A$2:$N$28,COLUMN(E10)-2,0)/
VLOOKUP(
VLOOKUP($A10,'IP1'!$A$37:$G$89,7,0),Patterns!$A$2:$N$28,2,0),
IF(LEFT($D10,7)="Payroll",
SUMPRODUCT(($B10='IP1'!$B$96:$B$114)*('IP1'!$D$96:$D$114))/12,
SUMPRODUCT(($B10='IP1'!$B$96:$B$114)*('IP1'!$D$96:$D$114))/12*
IF(YEAR(E$3)=2013,'IP1'!$F$154,'IP1'!$G$154)
))</f>
        <v>0</v>
      </c>
      <c r="F10" s="85">
        <f>IF(LEFT($D10,5)="Other",
VLOOKUP($A10,'IP1'!$A$37:$G$89,4,0)*
VLOOKUP(
VLOOKUP($A10,'IP1'!$A$37:$G$89,7,0),Patterns!$A$2:$N$28,COLUMN(F10)-2,0)/
VLOOKUP(
VLOOKUP($A10,'IP1'!$A$37:$G$89,7,0),Patterns!$A$2:$N$28,2,0),
IF(LEFT($D10,7)="Payroll",
SUMPRODUCT(($B10='IP1'!$B$96:$B$114)*('IP1'!$D$96:$D$114))/12,
SUMPRODUCT(($B10='IP1'!$B$96:$B$114)*('IP1'!$D$96:$D$114))/12*
IF(YEAR(F$3)=2013,'IP1'!$F$154,'IP1'!$G$154)
))</f>
        <v>1250</v>
      </c>
      <c r="G10" s="85">
        <f>IF(LEFT($D10,5)="Other",
VLOOKUP($A10,'IP1'!$A$37:$G$89,4,0)*
VLOOKUP(
VLOOKUP($A10,'IP1'!$A$37:$G$89,7,0),Patterns!$A$2:$N$28,COLUMN(G10)-2,0)/
VLOOKUP(
VLOOKUP($A10,'IP1'!$A$37:$G$89,7,0),Patterns!$A$2:$N$28,2,0),
IF(LEFT($D10,7)="Payroll",
SUMPRODUCT(($B10='IP1'!$B$96:$B$114)*('IP1'!$D$96:$D$114))/12,
SUMPRODUCT(($B10='IP1'!$B$96:$B$114)*('IP1'!$D$96:$D$114))/12*
IF(YEAR(G$3)=2013,'IP1'!$F$154,'IP1'!$G$154)
))</f>
        <v>0</v>
      </c>
      <c r="H10" s="85">
        <f>IF(LEFT($D10,5)="Other",
VLOOKUP($A10,'IP1'!$A$37:$G$89,4,0)*
VLOOKUP(
VLOOKUP($A10,'IP1'!$A$37:$G$89,7,0),Patterns!$A$2:$N$28,COLUMN(H10)-2,0)/
VLOOKUP(
VLOOKUP($A10,'IP1'!$A$37:$G$89,7,0),Patterns!$A$2:$N$28,2,0),
IF(LEFT($D10,7)="Payroll",
SUMPRODUCT(($B10='IP1'!$B$96:$B$114)*('IP1'!$D$96:$D$114))/12,
SUMPRODUCT(($B10='IP1'!$B$96:$B$114)*('IP1'!$D$96:$D$114))/12*
IF(YEAR(H$3)=2013,'IP1'!$F$154,'IP1'!$G$154)
))</f>
        <v>0</v>
      </c>
      <c r="I10" s="85">
        <f>IF(LEFT($D10,5)="Other",
VLOOKUP($A10,'IP1'!$A$37:$G$89,4,0)*
VLOOKUP(
VLOOKUP($A10,'IP1'!$A$37:$G$89,7,0),Patterns!$A$2:$N$28,COLUMN(I10)-2,0)/
VLOOKUP(
VLOOKUP($A10,'IP1'!$A$37:$G$89,7,0),Patterns!$A$2:$N$28,2,0),
IF(LEFT($D10,7)="Payroll",
SUMPRODUCT(($B10='IP1'!$B$96:$B$114)*('IP1'!$D$96:$D$114))/12,
SUMPRODUCT(($B10='IP1'!$B$96:$B$114)*('IP1'!$D$96:$D$114))/12*
IF(YEAR(I$3)=2013,'IP1'!$F$154,'IP1'!$G$154)
))</f>
        <v>1250</v>
      </c>
      <c r="J10" s="85">
        <f>IF(LEFT($D10,5)="Other",
VLOOKUP($A10,'IP1'!$A$37:$G$89,4,0)*
VLOOKUP(
VLOOKUP($A10,'IP1'!$A$37:$G$89,7,0),Patterns!$A$2:$N$28,COLUMN(J10)-2,0)/
VLOOKUP(
VLOOKUP($A10,'IP1'!$A$37:$G$89,7,0),Patterns!$A$2:$N$28,2,0),
IF(LEFT($D10,7)="Payroll",
SUMPRODUCT(($B10='IP1'!$B$96:$B$114)*('IP1'!$D$96:$D$114))/12,
SUMPRODUCT(($B10='IP1'!$B$96:$B$114)*('IP1'!$D$96:$D$114))/12*
IF(YEAR(J$3)=2013,'IP1'!$F$154,'IP1'!$G$154)
))</f>
        <v>0</v>
      </c>
      <c r="K10" s="85">
        <f>IF(LEFT($D10,5)="Other",
VLOOKUP($A10,'IP1'!$A$37:$G$89,4,0)*
VLOOKUP(
VLOOKUP($A10,'IP1'!$A$37:$G$89,7,0),Patterns!$A$2:$N$28,COLUMN(K10)-2,0)/
VLOOKUP(
VLOOKUP($A10,'IP1'!$A$37:$G$89,7,0),Patterns!$A$2:$N$28,2,0),
IF(LEFT($D10,7)="Payroll",
SUMPRODUCT(($B10='IP1'!$B$96:$B$114)*('IP1'!$D$96:$D$114))/12,
SUMPRODUCT(($B10='IP1'!$B$96:$B$114)*('IP1'!$D$96:$D$114))/12*
IF(YEAR(K$3)=2013,'IP1'!$F$154,'IP1'!$G$154)
))</f>
        <v>0</v>
      </c>
      <c r="L10" s="85">
        <f>IF(LEFT($D10,5)="Other",
VLOOKUP($A10,'IP1'!$A$37:$G$89,4,0)*
VLOOKUP(
VLOOKUP($A10,'IP1'!$A$37:$G$89,7,0),Patterns!$A$2:$N$28,COLUMN(L10)-2,0)/
VLOOKUP(
VLOOKUP($A10,'IP1'!$A$37:$G$89,7,0),Patterns!$A$2:$N$28,2,0),
IF(LEFT($D10,7)="Payroll",
SUMPRODUCT(($B10='IP1'!$B$96:$B$114)*('IP1'!$D$96:$D$114))/12,
SUMPRODUCT(($B10='IP1'!$B$96:$B$114)*('IP1'!$D$96:$D$114))/12*
IF(YEAR(L$3)=2013,'IP1'!$F$154,'IP1'!$G$154)
))</f>
        <v>1250</v>
      </c>
      <c r="M10" s="85">
        <f>IF(LEFT($D10,5)="Other",
VLOOKUP($A10,'IP1'!$A$37:$G$89,4,0)*
VLOOKUP(
VLOOKUP($A10,'IP1'!$A$37:$G$89,7,0),Patterns!$A$2:$N$28,COLUMN(M10)-2,0)/
VLOOKUP(
VLOOKUP($A10,'IP1'!$A$37:$G$89,7,0),Patterns!$A$2:$N$28,2,0),
IF(LEFT($D10,7)="Payroll",
SUMPRODUCT(($B10='IP1'!$B$96:$B$114)*('IP1'!$D$96:$D$114))/12,
SUMPRODUCT(($B10='IP1'!$B$96:$B$114)*('IP1'!$D$96:$D$114))/12*
IF(YEAR(M$3)=2013,'IP1'!$F$154,'IP1'!$G$154)
))</f>
        <v>0</v>
      </c>
      <c r="N10" s="85">
        <f>IF(LEFT($D10,5)="Other",
VLOOKUP($A10,'IP1'!$A$37:$G$89,4,0)*
VLOOKUP(
VLOOKUP($A10,'IP1'!$A$37:$G$89,7,0),Patterns!$A$2:$N$28,COLUMN(N10)-2,0)/
VLOOKUP(
VLOOKUP($A10,'IP1'!$A$37:$G$89,7,0),Patterns!$A$2:$N$28,2,0),
IF(LEFT($D10,7)="Payroll",
SUMPRODUCT(($B10='IP1'!$B$96:$B$114)*('IP1'!$D$96:$D$114))/12,
SUMPRODUCT(($B10='IP1'!$B$96:$B$114)*('IP1'!$D$96:$D$114))/12*
IF(YEAR(N$3)=2013,'IP1'!$F$154,'IP1'!$G$154)
))</f>
        <v>0</v>
      </c>
      <c r="O10" s="85">
        <f>IF(LEFT($D10,5)="Other",
VLOOKUP($A10,'IP1'!$A$37:$G$89,4,0)*
VLOOKUP(
VLOOKUP($A10,'IP1'!$A$37:$G$89,7,0),Patterns!$A$2:$N$28,COLUMN(O10)-2,0)/
VLOOKUP(
VLOOKUP($A10,'IP1'!$A$37:$G$89,7,0),Patterns!$A$2:$N$28,2,0),
IF(LEFT($D10,7)="Payroll",
SUMPRODUCT(($B10='IP1'!$B$96:$B$114)*('IP1'!$D$96:$D$114))/12,
SUMPRODUCT(($B10='IP1'!$B$96:$B$114)*('IP1'!$D$96:$D$114))/12*
IF(YEAR(O$3)=2013,'IP1'!$F$154,'IP1'!$G$154)
))</f>
        <v>1250</v>
      </c>
      <c r="P10" s="85">
        <f>IF(LEFT($D10,5)="Other",
VLOOKUP($A10,'IP1'!$A$37:$G$89,4,0)*
VLOOKUP(
VLOOKUP($A10,'IP1'!$A$37:$G$89,7,0),Patterns!$A$2:$N$28,COLUMN(P10)-2,0)/
VLOOKUP(
VLOOKUP($A10,'IP1'!$A$37:$G$89,7,0),Patterns!$A$2:$N$28,2,0),
IF(LEFT($D10,7)="Payroll",
SUMPRODUCT(($B10='IP1'!$B$96:$B$114)*('IP1'!$D$96:$D$114))/12,
SUMPRODUCT(($B10='IP1'!$B$96:$B$114)*('IP1'!$D$96:$D$114))/12*
IF(YEAR(P$3)=2013,'IP1'!$F$154,'IP1'!$G$154)
))</f>
        <v>0</v>
      </c>
      <c r="Q10" s="85">
        <f>IF(LEFT($D10,5)="Other",
VLOOKUP($A10,'IP1'!$A$37:$G$89,5,0)*
VLOOKUP(
VLOOKUP($A10,'IP1'!$A$37:$G$89,7,0),Patterns!$A$2:$N$28,COLUMN(Q10)-14,0)/
VLOOKUP(
VLOOKUP($A10,'IP1'!$A$37:$G$89,7,0),Patterns!$A$2:$N$28,2,0),
IF(LEFT($D10,7)="Payroll",
SUMPRODUCT(($B10='IP1'!$B$96:$B$114)*('IP1'!$E$96:$E$114))/12,
SUMPRODUCT(($B10='IP1'!$B$96:$B$114)*('IP1'!$E$96:$E$114))/12*
IF(YEAR(Q$3)=2013,'IP1'!$F$154,'IP1'!$G$154)
))</f>
        <v>0</v>
      </c>
      <c r="R10" s="85">
        <f>IF(LEFT($D10,5)="Other",
VLOOKUP($A10,'IP1'!$A$37:$G$89,5,0)*
VLOOKUP(
VLOOKUP($A10,'IP1'!$A$37:$G$89,7,0),Patterns!$A$2:$N$28,COLUMN(R10)-14,0)/
VLOOKUP(
VLOOKUP($A10,'IP1'!$A$37:$G$89,7,0),Patterns!$A$2:$N$28,2,0),
IF(LEFT($D10,7)="Payroll",
SUMPRODUCT(($B10='IP1'!$B$96:$B$114)*('IP1'!$E$96:$E$114))/12,
SUMPRODUCT(($B10='IP1'!$B$96:$B$114)*('IP1'!$E$96:$E$114))/12*
IF(YEAR(R$3)=2013,'IP1'!$F$154,'IP1'!$G$154)
))</f>
        <v>1250</v>
      </c>
      <c r="S10" s="85">
        <f>IF(LEFT($D10,5)="Other",
VLOOKUP($A10,'IP1'!$A$37:$G$89,5,0)*
VLOOKUP(
VLOOKUP($A10,'IP1'!$A$37:$G$89,7,0),Patterns!$A$2:$N$28,COLUMN(S10)-14,0)/
VLOOKUP(
VLOOKUP($A10,'IP1'!$A$37:$G$89,7,0),Patterns!$A$2:$N$28,2,0),
IF(LEFT($D10,7)="Payroll",
SUMPRODUCT(($B10='IP1'!$B$96:$B$114)*('IP1'!$E$96:$E$114))/12,
SUMPRODUCT(($B10='IP1'!$B$96:$B$114)*('IP1'!$E$96:$E$114))/12*
IF(YEAR(S$3)=2013,'IP1'!$F$154,'IP1'!$G$154)
))</f>
        <v>0</v>
      </c>
      <c r="T10" s="85">
        <f>IF(LEFT($D10,5)="Other",
VLOOKUP($A10,'IP1'!$A$37:$G$89,5,0)*
VLOOKUP(
VLOOKUP($A10,'IP1'!$A$37:$G$89,7,0),Patterns!$A$2:$N$28,COLUMN(T10)-14,0)/
VLOOKUP(
VLOOKUP($A10,'IP1'!$A$37:$G$89,7,0),Patterns!$A$2:$N$28,2,0),
IF(LEFT($D10,7)="Payroll",
SUMPRODUCT(($B10='IP1'!$B$96:$B$114)*('IP1'!$E$96:$E$114))/12,
SUMPRODUCT(($B10='IP1'!$B$96:$B$114)*('IP1'!$E$96:$E$114))/12*
IF(YEAR(T$3)=2013,'IP1'!$F$154,'IP1'!$G$154)
))</f>
        <v>0</v>
      </c>
      <c r="U10" s="85">
        <f>IF(LEFT($D10,5)="Other",
VLOOKUP($A10,'IP1'!$A$37:$G$89,5,0)*
VLOOKUP(
VLOOKUP($A10,'IP1'!$A$37:$G$89,7,0),Patterns!$A$2:$N$28,COLUMN(U10)-14,0)/
VLOOKUP(
VLOOKUP($A10,'IP1'!$A$37:$G$89,7,0),Patterns!$A$2:$N$28,2,0),
IF(LEFT($D10,7)="Payroll",
SUMPRODUCT(($B10='IP1'!$B$96:$B$114)*('IP1'!$E$96:$E$114))/12,
SUMPRODUCT(($B10='IP1'!$B$96:$B$114)*('IP1'!$E$96:$E$114))/12*
IF(YEAR(U$3)=2013,'IP1'!$F$154,'IP1'!$G$154)
))</f>
        <v>1250</v>
      </c>
      <c r="V10" s="85">
        <f>IF(LEFT($D10,5)="Other",
VLOOKUP($A10,'IP1'!$A$37:$G$89,5,0)*
VLOOKUP(
VLOOKUP($A10,'IP1'!$A$37:$G$89,7,0),Patterns!$A$2:$N$28,COLUMN(V10)-14,0)/
VLOOKUP(
VLOOKUP($A10,'IP1'!$A$37:$G$89,7,0),Patterns!$A$2:$N$28,2,0),
IF(LEFT($D10,7)="Payroll",
SUMPRODUCT(($B10='IP1'!$B$96:$B$114)*('IP1'!$E$96:$E$114))/12,
SUMPRODUCT(($B10='IP1'!$B$96:$B$114)*('IP1'!$E$96:$E$114))/12*
IF(YEAR(V$3)=2013,'IP1'!$F$154,'IP1'!$G$154)
))</f>
        <v>0</v>
      </c>
      <c r="W10" s="85">
        <f>IF(LEFT($D10,5)="Other",
VLOOKUP($A10,'IP1'!$A$37:$G$89,5,0)*
VLOOKUP(
VLOOKUP($A10,'IP1'!$A$37:$G$89,7,0),Patterns!$A$2:$N$28,COLUMN(W10)-14,0)/
VLOOKUP(
VLOOKUP($A10,'IP1'!$A$37:$G$89,7,0),Patterns!$A$2:$N$28,2,0),
IF(LEFT($D10,7)="Payroll",
SUMPRODUCT(($B10='IP1'!$B$96:$B$114)*('IP1'!$E$96:$E$114))/12,
SUMPRODUCT(($B10='IP1'!$B$96:$B$114)*('IP1'!$E$96:$E$114))/12*
IF(YEAR(W$3)=2013,'IP1'!$F$154,'IP1'!$G$154)
))</f>
        <v>0</v>
      </c>
      <c r="X10" s="85">
        <f>IF(LEFT($D10,5)="Other",
VLOOKUP($A10,'IP1'!$A$37:$G$89,5,0)*
VLOOKUP(
VLOOKUP($A10,'IP1'!$A$37:$G$89,7,0),Patterns!$A$2:$N$28,COLUMN(X10)-14,0)/
VLOOKUP(
VLOOKUP($A10,'IP1'!$A$37:$G$89,7,0),Patterns!$A$2:$N$28,2,0),
IF(LEFT($D10,7)="Payroll",
SUMPRODUCT(($B10='IP1'!$B$96:$B$114)*('IP1'!$E$96:$E$114))/12,
SUMPRODUCT(($B10='IP1'!$B$96:$B$114)*('IP1'!$E$96:$E$114))/12*
IF(YEAR(X$3)=2013,'IP1'!$F$154,'IP1'!$G$154)
))</f>
        <v>1250</v>
      </c>
      <c r="Y10" s="85">
        <f>IF(LEFT($D10,5)="Other",
VLOOKUP($A10,'IP1'!$A$37:$G$89,5,0)*
VLOOKUP(
VLOOKUP($A10,'IP1'!$A$37:$G$89,7,0),Patterns!$A$2:$N$28,COLUMN(Y10)-14,0)/
VLOOKUP(
VLOOKUP($A10,'IP1'!$A$37:$G$89,7,0),Patterns!$A$2:$N$28,2,0),
IF(LEFT($D10,7)="Payroll",
SUMPRODUCT(($B10='IP1'!$B$96:$B$114)*('IP1'!$E$96:$E$114))/12,
SUMPRODUCT(($B10='IP1'!$B$96:$B$114)*('IP1'!$E$96:$E$114))/12*
IF(YEAR(Y$3)=2013,'IP1'!$F$154,'IP1'!$G$154)
))</f>
        <v>0</v>
      </c>
      <c r="Z10" s="85">
        <f>IF(LEFT($D10,5)="Other",
VLOOKUP($A10,'IP1'!$A$37:$G$89,5,0)*
VLOOKUP(
VLOOKUP($A10,'IP1'!$A$37:$G$89,7,0),Patterns!$A$2:$N$28,COLUMN(Z10)-14,0)/
VLOOKUP(
VLOOKUP($A10,'IP1'!$A$37:$G$89,7,0),Patterns!$A$2:$N$28,2,0),
IF(LEFT($D10,7)="Payroll",
SUMPRODUCT(($B10='IP1'!$B$96:$B$114)*('IP1'!$E$96:$E$114))/12,
SUMPRODUCT(($B10='IP1'!$B$96:$B$114)*('IP1'!$E$96:$E$114))/12*
IF(YEAR(Z$3)=2013,'IP1'!$F$154,'IP1'!$G$154)
))</f>
        <v>0</v>
      </c>
      <c r="AA10" s="85">
        <f>IF(LEFT($D10,5)="Other",
VLOOKUP($A10,'IP1'!$A$37:$G$89,5,0)*
VLOOKUP(
VLOOKUP($A10,'IP1'!$A$37:$G$89,7,0),Patterns!$A$2:$N$28,COLUMN(AA10)-14,0)/
VLOOKUP(
VLOOKUP($A10,'IP1'!$A$37:$G$89,7,0),Patterns!$A$2:$N$28,2,0),
IF(LEFT($D10,7)="Payroll",
SUMPRODUCT(($B10='IP1'!$B$96:$B$114)*('IP1'!$E$96:$E$114))/12,
SUMPRODUCT(($B10='IP1'!$B$96:$B$114)*('IP1'!$E$96:$E$114))/12*
IF(YEAR(AA$3)=2013,'IP1'!$F$154,'IP1'!$G$154)
))</f>
        <v>1250</v>
      </c>
      <c r="AB10" s="85">
        <f>IF(LEFT($D10,5)="Other",
VLOOKUP($A10,'IP1'!$A$37:$G$89,5,0)*
VLOOKUP(
VLOOKUP($A10,'IP1'!$A$37:$G$89,7,0),Patterns!$A$2:$N$28,COLUMN(AB10)-14,0)/
VLOOKUP(
VLOOKUP($A10,'IP1'!$A$37:$G$89,7,0),Patterns!$A$2:$N$28,2,0),
IF(LEFT($D10,7)="Payroll",
SUMPRODUCT(($B10='IP1'!$B$96:$B$114)*('IP1'!$E$96:$E$114))/12,
SUMPRODUCT(($B10='IP1'!$B$96:$B$114)*('IP1'!$E$96:$E$114))/12*
IF(YEAR(AB$3)=2013,'IP1'!$F$154,'IP1'!$G$154)
))</f>
        <v>0</v>
      </c>
    </row>
    <row r="11" spans="1:28">
      <c r="A11" s="1" t="str">
        <f t="shared" si="2"/>
        <v>AdministrationWages &amp; Salaries</v>
      </c>
      <c r="B11" s="1" t="s">
        <v>155</v>
      </c>
      <c r="C11" s="1" t="s">
        <v>66</v>
      </c>
      <c r="D11" s="11" t="s">
        <v>62</v>
      </c>
      <c r="E11" s="85">
        <f>IF(LEFT($D11,5)="Other",
VLOOKUP($A11,'IP1'!$A$37:$G$89,4,0)*
VLOOKUP(
VLOOKUP($A11,'IP1'!$A$37:$G$89,7,0),Patterns!$A$2:$N$28,COLUMN(E11)-2,0)/
VLOOKUP(
VLOOKUP($A11,'IP1'!$A$37:$G$89,7,0),Patterns!$A$2:$N$28,2,0),
IF(LEFT($D11,7)="Payroll",
SUMPRODUCT(($B11='IP1'!$B$96:$B$114)*('IP1'!$D$96:$D$114))/12,
SUMPRODUCT(($B11='IP1'!$B$96:$B$114)*('IP1'!$D$96:$D$114))/12*
IF(YEAR(E$3)=2013,'IP1'!$F$154,'IP1'!$G$154)
))</f>
        <v>12083.333333333334</v>
      </c>
      <c r="F11" s="85">
        <f>IF(LEFT($D11,5)="Other",
VLOOKUP($A11,'IP1'!$A$37:$G$89,4,0)*
VLOOKUP(
VLOOKUP($A11,'IP1'!$A$37:$G$89,7,0),Patterns!$A$2:$N$28,COLUMN(F11)-2,0)/
VLOOKUP(
VLOOKUP($A11,'IP1'!$A$37:$G$89,7,0),Patterns!$A$2:$N$28,2,0),
IF(LEFT($D11,7)="Payroll",
SUMPRODUCT(($B11='IP1'!$B$96:$B$114)*('IP1'!$D$96:$D$114))/12,
SUMPRODUCT(($B11='IP1'!$B$96:$B$114)*('IP1'!$D$96:$D$114))/12*
IF(YEAR(F$3)=2013,'IP1'!$F$154,'IP1'!$G$154)
))</f>
        <v>12083.333333333334</v>
      </c>
      <c r="G11" s="85">
        <f>IF(LEFT($D11,5)="Other",
VLOOKUP($A11,'IP1'!$A$37:$G$89,4,0)*
VLOOKUP(
VLOOKUP($A11,'IP1'!$A$37:$G$89,7,0),Patterns!$A$2:$N$28,COLUMN(G11)-2,0)/
VLOOKUP(
VLOOKUP($A11,'IP1'!$A$37:$G$89,7,0),Patterns!$A$2:$N$28,2,0),
IF(LEFT($D11,7)="Payroll",
SUMPRODUCT(($B11='IP1'!$B$96:$B$114)*('IP1'!$D$96:$D$114))/12,
SUMPRODUCT(($B11='IP1'!$B$96:$B$114)*('IP1'!$D$96:$D$114))/12*
IF(YEAR(G$3)=2013,'IP1'!$F$154,'IP1'!$G$154)
))</f>
        <v>12083.333333333334</v>
      </c>
      <c r="H11" s="85">
        <f>IF(LEFT($D11,5)="Other",
VLOOKUP($A11,'IP1'!$A$37:$G$89,4,0)*
VLOOKUP(
VLOOKUP($A11,'IP1'!$A$37:$G$89,7,0),Patterns!$A$2:$N$28,COLUMN(H11)-2,0)/
VLOOKUP(
VLOOKUP($A11,'IP1'!$A$37:$G$89,7,0),Patterns!$A$2:$N$28,2,0),
IF(LEFT($D11,7)="Payroll",
SUMPRODUCT(($B11='IP1'!$B$96:$B$114)*('IP1'!$D$96:$D$114))/12,
SUMPRODUCT(($B11='IP1'!$B$96:$B$114)*('IP1'!$D$96:$D$114))/12*
IF(YEAR(H$3)=2013,'IP1'!$F$154,'IP1'!$G$154)
))</f>
        <v>12083.333333333334</v>
      </c>
      <c r="I11" s="85">
        <f>IF(LEFT($D11,5)="Other",
VLOOKUP($A11,'IP1'!$A$37:$G$89,4,0)*
VLOOKUP(
VLOOKUP($A11,'IP1'!$A$37:$G$89,7,0),Patterns!$A$2:$N$28,COLUMN(I11)-2,0)/
VLOOKUP(
VLOOKUP($A11,'IP1'!$A$37:$G$89,7,0),Patterns!$A$2:$N$28,2,0),
IF(LEFT($D11,7)="Payroll",
SUMPRODUCT(($B11='IP1'!$B$96:$B$114)*('IP1'!$D$96:$D$114))/12,
SUMPRODUCT(($B11='IP1'!$B$96:$B$114)*('IP1'!$D$96:$D$114))/12*
IF(YEAR(I$3)=2013,'IP1'!$F$154,'IP1'!$G$154)
))</f>
        <v>12083.333333333334</v>
      </c>
      <c r="J11" s="85">
        <f>IF(LEFT($D11,5)="Other",
VLOOKUP($A11,'IP1'!$A$37:$G$89,4,0)*
VLOOKUP(
VLOOKUP($A11,'IP1'!$A$37:$G$89,7,0),Patterns!$A$2:$N$28,COLUMN(J11)-2,0)/
VLOOKUP(
VLOOKUP($A11,'IP1'!$A$37:$G$89,7,0),Patterns!$A$2:$N$28,2,0),
IF(LEFT($D11,7)="Payroll",
SUMPRODUCT(($B11='IP1'!$B$96:$B$114)*('IP1'!$D$96:$D$114))/12,
SUMPRODUCT(($B11='IP1'!$B$96:$B$114)*('IP1'!$D$96:$D$114))/12*
IF(YEAR(J$3)=2013,'IP1'!$F$154,'IP1'!$G$154)
))</f>
        <v>12083.333333333334</v>
      </c>
      <c r="K11" s="85">
        <f>IF(LEFT($D11,5)="Other",
VLOOKUP($A11,'IP1'!$A$37:$G$89,4,0)*
VLOOKUP(
VLOOKUP($A11,'IP1'!$A$37:$G$89,7,0),Patterns!$A$2:$N$28,COLUMN(K11)-2,0)/
VLOOKUP(
VLOOKUP($A11,'IP1'!$A$37:$G$89,7,0),Patterns!$A$2:$N$28,2,0),
IF(LEFT($D11,7)="Payroll",
SUMPRODUCT(($B11='IP1'!$B$96:$B$114)*('IP1'!$D$96:$D$114))/12,
SUMPRODUCT(($B11='IP1'!$B$96:$B$114)*('IP1'!$D$96:$D$114))/12*
IF(YEAR(K$3)=2013,'IP1'!$F$154,'IP1'!$G$154)
))</f>
        <v>12083.333333333334</v>
      </c>
      <c r="L11" s="85">
        <f>IF(LEFT($D11,5)="Other",
VLOOKUP($A11,'IP1'!$A$37:$G$89,4,0)*
VLOOKUP(
VLOOKUP($A11,'IP1'!$A$37:$G$89,7,0),Patterns!$A$2:$N$28,COLUMN(L11)-2,0)/
VLOOKUP(
VLOOKUP($A11,'IP1'!$A$37:$G$89,7,0),Patterns!$A$2:$N$28,2,0),
IF(LEFT($D11,7)="Payroll",
SUMPRODUCT(($B11='IP1'!$B$96:$B$114)*('IP1'!$D$96:$D$114))/12,
SUMPRODUCT(($B11='IP1'!$B$96:$B$114)*('IP1'!$D$96:$D$114))/12*
IF(YEAR(L$3)=2013,'IP1'!$F$154,'IP1'!$G$154)
))</f>
        <v>12083.333333333334</v>
      </c>
      <c r="M11" s="85">
        <f>IF(LEFT($D11,5)="Other",
VLOOKUP($A11,'IP1'!$A$37:$G$89,4,0)*
VLOOKUP(
VLOOKUP($A11,'IP1'!$A$37:$G$89,7,0),Patterns!$A$2:$N$28,COLUMN(M11)-2,0)/
VLOOKUP(
VLOOKUP($A11,'IP1'!$A$37:$G$89,7,0),Patterns!$A$2:$N$28,2,0),
IF(LEFT($D11,7)="Payroll",
SUMPRODUCT(($B11='IP1'!$B$96:$B$114)*('IP1'!$D$96:$D$114))/12,
SUMPRODUCT(($B11='IP1'!$B$96:$B$114)*('IP1'!$D$96:$D$114))/12*
IF(YEAR(M$3)=2013,'IP1'!$F$154,'IP1'!$G$154)
))</f>
        <v>12083.333333333334</v>
      </c>
      <c r="N11" s="85">
        <f>IF(LEFT($D11,5)="Other",
VLOOKUP($A11,'IP1'!$A$37:$G$89,4,0)*
VLOOKUP(
VLOOKUP($A11,'IP1'!$A$37:$G$89,7,0),Patterns!$A$2:$N$28,COLUMN(N11)-2,0)/
VLOOKUP(
VLOOKUP($A11,'IP1'!$A$37:$G$89,7,0),Patterns!$A$2:$N$28,2,0),
IF(LEFT($D11,7)="Payroll",
SUMPRODUCT(($B11='IP1'!$B$96:$B$114)*('IP1'!$D$96:$D$114))/12,
SUMPRODUCT(($B11='IP1'!$B$96:$B$114)*('IP1'!$D$96:$D$114))/12*
IF(YEAR(N$3)=2013,'IP1'!$F$154,'IP1'!$G$154)
))</f>
        <v>12083.333333333334</v>
      </c>
      <c r="O11" s="85">
        <f>IF(LEFT($D11,5)="Other",
VLOOKUP($A11,'IP1'!$A$37:$G$89,4,0)*
VLOOKUP(
VLOOKUP($A11,'IP1'!$A$37:$G$89,7,0),Patterns!$A$2:$N$28,COLUMN(O11)-2,0)/
VLOOKUP(
VLOOKUP($A11,'IP1'!$A$37:$G$89,7,0),Patterns!$A$2:$N$28,2,0),
IF(LEFT($D11,7)="Payroll",
SUMPRODUCT(($B11='IP1'!$B$96:$B$114)*('IP1'!$D$96:$D$114))/12,
SUMPRODUCT(($B11='IP1'!$B$96:$B$114)*('IP1'!$D$96:$D$114))/12*
IF(YEAR(O$3)=2013,'IP1'!$F$154,'IP1'!$G$154)
))</f>
        <v>12083.333333333334</v>
      </c>
      <c r="P11" s="85">
        <f>IF(LEFT($D11,5)="Other",
VLOOKUP($A11,'IP1'!$A$37:$G$89,4,0)*
VLOOKUP(
VLOOKUP($A11,'IP1'!$A$37:$G$89,7,0),Patterns!$A$2:$N$28,COLUMN(P11)-2,0)/
VLOOKUP(
VLOOKUP($A11,'IP1'!$A$37:$G$89,7,0),Patterns!$A$2:$N$28,2,0),
IF(LEFT($D11,7)="Payroll",
SUMPRODUCT(($B11='IP1'!$B$96:$B$114)*('IP1'!$D$96:$D$114))/12,
SUMPRODUCT(($B11='IP1'!$B$96:$B$114)*('IP1'!$D$96:$D$114))/12*
IF(YEAR(P$3)=2013,'IP1'!$F$154,'IP1'!$G$154)
))</f>
        <v>12083.333333333334</v>
      </c>
      <c r="Q11" s="85">
        <f>IF(LEFT($D11,5)="Other",
VLOOKUP($A11,'IP1'!$A$37:$G$89,5,0)*
VLOOKUP(
VLOOKUP($A11,'IP1'!$A$37:$G$89,7,0),Patterns!$A$2:$N$28,COLUMN(Q11)-14,0)/
VLOOKUP(
VLOOKUP($A11,'IP1'!$A$37:$G$89,7,0),Patterns!$A$2:$N$28,2,0),
IF(LEFT($D11,7)="Payroll",
SUMPRODUCT(($B11='IP1'!$B$96:$B$114)*('IP1'!$E$96:$E$114))/12,
SUMPRODUCT(($B11='IP1'!$B$96:$B$114)*('IP1'!$E$96:$E$114))/12*
IF(YEAR(Q$3)=2013,'IP1'!$F$154,'IP1'!$G$154)
))</f>
        <v>12500</v>
      </c>
      <c r="R11" s="85">
        <f>IF(LEFT($D11,5)="Other",
VLOOKUP($A11,'IP1'!$A$37:$G$89,5,0)*
VLOOKUP(
VLOOKUP($A11,'IP1'!$A$37:$G$89,7,0),Patterns!$A$2:$N$28,COLUMN(R11)-14,0)/
VLOOKUP(
VLOOKUP($A11,'IP1'!$A$37:$G$89,7,0),Patterns!$A$2:$N$28,2,0),
IF(LEFT($D11,7)="Payroll",
SUMPRODUCT(($B11='IP1'!$B$96:$B$114)*('IP1'!$E$96:$E$114))/12,
SUMPRODUCT(($B11='IP1'!$B$96:$B$114)*('IP1'!$E$96:$E$114))/12*
IF(YEAR(R$3)=2013,'IP1'!$F$154,'IP1'!$G$154)
))</f>
        <v>12500</v>
      </c>
      <c r="S11" s="85">
        <f>IF(LEFT($D11,5)="Other",
VLOOKUP($A11,'IP1'!$A$37:$G$89,5,0)*
VLOOKUP(
VLOOKUP($A11,'IP1'!$A$37:$G$89,7,0),Patterns!$A$2:$N$28,COLUMN(S11)-14,0)/
VLOOKUP(
VLOOKUP($A11,'IP1'!$A$37:$G$89,7,0),Patterns!$A$2:$N$28,2,0),
IF(LEFT($D11,7)="Payroll",
SUMPRODUCT(($B11='IP1'!$B$96:$B$114)*('IP1'!$E$96:$E$114))/12,
SUMPRODUCT(($B11='IP1'!$B$96:$B$114)*('IP1'!$E$96:$E$114))/12*
IF(YEAR(S$3)=2013,'IP1'!$F$154,'IP1'!$G$154)
))</f>
        <v>12500</v>
      </c>
      <c r="T11" s="85">
        <f>IF(LEFT($D11,5)="Other",
VLOOKUP($A11,'IP1'!$A$37:$G$89,5,0)*
VLOOKUP(
VLOOKUP($A11,'IP1'!$A$37:$G$89,7,0),Patterns!$A$2:$N$28,COLUMN(T11)-14,0)/
VLOOKUP(
VLOOKUP($A11,'IP1'!$A$37:$G$89,7,0),Patterns!$A$2:$N$28,2,0),
IF(LEFT($D11,7)="Payroll",
SUMPRODUCT(($B11='IP1'!$B$96:$B$114)*('IP1'!$E$96:$E$114))/12,
SUMPRODUCT(($B11='IP1'!$B$96:$B$114)*('IP1'!$E$96:$E$114))/12*
IF(YEAR(T$3)=2013,'IP1'!$F$154,'IP1'!$G$154)
))</f>
        <v>12500</v>
      </c>
      <c r="U11" s="85">
        <f>IF(LEFT($D11,5)="Other",
VLOOKUP($A11,'IP1'!$A$37:$G$89,5,0)*
VLOOKUP(
VLOOKUP($A11,'IP1'!$A$37:$G$89,7,0),Patterns!$A$2:$N$28,COLUMN(U11)-14,0)/
VLOOKUP(
VLOOKUP($A11,'IP1'!$A$37:$G$89,7,0),Patterns!$A$2:$N$28,2,0),
IF(LEFT($D11,7)="Payroll",
SUMPRODUCT(($B11='IP1'!$B$96:$B$114)*('IP1'!$E$96:$E$114))/12,
SUMPRODUCT(($B11='IP1'!$B$96:$B$114)*('IP1'!$E$96:$E$114))/12*
IF(YEAR(U$3)=2013,'IP1'!$F$154,'IP1'!$G$154)
))</f>
        <v>12500</v>
      </c>
      <c r="V11" s="85">
        <f>IF(LEFT($D11,5)="Other",
VLOOKUP($A11,'IP1'!$A$37:$G$89,5,0)*
VLOOKUP(
VLOOKUP($A11,'IP1'!$A$37:$G$89,7,0),Patterns!$A$2:$N$28,COLUMN(V11)-14,0)/
VLOOKUP(
VLOOKUP($A11,'IP1'!$A$37:$G$89,7,0),Patterns!$A$2:$N$28,2,0),
IF(LEFT($D11,7)="Payroll",
SUMPRODUCT(($B11='IP1'!$B$96:$B$114)*('IP1'!$E$96:$E$114))/12,
SUMPRODUCT(($B11='IP1'!$B$96:$B$114)*('IP1'!$E$96:$E$114))/12*
IF(YEAR(V$3)=2013,'IP1'!$F$154,'IP1'!$G$154)
))</f>
        <v>12500</v>
      </c>
      <c r="W11" s="85">
        <f>IF(LEFT($D11,5)="Other",
VLOOKUP($A11,'IP1'!$A$37:$G$89,5,0)*
VLOOKUP(
VLOOKUP($A11,'IP1'!$A$37:$G$89,7,0),Patterns!$A$2:$N$28,COLUMN(W11)-14,0)/
VLOOKUP(
VLOOKUP($A11,'IP1'!$A$37:$G$89,7,0),Patterns!$A$2:$N$28,2,0),
IF(LEFT($D11,7)="Payroll",
SUMPRODUCT(($B11='IP1'!$B$96:$B$114)*('IP1'!$E$96:$E$114))/12,
SUMPRODUCT(($B11='IP1'!$B$96:$B$114)*('IP1'!$E$96:$E$114))/12*
IF(YEAR(W$3)=2013,'IP1'!$F$154,'IP1'!$G$154)
))</f>
        <v>12500</v>
      </c>
      <c r="X11" s="85">
        <f>IF(LEFT($D11,5)="Other",
VLOOKUP($A11,'IP1'!$A$37:$G$89,5,0)*
VLOOKUP(
VLOOKUP($A11,'IP1'!$A$37:$G$89,7,0),Patterns!$A$2:$N$28,COLUMN(X11)-14,0)/
VLOOKUP(
VLOOKUP($A11,'IP1'!$A$37:$G$89,7,0),Patterns!$A$2:$N$28,2,0),
IF(LEFT($D11,7)="Payroll",
SUMPRODUCT(($B11='IP1'!$B$96:$B$114)*('IP1'!$E$96:$E$114))/12,
SUMPRODUCT(($B11='IP1'!$B$96:$B$114)*('IP1'!$E$96:$E$114))/12*
IF(YEAR(X$3)=2013,'IP1'!$F$154,'IP1'!$G$154)
))</f>
        <v>12500</v>
      </c>
      <c r="Y11" s="85">
        <f>IF(LEFT($D11,5)="Other",
VLOOKUP($A11,'IP1'!$A$37:$G$89,5,0)*
VLOOKUP(
VLOOKUP($A11,'IP1'!$A$37:$G$89,7,0),Patterns!$A$2:$N$28,COLUMN(Y11)-14,0)/
VLOOKUP(
VLOOKUP($A11,'IP1'!$A$37:$G$89,7,0),Patterns!$A$2:$N$28,2,0),
IF(LEFT($D11,7)="Payroll",
SUMPRODUCT(($B11='IP1'!$B$96:$B$114)*('IP1'!$E$96:$E$114))/12,
SUMPRODUCT(($B11='IP1'!$B$96:$B$114)*('IP1'!$E$96:$E$114))/12*
IF(YEAR(Y$3)=2013,'IP1'!$F$154,'IP1'!$G$154)
))</f>
        <v>12500</v>
      </c>
      <c r="Z11" s="85">
        <f>IF(LEFT($D11,5)="Other",
VLOOKUP($A11,'IP1'!$A$37:$G$89,5,0)*
VLOOKUP(
VLOOKUP($A11,'IP1'!$A$37:$G$89,7,0),Patterns!$A$2:$N$28,COLUMN(Z11)-14,0)/
VLOOKUP(
VLOOKUP($A11,'IP1'!$A$37:$G$89,7,0),Patterns!$A$2:$N$28,2,0),
IF(LEFT($D11,7)="Payroll",
SUMPRODUCT(($B11='IP1'!$B$96:$B$114)*('IP1'!$E$96:$E$114))/12,
SUMPRODUCT(($B11='IP1'!$B$96:$B$114)*('IP1'!$E$96:$E$114))/12*
IF(YEAR(Z$3)=2013,'IP1'!$F$154,'IP1'!$G$154)
))</f>
        <v>12500</v>
      </c>
      <c r="AA11" s="85">
        <f>IF(LEFT($D11,5)="Other",
VLOOKUP($A11,'IP1'!$A$37:$G$89,5,0)*
VLOOKUP(
VLOOKUP($A11,'IP1'!$A$37:$G$89,7,0),Patterns!$A$2:$N$28,COLUMN(AA11)-14,0)/
VLOOKUP(
VLOOKUP($A11,'IP1'!$A$37:$G$89,7,0),Patterns!$A$2:$N$28,2,0),
IF(LEFT($D11,7)="Payroll",
SUMPRODUCT(($B11='IP1'!$B$96:$B$114)*('IP1'!$E$96:$E$114))/12,
SUMPRODUCT(($B11='IP1'!$B$96:$B$114)*('IP1'!$E$96:$E$114))/12*
IF(YEAR(AA$3)=2013,'IP1'!$F$154,'IP1'!$G$154)
))</f>
        <v>12500</v>
      </c>
      <c r="AB11" s="85">
        <f>IF(LEFT($D11,5)="Other",
VLOOKUP($A11,'IP1'!$A$37:$G$89,5,0)*
VLOOKUP(
VLOOKUP($A11,'IP1'!$A$37:$G$89,7,0),Patterns!$A$2:$N$28,COLUMN(AB11)-14,0)/
VLOOKUP(
VLOOKUP($A11,'IP1'!$A$37:$G$89,7,0),Patterns!$A$2:$N$28,2,0),
IF(LEFT($D11,7)="Payroll",
SUMPRODUCT(($B11='IP1'!$B$96:$B$114)*('IP1'!$E$96:$E$114))/12,
SUMPRODUCT(($B11='IP1'!$B$96:$B$114)*('IP1'!$E$96:$E$114))/12*
IF(YEAR(AB$3)=2013,'IP1'!$F$154,'IP1'!$G$154)
))</f>
        <v>12500</v>
      </c>
    </row>
    <row r="12" spans="1:28">
      <c r="A12" s="1" t="str">
        <f t="shared" si="2"/>
        <v>AdministrationPAYE / PRSI</v>
      </c>
      <c r="B12" s="1" t="s">
        <v>155</v>
      </c>
      <c r="C12" s="1" t="s">
        <v>25</v>
      </c>
      <c r="D12" s="11" t="s">
        <v>65</v>
      </c>
      <c r="E12" s="85">
        <f>IF(LEFT($D12,5)="Other",
VLOOKUP($A12,'IP1'!$A$37:$G$89,4,0)*
VLOOKUP(
VLOOKUP($A12,'IP1'!$A$37:$G$89,7,0),Patterns!$A$2:$N$28,COLUMN(E12)-2,0)/
VLOOKUP(
VLOOKUP($A12,'IP1'!$A$37:$G$89,7,0),Patterns!$A$2:$N$28,2,0),
IF(LEFT($D12,7)="Payroll",
SUMPRODUCT(($B12='IP1'!$B$96:$B$114)*('IP1'!$D$96:$D$114))/12,
SUMPRODUCT(($B12='IP1'!$B$96:$B$114)*('IP1'!$D$96:$D$114))/12*
IF(YEAR(E$3)=2013,'IP1'!$F$154,'IP1'!$G$154)
))</f>
        <v>1812.5</v>
      </c>
      <c r="F12" s="85">
        <f>IF(LEFT($D12,5)="Other",
VLOOKUP($A12,'IP1'!$A$37:$G$89,4,0)*
VLOOKUP(
VLOOKUP($A12,'IP1'!$A$37:$G$89,7,0),Patterns!$A$2:$N$28,COLUMN(F12)-2,0)/
VLOOKUP(
VLOOKUP($A12,'IP1'!$A$37:$G$89,7,0),Patterns!$A$2:$N$28,2,0),
IF(LEFT($D12,7)="Payroll",
SUMPRODUCT(($B12='IP1'!$B$96:$B$114)*('IP1'!$D$96:$D$114))/12,
SUMPRODUCT(($B12='IP1'!$B$96:$B$114)*('IP1'!$D$96:$D$114))/12*
IF(YEAR(F$3)=2013,'IP1'!$F$154,'IP1'!$G$154)
))</f>
        <v>1812.5</v>
      </c>
      <c r="G12" s="85">
        <f>IF(LEFT($D12,5)="Other",
VLOOKUP($A12,'IP1'!$A$37:$G$89,4,0)*
VLOOKUP(
VLOOKUP($A12,'IP1'!$A$37:$G$89,7,0),Patterns!$A$2:$N$28,COLUMN(G12)-2,0)/
VLOOKUP(
VLOOKUP($A12,'IP1'!$A$37:$G$89,7,0),Patterns!$A$2:$N$28,2,0),
IF(LEFT($D12,7)="Payroll",
SUMPRODUCT(($B12='IP1'!$B$96:$B$114)*('IP1'!$D$96:$D$114))/12,
SUMPRODUCT(($B12='IP1'!$B$96:$B$114)*('IP1'!$D$96:$D$114))/12*
IF(YEAR(G$3)=2013,'IP1'!$F$154,'IP1'!$G$154)
))</f>
        <v>1812.5</v>
      </c>
      <c r="H12" s="85">
        <f>IF(LEFT($D12,5)="Other",
VLOOKUP($A12,'IP1'!$A$37:$G$89,4,0)*
VLOOKUP(
VLOOKUP($A12,'IP1'!$A$37:$G$89,7,0),Patterns!$A$2:$N$28,COLUMN(H12)-2,0)/
VLOOKUP(
VLOOKUP($A12,'IP1'!$A$37:$G$89,7,0),Patterns!$A$2:$N$28,2,0),
IF(LEFT($D12,7)="Payroll",
SUMPRODUCT(($B12='IP1'!$B$96:$B$114)*('IP1'!$D$96:$D$114))/12,
SUMPRODUCT(($B12='IP1'!$B$96:$B$114)*('IP1'!$D$96:$D$114))/12*
IF(YEAR(H$3)=2013,'IP1'!$F$154,'IP1'!$G$154)
))</f>
        <v>1812.5</v>
      </c>
      <c r="I12" s="85">
        <f>IF(LEFT($D12,5)="Other",
VLOOKUP($A12,'IP1'!$A$37:$G$89,4,0)*
VLOOKUP(
VLOOKUP($A12,'IP1'!$A$37:$G$89,7,0),Patterns!$A$2:$N$28,COLUMN(I12)-2,0)/
VLOOKUP(
VLOOKUP($A12,'IP1'!$A$37:$G$89,7,0),Patterns!$A$2:$N$28,2,0),
IF(LEFT($D12,7)="Payroll",
SUMPRODUCT(($B12='IP1'!$B$96:$B$114)*('IP1'!$D$96:$D$114))/12,
SUMPRODUCT(($B12='IP1'!$B$96:$B$114)*('IP1'!$D$96:$D$114))/12*
IF(YEAR(I$3)=2013,'IP1'!$F$154,'IP1'!$G$154)
))</f>
        <v>1812.5</v>
      </c>
      <c r="J12" s="85">
        <f>IF(LEFT($D12,5)="Other",
VLOOKUP($A12,'IP1'!$A$37:$G$89,4,0)*
VLOOKUP(
VLOOKUP($A12,'IP1'!$A$37:$G$89,7,0),Patterns!$A$2:$N$28,COLUMN(J12)-2,0)/
VLOOKUP(
VLOOKUP($A12,'IP1'!$A$37:$G$89,7,0),Patterns!$A$2:$N$28,2,0),
IF(LEFT($D12,7)="Payroll",
SUMPRODUCT(($B12='IP1'!$B$96:$B$114)*('IP1'!$D$96:$D$114))/12,
SUMPRODUCT(($B12='IP1'!$B$96:$B$114)*('IP1'!$D$96:$D$114))/12*
IF(YEAR(J$3)=2013,'IP1'!$F$154,'IP1'!$G$154)
))</f>
        <v>1812.5</v>
      </c>
      <c r="K12" s="85">
        <f>IF(LEFT($D12,5)="Other",
VLOOKUP($A12,'IP1'!$A$37:$G$89,4,0)*
VLOOKUP(
VLOOKUP($A12,'IP1'!$A$37:$G$89,7,0),Patterns!$A$2:$N$28,COLUMN(K12)-2,0)/
VLOOKUP(
VLOOKUP($A12,'IP1'!$A$37:$G$89,7,0),Patterns!$A$2:$N$28,2,0),
IF(LEFT($D12,7)="Payroll",
SUMPRODUCT(($B12='IP1'!$B$96:$B$114)*('IP1'!$D$96:$D$114))/12,
SUMPRODUCT(($B12='IP1'!$B$96:$B$114)*('IP1'!$D$96:$D$114))/12*
IF(YEAR(K$3)=2013,'IP1'!$F$154,'IP1'!$G$154)
))</f>
        <v>1812.5</v>
      </c>
      <c r="L12" s="85">
        <f>IF(LEFT($D12,5)="Other",
VLOOKUP($A12,'IP1'!$A$37:$G$89,4,0)*
VLOOKUP(
VLOOKUP($A12,'IP1'!$A$37:$G$89,7,0),Patterns!$A$2:$N$28,COLUMN(L12)-2,0)/
VLOOKUP(
VLOOKUP($A12,'IP1'!$A$37:$G$89,7,0),Patterns!$A$2:$N$28,2,0),
IF(LEFT($D12,7)="Payroll",
SUMPRODUCT(($B12='IP1'!$B$96:$B$114)*('IP1'!$D$96:$D$114))/12,
SUMPRODUCT(($B12='IP1'!$B$96:$B$114)*('IP1'!$D$96:$D$114))/12*
IF(YEAR(L$3)=2013,'IP1'!$F$154,'IP1'!$G$154)
))</f>
        <v>1812.5</v>
      </c>
      <c r="M12" s="85">
        <f>IF(LEFT($D12,5)="Other",
VLOOKUP($A12,'IP1'!$A$37:$G$89,4,0)*
VLOOKUP(
VLOOKUP($A12,'IP1'!$A$37:$G$89,7,0),Patterns!$A$2:$N$28,COLUMN(M12)-2,0)/
VLOOKUP(
VLOOKUP($A12,'IP1'!$A$37:$G$89,7,0),Patterns!$A$2:$N$28,2,0),
IF(LEFT($D12,7)="Payroll",
SUMPRODUCT(($B12='IP1'!$B$96:$B$114)*('IP1'!$D$96:$D$114))/12,
SUMPRODUCT(($B12='IP1'!$B$96:$B$114)*('IP1'!$D$96:$D$114))/12*
IF(YEAR(M$3)=2013,'IP1'!$F$154,'IP1'!$G$154)
))</f>
        <v>1812.5</v>
      </c>
      <c r="N12" s="85">
        <f>IF(LEFT($D12,5)="Other",
VLOOKUP($A12,'IP1'!$A$37:$G$89,4,0)*
VLOOKUP(
VLOOKUP($A12,'IP1'!$A$37:$G$89,7,0),Patterns!$A$2:$N$28,COLUMN(N12)-2,0)/
VLOOKUP(
VLOOKUP($A12,'IP1'!$A$37:$G$89,7,0),Patterns!$A$2:$N$28,2,0),
IF(LEFT($D12,7)="Payroll",
SUMPRODUCT(($B12='IP1'!$B$96:$B$114)*('IP1'!$D$96:$D$114))/12,
SUMPRODUCT(($B12='IP1'!$B$96:$B$114)*('IP1'!$D$96:$D$114))/12*
IF(YEAR(N$3)=2013,'IP1'!$F$154,'IP1'!$G$154)
))</f>
        <v>1812.5</v>
      </c>
      <c r="O12" s="85">
        <f>IF(LEFT($D12,5)="Other",
VLOOKUP($A12,'IP1'!$A$37:$G$89,4,0)*
VLOOKUP(
VLOOKUP($A12,'IP1'!$A$37:$G$89,7,0),Patterns!$A$2:$N$28,COLUMN(O12)-2,0)/
VLOOKUP(
VLOOKUP($A12,'IP1'!$A$37:$G$89,7,0),Patterns!$A$2:$N$28,2,0),
IF(LEFT($D12,7)="Payroll",
SUMPRODUCT(($B12='IP1'!$B$96:$B$114)*('IP1'!$D$96:$D$114))/12,
SUMPRODUCT(($B12='IP1'!$B$96:$B$114)*('IP1'!$D$96:$D$114))/12*
IF(YEAR(O$3)=2013,'IP1'!$F$154,'IP1'!$G$154)
))</f>
        <v>1812.5</v>
      </c>
      <c r="P12" s="85">
        <f>IF(LEFT($D12,5)="Other",
VLOOKUP($A12,'IP1'!$A$37:$G$89,4,0)*
VLOOKUP(
VLOOKUP($A12,'IP1'!$A$37:$G$89,7,0),Patterns!$A$2:$N$28,COLUMN(P12)-2,0)/
VLOOKUP(
VLOOKUP($A12,'IP1'!$A$37:$G$89,7,0),Patterns!$A$2:$N$28,2,0),
IF(LEFT($D12,7)="Payroll",
SUMPRODUCT(($B12='IP1'!$B$96:$B$114)*('IP1'!$D$96:$D$114))/12,
SUMPRODUCT(($B12='IP1'!$B$96:$B$114)*('IP1'!$D$96:$D$114))/12*
IF(YEAR(P$3)=2013,'IP1'!$F$154,'IP1'!$G$154)
))</f>
        <v>1812.5</v>
      </c>
      <c r="Q12" s="85">
        <f>IF(LEFT($D12,5)="Other",
VLOOKUP($A12,'IP1'!$A$37:$G$89,5,0)*
VLOOKUP(
VLOOKUP($A12,'IP1'!$A$37:$G$89,7,0),Patterns!$A$2:$N$28,COLUMN(Q12)-14,0)/
VLOOKUP(
VLOOKUP($A12,'IP1'!$A$37:$G$89,7,0),Patterns!$A$2:$N$28,2,0),
IF(LEFT($D12,7)="Payroll",
SUMPRODUCT(($B12='IP1'!$B$96:$B$114)*('IP1'!$E$96:$E$114))/12,
SUMPRODUCT(($B12='IP1'!$B$96:$B$114)*('IP1'!$E$96:$E$114))/12*
IF(YEAR(Q$3)=2013,'IP1'!$F$154,'IP1'!$G$154)
))</f>
        <v>1875</v>
      </c>
      <c r="R12" s="85">
        <f>IF(LEFT($D12,5)="Other",
VLOOKUP($A12,'IP1'!$A$37:$G$89,5,0)*
VLOOKUP(
VLOOKUP($A12,'IP1'!$A$37:$G$89,7,0),Patterns!$A$2:$N$28,COLUMN(R12)-14,0)/
VLOOKUP(
VLOOKUP($A12,'IP1'!$A$37:$G$89,7,0),Patterns!$A$2:$N$28,2,0),
IF(LEFT($D12,7)="Payroll",
SUMPRODUCT(($B12='IP1'!$B$96:$B$114)*('IP1'!$E$96:$E$114))/12,
SUMPRODUCT(($B12='IP1'!$B$96:$B$114)*('IP1'!$E$96:$E$114))/12*
IF(YEAR(R$3)=2013,'IP1'!$F$154,'IP1'!$G$154)
))</f>
        <v>1875</v>
      </c>
      <c r="S12" s="85">
        <f>IF(LEFT($D12,5)="Other",
VLOOKUP($A12,'IP1'!$A$37:$G$89,5,0)*
VLOOKUP(
VLOOKUP($A12,'IP1'!$A$37:$G$89,7,0),Patterns!$A$2:$N$28,COLUMN(S12)-14,0)/
VLOOKUP(
VLOOKUP($A12,'IP1'!$A$37:$G$89,7,0),Patterns!$A$2:$N$28,2,0),
IF(LEFT($D12,7)="Payroll",
SUMPRODUCT(($B12='IP1'!$B$96:$B$114)*('IP1'!$E$96:$E$114))/12,
SUMPRODUCT(($B12='IP1'!$B$96:$B$114)*('IP1'!$E$96:$E$114))/12*
IF(YEAR(S$3)=2013,'IP1'!$F$154,'IP1'!$G$154)
))</f>
        <v>1875</v>
      </c>
      <c r="T12" s="85">
        <f>IF(LEFT($D12,5)="Other",
VLOOKUP($A12,'IP1'!$A$37:$G$89,5,0)*
VLOOKUP(
VLOOKUP($A12,'IP1'!$A$37:$G$89,7,0),Patterns!$A$2:$N$28,COLUMN(T12)-14,0)/
VLOOKUP(
VLOOKUP($A12,'IP1'!$A$37:$G$89,7,0),Patterns!$A$2:$N$28,2,0),
IF(LEFT($D12,7)="Payroll",
SUMPRODUCT(($B12='IP1'!$B$96:$B$114)*('IP1'!$E$96:$E$114))/12,
SUMPRODUCT(($B12='IP1'!$B$96:$B$114)*('IP1'!$E$96:$E$114))/12*
IF(YEAR(T$3)=2013,'IP1'!$F$154,'IP1'!$G$154)
))</f>
        <v>1875</v>
      </c>
      <c r="U12" s="85">
        <f>IF(LEFT($D12,5)="Other",
VLOOKUP($A12,'IP1'!$A$37:$G$89,5,0)*
VLOOKUP(
VLOOKUP($A12,'IP1'!$A$37:$G$89,7,0),Patterns!$A$2:$N$28,COLUMN(U12)-14,0)/
VLOOKUP(
VLOOKUP($A12,'IP1'!$A$37:$G$89,7,0),Patterns!$A$2:$N$28,2,0),
IF(LEFT($D12,7)="Payroll",
SUMPRODUCT(($B12='IP1'!$B$96:$B$114)*('IP1'!$E$96:$E$114))/12,
SUMPRODUCT(($B12='IP1'!$B$96:$B$114)*('IP1'!$E$96:$E$114))/12*
IF(YEAR(U$3)=2013,'IP1'!$F$154,'IP1'!$G$154)
))</f>
        <v>1875</v>
      </c>
      <c r="V12" s="85">
        <f>IF(LEFT($D12,5)="Other",
VLOOKUP($A12,'IP1'!$A$37:$G$89,5,0)*
VLOOKUP(
VLOOKUP($A12,'IP1'!$A$37:$G$89,7,0),Patterns!$A$2:$N$28,COLUMN(V12)-14,0)/
VLOOKUP(
VLOOKUP($A12,'IP1'!$A$37:$G$89,7,0),Patterns!$A$2:$N$28,2,0),
IF(LEFT($D12,7)="Payroll",
SUMPRODUCT(($B12='IP1'!$B$96:$B$114)*('IP1'!$E$96:$E$114))/12,
SUMPRODUCT(($B12='IP1'!$B$96:$B$114)*('IP1'!$E$96:$E$114))/12*
IF(YEAR(V$3)=2013,'IP1'!$F$154,'IP1'!$G$154)
))</f>
        <v>1875</v>
      </c>
      <c r="W12" s="85">
        <f>IF(LEFT($D12,5)="Other",
VLOOKUP($A12,'IP1'!$A$37:$G$89,5,0)*
VLOOKUP(
VLOOKUP($A12,'IP1'!$A$37:$G$89,7,0),Patterns!$A$2:$N$28,COLUMN(W12)-14,0)/
VLOOKUP(
VLOOKUP($A12,'IP1'!$A$37:$G$89,7,0),Patterns!$A$2:$N$28,2,0),
IF(LEFT($D12,7)="Payroll",
SUMPRODUCT(($B12='IP1'!$B$96:$B$114)*('IP1'!$E$96:$E$114))/12,
SUMPRODUCT(($B12='IP1'!$B$96:$B$114)*('IP1'!$E$96:$E$114))/12*
IF(YEAR(W$3)=2013,'IP1'!$F$154,'IP1'!$G$154)
))</f>
        <v>1875</v>
      </c>
      <c r="X12" s="85">
        <f>IF(LEFT($D12,5)="Other",
VLOOKUP($A12,'IP1'!$A$37:$G$89,5,0)*
VLOOKUP(
VLOOKUP($A12,'IP1'!$A$37:$G$89,7,0),Patterns!$A$2:$N$28,COLUMN(X12)-14,0)/
VLOOKUP(
VLOOKUP($A12,'IP1'!$A$37:$G$89,7,0),Patterns!$A$2:$N$28,2,0),
IF(LEFT($D12,7)="Payroll",
SUMPRODUCT(($B12='IP1'!$B$96:$B$114)*('IP1'!$E$96:$E$114))/12,
SUMPRODUCT(($B12='IP1'!$B$96:$B$114)*('IP1'!$E$96:$E$114))/12*
IF(YEAR(X$3)=2013,'IP1'!$F$154,'IP1'!$G$154)
))</f>
        <v>1875</v>
      </c>
      <c r="Y12" s="85">
        <f>IF(LEFT($D12,5)="Other",
VLOOKUP($A12,'IP1'!$A$37:$G$89,5,0)*
VLOOKUP(
VLOOKUP($A12,'IP1'!$A$37:$G$89,7,0),Patterns!$A$2:$N$28,COLUMN(Y12)-14,0)/
VLOOKUP(
VLOOKUP($A12,'IP1'!$A$37:$G$89,7,0),Patterns!$A$2:$N$28,2,0),
IF(LEFT($D12,7)="Payroll",
SUMPRODUCT(($B12='IP1'!$B$96:$B$114)*('IP1'!$E$96:$E$114))/12,
SUMPRODUCT(($B12='IP1'!$B$96:$B$114)*('IP1'!$E$96:$E$114))/12*
IF(YEAR(Y$3)=2013,'IP1'!$F$154,'IP1'!$G$154)
))</f>
        <v>1875</v>
      </c>
      <c r="Z12" s="85">
        <f>IF(LEFT($D12,5)="Other",
VLOOKUP($A12,'IP1'!$A$37:$G$89,5,0)*
VLOOKUP(
VLOOKUP($A12,'IP1'!$A$37:$G$89,7,0),Patterns!$A$2:$N$28,COLUMN(Z12)-14,0)/
VLOOKUP(
VLOOKUP($A12,'IP1'!$A$37:$G$89,7,0),Patterns!$A$2:$N$28,2,0),
IF(LEFT($D12,7)="Payroll",
SUMPRODUCT(($B12='IP1'!$B$96:$B$114)*('IP1'!$E$96:$E$114))/12,
SUMPRODUCT(($B12='IP1'!$B$96:$B$114)*('IP1'!$E$96:$E$114))/12*
IF(YEAR(Z$3)=2013,'IP1'!$F$154,'IP1'!$G$154)
))</f>
        <v>1875</v>
      </c>
      <c r="AA12" s="85">
        <f>IF(LEFT($D12,5)="Other",
VLOOKUP($A12,'IP1'!$A$37:$G$89,5,0)*
VLOOKUP(
VLOOKUP($A12,'IP1'!$A$37:$G$89,7,0),Patterns!$A$2:$N$28,COLUMN(AA12)-14,0)/
VLOOKUP(
VLOOKUP($A12,'IP1'!$A$37:$G$89,7,0),Patterns!$A$2:$N$28,2,0),
IF(LEFT($D12,7)="Payroll",
SUMPRODUCT(($B12='IP1'!$B$96:$B$114)*('IP1'!$E$96:$E$114))/12,
SUMPRODUCT(($B12='IP1'!$B$96:$B$114)*('IP1'!$E$96:$E$114))/12*
IF(YEAR(AA$3)=2013,'IP1'!$F$154,'IP1'!$G$154)
))</f>
        <v>1875</v>
      </c>
      <c r="AB12" s="85">
        <f>IF(LEFT($D12,5)="Other",
VLOOKUP($A12,'IP1'!$A$37:$G$89,5,0)*
VLOOKUP(
VLOOKUP($A12,'IP1'!$A$37:$G$89,7,0),Patterns!$A$2:$N$28,COLUMN(AB12)-14,0)/
VLOOKUP(
VLOOKUP($A12,'IP1'!$A$37:$G$89,7,0),Patterns!$A$2:$N$28,2,0),
IF(LEFT($D12,7)="Payroll",
SUMPRODUCT(($B12='IP1'!$B$96:$B$114)*('IP1'!$E$96:$E$114))/12,
SUMPRODUCT(($B12='IP1'!$B$96:$B$114)*('IP1'!$E$96:$E$114))/12*
IF(YEAR(AB$3)=2013,'IP1'!$F$154,'IP1'!$G$154)
))</f>
        <v>1875</v>
      </c>
    </row>
    <row r="13" spans="1:28">
      <c r="A13" s="1" t="str">
        <f t="shared" si="2"/>
        <v xml:space="preserve">AdministrationBank charges </v>
      </c>
      <c r="B13" s="1" t="s">
        <v>155</v>
      </c>
      <c r="C13" s="1" t="s">
        <v>452</v>
      </c>
      <c r="D13" s="11" t="s">
        <v>100</v>
      </c>
      <c r="E13" s="85">
        <f>IF(LEFT($D13,5)="Other",
VLOOKUP($A13,'IP1'!$A$37:$G$89,4,0)*
VLOOKUP(
VLOOKUP($A13,'IP1'!$A$37:$G$89,7,0),Patterns!$A$2:$N$28,COLUMN(E13)-2,0)/
VLOOKUP(
VLOOKUP($A13,'IP1'!$A$37:$G$89,7,0),Patterns!$A$2:$N$28,2,0),
IF(LEFT($D13,7)="Payroll",
SUMPRODUCT(($B13='IP1'!$B$96:$B$114)*('IP1'!$D$96:$D$114))/12,
SUMPRODUCT(($B13='IP1'!$B$96:$B$114)*('IP1'!$D$96:$D$114))/12*
IF(YEAR(E$3)=2013,'IP1'!$F$154,'IP1'!$G$154)
))</f>
        <v>250</v>
      </c>
      <c r="F13" s="85">
        <f>IF(LEFT($D13,5)="Other",
VLOOKUP($A13,'IP1'!$A$37:$G$89,4,0)*
VLOOKUP(
VLOOKUP($A13,'IP1'!$A$37:$G$89,7,0),Patterns!$A$2:$N$28,COLUMN(F13)-2,0)/
VLOOKUP(
VLOOKUP($A13,'IP1'!$A$37:$G$89,7,0),Patterns!$A$2:$N$28,2,0),
IF(LEFT($D13,7)="Payroll",
SUMPRODUCT(($B13='IP1'!$B$96:$B$114)*('IP1'!$D$96:$D$114))/12,
SUMPRODUCT(($B13='IP1'!$B$96:$B$114)*('IP1'!$D$96:$D$114))/12*
IF(YEAR(F$3)=2013,'IP1'!$F$154,'IP1'!$G$154)
))</f>
        <v>0</v>
      </c>
      <c r="G13" s="85">
        <f>IF(LEFT($D13,5)="Other",
VLOOKUP($A13,'IP1'!$A$37:$G$89,4,0)*
VLOOKUP(
VLOOKUP($A13,'IP1'!$A$37:$G$89,7,0),Patterns!$A$2:$N$28,COLUMN(G13)-2,0)/
VLOOKUP(
VLOOKUP($A13,'IP1'!$A$37:$G$89,7,0),Patterns!$A$2:$N$28,2,0),
IF(LEFT($D13,7)="Payroll",
SUMPRODUCT(($B13='IP1'!$B$96:$B$114)*('IP1'!$D$96:$D$114))/12,
SUMPRODUCT(($B13='IP1'!$B$96:$B$114)*('IP1'!$D$96:$D$114))/12*
IF(YEAR(G$3)=2013,'IP1'!$F$154,'IP1'!$G$154)
))</f>
        <v>0</v>
      </c>
      <c r="H13" s="85">
        <f>IF(LEFT($D13,5)="Other",
VLOOKUP($A13,'IP1'!$A$37:$G$89,4,0)*
VLOOKUP(
VLOOKUP($A13,'IP1'!$A$37:$G$89,7,0),Patterns!$A$2:$N$28,COLUMN(H13)-2,0)/
VLOOKUP(
VLOOKUP($A13,'IP1'!$A$37:$G$89,7,0),Patterns!$A$2:$N$28,2,0),
IF(LEFT($D13,7)="Payroll",
SUMPRODUCT(($B13='IP1'!$B$96:$B$114)*('IP1'!$D$96:$D$114))/12,
SUMPRODUCT(($B13='IP1'!$B$96:$B$114)*('IP1'!$D$96:$D$114))/12*
IF(YEAR(H$3)=2013,'IP1'!$F$154,'IP1'!$G$154)
))</f>
        <v>250</v>
      </c>
      <c r="I13" s="85">
        <f>IF(LEFT($D13,5)="Other",
VLOOKUP($A13,'IP1'!$A$37:$G$89,4,0)*
VLOOKUP(
VLOOKUP($A13,'IP1'!$A$37:$G$89,7,0),Patterns!$A$2:$N$28,COLUMN(I13)-2,0)/
VLOOKUP(
VLOOKUP($A13,'IP1'!$A$37:$G$89,7,0),Patterns!$A$2:$N$28,2,0),
IF(LEFT($D13,7)="Payroll",
SUMPRODUCT(($B13='IP1'!$B$96:$B$114)*('IP1'!$D$96:$D$114))/12,
SUMPRODUCT(($B13='IP1'!$B$96:$B$114)*('IP1'!$D$96:$D$114))/12*
IF(YEAR(I$3)=2013,'IP1'!$F$154,'IP1'!$G$154)
))</f>
        <v>0</v>
      </c>
      <c r="J13" s="85">
        <f>IF(LEFT($D13,5)="Other",
VLOOKUP($A13,'IP1'!$A$37:$G$89,4,0)*
VLOOKUP(
VLOOKUP($A13,'IP1'!$A$37:$G$89,7,0),Patterns!$A$2:$N$28,COLUMN(J13)-2,0)/
VLOOKUP(
VLOOKUP($A13,'IP1'!$A$37:$G$89,7,0),Patterns!$A$2:$N$28,2,0),
IF(LEFT($D13,7)="Payroll",
SUMPRODUCT(($B13='IP1'!$B$96:$B$114)*('IP1'!$D$96:$D$114))/12,
SUMPRODUCT(($B13='IP1'!$B$96:$B$114)*('IP1'!$D$96:$D$114))/12*
IF(YEAR(J$3)=2013,'IP1'!$F$154,'IP1'!$G$154)
))</f>
        <v>0</v>
      </c>
      <c r="K13" s="85">
        <f>IF(LEFT($D13,5)="Other",
VLOOKUP($A13,'IP1'!$A$37:$G$89,4,0)*
VLOOKUP(
VLOOKUP($A13,'IP1'!$A$37:$G$89,7,0),Patterns!$A$2:$N$28,COLUMN(K13)-2,0)/
VLOOKUP(
VLOOKUP($A13,'IP1'!$A$37:$G$89,7,0),Patterns!$A$2:$N$28,2,0),
IF(LEFT($D13,7)="Payroll",
SUMPRODUCT(($B13='IP1'!$B$96:$B$114)*('IP1'!$D$96:$D$114))/12,
SUMPRODUCT(($B13='IP1'!$B$96:$B$114)*('IP1'!$D$96:$D$114))/12*
IF(YEAR(K$3)=2013,'IP1'!$F$154,'IP1'!$G$154)
))</f>
        <v>250</v>
      </c>
      <c r="L13" s="85">
        <f>IF(LEFT($D13,5)="Other",
VLOOKUP($A13,'IP1'!$A$37:$G$89,4,0)*
VLOOKUP(
VLOOKUP($A13,'IP1'!$A$37:$G$89,7,0),Patterns!$A$2:$N$28,COLUMN(L13)-2,0)/
VLOOKUP(
VLOOKUP($A13,'IP1'!$A$37:$G$89,7,0),Patterns!$A$2:$N$28,2,0),
IF(LEFT($D13,7)="Payroll",
SUMPRODUCT(($B13='IP1'!$B$96:$B$114)*('IP1'!$D$96:$D$114))/12,
SUMPRODUCT(($B13='IP1'!$B$96:$B$114)*('IP1'!$D$96:$D$114))/12*
IF(YEAR(L$3)=2013,'IP1'!$F$154,'IP1'!$G$154)
))</f>
        <v>0</v>
      </c>
      <c r="M13" s="85">
        <f>IF(LEFT($D13,5)="Other",
VLOOKUP($A13,'IP1'!$A$37:$G$89,4,0)*
VLOOKUP(
VLOOKUP($A13,'IP1'!$A$37:$G$89,7,0),Patterns!$A$2:$N$28,COLUMN(M13)-2,0)/
VLOOKUP(
VLOOKUP($A13,'IP1'!$A$37:$G$89,7,0),Patterns!$A$2:$N$28,2,0),
IF(LEFT($D13,7)="Payroll",
SUMPRODUCT(($B13='IP1'!$B$96:$B$114)*('IP1'!$D$96:$D$114))/12,
SUMPRODUCT(($B13='IP1'!$B$96:$B$114)*('IP1'!$D$96:$D$114))/12*
IF(YEAR(M$3)=2013,'IP1'!$F$154,'IP1'!$G$154)
))</f>
        <v>0</v>
      </c>
      <c r="N13" s="85">
        <f>IF(LEFT($D13,5)="Other",
VLOOKUP($A13,'IP1'!$A$37:$G$89,4,0)*
VLOOKUP(
VLOOKUP($A13,'IP1'!$A$37:$G$89,7,0),Patterns!$A$2:$N$28,COLUMN(N13)-2,0)/
VLOOKUP(
VLOOKUP($A13,'IP1'!$A$37:$G$89,7,0),Patterns!$A$2:$N$28,2,0),
IF(LEFT($D13,7)="Payroll",
SUMPRODUCT(($B13='IP1'!$B$96:$B$114)*('IP1'!$D$96:$D$114))/12,
SUMPRODUCT(($B13='IP1'!$B$96:$B$114)*('IP1'!$D$96:$D$114))/12*
IF(YEAR(N$3)=2013,'IP1'!$F$154,'IP1'!$G$154)
))</f>
        <v>250</v>
      </c>
      <c r="O13" s="85">
        <f>IF(LEFT($D13,5)="Other",
VLOOKUP($A13,'IP1'!$A$37:$G$89,4,0)*
VLOOKUP(
VLOOKUP($A13,'IP1'!$A$37:$G$89,7,0),Patterns!$A$2:$N$28,COLUMN(O13)-2,0)/
VLOOKUP(
VLOOKUP($A13,'IP1'!$A$37:$G$89,7,0),Patterns!$A$2:$N$28,2,0),
IF(LEFT($D13,7)="Payroll",
SUMPRODUCT(($B13='IP1'!$B$96:$B$114)*('IP1'!$D$96:$D$114))/12,
SUMPRODUCT(($B13='IP1'!$B$96:$B$114)*('IP1'!$D$96:$D$114))/12*
IF(YEAR(O$3)=2013,'IP1'!$F$154,'IP1'!$G$154)
))</f>
        <v>0</v>
      </c>
      <c r="P13" s="85">
        <f>IF(LEFT($D13,5)="Other",
VLOOKUP($A13,'IP1'!$A$37:$G$89,4,0)*
VLOOKUP(
VLOOKUP($A13,'IP1'!$A$37:$G$89,7,0),Patterns!$A$2:$N$28,COLUMN(P13)-2,0)/
VLOOKUP(
VLOOKUP($A13,'IP1'!$A$37:$G$89,7,0),Patterns!$A$2:$N$28,2,0),
IF(LEFT($D13,7)="Payroll",
SUMPRODUCT(($B13='IP1'!$B$96:$B$114)*('IP1'!$D$96:$D$114))/12,
SUMPRODUCT(($B13='IP1'!$B$96:$B$114)*('IP1'!$D$96:$D$114))/12*
IF(YEAR(P$3)=2013,'IP1'!$F$154,'IP1'!$G$154)
))</f>
        <v>0</v>
      </c>
      <c r="Q13" s="85">
        <f>IF(LEFT($D13,5)="Other",
VLOOKUP($A13,'IP1'!$A$37:$G$89,5,0)*
VLOOKUP(
VLOOKUP($A13,'IP1'!$A$37:$G$89,7,0),Patterns!$A$2:$N$28,COLUMN(Q13)-14,0)/
VLOOKUP(
VLOOKUP($A13,'IP1'!$A$37:$G$89,7,0),Patterns!$A$2:$N$28,2,0),
IF(LEFT($D13,7)="Payroll",
SUMPRODUCT(($B13='IP1'!$B$96:$B$114)*('IP1'!$E$96:$E$114))/12,
SUMPRODUCT(($B13='IP1'!$B$96:$B$114)*('IP1'!$E$96:$E$114))/12*
IF(YEAR(Q$3)=2013,'IP1'!$F$154,'IP1'!$G$154)
))</f>
        <v>250</v>
      </c>
      <c r="R13" s="85">
        <f>IF(LEFT($D13,5)="Other",
VLOOKUP($A13,'IP1'!$A$37:$G$89,5,0)*
VLOOKUP(
VLOOKUP($A13,'IP1'!$A$37:$G$89,7,0),Patterns!$A$2:$N$28,COLUMN(R13)-14,0)/
VLOOKUP(
VLOOKUP($A13,'IP1'!$A$37:$G$89,7,0),Patterns!$A$2:$N$28,2,0),
IF(LEFT($D13,7)="Payroll",
SUMPRODUCT(($B13='IP1'!$B$96:$B$114)*('IP1'!$E$96:$E$114))/12,
SUMPRODUCT(($B13='IP1'!$B$96:$B$114)*('IP1'!$E$96:$E$114))/12*
IF(YEAR(R$3)=2013,'IP1'!$F$154,'IP1'!$G$154)
))</f>
        <v>0</v>
      </c>
      <c r="S13" s="85">
        <f>IF(LEFT($D13,5)="Other",
VLOOKUP($A13,'IP1'!$A$37:$G$89,5,0)*
VLOOKUP(
VLOOKUP($A13,'IP1'!$A$37:$G$89,7,0),Patterns!$A$2:$N$28,COLUMN(S13)-14,0)/
VLOOKUP(
VLOOKUP($A13,'IP1'!$A$37:$G$89,7,0),Patterns!$A$2:$N$28,2,0),
IF(LEFT($D13,7)="Payroll",
SUMPRODUCT(($B13='IP1'!$B$96:$B$114)*('IP1'!$E$96:$E$114))/12,
SUMPRODUCT(($B13='IP1'!$B$96:$B$114)*('IP1'!$E$96:$E$114))/12*
IF(YEAR(S$3)=2013,'IP1'!$F$154,'IP1'!$G$154)
))</f>
        <v>0</v>
      </c>
      <c r="T13" s="85">
        <f>IF(LEFT($D13,5)="Other",
VLOOKUP($A13,'IP1'!$A$37:$G$89,5,0)*
VLOOKUP(
VLOOKUP($A13,'IP1'!$A$37:$G$89,7,0),Patterns!$A$2:$N$28,COLUMN(T13)-14,0)/
VLOOKUP(
VLOOKUP($A13,'IP1'!$A$37:$G$89,7,0),Patterns!$A$2:$N$28,2,0),
IF(LEFT($D13,7)="Payroll",
SUMPRODUCT(($B13='IP1'!$B$96:$B$114)*('IP1'!$E$96:$E$114))/12,
SUMPRODUCT(($B13='IP1'!$B$96:$B$114)*('IP1'!$E$96:$E$114))/12*
IF(YEAR(T$3)=2013,'IP1'!$F$154,'IP1'!$G$154)
))</f>
        <v>250</v>
      </c>
      <c r="U13" s="85">
        <f>IF(LEFT($D13,5)="Other",
VLOOKUP($A13,'IP1'!$A$37:$G$89,5,0)*
VLOOKUP(
VLOOKUP($A13,'IP1'!$A$37:$G$89,7,0),Patterns!$A$2:$N$28,COLUMN(U13)-14,0)/
VLOOKUP(
VLOOKUP($A13,'IP1'!$A$37:$G$89,7,0),Patterns!$A$2:$N$28,2,0),
IF(LEFT($D13,7)="Payroll",
SUMPRODUCT(($B13='IP1'!$B$96:$B$114)*('IP1'!$E$96:$E$114))/12,
SUMPRODUCT(($B13='IP1'!$B$96:$B$114)*('IP1'!$E$96:$E$114))/12*
IF(YEAR(U$3)=2013,'IP1'!$F$154,'IP1'!$G$154)
))</f>
        <v>0</v>
      </c>
      <c r="V13" s="85">
        <f>IF(LEFT($D13,5)="Other",
VLOOKUP($A13,'IP1'!$A$37:$G$89,5,0)*
VLOOKUP(
VLOOKUP($A13,'IP1'!$A$37:$G$89,7,0),Patterns!$A$2:$N$28,COLUMN(V13)-14,0)/
VLOOKUP(
VLOOKUP($A13,'IP1'!$A$37:$G$89,7,0),Patterns!$A$2:$N$28,2,0),
IF(LEFT($D13,7)="Payroll",
SUMPRODUCT(($B13='IP1'!$B$96:$B$114)*('IP1'!$E$96:$E$114))/12,
SUMPRODUCT(($B13='IP1'!$B$96:$B$114)*('IP1'!$E$96:$E$114))/12*
IF(YEAR(V$3)=2013,'IP1'!$F$154,'IP1'!$G$154)
))</f>
        <v>0</v>
      </c>
      <c r="W13" s="85">
        <f>IF(LEFT($D13,5)="Other",
VLOOKUP($A13,'IP1'!$A$37:$G$89,5,0)*
VLOOKUP(
VLOOKUP($A13,'IP1'!$A$37:$G$89,7,0),Patterns!$A$2:$N$28,COLUMN(W13)-14,0)/
VLOOKUP(
VLOOKUP($A13,'IP1'!$A$37:$G$89,7,0),Patterns!$A$2:$N$28,2,0),
IF(LEFT($D13,7)="Payroll",
SUMPRODUCT(($B13='IP1'!$B$96:$B$114)*('IP1'!$E$96:$E$114))/12,
SUMPRODUCT(($B13='IP1'!$B$96:$B$114)*('IP1'!$E$96:$E$114))/12*
IF(YEAR(W$3)=2013,'IP1'!$F$154,'IP1'!$G$154)
))</f>
        <v>250</v>
      </c>
      <c r="X13" s="85">
        <f>IF(LEFT($D13,5)="Other",
VLOOKUP($A13,'IP1'!$A$37:$G$89,5,0)*
VLOOKUP(
VLOOKUP($A13,'IP1'!$A$37:$G$89,7,0),Patterns!$A$2:$N$28,COLUMN(X13)-14,0)/
VLOOKUP(
VLOOKUP($A13,'IP1'!$A$37:$G$89,7,0),Patterns!$A$2:$N$28,2,0),
IF(LEFT($D13,7)="Payroll",
SUMPRODUCT(($B13='IP1'!$B$96:$B$114)*('IP1'!$E$96:$E$114))/12,
SUMPRODUCT(($B13='IP1'!$B$96:$B$114)*('IP1'!$E$96:$E$114))/12*
IF(YEAR(X$3)=2013,'IP1'!$F$154,'IP1'!$G$154)
))</f>
        <v>0</v>
      </c>
      <c r="Y13" s="85">
        <f>IF(LEFT($D13,5)="Other",
VLOOKUP($A13,'IP1'!$A$37:$G$89,5,0)*
VLOOKUP(
VLOOKUP($A13,'IP1'!$A$37:$G$89,7,0),Patterns!$A$2:$N$28,COLUMN(Y13)-14,0)/
VLOOKUP(
VLOOKUP($A13,'IP1'!$A$37:$G$89,7,0),Patterns!$A$2:$N$28,2,0),
IF(LEFT($D13,7)="Payroll",
SUMPRODUCT(($B13='IP1'!$B$96:$B$114)*('IP1'!$E$96:$E$114))/12,
SUMPRODUCT(($B13='IP1'!$B$96:$B$114)*('IP1'!$E$96:$E$114))/12*
IF(YEAR(Y$3)=2013,'IP1'!$F$154,'IP1'!$G$154)
))</f>
        <v>0</v>
      </c>
      <c r="Z13" s="85">
        <f>IF(LEFT($D13,5)="Other",
VLOOKUP($A13,'IP1'!$A$37:$G$89,5,0)*
VLOOKUP(
VLOOKUP($A13,'IP1'!$A$37:$G$89,7,0),Patterns!$A$2:$N$28,COLUMN(Z13)-14,0)/
VLOOKUP(
VLOOKUP($A13,'IP1'!$A$37:$G$89,7,0),Patterns!$A$2:$N$28,2,0),
IF(LEFT($D13,7)="Payroll",
SUMPRODUCT(($B13='IP1'!$B$96:$B$114)*('IP1'!$E$96:$E$114))/12,
SUMPRODUCT(($B13='IP1'!$B$96:$B$114)*('IP1'!$E$96:$E$114))/12*
IF(YEAR(Z$3)=2013,'IP1'!$F$154,'IP1'!$G$154)
))</f>
        <v>250</v>
      </c>
      <c r="AA13" s="85">
        <f>IF(LEFT($D13,5)="Other",
VLOOKUP($A13,'IP1'!$A$37:$G$89,5,0)*
VLOOKUP(
VLOOKUP($A13,'IP1'!$A$37:$G$89,7,0),Patterns!$A$2:$N$28,COLUMN(AA13)-14,0)/
VLOOKUP(
VLOOKUP($A13,'IP1'!$A$37:$G$89,7,0),Patterns!$A$2:$N$28,2,0),
IF(LEFT($D13,7)="Payroll",
SUMPRODUCT(($B13='IP1'!$B$96:$B$114)*('IP1'!$E$96:$E$114))/12,
SUMPRODUCT(($B13='IP1'!$B$96:$B$114)*('IP1'!$E$96:$E$114))/12*
IF(YEAR(AA$3)=2013,'IP1'!$F$154,'IP1'!$G$154)
))</f>
        <v>0</v>
      </c>
      <c r="AB13" s="85">
        <f>IF(LEFT($D13,5)="Other",
VLOOKUP($A13,'IP1'!$A$37:$G$89,5,0)*
VLOOKUP(
VLOOKUP($A13,'IP1'!$A$37:$G$89,7,0),Patterns!$A$2:$N$28,COLUMN(AB13)-14,0)/
VLOOKUP(
VLOOKUP($A13,'IP1'!$A$37:$G$89,7,0),Patterns!$A$2:$N$28,2,0),
IF(LEFT($D13,7)="Payroll",
SUMPRODUCT(($B13='IP1'!$B$96:$B$114)*('IP1'!$E$96:$E$114))/12,
SUMPRODUCT(($B13='IP1'!$B$96:$B$114)*('IP1'!$E$96:$E$114))/12*
IF(YEAR(AB$3)=2013,'IP1'!$F$154,'IP1'!$G$154)
))</f>
        <v>0</v>
      </c>
    </row>
    <row r="14" spans="1:28">
      <c r="A14" s="1" t="str">
        <f t="shared" si="2"/>
        <v>AdministrationBad Debts</v>
      </c>
      <c r="B14" s="1" t="s">
        <v>155</v>
      </c>
      <c r="C14" s="1" t="s">
        <v>30</v>
      </c>
      <c r="D14" s="11" t="s">
        <v>100</v>
      </c>
      <c r="E14" s="85">
        <f>IF(LEFT($D14,5)="Other",
VLOOKUP($A14,'IP1'!$A$37:$G$89,4,0)*
VLOOKUP(
VLOOKUP($A14,'IP1'!$A$37:$G$89,7,0),Patterns!$A$2:$N$28,COLUMN(E14)-2,0)/
VLOOKUP(
VLOOKUP($A14,'IP1'!$A$37:$G$89,7,0),Patterns!$A$2:$N$28,2,0),
IF(LEFT($D14,7)="Payroll",
SUMPRODUCT(($B14='IP1'!$B$96:$B$114)*('IP1'!$D$96:$D$114))/12,
SUMPRODUCT(($B14='IP1'!$B$96:$B$114)*('IP1'!$D$96:$D$114))/12*
IF(YEAR(E$3)=2013,'IP1'!$F$154,'IP1'!$G$154)
))</f>
        <v>148.9306875</v>
      </c>
      <c r="F14" s="85">
        <f>IF(LEFT($D14,5)="Other",
VLOOKUP($A14,'IP1'!$A$37:$G$89,4,0)*
VLOOKUP(
VLOOKUP($A14,'IP1'!$A$37:$G$89,7,0),Patterns!$A$2:$N$28,COLUMN(F14)-2,0)/
VLOOKUP(
VLOOKUP($A14,'IP1'!$A$37:$G$89,7,0),Patterns!$A$2:$N$28,2,0),
IF(LEFT($D14,7)="Payroll",
SUMPRODUCT(($B14='IP1'!$B$96:$B$114)*('IP1'!$D$96:$D$114))/12,
SUMPRODUCT(($B14='IP1'!$B$96:$B$114)*('IP1'!$D$96:$D$114))/12*
IF(YEAR(F$3)=2013,'IP1'!$F$154,'IP1'!$G$154)
))</f>
        <v>148.9306875</v>
      </c>
      <c r="G14" s="85">
        <f>IF(LEFT($D14,5)="Other",
VLOOKUP($A14,'IP1'!$A$37:$G$89,4,0)*
VLOOKUP(
VLOOKUP($A14,'IP1'!$A$37:$G$89,7,0),Patterns!$A$2:$N$28,COLUMN(G14)-2,0)/
VLOOKUP(
VLOOKUP($A14,'IP1'!$A$37:$G$89,7,0),Patterns!$A$2:$N$28,2,0),
IF(LEFT($D14,7)="Payroll",
SUMPRODUCT(($B14='IP1'!$B$96:$B$114)*('IP1'!$D$96:$D$114))/12,
SUMPRODUCT(($B14='IP1'!$B$96:$B$114)*('IP1'!$D$96:$D$114))/12*
IF(YEAR(G$3)=2013,'IP1'!$F$154,'IP1'!$G$154)
))</f>
        <v>446.79206249999999</v>
      </c>
      <c r="H14" s="85">
        <f>IF(LEFT($D14,5)="Other",
VLOOKUP($A14,'IP1'!$A$37:$G$89,4,0)*
VLOOKUP(
VLOOKUP($A14,'IP1'!$A$37:$G$89,7,0),Patterns!$A$2:$N$28,COLUMN(H14)-2,0)/
VLOOKUP(
VLOOKUP($A14,'IP1'!$A$37:$G$89,7,0),Patterns!$A$2:$N$28,2,0),
IF(LEFT($D14,7)="Payroll",
SUMPRODUCT(($B14='IP1'!$B$96:$B$114)*('IP1'!$D$96:$D$114))/12,
SUMPRODUCT(($B14='IP1'!$B$96:$B$114)*('IP1'!$D$96:$D$114))/12*
IF(YEAR(H$3)=2013,'IP1'!$F$154,'IP1'!$G$154)
))</f>
        <v>446.79206249999999</v>
      </c>
      <c r="I14" s="85">
        <f>IF(LEFT($D14,5)="Other",
VLOOKUP($A14,'IP1'!$A$37:$G$89,4,0)*
VLOOKUP(
VLOOKUP($A14,'IP1'!$A$37:$G$89,7,0),Patterns!$A$2:$N$28,COLUMN(I14)-2,0)/
VLOOKUP(
VLOOKUP($A14,'IP1'!$A$37:$G$89,7,0),Patterns!$A$2:$N$28,2,0),
IF(LEFT($D14,7)="Payroll",
SUMPRODUCT(($B14='IP1'!$B$96:$B$114)*('IP1'!$D$96:$D$114))/12,
SUMPRODUCT(($B14='IP1'!$B$96:$B$114)*('IP1'!$D$96:$D$114))/12*
IF(YEAR(I$3)=2013,'IP1'!$F$154,'IP1'!$G$154)
))</f>
        <v>893.58412499999997</v>
      </c>
      <c r="J14" s="85">
        <f>IF(LEFT($D14,5)="Other",
VLOOKUP($A14,'IP1'!$A$37:$G$89,4,0)*
VLOOKUP(
VLOOKUP($A14,'IP1'!$A$37:$G$89,7,0),Patterns!$A$2:$N$28,COLUMN(J14)-2,0)/
VLOOKUP(
VLOOKUP($A14,'IP1'!$A$37:$G$89,7,0),Patterns!$A$2:$N$28,2,0),
IF(LEFT($D14,7)="Payroll",
SUMPRODUCT(($B14='IP1'!$B$96:$B$114)*('IP1'!$D$96:$D$114))/12,
SUMPRODUCT(($B14='IP1'!$B$96:$B$114)*('IP1'!$D$96:$D$114))/12*
IF(YEAR(J$3)=2013,'IP1'!$F$154,'IP1'!$G$154)
))</f>
        <v>893.58412499999997</v>
      </c>
      <c r="K14" s="85">
        <f>IF(LEFT($D14,5)="Other",
VLOOKUP($A14,'IP1'!$A$37:$G$89,4,0)*
VLOOKUP(
VLOOKUP($A14,'IP1'!$A$37:$G$89,7,0),Patterns!$A$2:$N$28,COLUMN(K14)-2,0)/
VLOOKUP(
VLOOKUP($A14,'IP1'!$A$37:$G$89,7,0),Patterns!$A$2:$N$28,2,0),
IF(LEFT($D14,7)="Payroll",
SUMPRODUCT(($B14='IP1'!$B$96:$B$114)*('IP1'!$D$96:$D$114))/12,
SUMPRODUCT(($B14='IP1'!$B$96:$B$114)*('IP1'!$D$96:$D$114))/12*
IF(YEAR(K$3)=2013,'IP1'!$F$154,'IP1'!$G$154)
))</f>
        <v>893.58412499999997</v>
      </c>
      <c r="L14" s="85">
        <f>IF(LEFT($D14,5)="Other",
VLOOKUP($A14,'IP1'!$A$37:$G$89,4,0)*
VLOOKUP(
VLOOKUP($A14,'IP1'!$A$37:$G$89,7,0),Patterns!$A$2:$N$28,COLUMN(L14)-2,0)/
VLOOKUP(
VLOOKUP($A14,'IP1'!$A$37:$G$89,7,0),Patterns!$A$2:$N$28,2,0),
IF(LEFT($D14,7)="Payroll",
SUMPRODUCT(($B14='IP1'!$B$96:$B$114)*('IP1'!$D$96:$D$114))/12,
SUMPRODUCT(($B14='IP1'!$B$96:$B$114)*('IP1'!$D$96:$D$114))/12*
IF(YEAR(L$3)=2013,'IP1'!$F$154,'IP1'!$G$154)
))</f>
        <v>893.58412499999997</v>
      </c>
      <c r="M14" s="85">
        <f>IF(LEFT($D14,5)="Other",
VLOOKUP($A14,'IP1'!$A$37:$G$89,4,0)*
VLOOKUP(
VLOOKUP($A14,'IP1'!$A$37:$G$89,7,0),Patterns!$A$2:$N$28,COLUMN(M14)-2,0)/
VLOOKUP(
VLOOKUP($A14,'IP1'!$A$37:$G$89,7,0),Patterns!$A$2:$N$28,2,0),
IF(LEFT($D14,7)="Payroll",
SUMPRODUCT(($B14='IP1'!$B$96:$B$114)*('IP1'!$D$96:$D$114))/12,
SUMPRODUCT(($B14='IP1'!$B$96:$B$114)*('IP1'!$D$96:$D$114))/12*
IF(YEAR(M$3)=2013,'IP1'!$F$154,'IP1'!$G$154)
))</f>
        <v>893.58412499999997</v>
      </c>
      <c r="N14" s="85">
        <f>IF(LEFT($D14,5)="Other",
VLOOKUP($A14,'IP1'!$A$37:$G$89,4,0)*
VLOOKUP(
VLOOKUP($A14,'IP1'!$A$37:$G$89,7,0),Patterns!$A$2:$N$28,COLUMN(N14)-2,0)/
VLOOKUP(
VLOOKUP($A14,'IP1'!$A$37:$G$89,7,0),Patterns!$A$2:$N$28,2,0),
IF(LEFT($D14,7)="Payroll",
SUMPRODUCT(($B14='IP1'!$B$96:$B$114)*('IP1'!$D$96:$D$114))/12,
SUMPRODUCT(($B14='IP1'!$B$96:$B$114)*('IP1'!$D$96:$D$114))/12*
IF(YEAR(N$3)=2013,'IP1'!$F$154,'IP1'!$G$154)
))</f>
        <v>893.58412499999997</v>
      </c>
      <c r="O14" s="85">
        <f>IF(LEFT($D14,5)="Other",
VLOOKUP($A14,'IP1'!$A$37:$G$89,4,0)*
VLOOKUP(
VLOOKUP($A14,'IP1'!$A$37:$G$89,7,0),Patterns!$A$2:$N$28,COLUMN(O14)-2,0)/
VLOOKUP(
VLOOKUP($A14,'IP1'!$A$37:$G$89,7,0),Patterns!$A$2:$N$28,2,0),
IF(LEFT($D14,7)="Payroll",
SUMPRODUCT(($B14='IP1'!$B$96:$B$114)*('IP1'!$D$96:$D$114))/12,
SUMPRODUCT(($B14='IP1'!$B$96:$B$114)*('IP1'!$D$96:$D$114))/12*
IF(YEAR(O$3)=2013,'IP1'!$F$154,'IP1'!$G$154)
))</f>
        <v>148.9306875</v>
      </c>
      <c r="P14" s="85">
        <f>IF(LEFT($D14,5)="Other",
VLOOKUP($A14,'IP1'!$A$37:$G$89,4,0)*
VLOOKUP(
VLOOKUP($A14,'IP1'!$A$37:$G$89,7,0),Patterns!$A$2:$N$28,COLUMN(P14)-2,0)/
VLOOKUP(
VLOOKUP($A14,'IP1'!$A$37:$G$89,7,0),Patterns!$A$2:$N$28,2,0),
IF(LEFT($D14,7)="Payroll",
SUMPRODUCT(($B14='IP1'!$B$96:$B$114)*('IP1'!$D$96:$D$114))/12,
SUMPRODUCT(($B14='IP1'!$B$96:$B$114)*('IP1'!$D$96:$D$114))/12*
IF(YEAR(P$3)=2013,'IP1'!$F$154,'IP1'!$G$154)
))</f>
        <v>744.65343750000011</v>
      </c>
      <c r="Q14" s="85">
        <f>IF(LEFT($D14,5)="Other",
VLOOKUP($A14,'IP1'!$A$37:$G$89,5,0)*
VLOOKUP(
VLOOKUP($A14,'IP1'!$A$37:$G$89,7,0),Patterns!$A$2:$N$28,COLUMN(Q14)-14,0)/
VLOOKUP(
VLOOKUP($A14,'IP1'!$A$37:$G$89,7,0),Patterns!$A$2:$N$28,2,0),
IF(LEFT($D14,7)="Payroll",
SUMPRODUCT(($B14='IP1'!$B$96:$B$114)*('IP1'!$E$96:$E$114))/12,
SUMPRODUCT(($B14='IP1'!$B$96:$B$114)*('IP1'!$E$96:$E$114))/12*
IF(YEAR(Q$3)=2013,'IP1'!$F$154,'IP1'!$G$154)
))</f>
        <v>163.82375625000003</v>
      </c>
      <c r="R14" s="85">
        <f>IF(LEFT($D14,5)="Other",
VLOOKUP($A14,'IP1'!$A$37:$G$89,5,0)*
VLOOKUP(
VLOOKUP($A14,'IP1'!$A$37:$G$89,7,0),Patterns!$A$2:$N$28,COLUMN(R14)-14,0)/
VLOOKUP(
VLOOKUP($A14,'IP1'!$A$37:$G$89,7,0),Patterns!$A$2:$N$28,2,0),
IF(LEFT($D14,7)="Payroll",
SUMPRODUCT(($B14='IP1'!$B$96:$B$114)*('IP1'!$E$96:$E$114))/12,
SUMPRODUCT(($B14='IP1'!$B$96:$B$114)*('IP1'!$E$96:$E$114))/12*
IF(YEAR(R$3)=2013,'IP1'!$F$154,'IP1'!$G$154)
))</f>
        <v>163.82375625000003</v>
      </c>
      <c r="S14" s="85">
        <f>IF(LEFT($D14,5)="Other",
VLOOKUP($A14,'IP1'!$A$37:$G$89,5,0)*
VLOOKUP(
VLOOKUP($A14,'IP1'!$A$37:$G$89,7,0),Patterns!$A$2:$N$28,COLUMN(S14)-14,0)/
VLOOKUP(
VLOOKUP($A14,'IP1'!$A$37:$G$89,7,0),Patterns!$A$2:$N$28,2,0),
IF(LEFT($D14,7)="Payroll",
SUMPRODUCT(($B14='IP1'!$B$96:$B$114)*('IP1'!$E$96:$E$114))/12,
SUMPRODUCT(($B14='IP1'!$B$96:$B$114)*('IP1'!$E$96:$E$114))/12*
IF(YEAR(S$3)=2013,'IP1'!$F$154,'IP1'!$G$154)
))</f>
        <v>491.47126875000004</v>
      </c>
      <c r="T14" s="85">
        <f>IF(LEFT($D14,5)="Other",
VLOOKUP($A14,'IP1'!$A$37:$G$89,5,0)*
VLOOKUP(
VLOOKUP($A14,'IP1'!$A$37:$G$89,7,0),Patterns!$A$2:$N$28,COLUMN(T14)-14,0)/
VLOOKUP(
VLOOKUP($A14,'IP1'!$A$37:$G$89,7,0),Patterns!$A$2:$N$28,2,0),
IF(LEFT($D14,7)="Payroll",
SUMPRODUCT(($B14='IP1'!$B$96:$B$114)*('IP1'!$E$96:$E$114))/12,
SUMPRODUCT(($B14='IP1'!$B$96:$B$114)*('IP1'!$E$96:$E$114))/12*
IF(YEAR(T$3)=2013,'IP1'!$F$154,'IP1'!$G$154)
))</f>
        <v>491.47126875000004</v>
      </c>
      <c r="U14" s="85">
        <f>IF(LEFT($D14,5)="Other",
VLOOKUP($A14,'IP1'!$A$37:$G$89,5,0)*
VLOOKUP(
VLOOKUP($A14,'IP1'!$A$37:$G$89,7,0),Patterns!$A$2:$N$28,COLUMN(U14)-14,0)/
VLOOKUP(
VLOOKUP($A14,'IP1'!$A$37:$G$89,7,0),Patterns!$A$2:$N$28,2,0),
IF(LEFT($D14,7)="Payroll",
SUMPRODUCT(($B14='IP1'!$B$96:$B$114)*('IP1'!$E$96:$E$114))/12,
SUMPRODUCT(($B14='IP1'!$B$96:$B$114)*('IP1'!$E$96:$E$114))/12*
IF(YEAR(U$3)=2013,'IP1'!$F$154,'IP1'!$G$154)
))</f>
        <v>982.94253750000007</v>
      </c>
      <c r="V14" s="85">
        <f>IF(LEFT($D14,5)="Other",
VLOOKUP($A14,'IP1'!$A$37:$G$89,5,0)*
VLOOKUP(
VLOOKUP($A14,'IP1'!$A$37:$G$89,7,0),Patterns!$A$2:$N$28,COLUMN(V14)-14,0)/
VLOOKUP(
VLOOKUP($A14,'IP1'!$A$37:$G$89,7,0),Patterns!$A$2:$N$28,2,0),
IF(LEFT($D14,7)="Payroll",
SUMPRODUCT(($B14='IP1'!$B$96:$B$114)*('IP1'!$E$96:$E$114))/12,
SUMPRODUCT(($B14='IP1'!$B$96:$B$114)*('IP1'!$E$96:$E$114))/12*
IF(YEAR(V$3)=2013,'IP1'!$F$154,'IP1'!$G$154)
))</f>
        <v>982.94253750000007</v>
      </c>
      <c r="W14" s="85">
        <f>IF(LEFT($D14,5)="Other",
VLOOKUP($A14,'IP1'!$A$37:$G$89,5,0)*
VLOOKUP(
VLOOKUP($A14,'IP1'!$A$37:$G$89,7,0),Patterns!$A$2:$N$28,COLUMN(W14)-14,0)/
VLOOKUP(
VLOOKUP($A14,'IP1'!$A$37:$G$89,7,0),Patterns!$A$2:$N$28,2,0),
IF(LEFT($D14,7)="Payroll",
SUMPRODUCT(($B14='IP1'!$B$96:$B$114)*('IP1'!$E$96:$E$114))/12,
SUMPRODUCT(($B14='IP1'!$B$96:$B$114)*('IP1'!$E$96:$E$114))/12*
IF(YEAR(W$3)=2013,'IP1'!$F$154,'IP1'!$G$154)
))</f>
        <v>982.94253750000007</v>
      </c>
      <c r="X14" s="85">
        <f>IF(LEFT($D14,5)="Other",
VLOOKUP($A14,'IP1'!$A$37:$G$89,5,0)*
VLOOKUP(
VLOOKUP($A14,'IP1'!$A$37:$G$89,7,0),Patterns!$A$2:$N$28,COLUMN(X14)-14,0)/
VLOOKUP(
VLOOKUP($A14,'IP1'!$A$37:$G$89,7,0),Patterns!$A$2:$N$28,2,0),
IF(LEFT($D14,7)="Payroll",
SUMPRODUCT(($B14='IP1'!$B$96:$B$114)*('IP1'!$E$96:$E$114))/12,
SUMPRODUCT(($B14='IP1'!$B$96:$B$114)*('IP1'!$E$96:$E$114))/12*
IF(YEAR(X$3)=2013,'IP1'!$F$154,'IP1'!$G$154)
))</f>
        <v>982.94253750000007</v>
      </c>
      <c r="Y14" s="85">
        <f>IF(LEFT($D14,5)="Other",
VLOOKUP($A14,'IP1'!$A$37:$G$89,5,0)*
VLOOKUP(
VLOOKUP($A14,'IP1'!$A$37:$G$89,7,0),Patterns!$A$2:$N$28,COLUMN(Y14)-14,0)/
VLOOKUP(
VLOOKUP($A14,'IP1'!$A$37:$G$89,7,0),Patterns!$A$2:$N$28,2,0),
IF(LEFT($D14,7)="Payroll",
SUMPRODUCT(($B14='IP1'!$B$96:$B$114)*('IP1'!$E$96:$E$114))/12,
SUMPRODUCT(($B14='IP1'!$B$96:$B$114)*('IP1'!$E$96:$E$114))/12*
IF(YEAR(Y$3)=2013,'IP1'!$F$154,'IP1'!$G$154)
))</f>
        <v>982.94253750000007</v>
      </c>
      <c r="Z14" s="85">
        <f>IF(LEFT($D14,5)="Other",
VLOOKUP($A14,'IP1'!$A$37:$G$89,5,0)*
VLOOKUP(
VLOOKUP($A14,'IP1'!$A$37:$G$89,7,0),Patterns!$A$2:$N$28,COLUMN(Z14)-14,0)/
VLOOKUP(
VLOOKUP($A14,'IP1'!$A$37:$G$89,7,0),Patterns!$A$2:$N$28,2,0),
IF(LEFT($D14,7)="Payroll",
SUMPRODUCT(($B14='IP1'!$B$96:$B$114)*('IP1'!$E$96:$E$114))/12,
SUMPRODUCT(($B14='IP1'!$B$96:$B$114)*('IP1'!$E$96:$E$114))/12*
IF(YEAR(Z$3)=2013,'IP1'!$F$154,'IP1'!$G$154)
))</f>
        <v>982.94253750000007</v>
      </c>
      <c r="AA14" s="85">
        <f>IF(LEFT($D14,5)="Other",
VLOOKUP($A14,'IP1'!$A$37:$G$89,5,0)*
VLOOKUP(
VLOOKUP($A14,'IP1'!$A$37:$G$89,7,0),Patterns!$A$2:$N$28,COLUMN(AA14)-14,0)/
VLOOKUP(
VLOOKUP($A14,'IP1'!$A$37:$G$89,7,0),Patterns!$A$2:$N$28,2,0),
IF(LEFT($D14,7)="Payroll",
SUMPRODUCT(($B14='IP1'!$B$96:$B$114)*('IP1'!$E$96:$E$114))/12,
SUMPRODUCT(($B14='IP1'!$B$96:$B$114)*('IP1'!$E$96:$E$114))/12*
IF(YEAR(AA$3)=2013,'IP1'!$F$154,'IP1'!$G$154)
))</f>
        <v>163.82375625000003</v>
      </c>
      <c r="AB14" s="85">
        <f>IF(LEFT($D14,5)="Other",
VLOOKUP($A14,'IP1'!$A$37:$G$89,5,0)*
VLOOKUP(
VLOOKUP($A14,'IP1'!$A$37:$G$89,7,0),Patterns!$A$2:$N$28,COLUMN(AB14)-14,0)/
VLOOKUP(
VLOOKUP($A14,'IP1'!$A$37:$G$89,7,0),Patterns!$A$2:$N$28,2,0),
IF(LEFT($D14,7)="Payroll",
SUMPRODUCT(($B14='IP1'!$B$96:$B$114)*('IP1'!$E$96:$E$114))/12,
SUMPRODUCT(($B14='IP1'!$B$96:$B$114)*('IP1'!$E$96:$E$114))/12*
IF(YEAR(AB$3)=2013,'IP1'!$F$154,'IP1'!$G$154)
))</f>
        <v>819.11878125000021</v>
      </c>
    </row>
    <row r="15" spans="1:28">
      <c r="A15" s="1" t="str">
        <f t="shared" si="2"/>
        <v>AdministrationCleaning</v>
      </c>
      <c r="B15" s="1" t="s">
        <v>155</v>
      </c>
      <c r="C15" s="1" t="s">
        <v>31</v>
      </c>
      <c r="D15" s="11" t="s">
        <v>100</v>
      </c>
      <c r="E15" s="85">
        <f>IF(LEFT($D15,5)="Other",
VLOOKUP($A15,'IP1'!$A$37:$G$89,4,0)*
VLOOKUP(
VLOOKUP($A15,'IP1'!$A$37:$G$89,7,0),Patterns!$A$2:$N$28,COLUMN(E15)-2,0)/
VLOOKUP(
VLOOKUP($A15,'IP1'!$A$37:$G$89,7,0),Patterns!$A$2:$N$28,2,0),
IF(LEFT($D15,7)="Payroll",
SUMPRODUCT(($B15='IP1'!$B$96:$B$114)*('IP1'!$D$96:$D$114))/12,
SUMPRODUCT(($B15='IP1'!$B$96:$B$114)*('IP1'!$D$96:$D$114))/12*
IF(YEAR(E$3)=2013,'IP1'!$F$154,'IP1'!$G$154)
))</f>
        <v>4166.666666666667</v>
      </c>
      <c r="F15" s="85">
        <f>IF(LEFT($D15,5)="Other",
VLOOKUP($A15,'IP1'!$A$37:$G$89,4,0)*
VLOOKUP(
VLOOKUP($A15,'IP1'!$A$37:$G$89,7,0),Patterns!$A$2:$N$28,COLUMN(F15)-2,0)/
VLOOKUP(
VLOOKUP($A15,'IP1'!$A$37:$G$89,7,0),Patterns!$A$2:$N$28,2,0),
IF(LEFT($D15,7)="Payroll",
SUMPRODUCT(($B15='IP1'!$B$96:$B$114)*('IP1'!$D$96:$D$114))/12,
SUMPRODUCT(($B15='IP1'!$B$96:$B$114)*('IP1'!$D$96:$D$114))/12*
IF(YEAR(F$3)=2013,'IP1'!$F$154,'IP1'!$G$154)
))</f>
        <v>4166.666666666667</v>
      </c>
      <c r="G15" s="85">
        <f>IF(LEFT($D15,5)="Other",
VLOOKUP($A15,'IP1'!$A$37:$G$89,4,0)*
VLOOKUP(
VLOOKUP($A15,'IP1'!$A$37:$G$89,7,0),Patterns!$A$2:$N$28,COLUMN(G15)-2,0)/
VLOOKUP(
VLOOKUP($A15,'IP1'!$A$37:$G$89,7,0),Patterns!$A$2:$N$28,2,0),
IF(LEFT($D15,7)="Payroll",
SUMPRODUCT(($B15='IP1'!$B$96:$B$114)*('IP1'!$D$96:$D$114))/12,
SUMPRODUCT(($B15='IP1'!$B$96:$B$114)*('IP1'!$D$96:$D$114))/12*
IF(YEAR(G$3)=2013,'IP1'!$F$154,'IP1'!$G$154)
))</f>
        <v>4166.666666666667</v>
      </c>
      <c r="H15" s="85">
        <f>IF(LEFT($D15,5)="Other",
VLOOKUP($A15,'IP1'!$A$37:$G$89,4,0)*
VLOOKUP(
VLOOKUP($A15,'IP1'!$A$37:$G$89,7,0),Patterns!$A$2:$N$28,COLUMN(H15)-2,0)/
VLOOKUP(
VLOOKUP($A15,'IP1'!$A$37:$G$89,7,0),Patterns!$A$2:$N$28,2,0),
IF(LEFT($D15,7)="Payroll",
SUMPRODUCT(($B15='IP1'!$B$96:$B$114)*('IP1'!$D$96:$D$114))/12,
SUMPRODUCT(($B15='IP1'!$B$96:$B$114)*('IP1'!$D$96:$D$114))/12*
IF(YEAR(H$3)=2013,'IP1'!$F$154,'IP1'!$G$154)
))</f>
        <v>4166.666666666667</v>
      </c>
      <c r="I15" s="85">
        <f>IF(LEFT($D15,5)="Other",
VLOOKUP($A15,'IP1'!$A$37:$G$89,4,0)*
VLOOKUP(
VLOOKUP($A15,'IP1'!$A$37:$G$89,7,0),Patterns!$A$2:$N$28,COLUMN(I15)-2,0)/
VLOOKUP(
VLOOKUP($A15,'IP1'!$A$37:$G$89,7,0),Patterns!$A$2:$N$28,2,0),
IF(LEFT($D15,7)="Payroll",
SUMPRODUCT(($B15='IP1'!$B$96:$B$114)*('IP1'!$D$96:$D$114))/12,
SUMPRODUCT(($B15='IP1'!$B$96:$B$114)*('IP1'!$D$96:$D$114))/12*
IF(YEAR(I$3)=2013,'IP1'!$F$154,'IP1'!$G$154)
))</f>
        <v>4166.666666666667</v>
      </c>
      <c r="J15" s="85">
        <f>IF(LEFT($D15,5)="Other",
VLOOKUP($A15,'IP1'!$A$37:$G$89,4,0)*
VLOOKUP(
VLOOKUP($A15,'IP1'!$A$37:$G$89,7,0),Patterns!$A$2:$N$28,COLUMN(J15)-2,0)/
VLOOKUP(
VLOOKUP($A15,'IP1'!$A$37:$G$89,7,0),Patterns!$A$2:$N$28,2,0),
IF(LEFT($D15,7)="Payroll",
SUMPRODUCT(($B15='IP1'!$B$96:$B$114)*('IP1'!$D$96:$D$114))/12,
SUMPRODUCT(($B15='IP1'!$B$96:$B$114)*('IP1'!$D$96:$D$114))/12*
IF(YEAR(J$3)=2013,'IP1'!$F$154,'IP1'!$G$154)
))</f>
        <v>4166.666666666667</v>
      </c>
      <c r="K15" s="85">
        <f>IF(LEFT($D15,5)="Other",
VLOOKUP($A15,'IP1'!$A$37:$G$89,4,0)*
VLOOKUP(
VLOOKUP($A15,'IP1'!$A$37:$G$89,7,0),Patterns!$A$2:$N$28,COLUMN(K15)-2,0)/
VLOOKUP(
VLOOKUP($A15,'IP1'!$A$37:$G$89,7,0),Patterns!$A$2:$N$28,2,0),
IF(LEFT($D15,7)="Payroll",
SUMPRODUCT(($B15='IP1'!$B$96:$B$114)*('IP1'!$D$96:$D$114))/12,
SUMPRODUCT(($B15='IP1'!$B$96:$B$114)*('IP1'!$D$96:$D$114))/12*
IF(YEAR(K$3)=2013,'IP1'!$F$154,'IP1'!$G$154)
))</f>
        <v>4166.666666666667</v>
      </c>
      <c r="L15" s="85">
        <f>IF(LEFT($D15,5)="Other",
VLOOKUP($A15,'IP1'!$A$37:$G$89,4,0)*
VLOOKUP(
VLOOKUP($A15,'IP1'!$A$37:$G$89,7,0),Patterns!$A$2:$N$28,COLUMN(L15)-2,0)/
VLOOKUP(
VLOOKUP($A15,'IP1'!$A$37:$G$89,7,0),Patterns!$A$2:$N$28,2,0),
IF(LEFT($D15,7)="Payroll",
SUMPRODUCT(($B15='IP1'!$B$96:$B$114)*('IP1'!$D$96:$D$114))/12,
SUMPRODUCT(($B15='IP1'!$B$96:$B$114)*('IP1'!$D$96:$D$114))/12*
IF(YEAR(L$3)=2013,'IP1'!$F$154,'IP1'!$G$154)
))</f>
        <v>4166.666666666667</v>
      </c>
      <c r="M15" s="85">
        <f>IF(LEFT($D15,5)="Other",
VLOOKUP($A15,'IP1'!$A$37:$G$89,4,0)*
VLOOKUP(
VLOOKUP($A15,'IP1'!$A$37:$G$89,7,0),Patterns!$A$2:$N$28,COLUMN(M15)-2,0)/
VLOOKUP(
VLOOKUP($A15,'IP1'!$A$37:$G$89,7,0),Patterns!$A$2:$N$28,2,0),
IF(LEFT($D15,7)="Payroll",
SUMPRODUCT(($B15='IP1'!$B$96:$B$114)*('IP1'!$D$96:$D$114))/12,
SUMPRODUCT(($B15='IP1'!$B$96:$B$114)*('IP1'!$D$96:$D$114))/12*
IF(YEAR(M$3)=2013,'IP1'!$F$154,'IP1'!$G$154)
))</f>
        <v>4166.666666666667</v>
      </c>
      <c r="N15" s="85">
        <f>IF(LEFT($D15,5)="Other",
VLOOKUP($A15,'IP1'!$A$37:$G$89,4,0)*
VLOOKUP(
VLOOKUP($A15,'IP1'!$A$37:$G$89,7,0),Patterns!$A$2:$N$28,COLUMN(N15)-2,0)/
VLOOKUP(
VLOOKUP($A15,'IP1'!$A$37:$G$89,7,0),Patterns!$A$2:$N$28,2,0),
IF(LEFT($D15,7)="Payroll",
SUMPRODUCT(($B15='IP1'!$B$96:$B$114)*('IP1'!$D$96:$D$114))/12,
SUMPRODUCT(($B15='IP1'!$B$96:$B$114)*('IP1'!$D$96:$D$114))/12*
IF(YEAR(N$3)=2013,'IP1'!$F$154,'IP1'!$G$154)
))</f>
        <v>4166.666666666667</v>
      </c>
      <c r="O15" s="85">
        <f>IF(LEFT($D15,5)="Other",
VLOOKUP($A15,'IP1'!$A$37:$G$89,4,0)*
VLOOKUP(
VLOOKUP($A15,'IP1'!$A$37:$G$89,7,0),Patterns!$A$2:$N$28,COLUMN(O15)-2,0)/
VLOOKUP(
VLOOKUP($A15,'IP1'!$A$37:$G$89,7,0),Patterns!$A$2:$N$28,2,0),
IF(LEFT($D15,7)="Payroll",
SUMPRODUCT(($B15='IP1'!$B$96:$B$114)*('IP1'!$D$96:$D$114))/12,
SUMPRODUCT(($B15='IP1'!$B$96:$B$114)*('IP1'!$D$96:$D$114))/12*
IF(YEAR(O$3)=2013,'IP1'!$F$154,'IP1'!$G$154)
))</f>
        <v>4166.666666666667</v>
      </c>
      <c r="P15" s="85">
        <f>IF(LEFT($D15,5)="Other",
VLOOKUP($A15,'IP1'!$A$37:$G$89,4,0)*
VLOOKUP(
VLOOKUP($A15,'IP1'!$A$37:$G$89,7,0),Patterns!$A$2:$N$28,COLUMN(P15)-2,0)/
VLOOKUP(
VLOOKUP($A15,'IP1'!$A$37:$G$89,7,0),Patterns!$A$2:$N$28,2,0),
IF(LEFT($D15,7)="Payroll",
SUMPRODUCT(($B15='IP1'!$B$96:$B$114)*('IP1'!$D$96:$D$114))/12,
SUMPRODUCT(($B15='IP1'!$B$96:$B$114)*('IP1'!$D$96:$D$114))/12*
IF(YEAR(P$3)=2013,'IP1'!$F$154,'IP1'!$G$154)
))</f>
        <v>4166.666666666667</v>
      </c>
      <c r="Q15" s="85">
        <f>IF(LEFT($D15,5)="Other",
VLOOKUP($A15,'IP1'!$A$37:$G$89,5,0)*
VLOOKUP(
VLOOKUP($A15,'IP1'!$A$37:$G$89,7,0),Patterns!$A$2:$N$28,COLUMN(Q15)-14,0)/
VLOOKUP(
VLOOKUP($A15,'IP1'!$A$37:$G$89,7,0),Patterns!$A$2:$N$28,2,0),
IF(LEFT($D15,7)="Payroll",
SUMPRODUCT(($B15='IP1'!$B$96:$B$114)*('IP1'!$E$96:$E$114))/12,
SUMPRODUCT(($B15='IP1'!$B$96:$B$114)*('IP1'!$E$96:$E$114))/12*
IF(YEAR(Q$3)=2013,'IP1'!$F$154,'IP1'!$G$154)
))</f>
        <v>4583.333333333333</v>
      </c>
      <c r="R15" s="85">
        <f>IF(LEFT($D15,5)="Other",
VLOOKUP($A15,'IP1'!$A$37:$G$89,5,0)*
VLOOKUP(
VLOOKUP($A15,'IP1'!$A$37:$G$89,7,0),Patterns!$A$2:$N$28,COLUMN(R15)-14,0)/
VLOOKUP(
VLOOKUP($A15,'IP1'!$A$37:$G$89,7,0),Patterns!$A$2:$N$28,2,0),
IF(LEFT($D15,7)="Payroll",
SUMPRODUCT(($B15='IP1'!$B$96:$B$114)*('IP1'!$E$96:$E$114))/12,
SUMPRODUCT(($B15='IP1'!$B$96:$B$114)*('IP1'!$E$96:$E$114))/12*
IF(YEAR(R$3)=2013,'IP1'!$F$154,'IP1'!$G$154)
))</f>
        <v>4583.333333333333</v>
      </c>
      <c r="S15" s="85">
        <f>IF(LEFT($D15,5)="Other",
VLOOKUP($A15,'IP1'!$A$37:$G$89,5,0)*
VLOOKUP(
VLOOKUP($A15,'IP1'!$A$37:$G$89,7,0),Patterns!$A$2:$N$28,COLUMN(S15)-14,0)/
VLOOKUP(
VLOOKUP($A15,'IP1'!$A$37:$G$89,7,0),Patterns!$A$2:$N$28,2,0),
IF(LEFT($D15,7)="Payroll",
SUMPRODUCT(($B15='IP1'!$B$96:$B$114)*('IP1'!$E$96:$E$114))/12,
SUMPRODUCT(($B15='IP1'!$B$96:$B$114)*('IP1'!$E$96:$E$114))/12*
IF(YEAR(S$3)=2013,'IP1'!$F$154,'IP1'!$G$154)
))</f>
        <v>4583.333333333333</v>
      </c>
      <c r="T15" s="85">
        <f>IF(LEFT($D15,5)="Other",
VLOOKUP($A15,'IP1'!$A$37:$G$89,5,0)*
VLOOKUP(
VLOOKUP($A15,'IP1'!$A$37:$G$89,7,0),Patterns!$A$2:$N$28,COLUMN(T15)-14,0)/
VLOOKUP(
VLOOKUP($A15,'IP1'!$A$37:$G$89,7,0),Patterns!$A$2:$N$28,2,0),
IF(LEFT($D15,7)="Payroll",
SUMPRODUCT(($B15='IP1'!$B$96:$B$114)*('IP1'!$E$96:$E$114))/12,
SUMPRODUCT(($B15='IP1'!$B$96:$B$114)*('IP1'!$E$96:$E$114))/12*
IF(YEAR(T$3)=2013,'IP1'!$F$154,'IP1'!$G$154)
))</f>
        <v>4583.333333333333</v>
      </c>
      <c r="U15" s="85">
        <f>IF(LEFT($D15,5)="Other",
VLOOKUP($A15,'IP1'!$A$37:$G$89,5,0)*
VLOOKUP(
VLOOKUP($A15,'IP1'!$A$37:$G$89,7,0),Patterns!$A$2:$N$28,COLUMN(U15)-14,0)/
VLOOKUP(
VLOOKUP($A15,'IP1'!$A$37:$G$89,7,0),Patterns!$A$2:$N$28,2,0),
IF(LEFT($D15,7)="Payroll",
SUMPRODUCT(($B15='IP1'!$B$96:$B$114)*('IP1'!$E$96:$E$114))/12,
SUMPRODUCT(($B15='IP1'!$B$96:$B$114)*('IP1'!$E$96:$E$114))/12*
IF(YEAR(U$3)=2013,'IP1'!$F$154,'IP1'!$G$154)
))</f>
        <v>4583.333333333333</v>
      </c>
      <c r="V15" s="85">
        <f>IF(LEFT($D15,5)="Other",
VLOOKUP($A15,'IP1'!$A$37:$G$89,5,0)*
VLOOKUP(
VLOOKUP($A15,'IP1'!$A$37:$G$89,7,0),Patterns!$A$2:$N$28,COLUMN(V15)-14,0)/
VLOOKUP(
VLOOKUP($A15,'IP1'!$A$37:$G$89,7,0),Patterns!$A$2:$N$28,2,0),
IF(LEFT($D15,7)="Payroll",
SUMPRODUCT(($B15='IP1'!$B$96:$B$114)*('IP1'!$E$96:$E$114))/12,
SUMPRODUCT(($B15='IP1'!$B$96:$B$114)*('IP1'!$E$96:$E$114))/12*
IF(YEAR(V$3)=2013,'IP1'!$F$154,'IP1'!$G$154)
))</f>
        <v>4583.333333333333</v>
      </c>
      <c r="W15" s="85">
        <f>IF(LEFT($D15,5)="Other",
VLOOKUP($A15,'IP1'!$A$37:$G$89,5,0)*
VLOOKUP(
VLOOKUP($A15,'IP1'!$A$37:$G$89,7,0),Patterns!$A$2:$N$28,COLUMN(W15)-14,0)/
VLOOKUP(
VLOOKUP($A15,'IP1'!$A$37:$G$89,7,0),Patterns!$A$2:$N$28,2,0),
IF(LEFT($D15,7)="Payroll",
SUMPRODUCT(($B15='IP1'!$B$96:$B$114)*('IP1'!$E$96:$E$114))/12,
SUMPRODUCT(($B15='IP1'!$B$96:$B$114)*('IP1'!$E$96:$E$114))/12*
IF(YEAR(W$3)=2013,'IP1'!$F$154,'IP1'!$G$154)
))</f>
        <v>4583.333333333333</v>
      </c>
      <c r="X15" s="85">
        <f>IF(LEFT($D15,5)="Other",
VLOOKUP($A15,'IP1'!$A$37:$G$89,5,0)*
VLOOKUP(
VLOOKUP($A15,'IP1'!$A$37:$G$89,7,0),Patterns!$A$2:$N$28,COLUMN(X15)-14,0)/
VLOOKUP(
VLOOKUP($A15,'IP1'!$A$37:$G$89,7,0),Patterns!$A$2:$N$28,2,0),
IF(LEFT($D15,7)="Payroll",
SUMPRODUCT(($B15='IP1'!$B$96:$B$114)*('IP1'!$E$96:$E$114))/12,
SUMPRODUCT(($B15='IP1'!$B$96:$B$114)*('IP1'!$E$96:$E$114))/12*
IF(YEAR(X$3)=2013,'IP1'!$F$154,'IP1'!$G$154)
))</f>
        <v>4583.333333333333</v>
      </c>
      <c r="Y15" s="85">
        <f>IF(LEFT($D15,5)="Other",
VLOOKUP($A15,'IP1'!$A$37:$G$89,5,0)*
VLOOKUP(
VLOOKUP($A15,'IP1'!$A$37:$G$89,7,0),Patterns!$A$2:$N$28,COLUMN(Y15)-14,0)/
VLOOKUP(
VLOOKUP($A15,'IP1'!$A$37:$G$89,7,0),Patterns!$A$2:$N$28,2,0),
IF(LEFT($D15,7)="Payroll",
SUMPRODUCT(($B15='IP1'!$B$96:$B$114)*('IP1'!$E$96:$E$114))/12,
SUMPRODUCT(($B15='IP1'!$B$96:$B$114)*('IP1'!$E$96:$E$114))/12*
IF(YEAR(Y$3)=2013,'IP1'!$F$154,'IP1'!$G$154)
))</f>
        <v>4583.333333333333</v>
      </c>
      <c r="Z15" s="85">
        <f>IF(LEFT($D15,5)="Other",
VLOOKUP($A15,'IP1'!$A$37:$G$89,5,0)*
VLOOKUP(
VLOOKUP($A15,'IP1'!$A$37:$G$89,7,0),Patterns!$A$2:$N$28,COLUMN(Z15)-14,0)/
VLOOKUP(
VLOOKUP($A15,'IP1'!$A$37:$G$89,7,0),Patterns!$A$2:$N$28,2,0),
IF(LEFT($D15,7)="Payroll",
SUMPRODUCT(($B15='IP1'!$B$96:$B$114)*('IP1'!$E$96:$E$114))/12,
SUMPRODUCT(($B15='IP1'!$B$96:$B$114)*('IP1'!$E$96:$E$114))/12*
IF(YEAR(Z$3)=2013,'IP1'!$F$154,'IP1'!$G$154)
))</f>
        <v>4583.333333333333</v>
      </c>
      <c r="AA15" s="85">
        <f>IF(LEFT($D15,5)="Other",
VLOOKUP($A15,'IP1'!$A$37:$G$89,5,0)*
VLOOKUP(
VLOOKUP($A15,'IP1'!$A$37:$G$89,7,0),Patterns!$A$2:$N$28,COLUMN(AA15)-14,0)/
VLOOKUP(
VLOOKUP($A15,'IP1'!$A$37:$G$89,7,0),Patterns!$A$2:$N$28,2,0),
IF(LEFT($D15,7)="Payroll",
SUMPRODUCT(($B15='IP1'!$B$96:$B$114)*('IP1'!$E$96:$E$114))/12,
SUMPRODUCT(($B15='IP1'!$B$96:$B$114)*('IP1'!$E$96:$E$114))/12*
IF(YEAR(AA$3)=2013,'IP1'!$F$154,'IP1'!$G$154)
))</f>
        <v>4583.333333333333</v>
      </c>
      <c r="AB15" s="85">
        <f>IF(LEFT($D15,5)="Other",
VLOOKUP($A15,'IP1'!$A$37:$G$89,5,0)*
VLOOKUP(
VLOOKUP($A15,'IP1'!$A$37:$G$89,7,0),Patterns!$A$2:$N$28,COLUMN(AB15)-14,0)/
VLOOKUP(
VLOOKUP($A15,'IP1'!$A$37:$G$89,7,0),Patterns!$A$2:$N$28,2,0),
IF(LEFT($D15,7)="Payroll",
SUMPRODUCT(($B15='IP1'!$B$96:$B$114)*('IP1'!$E$96:$E$114))/12,
SUMPRODUCT(($B15='IP1'!$B$96:$B$114)*('IP1'!$E$96:$E$114))/12*
IF(YEAR(AB$3)=2013,'IP1'!$F$154,'IP1'!$G$154)
))</f>
        <v>4583.333333333333</v>
      </c>
    </row>
    <row r="16" spans="1:28">
      <c r="A16" s="1" t="str">
        <f t="shared" si="2"/>
        <v xml:space="preserve">AdministrationContract services </v>
      </c>
      <c r="B16" s="1" t="s">
        <v>155</v>
      </c>
      <c r="C16" s="1" t="s">
        <v>453</v>
      </c>
      <c r="D16" s="11" t="s">
        <v>100</v>
      </c>
      <c r="E16" s="85">
        <f>IF(LEFT($D16,5)="Other",
VLOOKUP($A16,'IP1'!$A$37:$G$89,4,0)*
VLOOKUP(
VLOOKUP($A16,'IP1'!$A$37:$G$89,7,0),Patterns!$A$2:$N$28,COLUMN(E16)-2,0)/
VLOOKUP(
VLOOKUP($A16,'IP1'!$A$37:$G$89,7,0),Patterns!$A$2:$N$28,2,0),
IF(LEFT($D16,7)="Payroll",
SUMPRODUCT(($B16='IP1'!$B$96:$B$114)*('IP1'!$D$96:$D$114))/12,
SUMPRODUCT(($B16='IP1'!$B$96:$B$114)*('IP1'!$D$96:$D$114))/12*
IF(YEAR(E$3)=2013,'IP1'!$F$154,'IP1'!$G$154)
))</f>
        <v>400</v>
      </c>
      <c r="F16" s="85">
        <f>IF(LEFT($D16,5)="Other",
VLOOKUP($A16,'IP1'!$A$37:$G$89,4,0)*
VLOOKUP(
VLOOKUP($A16,'IP1'!$A$37:$G$89,7,0),Patterns!$A$2:$N$28,COLUMN(F16)-2,0)/
VLOOKUP(
VLOOKUP($A16,'IP1'!$A$37:$G$89,7,0),Patterns!$A$2:$N$28,2,0),
IF(LEFT($D16,7)="Payroll",
SUMPRODUCT(($B16='IP1'!$B$96:$B$114)*('IP1'!$D$96:$D$114))/12,
SUMPRODUCT(($B16='IP1'!$B$96:$B$114)*('IP1'!$D$96:$D$114))/12*
IF(YEAR(F$3)=2013,'IP1'!$F$154,'IP1'!$G$154)
))</f>
        <v>400</v>
      </c>
      <c r="G16" s="85">
        <f>IF(LEFT($D16,5)="Other",
VLOOKUP($A16,'IP1'!$A$37:$G$89,4,0)*
VLOOKUP(
VLOOKUP($A16,'IP1'!$A$37:$G$89,7,0),Patterns!$A$2:$N$28,COLUMN(G16)-2,0)/
VLOOKUP(
VLOOKUP($A16,'IP1'!$A$37:$G$89,7,0),Patterns!$A$2:$N$28,2,0),
IF(LEFT($D16,7)="Payroll",
SUMPRODUCT(($B16='IP1'!$B$96:$B$114)*('IP1'!$D$96:$D$114))/12,
SUMPRODUCT(($B16='IP1'!$B$96:$B$114)*('IP1'!$D$96:$D$114))/12*
IF(YEAR(G$3)=2013,'IP1'!$F$154,'IP1'!$G$154)
))</f>
        <v>1200</v>
      </c>
      <c r="H16" s="85">
        <f>IF(LEFT($D16,5)="Other",
VLOOKUP($A16,'IP1'!$A$37:$G$89,4,0)*
VLOOKUP(
VLOOKUP($A16,'IP1'!$A$37:$G$89,7,0),Patterns!$A$2:$N$28,COLUMN(H16)-2,0)/
VLOOKUP(
VLOOKUP($A16,'IP1'!$A$37:$G$89,7,0),Patterns!$A$2:$N$28,2,0),
IF(LEFT($D16,7)="Payroll",
SUMPRODUCT(($B16='IP1'!$B$96:$B$114)*('IP1'!$D$96:$D$114))/12,
SUMPRODUCT(($B16='IP1'!$B$96:$B$114)*('IP1'!$D$96:$D$114))/12*
IF(YEAR(H$3)=2013,'IP1'!$F$154,'IP1'!$G$154)
))</f>
        <v>1200</v>
      </c>
      <c r="I16" s="85">
        <f>IF(LEFT($D16,5)="Other",
VLOOKUP($A16,'IP1'!$A$37:$G$89,4,0)*
VLOOKUP(
VLOOKUP($A16,'IP1'!$A$37:$G$89,7,0),Patterns!$A$2:$N$28,COLUMN(I16)-2,0)/
VLOOKUP(
VLOOKUP($A16,'IP1'!$A$37:$G$89,7,0),Patterns!$A$2:$N$28,2,0),
IF(LEFT($D16,7)="Payroll",
SUMPRODUCT(($B16='IP1'!$B$96:$B$114)*('IP1'!$D$96:$D$114))/12,
SUMPRODUCT(($B16='IP1'!$B$96:$B$114)*('IP1'!$D$96:$D$114))/12*
IF(YEAR(I$3)=2013,'IP1'!$F$154,'IP1'!$G$154)
))</f>
        <v>2400</v>
      </c>
      <c r="J16" s="85">
        <f>IF(LEFT($D16,5)="Other",
VLOOKUP($A16,'IP1'!$A$37:$G$89,4,0)*
VLOOKUP(
VLOOKUP($A16,'IP1'!$A$37:$G$89,7,0),Patterns!$A$2:$N$28,COLUMN(J16)-2,0)/
VLOOKUP(
VLOOKUP($A16,'IP1'!$A$37:$G$89,7,0),Patterns!$A$2:$N$28,2,0),
IF(LEFT($D16,7)="Payroll",
SUMPRODUCT(($B16='IP1'!$B$96:$B$114)*('IP1'!$D$96:$D$114))/12,
SUMPRODUCT(($B16='IP1'!$B$96:$B$114)*('IP1'!$D$96:$D$114))/12*
IF(YEAR(J$3)=2013,'IP1'!$F$154,'IP1'!$G$154)
))</f>
        <v>2400</v>
      </c>
      <c r="K16" s="85">
        <f>IF(LEFT($D16,5)="Other",
VLOOKUP($A16,'IP1'!$A$37:$G$89,4,0)*
VLOOKUP(
VLOOKUP($A16,'IP1'!$A$37:$G$89,7,0),Patterns!$A$2:$N$28,COLUMN(K16)-2,0)/
VLOOKUP(
VLOOKUP($A16,'IP1'!$A$37:$G$89,7,0),Patterns!$A$2:$N$28,2,0),
IF(LEFT($D16,7)="Payroll",
SUMPRODUCT(($B16='IP1'!$B$96:$B$114)*('IP1'!$D$96:$D$114))/12,
SUMPRODUCT(($B16='IP1'!$B$96:$B$114)*('IP1'!$D$96:$D$114))/12*
IF(YEAR(K$3)=2013,'IP1'!$F$154,'IP1'!$G$154)
))</f>
        <v>2400</v>
      </c>
      <c r="L16" s="85">
        <f>IF(LEFT($D16,5)="Other",
VLOOKUP($A16,'IP1'!$A$37:$G$89,4,0)*
VLOOKUP(
VLOOKUP($A16,'IP1'!$A$37:$G$89,7,0),Patterns!$A$2:$N$28,COLUMN(L16)-2,0)/
VLOOKUP(
VLOOKUP($A16,'IP1'!$A$37:$G$89,7,0),Patterns!$A$2:$N$28,2,0),
IF(LEFT($D16,7)="Payroll",
SUMPRODUCT(($B16='IP1'!$B$96:$B$114)*('IP1'!$D$96:$D$114))/12,
SUMPRODUCT(($B16='IP1'!$B$96:$B$114)*('IP1'!$D$96:$D$114))/12*
IF(YEAR(L$3)=2013,'IP1'!$F$154,'IP1'!$G$154)
))</f>
        <v>2400</v>
      </c>
      <c r="M16" s="85">
        <f>IF(LEFT($D16,5)="Other",
VLOOKUP($A16,'IP1'!$A$37:$G$89,4,0)*
VLOOKUP(
VLOOKUP($A16,'IP1'!$A$37:$G$89,7,0),Patterns!$A$2:$N$28,COLUMN(M16)-2,0)/
VLOOKUP(
VLOOKUP($A16,'IP1'!$A$37:$G$89,7,0),Patterns!$A$2:$N$28,2,0),
IF(LEFT($D16,7)="Payroll",
SUMPRODUCT(($B16='IP1'!$B$96:$B$114)*('IP1'!$D$96:$D$114))/12,
SUMPRODUCT(($B16='IP1'!$B$96:$B$114)*('IP1'!$D$96:$D$114))/12*
IF(YEAR(M$3)=2013,'IP1'!$F$154,'IP1'!$G$154)
))</f>
        <v>2400</v>
      </c>
      <c r="N16" s="85">
        <f>IF(LEFT($D16,5)="Other",
VLOOKUP($A16,'IP1'!$A$37:$G$89,4,0)*
VLOOKUP(
VLOOKUP($A16,'IP1'!$A$37:$G$89,7,0),Patterns!$A$2:$N$28,COLUMN(N16)-2,0)/
VLOOKUP(
VLOOKUP($A16,'IP1'!$A$37:$G$89,7,0),Patterns!$A$2:$N$28,2,0),
IF(LEFT($D16,7)="Payroll",
SUMPRODUCT(($B16='IP1'!$B$96:$B$114)*('IP1'!$D$96:$D$114))/12,
SUMPRODUCT(($B16='IP1'!$B$96:$B$114)*('IP1'!$D$96:$D$114))/12*
IF(YEAR(N$3)=2013,'IP1'!$F$154,'IP1'!$G$154)
))</f>
        <v>2400</v>
      </c>
      <c r="O16" s="85">
        <f>IF(LEFT($D16,5)="Other",
VLOOKUP($A16,'IP1'!$A$37:$G$89,4,0)*
VLOOKUP(
VLOOKUP($A16,'IP1'!$A$37:$G$89,7,0),Patterns!$A$2:$N$28,COLUMN(O16)-2,0)/
VLOOKUP(
VLOOKUP($A16,'IP1'!$A$37:$G$89,7,0),Patterns!$A$2:$N$28,2,0),
IF(LEFT($D16,7)="Payroll",
SUMPRODUCT(($B16='IP1'!$B$96:$B$114)*('IP1'!$D$96:$D$114))/12,
SUMPRODUCT(($B16='IP1'!$B$96:$B$114)*('IP1'!$D$96:$D$114))/12*
IF(YEAR(O$3)=2013,'IP1'!$F$154,'IP1'!$G$154)
))</f>
        <v>400</v>
      </c>
      <c r="P16" s="85">
        <f>IF(LEFT($D16,5)="Other",
VLOOKUP($A16,'IP1'!$A$37:$G$89,4,0)*
VLOOKUP(
VLOOKUP($A16,'IP1'!$A$37:$G$89,7,0),Patterns!$A$2:$N$28,COLUMN(P16)-2,0)/
VLOOKUP(
VLOOKUP($A16,'IP1'!$A$37:$G$89,7,0),Patterns!$A$2:$N$28,2,0),
IF(LEFT($D16,7)="Payroll",
SUMPRODUCT(($B16='IP1'!$B$96:$B$114)*('IP1'!$D$96:$D$114))/12,
SUMPRODUCT(($B16='IP1'!$B$96:$B$114)*('IP1'!$D$96:$D$114))/12*
IF(YEAR(P$3)=2013,'IP1'!$F$154,'IP1'!$G$154)
))</f>
        <v>2000</v>
      </c>
      <c r="Q16" s="85">
        <f>IF(LEFT($D16,5)="Other",
VLOOKUP($A16,'IP1'!$A$37:$G$89,5,0)*
VLOOKUP(
VLOOKUP($A16,'IP1'!$A$37:$G$89,7,0),Patterns!$A$2:$N$28,COLUMN(Q16)-14,0)/
VLOOKUP(
VLOOKUP($A16,'IP1'!$A$37:$G$89,7,0),Patterns!$A$2:$N$28,2,0),
IF(LEFT($D16,7)="Payroll",
SUMPRODUCT(($B16='IP1'!$B$96:$B$114)*('IP1'!$E$96:$E$114))/12,
SUMPRODUCT(($B16='IP1'!$B$96:$B$114)*('IP1'!$E$96:$E$114))/12*
IF(YEAR(Q$3)=2013,'IP1'!$F$154,'IP1'!$G$154)
))</f>
        <v>400</v>
      </c>
      <c r="R16" s="85">
        <f>IF(LEFT($D16,5)="Other",
VLOOKUP($A16,'IP1'!$A$37:$G$89,5,0)*
VLOOKUP(
VLOOKUP($A16,'IP1'!$A$37:$G$89,7,0),Patterns!$A$2:$N$28,COLUMN(R16)-14,0)/
VLOOKUP(
VLOOKUP($A16,'IP1'!$A$37:$G$89,7,0),Patterns!$A$2:$N$28,2,0),
IF(LEFT($D16,7)="Payroll",
SUMPRODUCT(($B16='IP1'!$B$96:$B$114)*('IP1'!$E$96:$E$114))/12,
SUMPRODUCT(($B16='IP1'!$B$96:$B$114)*('IP1'!$E$96:$E$114))/12*
IF(YEAR(R$3)=2013,'IP1'!$F$154,'IP1'!$G$154)
))</f>
        <v>400</v>
      </c>
      <c r="S16" s="85">
        <f>IF(LEFT($D16,5)="Other",
VLOOKUP($A16,'IP1'!$A$37:$G$89,5,0)*
VLOOKUP(
VLOOKUP($A16,'IP1'!$A$37:$G$89,7,0),Patterns!$A$2:$N$28,COLUMN(S16)-14,0)/
VLOOKUP(
VLOOKUP($A16,'IP1'!$A$37:$G$89,7,0),Patterns!$A$2:$N$28,2,0),
IF(LEFT($D16,7)="Payroll",
SUMPRODUCT(($B16='IP1'!$B$96:$B$114)*('IP1'!$E$96:$E$114))/12,
SUMPRODUCT(($B16='IP1'!$B$96:$B$114)*('IP1'!$E$96:$E$114))/12*
IF(YEAR(S$3)=2013,'IP1'!$F$154,'IP1'!$G$154)
))</f>
        <v>1200</v>
      </c>
      <c r="T16" s="85">
        <f>IF(LEFT($D16,5)="Other",
VLOOKUP($A16,'IP1'!$A$37:$G$89,5,0)*
VLOOKUP(
VLOOKUP($A16,'IP1'!$A$37:$G$89,7,0),Patterns!$A$2:$N$28,COLUMN(T16)-14,0)/
VLOOKUP(
VLOOKUP($A16,'IP1'!$A$37:$G$89,7,0),Patterns!$A$2:$N$28,2,0),
IF(LEFT($D16,7)="Payroll",
SUMPRODUCT(($B16='IP1'!$B$96:$B$114)*('IP1'!$E$96:$E$114))/12,
SUMPRODUCT(($B16='IP1'!$B$96:$B$114)*('IP1'!$E$96:$E$114))/12*
IF(YEAR(T$3)=2013,'IP1'!$F$154,'IP1'!$G$154)
))</f>
        <v>1200</v>
      </c>
      <c r="U16" s="85">
        <f>IF(LEFT($D16,5)="Other",
VLOOKUP($A16,'IP1'!$A$37:$G$89,5,0)*
VLOOKUP(
VLOOKUP($A16,'IP1'!$A$37:$G$89,7,0),Patterns!$A$2:$N$28,COLUMN(U16)-14,0)/
VLOOKUP(
VLOOKUP($A16,'IP1'!$A$37:$G$89,7,0),Patterns!$A$2:$N$28,2,0),
IF(LEFT($D16,7)="Payroll",
SUMPRODUCT(($B16='IP1'!$B$96:$B$114)*('IP1'!$E$96:$E$114))/12,
SUMPRODUCT(($B16='IP1'!$B$96:$B$114)*('IP1'!$E$96:$E$114))/12*
IF(YEAR(U$3)=2013,'IP1'!$F$154,'IP1'!$G$154)
))</f>
        <v>2400</v>
      </c>
      <c r="V16" s="85">
        <f>IF(LEFT($D16,5)="Other",
VLOOKUP($A16,'IP1'!$A$37:$G$89,5,0)*
VLOOKUP(
VLOOKUP($A16,'IP1'!$A$37:$G$89,7,0),Patterns!$A$2:$N$28,COLUMN(V16)-14,0)/
VLOOKUP(
VLOOKUP($A16,'IP1'!$A$37:$G$89,7,0),Patterns!$A$2:$N$28,2,0),
IF(LEFT($D16,7)="Payroll",
SUMPRODUCT(($B16='IP1'!$B$96:$B$114)*('IP1'!$E$96:$E$114))/12,
SUMPRODUCT(($B16='IP1'!$B$96:$B$114)*('IP1'!$E$96:$E$114))/12*
IF(YEAR(V$3)=2013,'IP1'!$F$154,'IP1'!$G$154)
))</f>
        <v>2400</v>
      </c>
      <c r="W16" s="85">
        <f>IF(LEFT($D16,5)="Other",
VLOOKUP($A16,'IP1'!$A$37:$G$89,5,0)*
VLOOKUP(
VLOOKUP($A16,'IP1'!$A$37:$G$89,7,0),Patterns!$A$2:$N$28,COLUMN(W16)-14,0)/
VLOOKUP(
VLOOKUP($A16,'IP1'!$A$37:$G$89,7,0),Patterns!$A$2:$N$28,2,0),
IF(LEFT($D16,7)="Payroll",
SUMPRODUCT(($B16='IP1'!$B$96:$B$114)*('IP1'!$E$96:$E$114))/12,
SUMPRODUCT(($B16='IP1'!$B$96:$B$114)*('IP1'!$E$96:$E$114))/12*
IF(YEAR(W$3)=2013,'IP1'!$F$154,'IP1'!$G$154)
))</f>
        <v>2400</v>
      </c>
      <c r="X16" s="85">
        <f>IF(LEFT($D16,5)="Other",
VLOOKUP($A16,'IP1'!$A$37:$G$89,5,0)*
VLOOKUP(
VLOOKUP($A16,'IP1'!$A$37:$G$89,7,0),Patterns!$A$2:$N$28,COLUMN(X16)-14,0)/
VLOOKUP(
VLOOKUP($A16,'IP1'!$A$37:$G$89,7,0),Patterns!$A$2:$N$28,2,0),
IF(LEFT($D16,7)="Payroll",
SUMPRODUCT(($B16='IP1'!$B$96:$B$114)*('IP1'!$E$96:$E$114))/12,
SUMPRODUCT(($B16='IP1'!$B$96:$B$114)*('IP1'!$E$96:$E$114))/12*
IF(YEAR(X$3)=2013,'IP1'!$F$154,'IP1'!$G$154)
))</f>
        <v>2400</v>
      </c>
      <c r="Y16" s="85">
        <f>IF(LEFT($D16,5)="Other",
VLOOKUP($A16,'IP1'!$A$37:$G$89,5,0)*
VLOOKUP(
VLOOKUP($A16,'IP1'!$A$37:$G$89,7,0),Patterns!$A$2:$N$28,COLUMN(Y16)-14,0)/
VLOOKUP(
VLOOKUP($A16,'IP1'!$A$37:$G$89,7,0),Patterns!$A$2:$N$28,2,0),
IF(LEFT($D16,7)="Payroll",
SUMPRODUCT(($B16='IP1'!$B$96:$B$114)*('IP1'!$E$96:$E$114))/12,
SUMPRODUCT(($B16='IP1'!$B$96:$B$114)*('IP1'!$E$96:$E$114))/12*
IF(YEAR(Y$3)=2013,'IP1'!$F$154,'IP1'!$G$154)
))</f>
        <v>2400</v>
      </c>
      <c r="Z16" s="85">
        <f>IF(LEFT($D16,5)="Other",
VLOOKUP($A16,'IP1'!$A$37:$G$89,5,0)*
VLOOKUP(
VLOOKUP($A16,'IP1'!$A$37:$G$89,7,0),Patterns!$A$2:$N$28,COLUMN(Z16)-14,0)/
VLOOKUP(
VLOOKUP($A16,'IP1'!$A$37:$G$89,7,0),Patterns!$A$2:$N$28,2,0),
IF(LEFT($D16,7)="Payroll",
SUMPRODUCT(($B16='IP1'!$B$96:$B$114)*('IP1'!$E$96:$E$114))/12,
SUMPRODUCT(($B16='IP1'!$B$96:$B$114)*('IP1'!$E$96:$E$114))/12*
IF(YEAR(Z$3)=2013,'IP1'!$F$154,'IP1'!$G$154)
))</f>
        <v>2400</v>
      </c>
      <c r="AA16" s="85">
        <f>IF(LEFT($D16,5)="Other",
VLOOKUP($A16,'IP1'!$A$37:$G$89,5,0)*
VLOOKUP(
VLOOKUP($A16,'IP1'!$A$37:$G$89,7,0),Patterns!$A$2:$N$28,COLUMN(AA16)-14,0)/
VLOOKUP(
VLOOKUP($A16,'IP1'!$A$37:$G$89,7,0),Patterns!$A$2:$N$28,2,0),
IF(LEFT($D16,7)="Payroll",
SUMPRODUCT(($B16='IP1'!$B$96:$B$114)*('IP1'!$E$96:$E$114))/12,
SUMPRODUCT(($B16='IP1'!$B$96:$B$114)*('IP1'!$E$96:$E$114))/12*
IF(YEAR(AA$3)=2013,'IP1'!$F$154,'IP1'!$G$154)
))</f>
        <v>400</v>
      </c>
      <c r="AB16" s="85">
        <f>IF(LEFT($D16,5)="Other",
VLOOKUP($A16,'IP1'!$A$37:$G$89,5,0)*
VLOOKUP(
VLOOKUP($A16,'IP1'!$A$37:$G$89,7,0),Patterns!$A$2:$N$28,COLUMN(AB16)-14,0)/
VLOOKUP(
VLOOKUP($A16,'IP1'!$A$37:$G$89,7,0),Patterns!$A$2:$N$28,2,0),
IF(LEFT($D16,7)="Payroll",
SUMPRODUCT(($B16='IP1'!$B$96:$B$114)*('IP1'!$E$96:$E$114))/12,
SUMPRODUCT(($B16='IP1'!$B$96:$B$114)*('IP1'!$E$96:$E$114))/12*
IF(YEAR(AB$3)=2013,'IP1'!$F$154,'IP1'!$G$154)
))</f>
        <v>2000</v>
      </c>
    </row>
    <row r="17" spans="1:28">
      <c r="A17" s="1" t="str">
        <f t="shared" si="2"/>
        <v xml:space="preserve">AdministrationCredit card costs </v>
      </c>
      <c r="B17" s="1" t="s">
        <v>155</v>
      </c>
      <c r="C17" s="1" t="s">
        <v>487</v>
      </c>
      <c r="D17" s="11" t="s">
        <v>100</v>
      </c>
      <c r="E17" s="85">
        <f>IF(LEFT($D17,5)="Other",
VLOOKUP($A17,'IP1'!$A$37:$G$89,4,0)*
VLOOKUP(
VLOOKUP($A17,'IP1'!$A$37:$G$89,7,0),Patterns!$A$2:$N$28,COLUMN(E17)-2,0)/
VLOOKUP(
VLOOKUP($A17,'IP1'!$A$37:$G$89,7,0),Patterns!$A$2:$N$28,2,0),
IF(LEFT($D17,7)="Payroll",
SUMPRODUCT(($B17='IP1'!$B$96:$B$114)*('IP1'!$D$96:$D$114))/12,
SUMPRODUCT(($B17='IP1'!$B$96:$B$114)*('IP1'!$D$96:$D$114))/12*
IF(YEAR(E$3)=2013,'IP1'!$F$154,'IP1'!$G$154)
))</f>
        <v>1080</v>
      </c>
      <c r="F17" s="85">
        <f>IF(LEFT($D17,5)="Other",
VLOOKUP($A17,'IP1'!$A$37:$G$89,4,0)*
VLOOKUP(
VLOOKUP($A17,'IP1'!$A$37:$G$89,7,0),Patterns!$A$2:$N$28,COLUMN(F17)-2,0)/
VLOOKUP(
VLOOKUP($A17,'IP1'!$A$37:$G$89,7,0),Patterns!$A$2:$N$28,2,0),
IF(LEFT($D17,7)="Payroll",
SUMPRODUCT(($B17='IP1'!$B$96:$B$114)*('IP1'!$D$96:$D$114))/12,
SUMPRODUCT(($B17='IP1'!$B$96:$B$114)*('IP1'!$D$96:$D$114))/12*
IF(YEAR(F$3)=2013,'IP1'!$F$154,'IP1'!$G$154)
))</f>
        <v>1080</v>
      </c>
      <c r="G17" s="85">
        <f>IF(LEFT($D17,5)="Other",
VLOOKUP($A17,'IP1'!$A$37:$G$89,4,0)*
VLOOKUP(
VLOOKUP($A17,'IP1'!$A$37:$G$89,7,0),Patterns!$A$2:$N$28,COLUMN(G17)-2,0)/
VLOOKUP(
VLOOKUP($A17,'IP1'!$A$37:$G$89,7,0),Patterns!$A$2:$N$28,2,0),
IF(LEFT($D17,7)="Payroll",
SUMPRODUCT(($B17='IP1'!$B$96:$B$114)*('IP1'!$D$96:$D$114))/12,
SUMPRODUCT(($B17='IP1'!$B$96:$B$114)*('IP1'!$D$96:$D$114))/12*
IF(YEAR(G$3)=2013,'IP1'!$F$154,'IP1'!$G$154)
))</f>
        <v>1800</v>
      </c>
      <c r="H17" s="85">
        <f>IF(LEFT($D17,5)="Other",
VLOOKUP($A17,'IP1'!$A$37:$G$89,4,0)*
VLOOKUP(
VLOOKUP($A17,'IP1'!$A$37:$G$89,7,0),Patterns!$A$2:$N$28,COLUMN(H17)-2,0)/
VLOOKUP(
VLOOKUP($A17,'IP1'!$A$37:$G$89,7,0),Patterns!$A$2:$N$28,2,0),
IF(LEFT($D17,7)="Payroll",
SUMPRODUCT(($B17='IP1'!$B$96:$B$114)*('IP1'!$D$96:$D$114))/12,
SUMPRODUCT(($B17='IP1'!$B$96:$B$114)*('IP1'!$D$96:$D$114))/12*
IF(YEAR(H$3)=2013,'IP1'!$F$154,'IP1'!$G$154)
))</f>
        <v>3240</v>
      </c>
      <c r="I17" s="85">
        <f>IF(LEFT($D17,5)="Other",
VLOOKUP($A17,'IP1'!$A$37:$G$89,4,0)*
VLOOKUP(
VLOOKUP($A17,'IP1'!$A$37:$G$89,7,0),Patterns!$A$2:$N$28,COLUMN(I17)-2,0)/
VLOOKUP(
VLOOKUP($A17,'IP1'!$A$37:$G$89,7,0),Patterns!$A$2:$N$28,2,0),
IF(LEFT($D17,7)="Payroll",
SUMPRODUCT(($B17='IP1'!$B$96:$B$114)*('IP1'!$D$96:$D$114))/12,
SUMPRODUCT(($B17='IP1'!$B$96:$B$114)*('IP1'!$D$96:$D$114))/12*
IF(YEAR(I$3)=2013,'IP1'!$F$154,'IP1'!$G$154)
))</f>
        <v>3600</v>
      </c>
      <c r="J17" s="85">
        <f>IF(LEFT($D17,5)="Other",
VLOOKUP($A17,'IP1'!$A$37:$G$89,4,0)*
VLOOKUP(
VLOOKUP($A17,'IP1'!$A$37:$G$89,7,0),Patterns!$A$2:$N$28,COLUMN(J17)-2,0)/
VLOOKUP(
VLOOKUP($A17,'IP1'!$A$37:$G$89,7,0),Patterns!$A$2:$N$28,2,0),
IF(LEFT($D17,7)="Payroll",
SUMPRODUCT(($B17='IP1'!$B$96:$B$114)*('IP1'!$D$96:$D$114))/12,
SUMPRODUCT(($B17='IP1'!$B$96:$B$114)*('IP1'!$D$96:$D$114))/12*
IF(YEAR(J$3)=2013,'IP1'!$F$154,'IP1'!$G$154)
))</f>
        <v>3600</v>
      </c>
      <c r="K17" s="85">
        <f>IF(LEFT($D17,5)="Other",
VLOOKUP($A17,'IP1'!$A$37:$G$89,4,0)*
VLOOKUP(
VLOOKUP($A17,'IP1'!$A$37:$G$89,7,0),Patterns!$A$2:$N$28,COLUMN(K17)-2,0)/
VLOOKUP(
VLOOKUP($A17,'IP1'!$A$37:$G$89,7,0),Patterns!$A$2:$N$28,2,0),
IF(LEFT($D17,7)="Payroll",
SUMPRODUCT(($B17='IP1'!$B$96:$B$114)*('IP1'!$D$96:$D$114))/12,
SUMPRODUCT(($B17='IP1'!$B$96:$B$114)*('IP1'!$D$96:$D$114))/12*
IF(YEAR(K$3)=2013,'IP1'!$F$154,'IP1'!$G$154)
))</f>
        <v>4680</v>
      </c>
      <c r="L17" s="85">
        <f>IF(LEFT($D17,5)="Other",
VLOOKUP($A17,'IP1'!$A$37:$G$89,4,0)*
VLOOKUP(
VLOOKUP($A17,'IP1'!$A$37:$G$89,7,0),Patterns!$A$2:$N$28,COLUMN(L17)-2,0)/
VLOOKUP(
VLOOKUP($A17,'IP1'!$A$37:$G$89,7,0),Patterns!$A$2:$N$28,2,0),
IF(LEFT($D17,7)="Payroll",
SUMPRODUCT(($B17='IP1'!$B$96:$B$114)*('IP1'!$D$96:$D$114))/12,
SUMPRODUCT(($B17='IP1'!$B$96:$B$114)*('IP1'!$D$96:$D$114))/12*
IF(YEAR(L$3)=2013,'IP1'!$F$154,'IP1'!$G$154)
))</f>
        <v>4680</v>
      </c>
      <c r="M17" s="85">
        <f>IF(LEFT($D17,5)="Other",
VLOOKUP($A17,'IP1'!$A$37:$G$89,4,0)*
VLOOKUP(
VLOOKUP($A17,'IP1'!$A$37:$G$89,7,0),Patterns!$A$2:$N$28,COLUMN(M17)-2,0)/
VLOOKUP(
VLOOKUP($A17,'IP1'!$A$37:$G$89,7,0),Patterns!$A$2:$N$28,2,0),
IF(LEFT($D17,7)="Payroll",
SUMPRODUCT(($B17='IP1'!$B$96:$B$114)*('IP1'!$D$96:$D$114))/12,
SUMPRODUCT(($B17='IP1'!$B$96:$B$114)*('IP1'!$D$96:$D$114))/12*
IF(YEAR(M$3)=2013,'IP1'!$F$154,'IP1'!$G$154)
))</f>
        <v>3600</v>
      </c>
      <c r="N17" s="85">
        <f>IF(LEFT($D17,5)="Other",
VLOOKUP($A17,'IP1'!$A$37:$G$89,4,0)*
VLOOKUP(
VLOOKUP($A17,'IP1'!$A$37:$G$89,7,0),Patterns!$A$2:$N$28,COLUMN(N17)-2,0)/
VLOOKUP(
VLOOKUP($A17,'IP1'!$A$37:$G$89,7,0),Patterns!$A$2:$N$28,2,0),
IF(LEFT($D17,7)="Payroll",
SUMPRODUCT(($B17='IP1'!$B$96:$B$114)*('IP1'!$D$96:$D$114))/12,
SUMPRODUCT(($B17='IP1'!$B$96:$B$114)*('IP1'!$D$96:$D$114))/12*
IF(YEAR(N$3)=2013,'IP1'!$F$154,'IP1'!$G$154)
))</f>
        <v>3240</v>
      </c>
      <c r="O17" s="85">
        <f>IF(LEFT($D17,5)="Other",
VLOOKUP($A17,'IP1'!$A$37:$G$89,4,0)*
VLOOKUP(
VLOOKUP($A17,'IP1'!$A$37:$G$89,7,0),Patterns!$A$2:$N$28,COLUMN(O17)-2,0)/
VLOOKUP(
VLOOKUP($A17,'IP1'!$A$37:$G$89,7,0),Patterns!$A$2:$N$28,2,0),
IF(LEFT($D17,7)="Payroll",
SUMPRODUCT(($B17='IP1'!$B$96:$B$114)*('IP1'!$D$96:$D$114))/12,
SUMPRODUCT(($B17='IP1'!$B$96:$B$114)*('IP1'!$D$96:$D$114))/12*
IF(YEAR(O$3)=2013,'IP1'!$F$154,'IP1'!$G$154)
))</f>
        <v>1080</v>
      </c>
      <c r="P17" s="85">
        <f>IF(LEFT($D17,5)="Other",
VLOOKUP($A17,'IP1'!$A$37:$G$89,4,0)*
VLOOKUP(
VLOOKUP($A17,'IP1'!$A$37:$G$89,7,0),Patterns!$A$2:$N$28,COLUMN(P17)-2,0)/
VLOOKUP(
VLOOKUP($A17,'IP1'!$A$37:$G$89,7,0),Patterns!$A$2:$N$28,2,0),
IF(LEFT($D17,7)="Payroll",
SUMPRODUCT(($B17='IP1'!$B$96:$B$114)*('IP1'!$D$96:$D$114))/12,
SUMPRODUCT(($B17='IP1'!$B$96:$B$114)*('IP1'!$D$96:$D$114))/12*
IF(YEAR(P$3)=2013,'IP1'!$F$154,'IP1'!$G$154)
))</f>
        <v>4320</v>
      </c>
      <c r="Q17" s="85">
        <f>IF(LEFT($D17,5)="Other",
VLOOKUP($A17,'IP1'!$A$37:$G$89,5,0)*
VLOOKUP(
VLOOKUP($A17,'IP1'!$A$37:$G$89,7,0),Patterns!$A$2:$N$28,COLUMN(Q17)-14,0)/
VLOOKUP(
VLOOKUP($A17,'IP1'!$A$37:$G$89,7,0),Patterns!$A$2:$N$28,2,0),
IF(LEFT($D17,7)="Payroll",
SUMPRODUCT(($B17='IP1'!$B$96:$B$114)*('IP1'!$E$96:$E$114))/12,
SUMPRODUCT(($B17='IP1'!$B$96:$B$114)*('IP1'!$E$96:$E$114))/12*
IF(YEAR(Q$3)=2013,'IP1'!$F$154,'IP1'!$G$154)
))</f>
        <v>1200</v>
      </c>
      <c r="R17" s="85">
        <f>IF(LEFT($D17,5)="Other",
VLOOKUP($A17,'IP1'!$A$37:$G$89,5,0)*
VLOOKUP(
VLOOKUP($A17,'IP1'!$A$37:$G$89,7,0),Patterns!$A$2:$N$28,COLUMN(R17)-14,0)/
VLOOKUP(
VLOOKUP($A17,'IP1'!$A$37:$G$89,7,0),Patterns!$A$2:$N$28,2,0),
IF(LEFT($D17,7)="Payroll",
SUMPRODUCT(($B17='IP1'!$B$96:$B$114)*('IP1'!$E$96:$E$114))/12,
SUMPRODUCT(($B17='IP1'!$B$96:$B$114)*('IP1'!$E$96:$E$114))/12*
IF(YEAR(R$3)=2013,'IP1'!$F$154,'IP1'!$G$154)
))</f>
        <v>1200</v>
      </c>
      <c r="S17" s="85">
        <f>IF(LEFT($D17,5)="Other",
VLOOKUP($A17,'IP1'!$A$37:$G$89,5,0)*
VLOOKUP(
VLOOKUP($A17,'IP1'!$A$37:$G$89,7,0),Patterns!$A$2:$N$28,COLUMN(S17)-14,0)/
VLOOKUP(
VLOOKUP($A17,'IP1'!$A$37:$G$89,7,0),Patterns!$A$2:$N$28,2,0),
IF(LEFT($D17,7)="Payroll",
SUMPRODUCT(($B17='IP1'!$B$96:$B$114)*('IP1'!$E$96:$E$114))/12,
SUMPRODUCT(($B17='IP1'!$B$96:$B$114)*('IP1'!$E$96:$E$114))/12*
IF(YEAR(S$3)=2013,'IP1'!$F$154,'IP1'!$G$154)
))</f>
        <v>2000</v>
      </c>
      <c r="T17" s="85">
        <f>IF(LEFT($D17,5)="Other",
VLOOKUP($A17,'IP1'!$A$37:$G$89,5,0)*
VLOOKUP(
VLOOKUP($A17,'IP1'!$A$37:$G$89,7,0),Patterns!$A$2:$N$28,COLUMN(T17)-14,0)/
VLOOKUP(
VLOOKUP($A17,'IP1'!$A$37:$G$89,7,0),Patterns!$A$2:$N$28,2,0),
IF(LEFT($D17,7)="Payroll",
SUMPRODUCT(($B17='IP1'!$B$96:$B$114)*('IP1'!$E$96:$E$114))/12,
SUMPRODUCT(($B17='IP1'!$B$96:$B$114)*('IP1'!$E$96:$E$114))/12*
IF(YEAR(T$3)=2013,'IP1'!$F$154,'IP1'!$G$154)
))</f>
        <v>3600</v>
      </c>
      <c r="U17" s="85">
        <f>IF(LEFT($D17,5)="Other",
VLOOKUP($A17,'IP1'!$A$37:$G$89,5,0)*
VLOOKUP(
VLOOKUP($A17,'IP1'!$A$37:$G$89,7,0),Patterns!$A$2:$N$28,COLUMN(U17)-14,0)/
VLOOKUP(
VLOOKUP($A17,'IP1'!$A$37:$G$89,7,0),Patterns!$A$2:$N$28,2,0),
IF(LEFT($D17,7)="Payroll",
SUMPRODUCT(($B17='IP1'!$B$96:$B$114)*('IP1'!$E$96:$E$114))/12,
SUMPRODUCT(($B17='IP1'!$B$96:$B$114)*('IP1'!$E$96:$E$114))/12*
IF(YEAR(U$3)=2013,'IP1'!$F$154,'IP1'!$G$154)
))</f>
        <v>4000</v>
      </c>
      <c r="V17" s="85">
        <f>IF(LEFT($D17,5)="Other",
VLOOKUP($A17,'IP1'!$A$37:$G$89,5,0)*
VLOOKUP(
VLOOKUP($A17,'IP1'!$A$37:$G$89,7,0),Patterns!$A$2:$N$28,COLUMN(V17)-14,0)/
VLOOKUP(
VLOOKUP($A17,'IP1'!$A$37:$G$89,7,0),Patterns!$A$2:$N$28,2,0),
IF(LEFT($D17,7)="Payroll",
SUMPRODUCT(($B17='IP1'!$B$96:$B$114)*('IP1'!$E$96:$E$114))/12,
SUMPRODUCT(($B17='IP1'!$B$96:$B$114)*('IP1'!$E$96:$E$114))/12*
IF(YEAR(V$3)=2013,'IP1'!$F$154,'IP1'!$G$154)
))</f>
        <v>4000</v>
      </c>
      <c r="W17" s="85">
        <f>IF(LEFT($D17,5)="Other",
VLOOKUP($A17,'IP1'!$A$37:$G$89,5,0)*
VLOOKUP(
VLOOKUP($A17,'IP1'!$A$37:$G$89,7,0),Patterns!$A$2:$N$28,COLUMN(W17)-14,0)/
VLOOKUP(
VLOOKUP($A17,'IP1'!$A$37:$G$89,7,0),Patterns!$A$2:$N$28,2,0),
IF(LEFT($D17,7)="Payroll",
SUMPRODUCT(($B17='IP1'!$B$96:$B$114)*('IP1'!$E$96:$E$114))/12,
SUMPRODUCT(($B17='IP1'!$B$96:$B$114)*('IP1'!$E$96:$E$114))/12*
IF(YEAR(W$3)=2013,'IP1'!$F$154,'IP1'!$G$154)
))</f>
        <v>5200</v>
      </c>
      <c r="X17" s="85">
        <f>IF(LEFT($D17,5)="Other",
VLOOKUP($A17,'IP1'!$A$37:$G$89,5,0)*
VLOOKUP(
VLOOKUP($A17,'IP1'!$A$37:$G$89,7,0),Patterns!$A$2:$N$28,COLUMN(X17)-14,0)/
VLOOKUP(
VLOOKUP($A17,'IP1'!$A$37:$G$89,7,0),Patterns!$A$2:$N$28,2,0),
IF(LEFT($D17,7)="Payroll",
SUMPRODUCT(($B17='IP1'!$B$96:$B$114)*('IP1'!$E$96:$E$114))/12,
SUMPRODUCT(($B17='IP1'!$B$96:$B$114)*('IP1'!$E$96:$E$114))/12*
IF(YEAR(X$3)=2013,'IP1'!$F$154,'IP1'!$G$154)
))</f>
        <v>5200</v>
      </c>
      <c r="Y17" s="85">
        <f>IF(LEFT($D17,5)="Other",
VLOOKUP($A17,'IP1'!$A$37:$G$89,5,0)*
VLOOKUP(
VLOOKUP($A17,'IP1'!$A$37:$G$89,7,0),Patterns!$A$2:$N$28,COLUMN(Y17)-14,0)/
VLOOKUP(
VLOOKUP($A17,'IP1'!$A$37:$G$89,7,0),Patterns!$A$2:$N$28,2,0),
IF(LEFT($D17,7)="Payroll",
SUMPRODUCT(($B17='IP1'!$B$96:$B$114)*('IP1'!$E$96:$E$114))/12,
SUMPRODUCT(($B17='IP1'!$B$96:$B$114)*('IP1'!$E$96:$E$114))/12*
IF(YEAR(Y$3)=2013,'IP1'!$F$154,'IP1'!$G$154)
))</f>
        <v>4000</v>
      </c>
      <c r="Z17" s="85">
        <f>IF(LEFT($D17,5)="Other",
VLOOKUP($A17,'IP1'!$A$37:$G$89,5,0)*
VLOOKUP(
VLOOKUP($A17,'IP1'!$A$37:$G$89,7,0),Patterns!$A$2:$N$28,COLUMN(Z17)-14,0)/
VLOOKUP(
VLOOKUP($A17,'IP1'!$A$37:$G$89,7,0),Patterns!$A$2:$N$28,2,0),
IF(LEFT($D17,7)="Payroll",
SUMPRODUCT(($B17='IP1'!$B$96:$B$114)*('IP1'!$E$96:$E$114))/12,
SUMPRODUCT(($B17='IP1'!$B$96:$B$114)*('IP1'!$E$96:$E$114))/12*
IF(YEAR(Z$3)=2013,'IP1'!$F$154,'IP1'!$G$154)
))</f>
        <v>3600</v>
      </c>
      <c r="AA17" s="85">
        <f>IF(LEFT($D17,5)="Other",
VLOOKUP($A17,'IP1'!$A$37:$G$89,5,0)*
VLOOKUP(
VLOOKUP($A17,'IP1'!$A$37:$G$89,7,0),Patterns!$A$2:$N$28,COLUMN(AA17)-14,0)/
VLOOKUP(
VLOOKUP($A17,'IP1'!$A$37:$G$89,7,0),Patterns!$A$2:$N$28,2,0),
IF(LEFT($D17,7)="Payroll",
SUMPRODUCT(($B17='IP1'!$B$96:$B$114)*('IP1'!$E$96:$E$114))/12,
SUMPRODUCT(($B17='IP1'!$B$96:$B$114)*('IP1'!$E$96:$E$114))/12*
IF(YEAR(AA$3)=2013,'IP1'!$F$154,'IP1'!$G$154)
))</f>
        <v>1200</v>
      </c>
      <c r="AB17" s="85">
        <f>IF(LEFT($D17,5)="Other",
VLOOKUP($A17,'IP1'!$A$37:$G$89,5,0)*
VLOOKUP(
VLOOKUP($A17,'IP1'!$A$37:$G$89,7,0),Patterns!$A$2:$N$28,COLUMN(AB17)-14,0)/
VLOOKUP(
VLOOKUP($A17,'IP1'!$A$37:$G$89,7,0),Patterns!$A$2:$N$28,2,0),
IF(LEFT($D17,7)="Payroll",
SUMPRODUCT(($B17='IP1'!$B$96:$B$114)*('IP1'!$E$96:$E$114))/12,
SUMPRODUCT(($B17='IP1'!$B$96:$B$114)*('IP1'!$E$96:$E$114))/12*
IF(YEAR(AB$3)=2013,'IP1'!$F$154,'IP1'!$G$154)
))</f>
        <v>4800</v>
      </c>
    </row>
    <row r="18" spans="1:28">
      <c r="A18" s="1" t="str">
        <f t="shared" si="2"/>
        <v xml:space="preserve">AdministrationDues and subscriptions </v>
      </c>
      <c r="B18" s="1" t="s">
        <v>155</v>
      </c>
      <c r="C18" s="1" t="s">
        <v>454</v>
      </c>
      <c r="D18" s="11" t="s">
        <v>100</v>
      </c>
      <c r="E18" s="85">
        <f>IF(LEFT($D18,5)="Other",
VLOOKUP($A18,'IP1'!$A$37:$G$89,4,0)*
VLOOKUP(
VLOOKUP($A18,'IP1'!$A$37:$G$89,7,0),Patterns!$A$2:$N$28,COLUMN(E18)-2,0)/
VLOOKUP(
VLOOKUP($A18,'IP1'!$A$37:$G$89,7,0),Patterns!$A$2:$N$28,2,0),
IF(LEFT($D18,7)="Payroll",
SUMPRODUCT(($B18='IP1'!$B$96:$B$114)*('IP1'!$D$96:$D$114))/12,
SUMPRODUCT(($B18='IP1'!$B$96:$B$114)*('IP1'!$D$96:$D$114))/12*
IF(YEAR(E$3)=2013,'IP1'!$F$154,'IP1'!$G$154)
))</f>
        <v>0</v>
      </c>
      <c r="F18" s="85">
        <f>IF(LEFT($D18,5)="Other",
VLOOKUP($A18,'IP1'!$A$37:$G$89,4,0)*
VLOOKUP(
VLOOKUP($A18,'IP1'!$A$37:$G$89,7,0),Patterns!$A$2:$N$28,COLUMN(F18)-2,0)/
VLOOKUP(
VLOOKUP($A18,'IP1'!$A$37:$G$89,7,0),Patterns!$A$2:$N$28,2,0),
IF(LEFT($D18,7)="Payroll",
SUMPRODUCT(($B18='IP1'!$B$96:$B$114)*('IP1'!$D$96:$D$114))/12,
SUMPRODUCT(($B18='IP1'!$B$96:$B$114)*('IP1'!$D$96:$D$114))/12*
IF(YEAR(F$3)=2013,'IP1'!$F$154,'IP1'!$G$154)
))</f>
        <v>250</v>
      </c>
      <c r="G18" s="85">
        <f>IF(LEFT($D18,5)="Other",
VLOOKUP($A18,'IP1'!$A$37:$G$89,4,0)*
VLOOKUP(
VLOOKUP($A18,'IP1'!$A$37:$G$89,7,0),Patterns!$A$2:$N$28,COLUMN(G18)-2,0)/
VLOOKUP(
VLOOKUP($A18,'IP1'!$A$37:$G$89,7,0),Patterns!$A$2:$N$28,2,0),
IF(LEFT($D18,7)="Payroll",
SUMPRODUCT(($B18='IP1'!$B$96:$B$114)*('IP1'!$D$96:$D$114))/12,
SUMPRODUCT(($B18='IP1'!$B$96:$B$114)*('IP1'!$D$96:$D$114))/12*
IF(YEAR(G$3)=2013,'IP1'!$F$154,'IP1'!$G$154)
))</f>
        <v>0</v>
      </c>
      <c r="H18" s="85">
        <f>IF(LEFT($D18,5)="Other",
VLOOKUP($A18,'IP1'!$A$37:$G$89,4,0)*
VLOOKUP(
VLOOKUP($A18,'IP1'!$A$37:$G$89,7,0),Patterns!$A$2:$N$28,COLUMN(H18)-2,0)/
VLOOKUP(
VLOOKUP($A18,'IP1'!$A$37:$G$89,7,0),Patterns!$A$2:$N$28,2,0),
IF(LEFT($D18,7)="Payroll",
SUMPRODUCT(($B18='IP1'!$B$96:$B$114)*('IP1'!$D$96:$D$114))/12,
SUMPRODUCT(($B18='IP1'!$B$96:$B$114)*('IP1'!$D$96:$D$114))/12*
IF(YEAR(H$3)=2013,'IP1'!$F$154,'IP1'!$G$154)
))</f>
        <v>0</v>
      </c>
      <c r="I18" s="85">
        <f>IF(LEFT($D18,5)="Other",
VLOOKUP($A18,'IP1'!$A$37:$G$89,4,0)*
VLOOKUP(
VLOOKUP($A18,'IP1'!$A$37:$G$89,7,0),Patterns!$A$2:$N$28,COLUMN(I18)-2,0)/
VLOOKUP(
VLOOKUP($A18,'IP1'!$A$37:$G$89,7,0),Patterns!$A$2:$N$28,2,0),
IF(LEFT($D18,7)="Payroll",
SUMPRODUCT(($B18='IP1'!$B$96:$B$114)*('IP1'!$D$96:$D$114))/12,
SUMPRODUCT(($B18='IP1'!$B$96:$B$114)*('IP1'!$D$96:$D$114))/12*
IF(YEAR(I$3)=2013,'IP1'!$F$154,'IP1'!$G$154)
))</f>
        <v>250</v>
      </c>
      <c r="J18" s="85">
        <f>IF(LEFT($D18,5)="Other",
VLOOKUP($A18,'IP1'!$A$37:$G$89,4,0)*
VLOOKUP(
VLOOKUP($A18,'IP1'!$A$37:$G$89,7,0),Patterns!$A$2:$N$28,COLUMN(J18)-2,0)/
VLOOKUP(
VLOOKUP($A18,'IP1'!$A$37:$G$89,7,0),Patterns!$A$2:$N$28,2,0),
IF(LEFT($D18,7)="Payroll",
SUMPRODUCT(($B18='IP1'!$B$96:$B$114)*('IP1'!$D$96:$D$114))/12,
SUMPRODUCT(($B18='IP1'!$B$96:$B$114)*('IP1'!$D$96:$D$114))/12*
IF(YEAR(J$3)=2013,'IP1'!$F$154,'IP1'!$G$154)
))</f>
        <v>0</v>
      </c>
      <c r="K18" s="85">
        <f>IF(LEFT($D18,5)="Other",
VLOOKUP($A18,'IP1'!$A$37:$G$89,4,0)*
VLOOKUP(
VLOOKUP($A18,'IP1'!$A$37:$G$89,7,0),Patterns!$A$2:$N$28,COLUMN(K18)-2,0)/
VLOOKUP(
VLOOKUP($A18,'IP1'!$A$37:$G$89,7,0),Patterns!$A$2:$N$28,2,0),
IF(LEFT($D18,7)="Payroll",
SUMPRODUCT(($B18='IP1'!$B$96:$B$114)*('IP1'!$D$96:$D$114))/12,
SUMPRODUCT(($B18='IP1'!$B$96:$B$114)*('IP1'!$D$96:$D$114))/12*
IF(YEAR(K$3)=2013,'IP1'!$F$154,'IP1'!$G$154)
))</f>
        <v>0</v>
      </c>
      <c r="L18" s="85">
        <f>IF(LEFT($D18,5)="Other",
VLOOKUP($A18,'IP1'!$A$37:$G$89,4,0)*
VLOOKUP(
VLOOKUP($A18,'IP1'!$A$37:$G$89,7,0),Patterns!$A$2:$N$28,COLUMN(L18)-2,0)/
VLOOKUP(
VLOOKUP($A18,'IP1'!$A$37:$G$89,7,0),Patterns!$A$2:$N$28,2,0),
IF(LEFT($D18,7)="Payroll",
SUMPRODUCT(($B18='IP1'!$B$96:$B$114)*('IP1'!$D$96:$D$114))/12,
SUMPRODUCT(($B18='IP1'!$B$96:$B$114)*('IP1'!$D$96:$D$114))/12*
IF(YEAR(L$3)=2013,'IP1'!$F$154,'IP1'!$G$154)
))</f>
        <v>250</v>
      </c>
      <c r="M18" s="85">
        <f>IF(LEFT($D18,5)="Other",
VLOOKUP($A18,'IP1'!$A$37:$G$89,4,0)*
VLOOKUP(
VLOOKUP($A18,'IP1'!$A$37:$G$89,7,0),Patterns!$A$2:$N$28,COLUMN(M18)-2,0)/
VLOOKUP(
VLOOKUP($A18,'IP1'!$A$37:$G$89,7,0),Patterns!$A$2:$N$28,2,0),
IF(LEFT($D18,7)="Payroll",
SUMPRODUCT(($B18='IP1'!$B$96:$B$114)*('IP1'!$D$96:$D$114))/12,
SUMPRODUCT(($B18='IP1'!$B$96:$B$114)*('IP1'!$D$96:$D$114))/12*
IF(YEAR(M$3)=2013,'IP1'!$F$154,'IP1'!$G$154)
))</f>
        <v>0</v>
      </c>
      <c r="N18" s="85">
        <f>IF(LEFT($D18,5)="Other",
VLOOKUP($A18,'IP1'!$A$37:$G$89,4,0)*
VLOOKUP(
VLOOKUP($A18,'IP1'!$A$37:$G$89,7,0),Patterns!$A$2:$N$28,COLUMN(N18)-2,0)/
VLOOKUP(
VLOOKUP($A18,'IP1'!$A$37:$G$89,7,0),Patterns!$A$2:$N$28,2,0),
IF(LEFT($D18,7)="Payroll",
SUMPRODUCT(($B18='IP1'!$B$96:$B$114)*('IP1'!$D$96:$D$114))/12,
SUMPRODUCT(($B18='IP1'!$B$96:$B$114)*('IP1'!$D$96:$D$114))/12*
IF(YEAR(N$3)=2013,'IP1'!$F$154,'IP1'!$G$154)
))</f>
        <v>0</v>
      </c>
      <c r="O18" s="85">
        <f>IF(LEFT($D18,5)="Other",
VLOOKUP($A18,'IP1'!$A$37:$G$89,4,0)*
VLOOKUP(
VLOOKUP($A18,'IP1'!$A$37:$G$89,7,0),Patterns!$A$2:$N$28,COLUMN(O18)-2,0)/
VLOOKUP(
VLOOKUP($A18,'IP1'!$A$37:$G$89,7,0),Patterns!$A$2:$N$28,2,0),
IF(LEFT($D18,7)="Payroll",
SUMPRODUCT(($B18='IP1'!$B$96:$B$114)*('IP1'!$D$96:$D$114))/12,
SUMPRODUCT(($B18='IP1'!$B$96:$B$114)*('IP1'!$D$96:$D$114))/12*
IF(YEAR(O$3)=2013,'IP1'!$F$154,'IP1'!$G$154)
))</f>
        <v>250</v>
      </c>
      <c r="P18" s="85">
        <f>IF(LEFT($D18,5)="Other",
VLOOKUP($A18,'IP1'!$A$37:$G$89,4,0)*
VLOOKUP(
VLOOKUP($A18,'IP1'!$A$37:$G$89,7,0),Patterns!$A$2:$N$28,COLUMN(P18)-2,0)/
VLOOKUP(
VLOOKUP($A18,'IP1'!$A$37:$G$89,7,0),Patterns!$A$2:$N$28,2,0),
IF(LEFT($D18,7)="Payroll",
SUMPRODUCT(($B18='IP1'!$B$96:$B$114)*('IP1'!$D$96:$D$114))/12,
SUMPRODUCT(($B18='IP1'!$B$96:$B$114)*('IP1'!$D$96:$D$114))/12*
IF(YEAR(P$3)=2013,'IP1'!$F$154,'IP1'!$G$154)
))</f>
        <v>0</v>
      </c>
      <c r="Q18" s="85">
        <f>IF(LEFT($D18,5)="Other",
VLOOKUP($A18,'IP1'!$A$37:$G$89,5,0)*
VLOOKUP(
VLOOKUP($A18,'IP1'!$A$37:$G$89,7,0),Patterns!$A$2:$N$28,COLUMN(Q18)-14,0)/
VLOOKUP(
VLOOKUP($A18,'IP1'!$A$37:$G$89,7,0),Patterns!$A$2:$N$28,2,0),
IF(LEFT($D18,7)="Payroll",
SUMPRODUCT(($B18='IP1'!$B$96:$B$114)*('IP1'!$E$96:$E$114))/12,
SUMPRODUCT(($B18='IP1'!$B$96:$B$114)*('IP1'!$E$96:$E$114))/12*
IF(YEAR(Q$3)=2013,'IP1'!$F$154,'IP1'!$G$154)
))</f>
        <v>0</v>
      </c>
      <c r="R18" s="85">
        <f>IF(LEFT($D18,5)="Other",
VLOOKUP($A18,'IP1'!$A$37:$G$89,5,0)*
VLOOKUP(
VLOOKUP($A18,'IP1'!$A$37:$G$89,7,0),Patterns!$A$2:$N$28,COLUMN(R18)-14,0)/
VLOOKUP(
VLOOKUP($A18,'IP1'!$A$37:$G$89,7,0),Patterns!$A$2:$N$28,2,0),
IF(LEFT($D18,7)="Payroll",
SUMPRODUCT(($B18='IP1'!$B$96:$B$114)*('IP1'!$E$96:$E$114))/12,
SUMPRODUCT(($B18='IP1'!$B$96:$B$114)*('IP1'!$E$96:$E$114))/12*
IF(YEAR(R$3)=2013,'IP1'!$F$154,'IP1'!$G$154)
))</f>
        <v>375</v>
      </c>
      <c r="S18" s="85">
        <f>IF(LEFT($D18,5)="Other",
VLOOKUP($A18,'IP1'!$A$37:$G$89,5,0)*
VLOOKUP(
VLOOKUP($A18,'IP1'!$A$37:$G$89,7,0),Patterns!$A$2:$N$28,COLUMN(S18)-14,0)/
VLOOKUP(
VLOOKUP($A18,'IP1'!$A$37:$G$89,7,0),Patterns!$A$2:$N$28,2,0),
IF(LEFT($D18,7)="Payroll",
SUMPRODUCT(($B18='IP1'!$B$96:$B$114)*('IP1'!$E$96:$E$114))/12,
SUMPRODUCT(($B18='IP1'!$B$96:$B$114)*('IP1'!$E$96:$E$114))/12*
IF(YEAR(S$3)=2013,'IP1'!$F$154,'IP1'!$G$154)
))</f>
        <v>0</v>
      </c>
      <c r="T18" s="85">
        <f>IF(LEFT($D18,5)="Other",
VLOOKUP($A18,'IP1'!$A$37:$G$89,5,0)*
VLOOKUP(
VLOOKUP($A18,'IP1'!$A$37:$G$89,7,0),Patterns!$A$2:$N$28,COLUMN(T18)-14,0)/
VLOOKUP(
VLOOKUP($A18,'IP1'!$A$37:$G$89,7,0),Patterns!$A$2:$N$28,2,0),
IF(LEFT($D18,7)="Payroll",
SUMPRODUCT(($B18='IP1'!$B$96:$B$114)*('IP1'!$E$96:$E$114))/12,
SUMPRODUCT(($B18='IP1'!$B$96:$B$114)*('IP1'!$E$96:$E$114))/12*
IF(YEAR(T$3)=2013,'IP1'!$F$154,'IP1'!$G$154)
))</f>
        <v>0</v>
      </c>
      <c r="U18" s="85">
        <f>IF(LEFT($D18,5)="Other",
VLOOKUP($A18,'IP1'!$A$37:$G$89,5,0)*
VLOOKUP(
VLOOKUP($A18,'IP1'!$A$37:$G$89,7,0),Patterns!$A$2:$N$28,COLUMN(U18)-14,0)/
VLOOKUP(
VLOOKUP($A18,'IP1'!$A$37:$G$89,7,0),Patterns!$A$2:$N$28,2,0),
IF(LEFT($D18,7)="Payroll",
SUMPRODUCT(($B18='IP1'!$B$96:$B$114)*('IP1'!$E$96:$E$114))/12,
SUMPRODUCT(($B18='IP1'!$B$96:$B$114)*('IP1'!$E$96:$E$114))/12*
IF(YEAR(U$3)=2013,'IP1'!$F$154,'IP1'!$G$154)
))</f>
        <v>375</v>
      </c>
      <c r="V18" s="85">
        <f>IF(LEFT($D18,5)="Other",
VLOOKUP($A18,'IP1'!$A$37:$G$89,5,0)*
VLOOKUP(
VLOOKUP($A18,'IP1'!$A$37:$G$89,7,0),Patterns!$A$2:$N$28,COLUMN(V18)-14,0)/
VLOOKUP(
VLOOKUP($A18,'IP1'!$A$37:$G$89,7,0),Patterns!$A$2:$N$28,2,0),
IF(LEFT($D18,7)="Payroll",
SUMPRODUCT(($B18='IP1'!$B$96:$B$114)*('IP1'!$E$96:$E$114))/12,
SUMPRODUCT(($B18='IP1'!$B$96:$B$114)*('IP1'!$E$96:$E$114))/12*
IF(YEAR(V$3)=2013,'IP1'!$F$154,'IP1'!$G$154)
))</f>
        <v>0</v>
      </c>
      <c r="W18" s="85">
        <f>IF(LEFT($D18,5)="Other",
VLOOKUP($A18,'IP1'!$A$37:$G$89,5,0)*
VLOOKUP(
VLOOKUP($A18,'IP1'!$A$37:$G$89,7,0),Patterns!$A$2:$N$28,COLUMN(W18)-14,0)/
VLOOKUP(
VLOOKUP($A18,'IP1'!$A$37:$G$89,7,0),Patterns!$A$2:$N$28,2,0),
IF(LEFT($D18,7)="Payroll",
SUMPRODUCT(($B18='IP1'!$B$96:$B$114)*('IP1'!$E$96:$E$114))/12,
SUMPRODUCT(($B18='IP1'!$B$96:$B$114)*('IP1'!$E$96:$E$114))/12*
IF(YEAR(W$3)=2013,'IP1'!$F$154,'IP1'!$G$154)
))</f>
        <v>0</v>
      </c>
      <c r="X18" s="85">
        <f>IF(LEFT($D18,5)="Other",
VLOOKUP($A18,'IP1'!$A$37:$G$89,5,0)*
VLOOKUP(
VLOOKUP($A18,'IP1'!$A$37:$G$89,7,0),Patterns!$A$2:$N$28,COLUMN(X18)-14,0)/
VLOOKUP(
VLOOKUP($A18,'IP1'!$A$37:$G$89,7,0),Patterns!$A$2:$N$28,2,0),
IF(LEFT($D18,7)="Payroll",
SUMPRODUCT(($B18='IP1'!$B$96:$B$114)*('IP1'!$E$96:$E$114))/12,
SUMPRODUCT(($B18='IP1'!$B$96:$B$114)*('IP1'!$E$96:$E$114))/12*
IF(YEAR(X$3)=2013,'IP1'!$F$154,'IP1'!$G$154)
))</f>
        <v>375</v>
      </c>
      <c r="Y18" s="85">
        <f>IF(LEFT($D18,5)="Other",
VLOOKUP($A18,'IP1'!$A$37:$G$89,5,0)*
VLOOKUP(
VLOOKUP($A18,'IP1'!$A$37:$G$89,7,0),Patterns!$A$2:$N$28,COLUMN(Y18)-14,0)/
VLOOKUP(
VLOOKUP($A18,'IP1'!$A$37:$G$89,7,0),Patterns!$A$2:$N$28,2,0),
IF(LEFT($D18,7)="Payroll",
SUMPRODUCT(($B18='IP1'!$B$96:$B$114)*('IP1'!$E$96:$E$114))/12,
SUMPRODUCT(($B18='IP1'!$B$96:$B$114)*('IP1'!$E$96:$E$114))/12*
IF(YEAR(Y$3)=2013,'IP1'!$F$154,'IP1'!$G$154)
))</f>
        <v>0</v>
      </c>
      <c r="Z18" s="85">
        <f>IF(LEFT($D18,5)="Other",
VLOOKUP($A18,'IP1'!$A$37:$G$89,5,0)*
VLOOKUP(
VLOOKUP($A18,'IP1'!$A$37:$G$89,7,0),Patterns!$A$2:$N$28,COLUMN(Z18)-14,0)/
VLOOKUP(
VLOOKUP($A18,'IP1'!$A$37:$G$89,7,0),Patterns!$A$2:$N$28,2,0),
IF(LEFT($D18,7)="Payroll",
SUMPRODUCT(($B18='IP1'!$B$96:$B$114)*('IP1'!$E$96:$E$114))/12,
SUMPRODUCT(($B18='IP1'!$B$96:$B$114)*('IP1'!$E$96:$E$114))/12*
IF(YEAR(Z$3)=2013,'IP1'!$F$154,'IP1'!$G$154)
))</f>
        <v>0</v>
      </c>
      <c r="AA18" s="85">
        <f>IF(LEFT($D18,5)="Other",
VLOOKUP($A18,'IP1'!$A$37:$G$89,5,0)*
VLOOKUP(
VLOOKUP($A18,'IP1'!$A$37:$G$89,7,0),Patterns!$A$2:$N$28,COLUMN(AA18)-14,0)/
VLOOKUP(
VLOOKUP($A18,'IP1'!$A$37:$G$89,7,0),Patterns!$A$2:$N$28,2,0),
IF(LEFT($D18,7)="Payroll",
SUMPRODUCT(($B18='IP1'!$B$96:$B$114)*('IP1'!$E$96:$E$114))/12,
SUMPRODUCT(($B18='IP1'!$B$96:$B$114)*('IP1'!$E$96:$E$114))/12*
IF(YEAR(AA$3)=2013,'IP1'!$F$154,'IP1'!$G$154)
))</f>
        <v>375</v>
      </c>
      <c r="AB18" s="85">
        <f>IF(LEFT($D18,5)="Other",
VLOOKUP($A18,'IP1'!$A$37:$G$89,5,0)*
VLOOKUP(
VLOOKUP($A18,'IP1'!$A$37:$G$89,7,0),Patterns!$A$2:$N$28,COLUMN(AB18)-14,0)/
VLOOKUP(
VLOOKUP($A18,'IP1'!$A$37:$G$89,7,0),Patterns!$A$2:$N$28,2,0),
IF(LEFT($D18,7)="Payroll",
SUMPRODUCT(($B18='IP1'!$B$96:$B$114)*('IP1'!$E$96:$E$114))/12,
SUMPRODUCT(($B18='IP1'!$B$96:$B$114)*('IP1'!$E$96:$E$114))/12*
IF(YEAR(AB$3)=2013,'IP1'!$F$154,'IP1'!$G$154)
))</f>
        <v>0</v>
      </c>
    </row>
    <row r="19" spans="1:28">
      <c r="A19" s="1" t="str">
        <f t="shared" si="2"/>
        <v xml:space="preserve">AdministrationInformation systems </v>
      </c>
      <c r="B19" s="1" t="s">
        <v>155</v>
      </c>
      <c r="C19" s="1" t="s">
        <v>455</v>
      </c>
      <c r="D19" s="11" t="s">
        <v>100</v>
      </c>
      <c r="E19" s="85">
        <f>IF(LEFT($D19,5)="Other",
VLOOKUP($A19,'IP1'!$A$37:$G$89,4,0)*
VLOOKUP(
VLOOKUP($A19,'IP1'!$A$37:$G$89,7,0),Patterns!$A$2:$N$28,COLUMN(E19)-2,0)/
VLOOKUP(
VLOOKUP($A19,'IP1'!$A$37:$G$89,7,0),Patterns!$A$2:$N$28,2,0),
IF(LEFT($D19,7)="Payroll",
SUMPRODUCT(($B19='IP1'!$B$96:$B$114)*('IP1'!$D$96:$D$114))/12,
SUMPRODUCT(($B19='IP1'!$B$96:$B$114)*('IP1'!$D$96:$D$114))/12*
IF(YEAR(E$3)=2013,'IP1'!$F$154,'IP1'!$G$154)
))</f>
        <v>833.33333333333337</v>
      </c>
      <c r="F19" s="85">
        <f>IF(LEFT($D19,5)="Other",
VLOOKUP($A19,'IP1'!$A$37:$G$89,4,0)*
VLOOKUP(
VLOOKUP($A19,'IP1'!$A$37:$G$89,7,0),Patterns!$A$2:$N$28,COLUMN(F19)-2,0)/
VLOOKUP(
VLOOKUP($A19,'IP1'!$A$37:$G$89,7,0),Patterns!$A$2:$N$28,2,0),
IF(LEFT($D19,7)="Payroll",
SUMPRODUCT(($B19='IP1'!$B$96:$B$114)*('IP1'!$D$96:$D$114))/12,
SUMPRODUCT(($B19='IP1'!$B$96:$B$114)*('IP1'!$D$96:$D$114))/12*
IF(YEAR(F$3)=2013,'IP1'!$F$154,'IP1'!$G$154)
))</f>
        <v>833.33333333333337</v>
      </c>
      <c r="G19" s="85">
        <f>IF(LEFT($D19,5)="Other",
VLOOKUP($A19,'IP1'!$A$37:$G$89,4,0)*
VLOOKUP(
VLOOKUP($A19,'IP1'!$A$37:$G$89,7,0),Patterns!$A$2:$N$28,COLUMN(G19)-2,0)/
VLOOKUP(
VLOOKUP($A19,'IP1'!$A$37:$G$89,7,0),Patterns!$A$2:$N$28,2,0),
IF(LEFT($D19,7)="Payroll",
SUMPRODUCT(($B19='IP1'!$B$96:$B$114)*('IP1'!$D$96:$D$114))/12,
SUMPRODUCT(($B19='IP1'!$B$96:$B$114)*('IP1'!$D$96:$D$114))/12*
IF(YEAR(G$3)=2013,'IP1'!$F$154,'IP1'!$G$154)
))</f>
        <v>833.33333333333337</v>
      </c>
      <c r="H19" s="85">
        <f>IF(LEFT($D19,5)="Other",
VLOOKUP($A19,'IP1'!$A$37:$G$89,4,0)*
VLOOKUP(
VLOOKUP($A19,'IP1'!$A$37:$G$89,7,0),Patterns!$A$2:$N$28,COLUMN(H19)-2,0)/
VLOOKUP(
VLOOKUP($A19,'IP1'!$A$37:$G$89,7,0),Patterns!$A$2:$N$28,2,0),
IF(LEFT($D19,7)="Payroll",
SUMPRODUCT(($B19='IP1'!$B$96:$B$114)*('IP1'!$D$96:$D$114))/12,
SUMPRODUCT(($B19='IP1'!$B$96:$B$114)*('IP1'!$D$96:$D$114))/12*
IF(YEAR(H$3)=2013,'IP1'!$F$154,'IP1'!$G$154)
))</f>
        <v>833.33333333333337</v>
      </c>
      <c r="I19" s="85">
        <f>IF(LEFT($D19,5)="Other",
VLOOKUP($A19,'IP1'!$A$37:$G$89,4,0)*
VLOOKUP(
VLOOKUP($A19,'IP1'!$A$37:$G$89,7,0),Patterns!$A$2:$N$28,COLUMN(I19)-2,0)/
VLOOKUP(
VLOOKUP($A19,'IP1'!$A$37:$G$89,7,0),Patterns!$A$2:$N$28,2,0),
IF(LEFT($D19,7)="Payroll",
SUMPRODUCT(($B19='IP1'!$B$96:$B$114)*('IP1'!$D$96:$D$114))/12,
SUMPRODUCT(($B19='IP1'!$B$96:$B$114)*('IP1'!$D$96:$D$114))/12*
IF(YEAR(I$3)=2013,'IP1'!$F$154,'IP1'!$G$154)
))</f>
        <v>833.33333333333337</v>
      </c>
      <c r="J19" s="85">
        <f>IF(LEFT($D19,5)="Other",
VLOOKUP($A19,'IP1'!$A$37:$G$89,4,0)*
VLOOKUP(
VLOOKUP($A19,'IP1'!$A$37:$G$89,7,0),Patterns!$A$2:$N$28,COLUMN(J19)-2,0)/
VLOOKUP(
VLOOKUP($A19,'IP1'!$A$37:$G$89,7,0),Patterns!$A$2:$N$28,2,0),
IF(LEFT($D19,7)="Payroll",
SUMPRODUCT(($B19='IP1'!$B$96:$B$114)*('IP1'!$D$96:$D$114))/12,
SUMPRODUCT(($B19='IP1'!$B$96:$B$114)*('IP1'!$D$96:$D$114))/12*
IF(YEAR(J$3)=2013,'IP1'!$F$154,'IP1'!$G$154)
))</f>
        <v>833.33333333333337</v>
      </c>
      <c r="K19" s="85">
        <f>IF(LEFT($D19,5)="Other",
VLOOKUP($A19,'IP1'!$A$37:$G$89,4,0)*
VLOOKUP(
VLOOKUP($A19,'IP1'!$A$37:$G$89,7,0),Patterns!$A$2:$N$28,COLUMN(K19)-2,0)/
VLOOKUP(
VLOOKUP($A19,'IP1'!$A$37:$G$89,7,0),Patterns!$A$2:$N$28,2,0),
IF(LEFT($D19,7)="Payroll",
SUMPRODUCT(($B19='IP1'!$B$96:$B$114)*('IP1'!$D$96:$D$114))/12,
SUMPRODUCT(($B19='IP1'!$B$96:$B$114)*('IP1'!$D$96:$D$114))/12*
IF(YEAR(K$3)=2013,'IP1'!$F$154,'IP1'!$G$154)
))</f>
        <v>833.33333333333337</v>
      </c>
      <c r="L19" s="85">
        <f>IF(LEFT($D19,5)="Other",
VLOOKUP($A19,'IP1'!$A$37:$G$89,4,0)*
VLOOKUP(
VLOOKUP($A19,'IP1'!$A$37:$G$89,7,0),Patterns!$A$2:$N$28,COLUMN(L19)-2,0)/
VLOOKUP(
VLOOKUP($A19,'IP1'!$A$37:$G$89,7,0),Patterns!$A$2:$N$28,2,0),
IF(LEFT($D19,7)="Payroll",
SUMPRODUCT(($B19='IP1'!$B$96:$B$114)*('IP1'!$D$96:$D$114))/12,
SUMPRODUCT(($B19='IP1'!$B$96:$B$114)*('IP1'!$D$96:$D$114))/12*
IF(YEAR(L$3)=2013,'IP1'!$F$154,'IP1'!$G$154)
))</f>
        <v>833.33333333333337</v>
      </c>
      <c r="M19" s="85">
        <f>IF(LEFT($D19,5)="Other",
VLOOKUP($A19,'IP1'!$A$37:$G$89,4,0)*
VLOOKUP(
VLOOKUP($A19,'IP1'!$A$37:$G$89,7,0),Patterns!$A$2:$N$28,COLUMN(M19)-2,0)/
VLOOKUP(
VLOOKUP($A19,'IP1'!$A$37:$G$89,7,0),Patterns!$A$2:$N$28,2,0),
IF(LEFT($D19,7)="Payroll",
SUMPRODUCT(($B19='IP1'!$B$96:$B$114)*('IP1'!$D$96:$D$114))/12,
SUMPRODUCT(($B19='IP1'!$B$96:$B$114)*('IP1'!$D$96:$D$114))/12*
IF(YEAR(M$3)=2013,'IP1'!$F$154,'IP1'!$G$154)
))</f>
        <v>833.33333333333337</v>
      </c>
      <c r="N19" s="85">
        <f>IF(LEFT($D19,5)="Other",
VLOOKUP($A19,'IP1'!$A$37:$G$89,4,0)*
VLOOKUP(
VLOOKUP($A19,'IP1'!$A$37:$G$89,7,0),Patterns!$A$2:$N$28,COLUMN(N19)-2,0)/
VLOOKUP(
VLOOKUP($A19,'IP1'!$A$37:$G$89,7,0),Patterns!$A$2:$N$28,2,0),
IF(LEFT($D19,7)="Payroll",
SUMPRODUCT(($B19='IP1'!$B$96:$B$114)*('IP1'!$D$96:$D$114))/12,
SUMPRODUCT(($B19='IP1'!$B$96:$B$114)*('IP1'!$D$96:$D$114))/12*
IF(YEAR(N$3)=2013,'IP1'!$F$154,'IP1'!$G$154)
))</f>
        <v>833.33333333333337</v>
      </c>
      <c r="O19" s="85">
        <f>IF(LEFT($D19,5)="Other",
VLOOKUP($A19,'IP1'!$A$37:$G$89,4,0)*
VLOOKUP(
VLOOKUP($A19,'IP1'!$A$37:$G$89,7,0),Patterns!$A$2:$N$28,COLUMN(O19)-2,0)/
VLOOKUP(
VLOOKUP($A19,'IP1'!$A$37:$G$89,7,0),Patterns!$A$2:$N$28,2,0),
IF(LEFT($D19,7)="Payroll",
SUMPRODUCT(($B19='IP1'!$B$96:$B$114)*('IP1'!$D$96:$D$114))/12,
SUMPRODUCT(($B19='IP1'!$B$96:$B$114)*('IP1'!$D$96:$D$114))/12*
IF(YEAR(O$3)=2013,'IP1'!$F$154,'IP1'!$G$154)
))</f>
        <v>833.33333333333337</v>
      </c>
      <c r="P19" s="85">
        <f>IF(LEFT($D19,5)="Other",
VLOOKUP($A19,'IP1'!$A$37:$G$89,4,0)*
VLOOKUP(
VLOOKUP($A19,'IP1'!$A$37:$G$89,7,0),Patterns!$A$2:$N$28,COLUMN(P19)-2,0)/
VLOOKUP(
VLOOKUP($A19,'IP1'!$A$37:$G$89,7,0),Patterns!$A$2:$N$28,2,0),
IF(LEFT($D19,7)="Payroll",
SUMPRODUCT(($B19='IP1'!$B$96:$B$114)*('IP1'!$D$96:$D$114))/12,
SUMPRODUCT(($B19='IP1'!$B$96:$B$114)*('IP1'!$D$96:$D$114))/12*
IF(YEAR(P$3)=2013,'IP1'!$F$154,'IP1'!$G$154)
))</f>
        <v>833.33333333333337</v>
      </c>
      <c r="Q19" s="85">
        <f>IF(LEFT($D19,5)="Other",
VLOOKUP($A19,'IP1'!$A$37:$G$89,5,0)*
VLOOKUP(
VLOOKUP($A19,'IP1'!$A$37:$G$89,7,0),Patterns!$A$2:$N$28,COLUMN(Q19)-14,0)/
VLOOKUP(
VLOOKUP($A19,'IP1'!$A$37:$G$89,7,0),Patterns!$A$2:$N$28,2,0),
IF(LEFT($D19,7)="Payroll",
SUMPRODUCT(($B19='IP1'!$B$96:$B$114)*('IP1'!$E$96:$E$114))/12,
SUMPRODUCT(($B19='IP1'!$B$96:$B$114)*('IP1'!$E$96:$E$114))/12*
IF(YEAR(Q$3)=2013,'IP1'!$F$154,'IP1'!$G$154)
))</f>
        <v>833.33333333333337</v>
      </c>
      <c r="R19" s="85">
        <f>IF(LEFT($D19,5)="Other",
VLOOKUP($A19,'IP1'!$A$37:$G$89,5,0)*
VLOOKUP(
VLOOKUP($A19,'IP1'!$A$37:$G$89,7,0),Patterns!$A$2:$N$28,COLUMN(R19)-14,0)/
VLOOKUP(
VLOOKUP($A19,'IP1'!$A$37:$G$89,7,0),Patterns!$A$2:$N$28,2,0),
IF(LEFT($D19,7)="Payroll",
SUMPRODUCT(($B19='IP1'!$B$96:$B$114)*('IP1'!$E$96:$E$114))/12,
SUMPRODUCT(($B19='IP1'!$B$96:$B$114)*('IP1'!$E$96:$E$114))/12*
IF(YEAR(R$3)=2013,'IP1'!$F$154,'IP1'!$G$154)
))</f>
        <v>833.33333333333337</v>
      </c>
      <c r="S19" s="85">
        <f>IF(LEFT($D19,5)="Other",
VLOOKUP($A19,'IP1'!$A$37:$G$89,5,0)*
VLOOKUP(
VLOOKUP($A19,'IP1'!$A$37:$G$89,7,0),Patterns!$A$2:$N$28,COLUMN(S19)-14,0)/
VLOOKUP(
VLOOKUP($A19,'IP1'!$A$37:$G$89,7,0),Patterns!$A$2:$N$28,2,0),
IF(LEFT($D19,7)="Payroll",
SUMPRODUCT(($B19='IP1'!$B$96:$B$114)*('IP1'!$E$96:$E$114))/12,
SUMPRODUCT(($B19='IP1'!$B$96:$B$114)*('IP1'!$E$96:$E$114))/12*
IF(YEAR(S$3)=2013,'IP1'!$F$154,'IP1'!$G$154)
))</f>
        <v>833.33333333333337</v>
      </c>
      <c r="T19" s="85">
        <f>IF(LEFT($D19,5)="Other",
VLOOKUP($A19,'IP1'!$A$37:$G$89,5,0)*
VLOOKUP(
VLOOKUP($A19,'IP1'!$A$37:$G$89,7,0),Patterns!$A$2:$N$28,COLUMN(T19)-14,0)/
VLOOKUP(
VLOOKUP($A19,'IP1'!$A$37:$G$89,7,0),Patterns!$A$2:$N$28,2,0),
IF(LEFT($D19,7)="Payroll",
SUMPRODUCT(($B19='IP1'!$B$96:$B$114)*('IP1'!$E$96:$E$114))/12,
SUMPRODUCT(($B19='IP1'!$B$96:$B$114)*('IP1'!$E$96:$E$114))/12*
IF(YEAR(T$3)=2013,'IP1'!$F$154,'IP1'!$G$154)
))</f>
        <v>833.33333333333337</v>
      </c>
      <c r="U19" s="85">
        <f>IF(LEFT($D19,5)="Other",
VLOOKUP($A19,'IP1'!$A$37:$G$89,5,0)*
VLOOKUP(
VLOOKUP($A19,'IP1'!$A$37:$G$89,7,0),Patterns!$A$2:$N$28,COLUMN(U19)-14,0)/
VLOOKUP(
VLOOKUP($A19,'IP1'!$A$37:$G$89,7,0),Patterns!$A$2:$N$28,2,0),
IF(LEFT($D19,7)="Payroll",
SUMPRODUCT(($B19='IP1'!$B$96:$B$114)*('IP1'!$E$96:$E$114))/12,
SUMPRODUCT(($B19='IP1'!$B$96:$B$114)*('IP1'!$E$96:$E$114))/12*
IF(YEAR(U$3)=2013,'IP1'!$F$154,'IP1'!$G$154)
))</f>
        <v>833.33333333333337</v>
      </c>
      <c r="V19" s="85">
        <f>IF(LEFT($D19,5)="Other",
VLOOKUP($A19,'IP1'!$A$37:$G$89,5,0)*
VLOOKUP(
VLOOKUP($A19,'IP1'!$A$37:$G$89,7,0),Patterns!$A$2:$N$28,COLUMN(V19)-14,0)/
VLOOKUP(
VLOOKUP($A19,'IP1'!$A$37:$G$89,7,0),Patterns!$A$2:$N$28,2,0),
IF(LEFT($D19,7)="Payroll",
SUMPRODUCT(($B19='IP1'!$B$96:$B$114)*('IP1'!$E$96:$E$114))/12,
SUMPRODUCT(($B19='IP1'!$B$96:$B$114)*('IP1'!$E$96:$E$114))/12*
IF(YEAR(V$3)=2013,'IP1'!$F$154,'IP1'!$G$154)
))</f>
        <v>833.33333333333337</v>
      </c>
      <c r="W19" s="85">
        <f>IF(LEFT($D19,5)="Other",
VLOOKUP($A19,'IP1'!$A$37:$G$89,5,0)*
VLOOKUP(
VLOOKUP($A19,'IP1'!$A$37:$G$89,7,0),Patterns!$A$2:$N$28,COLUMN(W19)-14,0)/
VLOOKUP(
VLOOKUP($A19,'IP1'!$A$37:$G$89,7,0),Patterns!$A$2:$N$28,2,0),
IF(LEFT($D19,7)="Payroll",
SUMPRODUCT(($B19='IP1'!$B$96:$B$114)*('IP1'!$E$96:$E$114))/12,
SUMPRODUCT(($B19='IP1'!$B$96:$B$114)*('IP1'!$E$96:$E$114))/12*
IF(YEAR(W$3)=2013,'IP1'!$F$154,'IP1'!$G$154)
))</f>
        <v>833.33333333333337</v>
      </c>
      <c r="X19" s="85">
        <f>IF(LEFT($D19,5)="Other",
VLOOKUP($A19,'IP1'!$A$37:$G$89,5,0)*
VLOOKUP(
VLOOKUP($A19,'IP1'!$A$37:$G$89,7,0),Patterns!$A$2:$N$28,COLUMN(X19)-14,0)/
VLOOKUP(
VLOOKUP($A19,'IP1'!$A$37:$G$89,7,0),Patterns!$A$2:$N$28,2,0),
IF(LEFT($D19,7)="Payroll",
SUMPRODUCT(($B19='IP1'!$B$96:$B$114)*('IP1'!$E$96:$E$114))/12,
SUMPRODUCT(($B19='IP1'!$B$96:$B$114)*('IP1'!$E$96:$E$114))/12*
IF(YEAR(X$3)=2013,'IP1'!$F$154,'IP1'!$G$154)
))</f>
        <v>833.33333333333337</v>
      </c>
      <c r="Y19" s="85">
        <f>IF(LEFT($D19,5)="Other",
VLOOKUP($A19,'IP1'!$A$37:$G$89,5,0)*
VLOOKUP(
VLOOKUP($A19,'IP1'!$A$37:$G$89,7,0),Patterns!$A$2:$N$28,COLUMN(Y19)-14,0)/
VLOOKUP(
VLOOKUP($A19,'IP1'!$A$37:$G$89,7,0),Patterns!$A$2:$N$28,2,0),
IF(LEFT($D19,7)="Payroll",
SUMPRODUCT(($B19='IP1'!$B$96:$B$114)*('IP1'!$E$96:$E$114))/12,
SUMPRODUCT(($B19='IP1'!$B$96:$B$114)*('IP1'!$E$96:$E$114))/12*
IF(YEAR(Y$3)=2013,'IP1'!$F$154,'IP1'!$G$154)
))</f>
        <v>833.33333333333337</v>
      </c>
      <c r="Z19" s="85">
        <f>IF(LEFT($D19,5)="Other",
VLOOKUP($A19,'IP1'!$A$37:$G$89,5,0)*
VLOOKUP(
VLOOKUP($A19,'IP1'!$A$37:$G$89,7,0),Patterns!$A$2:$N$28,COLUMN(Z19)-14,0)/
VLOOKUP(
VLOOKUP($A19,'IP1'!$A$37:$G$89,7,0),Patterns!$A$2:$N$28,2,0),
IF(LEFT($D19,7)="Payroll",
SUMPRODUCT(($B19='IP1'!$B$96:$B$114)*('IP1'!$E$96:$E$114))/12,
SUMPRODUCT(($B19='IP1'!$B$96:$B$114)*('IP1'!$E$96:$E$114))/12*
IF(YEAR(Z$3)=2013,'IP1'!$F$154,'IP1'!$G$154)
))</f>
        <v>833.33333333333337</v>
      </c>
      <c r="AA19" s="85">
        <f>IF(LEFT($D19,5)="Other",
VLOOKUP($A19,'IP1'!$A$37:$G$89,5,0)*
VLOOKUP(
VLOOKUP($A19,'IP1'!$A$37:$G$89,7,0),Patterns!$A$2:$N$28,COLUMN(AA19)-14,0)/
VLOOKUP(
VLOOKUP($A19,'IP1'!$A$37:$G$89,7,0),Patterns!$A$2:$N$28,2,0),
IF(LEFT($D19,7)="Payroll",
SUMPRODUCT(($B19='IP1'!$B$96:$B$114)*('IP1'!$E$96:$E$114))/12,
SUMPRODUCT(($B19='IP1'!$B$96:$B$114)*('IP1'!$E$96:$E$114))/12*
IF(YEAR(AA$3)=2013,'IP1'!$F$154,'IP1'!$G$154)
))</f>
        <v>833.33333333333337</v>
      </c>
      <c r="AB19" s="85">
        <f>IF(LEFT($D19,5)="Other",
VLOOKUP($A19,'IP1'!$A$37:$G$89,5,0)*
VLOOKUP(
VLOOKUP($A19,'IP1'!$A$37:$G$89,7,0),Patterns!$A$2:$N$28,COLUMN(AB19)-14,0)/
VLOOKUP(
VLOOKUP($A19,'IP1'!$A$37:$G$89,7,0),Patterns!$A$2:$N$28,2,0),
IF(LEFT($D19,7)="Payroll",
SUMPRODUCT(($B19='IP1'!$B$96:$B$114)*('IP1'!$E$96:$E$114))/12,
SUMPRODUCT(($B19='IP1'!$B$96:$B$114)*('IP1'!$E$96:$E$114))/12*
IF(YEAR(AB$3)=2013,'IP1'!$F$154,'IP1'!$G$154)
))</f>
        <v>833.33333333333337</v>
      </c>
    </row>
    <row r="20" spans="1:28">
      <c r="A20" s="1" t="str">
        <f t="shared" si="2"/>
        <v>AdministrationLegal fees</v>
      </c>
      <c r="B20" s="1" t="s">
        <v>155</v>
      </c>
      <c r="C20" s="1" t="s">
        <v>456</v>
      </c>
      <c r="D20" s="11" t="s">
        <v>100</v>
      </c>
      <c r="E20" s="85">
        <f>IF(LEFT($D20,5)="Other",
VLOOKUP($A20,'IP1'!$A$37:$G$89,4,0)*
VLOOKUP(
VLOOKUP($A20,'IP1'!$A$37:$G$89,7,0),Patterns!$A$2:$N$28,COLUMN(E20)-2,0)/
VLOOKUP(
VLOOKUP($A20,'IP1'!$A$37:$G$89,7,0),Patterns!$A$2:$N$28,2,0),
IF(LEFT($D20,7)="Payroll",
SUMPRODUCT(($B20='IP1'!$B$96:$B$114)*('IP1'!$D$96:$D$114))/12,
SUMPRODUCT(($B20='IP1'!$B$96:$B$114)*('IP1'!$D$96:$D$114))/12*
IF(YEAR(E$3)=2013,'IP1'!$F$154,'IP1'!$G$154)
))</f>
        <v>0</v>
      </c>
      <c r="F20" s="85">
        <f>IF(LEFT($D20,5)="Other",
VLOOKUP($A20,'IP1'!$A$37:$G$89,4,0)*
VLOOKUP(
VLOOKUP($A20,'IP1'!$A$37:$G$89,7,0),Patterns!$A$2:$N$28,COLUMN(F20)-2,0)/
VLOOKUP(
VLOOKUP($A20,'IP1'!$A$37:$G$89,7,0),Patterns!$A$2:$N$28,2,0),
IF(LEFT($D20,7)="Payroll",
SUMPRODUCT(($B20='IP1'!$B$96:$B$114)*('IP1'!$D$96:$D$114))/12,
SUMPRODUCT(($B20='IP1'!$B$96:$B$114)*('IP1'!$D$96:$D$114))/12*
IF(YEAR(F$3)=2013,'IP1'!$F$154,'IP1'!$G$154)
))</f>
        <v>1250</v>
      </c>
      <c r="G20" s="85">
        <f>IF(LEFT($D20,5)="Other",
VLOOKUP($A20,'IP1'!$A$37:$G$89,4,0)*
VLOOKUP(
VLOOKUP($A20,'IP1'!$A$37:$G$89,7,0),Patterns!$A$2:$N$28,COLUMN(G20)-2,0)/
VLOOKUP(
VLOOKUP($A20,'IP1'!$A$37:$G$89,7,0),Patterns!$A$2:$N$28,2,0),
IF(LEFT($D20,7)="Payroll",
SUMPRODUCT(($B20='IP1'!$B$96:$B$114)*('IP1'!$D$96:$D$114))/12,
SUMPRODUCT(($B20='IP1'!$B$96:$B$114)*('IP1'!$D$96:$D$114))/12*
IF(YEAR(G$3)=2013,'IP1'!$F$154,'IP1'!$G$154)
))</f>
        <v>0</v>
      </c>
      <c r="H20" s="85">
        <f>IF(LEFT($D20,5)="Other",
VLOOKUP($A20,'IP1'!$A$37:$G$89,4,0)*
VLOOKUP(
VLOOKUP($A20,'IP1'!$A$37:$G$89,7,0),Patterns!$A$2:$N$28,COLUMN(H20)-2,0)/
VLOOKUP(
VLOOKUP($A20,'IP1'!$A$37:$G$89,7,0),Patterns!$A$2:$N$28,2,0),
IF(LEFT($D20,7)="Payroll",
SUMPRODUCT(($B20='IP1'!$B$96:$B$114)*('IP1'!$D$96:$D$114))/12,
SUMPRODUCT(($B20='IP1'!$B$96:$B$114)*('IP1'!$D$96:$D$114))/12*
IF(YEAR(H$3)=2013,'IP1'!$F$154,'IP1'!$G$154)
))</f>
        <v>0</v>
      </c>
      <c r="I20" s="85">
        <f>IF(LEFT($D20,5)="Other",
VLOOKUP($A20,'IP1'!$A$37:$G$89,4,0)*
VLOOKUP(
VLOOKUP($A20,'IP1'!$A$37:$G$89,7,0),Patterns!$A$2:$N$28,COLUMN(I20)-2,0)/
VLOOKUP(
VLOOKUP($A20,'IP1'!$A$37:$G$89,7,0),Patterns!$A$2:$N$28,2,0),
IF(LEFT($D20,7)="Payroll",
SUMPRODUCT(($B20='IP1'!$B$96:$B$114)*('IP1'!$D$96:$D$114))/12,
SUMPRODUCT(($B20='IP1'!$B$96:$B$114)*('IP1'!$D$96:$D$114))/12*
IF(YEAR(I$3)=2013,'IP1'!$F$154,'IP1'!$G$154)
))</f>
        <v>1250</v>
      </c>
      <c r="J20" s="85">
        <f>IF(LEFT($D20,5)="Other",
VLOOKUP($A20,'IP1'!$A$37:$G$89,4,0)*
VLOOKUP(
VLOOKUP($A20,'IP1'!$A$37:$G$89,7,0),Patterns!$A$2:$N$28,COLUMN(J20)-2,0)/
VLOOKUP(
VLOOKUP($A20,'IP1'!$A$37:$G$89,7,0),Patterns!$A$2:$N$28,2,0),
IF(LEFT($D20,7)="Payroll",
SUMPRODUCT(($B20='IP1'!$B$96:$B$114)*('IP1'!$D$96:$D$114))/12,
SUMPRODUCT(($B20='IP1'!$B$96:$B$114)*('IP1'!$D$96:$D$114))/12*
IF(YEAR(J$3)=2013,'IP1'!$F$154,'IP1'!$G$154)
))</f>
        <v>0</v>
      </c>
      <c r="K20" s="85">
        <f>IF(LEFT($D20,5)="Other",
VLOOKUP($A20,'IP1'!$A$37:$G$89,4,0)*
VLOOKUP(
VLOOKUP($A20,'IP1'!$A$37:$G$89,7,0),Patterns!$A$2:$N$28,COLUMN(K20)-2,0)/
VLOOKUP(
VLOOKUP($A20,'IP1'!$A$37:$G$89,7,0),Patterns!$A$2:$N$28,2,0),
IF(LEFT($D20,7)="Payroll",
SUMPRODUCT(($B20='IP1'!$B$96:$B$114)*('IP1'!$D$96:$D$114))/12,
SUMPRODUCT(($B20='IP1'!$B$96:$B$114)*('IP1'!$D$96:$D$114))/12*
IF(YEAR(K$3)=2013,'IP1'!$F$154,'IP1'!$G$154)
))</f>
        <v>0</v>
      </c>
      <c r="L20" s="85">
        <f>IF(LEFT($D20,5)="Other",
VLOOKUP($A20,'IP1'!$A$37:$G$89,4,0)*
VLOOKUP(
VLOOKUP($A20,'IP1'!$A$37:$G$89,7,0),Patterns!$A$2:$N$28,COLUMN(L20)-2,0)/
VLOOKUP(
VLOOKUP($A20,'IP1'!$A$37:$G$89,7,0),Patterns!$A$2:$N$28,2,0),
IF(LEFT($D20,7)="Payroll",
SUMPRODUCT(($B20='IP1'!$B$96:$B$114)*('IP1'!$D$96:$D$114))/12,
SUMPRODUCT(($B20='IP1'!$B$96:$B$114)*('IP1'!$D$96:$D$114))/12*
IF(YEAR(L$3)=2013,'IP1'!$F$154,'IP1'!$G$154)
))</f>
        <v>1250</v>
      </c>
      <c r="M20" s="85">
        <f>IF(LEFT($D20,5)="Other",
VLOOKUP($A20,'IP1'!$A$37:$G$89,4,0)*
VLOOKUP(
VLOOKUP($A20,'IP1'!$A$37:$G$89,7,0),Patterns!$A$2:$N$28,COLUMN(M20)-2,0)/
VLOOKUP(
VLOOKUP($A20,'IP1'!$A$37:$G$89,7,0),Patterns!$A$2:$N$28,2,0),
IF(LEFT($D20,7)="Payroll",
SUMPRODUCT(($B20='IP1'!$B$96:$B$114)*('IP1'!$D$96:$D$114))/12,
SUMPRODUCT(($B20='IP1'!$B$96:$B$114)*('IP1'!$D$96:$D$114))/12*
IF(YEAR(M$3)=2013,'IP1'!$F$154,'IP1'!$G$154)
))</f>
        <v>0</v>
      </c>
      <c r="N20" s="85">
        <f>IF(LEFT($D20,5)="Other",
VLOOKUP($A20,'IP1'!$A$37:$G$89,4,0)*
VLOOKUP(
VLOOKUP($A20,'IP1'!$A$37:$G$89,7,0),Patterns!$A$2:$N$28,COLUMN(N20)-2,0)/
VLOOKUP(
VLOOKUP($A20,'IP1'!$A$37:$G$89,7,0),Patterns!$A$2:$N$28,2,0),
IF(LEFT($D20,7)="Payroll",
SUMPRODUCT(($B20='IP1'!$B$96:$B$114)*('IP1'!$D$96:$D$114))/12,
SUMPRODUCT(($B20='IP1'!$B$96:$B$114)*('IP1'!$D$96:$D$114))/12*
IF(YEAR(N$3)=2013,'IP1'!$F$154,'IP1'!$G$154)
))</f>
        <v>0</v>
      </c>
      <c r="O20" s="85">
        <f>IF(LEFT($D20,5)="Other",
VLOOKUP($A20,'IP1'!$A$37:$G$89,4,0)*
VLOOKUP(
VLOOKUP($A20,'IP1'!$A$37:$G$89,7,0),Patterns!$A$2:$N$28,COLUMN(O20)-2,0)/
VLOOKUP(
VLOOKUP($A20,'IP1'!$A$37:$G$89,7,0),Patterns!$A$2:$N$28,2,0),
IF(LEFT($D20,7)="Payroll",
SUMPRODUCT(($B20='IP1'!$B$96:$B$114)*('IP1'!$D$96:$D$114))/12,
SUMPRODUCT(($B20='IP1'!$B$96:$B$114)*('IP1'!$D$96:$D$114))/12*
IF(YEAR(O$3)=2013,'IP1'!$F$154,'IP1'!$G$154)
))</f>
        <v>1250</v>
      </c>
      <c r="P20" s="85">
        <f>IF(LEFT($D20,5)="Other",
VLOOKUP($A20,'IP1'!$A$37:$G$89,4,0)*
VLOOKUP(
VLOOKUP($A20,'IP1'!$A$37:$G$89,7,0),Patterns!$A$2:$N$28,COLUMN(P20)-2,0)/
VLOOKUP(
VLOOKUP($A20,'IP1'!$A$37:$G$89,7,0),Patterns!$A$2:$N$28,2,0),
IF(LEFT($D20,7)="Payroll",
SUMPRODUCT(($B20='IP1'!$B$96:$B$114)*('IP1'!$D$96:$D$114))/12,
SUMPRODUCT(($B20='IP1'!$B$96:$B$114)*('IP1'!$D$96:$D$114))/12*
IF(YEAR(P$3)=2013,'IP1'!$F$154,'IP1'!$G$154)
))</f>
        <v>0</v>
      </c>
      <c r="Q20" s="85">
        <f>IF(LEFT($D20,5)="Other",
VLOOKUP($A20,'IP1'!$A$37:$G$89,5,0)*
VLOOKUP(
VLOOKUP($A20,'IP1'!$A$37:$G$89,7,0),Patterns!$A$2:$N$28,COLUMN(Q20)-14,0)/
VLOOKUP(
VLOOKUP($A20,'IP1'!$A$37:$G$89,7,0),Patterns!$A$2:$N$28,2,0),
IF(LEFT($D20,7)="Payroll",
SUMPRODUCT(($B20='IP1'!$B$96:$B$114)*('IP1'!$E$96:$E$114))/12,
SUMPRODUCT(($B20='IP1'!$B$96:$B$114)*('IP1'!$E$96:$E$114))/12*
IF(YEAR(Q$3)=2013,'IP1'!$F$154,'IP1'!$G$154)
))</f>
        <v>0</v>
      </c>
      <c r="R20" s="85">
        <f>IF(LEFT($D20,5)="Other",
VLOOKUP($A20,'IP1'!$A$37:$G$89,5,0)*
VLOOKUP(
VLOOKUP($A20,'IP1'!$A$37:$G$89,7,0),Patterns!$A$2:$N$28,COLUMN(R20)-14,0)/
VLOOKUP(
VLOOKUP($A20,'IP1'!$A$37:$G$89,7,0),Patterns!$A$2:$N$28,2,0),
IF(LEFT($D20,7)="Payroll",
SUMPRODUCT(($B20='IP1'!$B$96:$B$114)*('IP1'!$E$96:$E$114))/12,
SUMPRODUCT(($B20='IP1'!$B$96:$B$114)*('IP1'!$E$96:$E$114))/12*
IF(YEAR(R$3)=2013,'IP1'!$F$154,'IP1'!$G$154)
))</f>
        <v>1250</v>
      </c>
      <c r="S20" s="85">
        <f>IF(LEFT($D20,5)="Other",
VLOOKUP($A20,'IP1'!$A$37:$G$89,5,0)*
VLOOKUP(
VLOOKUP($A20,'IP1'!$A$37:$G$89,7,0),Patterns!$A$2:$N$28,COLUMN(S20)-14,0)/
VLOOKUP(
VLOOKUP($A20,'IP1'!$A$37:$G$89,7,0),Patterns!$A$2:$N$28,2,0),
IF(LEFT($D20,7)="Payroll",
SUMPRODUCT(($B20='IP1'!$B$96:$B$114)*('IP1'!$E$96:$E$114))/12,
SUMPRODUCT(($B20='IP1'!$B$96:$B$114)*('IP1'!$E$96:$E$114))/12*
IF(YEAR(S$3)=2013,'IP1'!$F$154,'IP1'!$G$154)
))</f>
        <v>0</v>
      </c>
      <c r="T20" s="85">
        <f>IF(LEFT($D20,5)="Other",
VLOOKUP($A20,'IP1'!$A$37:$G$89,5,0)*
VLOOKUP(
VLOOKUP($A20,'IP1'!$A$37:$G$89,7,0),Patterns!$A$2:$N$28,COLUMN(T20)-14,0)/
VLOOKUP(
VLOOKUP($A20,'IP1'!$A$37:$G$89,7,0),Patterns!$A$2:$N$28,2,0),
IF(LEFT($D20,7)="Payroll",
SUMPRODUCT(($B20='IP1'!$B$96:$B$114)*('IP1'!$E$96:$E$114))/12,
SUMPRODUCT(($B20='IP1'!$B$96:$B$114)*('IP1'!$E$96:$E$114))/12*
IF(YEAR(T$3)=2013,'IP1'!$F$154,'IP1'!$G$154)
))</f>
        <v>0</v>
      </c>
      <c r="U20" s="85">
        <f>IF(LEFT($D20,5)="Other",
VLOOKUP($A20,'IP1'!$A$37:$G$89,5,0)*
VLOOKUP(
VLOOKUP($A20,'IP1'!$A$37:$G$89,7,0),Patterns!$A$2:$N$28,COLUMN(U20)-14,0)/
VLOOKUP(
VLOOKUP($A20,'IP1'!$A$37:$G$89,7,0),Patterns!$A$2:$N$28,2,0),
IF(LEFT($D20,7)="Payroll",
SUMPRODUCT(($B20='IP1'!$B$96:$B$114)*('IP1'!$E$96:$E$114))/12,
SUMPRODUCT(($B20='IP1'!$B$96:$B$114)*('IP1'!$E$96:$E$114))/12*
IF(YEAR(U$3)=2013,'IP1'!$F$154,'IP1'!$G$154)
))</f>
        <v>1250</v>
      </c>
      <c r="V20" s="85">
        <f>IF(LEFT($D20,5)="Other",
VLOOKUP($A20,'IP1'!$A$37:$G$89,5,0)*
VLOOKUP(
VLOOKUP($A20,'IP1'!$A$37:$G$89,7,0),Patterns!$A$2:$N$28,COLUMN(V20)-14,0)/
VLOOKUP(
VLOOKUP($A20,'IP1'!$A$37:$G$89,7,0),Patterns!$A$2:$N$28,2,0),
IF(LEFT($D20,7)="Payroll",
SUMPRODUCT(($B20='IP1'!$B$96:$B$114)*('IP1'!$E$96:$E$114))/12,
SUMPRODUCT(($B20='IP1'!$B$96:$B$114)*('IP1'!$E$96:$E$114))/12*
IF(YEAR(V$3)=2013,'IP1'!$F$154,'IP1'!$G$154)
))</f>
        <v>0</v>
      </c>
      <c r="W20" s="85">
        <f>IF(LEFT($D20,5)="Other",
VLOOKUP($A20,'IP1'!$A$37:$G$89,5,0)*
VLOOKUP(
VLOOKUP($A20,'IP1'!$A$37:$G$89,7,0),Patterns!$A$2:$N$28,COLUMN(W20)-14,0)/
VLOOKUP(
VLOOKUP($A20,'IP1'!$A$37:$G$89,7,0),Patterns!$A$2:$N$28,2,0),
IF(LEFT($D20,7)="Payroll",
SUMPRODUCT(($B20='IP1'!$B$96:$B$114)*('IP1'!$E$96:$E$114))/12,
SUMPRODUCT(($B20='IP1'!$B$96:$B$114)*('IP1'!$E$96:$E$114))/12*
IF(YEAR(W$3)=2013,'IP1'!$F$154,'IP1'!$G$154)
))</f>
        <v>0</v>
      </c>
      <c r="X20" s="85">
        <f>IF(LEFT($D20,5)="Other",
VLOOKUP($A20,'IP1'!$A$37:$G$89,5,0)*
VLOOKUP(
VLOOKUP($A20,'IP1'!$A$37:$G$89,7,0),Patterns!$A$2:$N$28,COLUMN(X20)-14,0)/
VLOOKUP(
VLOOKUP($A20,'IP1'!$A$37:$G$89,7,0),Patterns!$A$2:$N$28,2,0),
IF(LEFT($D20,7)="Payroll",
SUMPRODUCT(($B20='IP1'!$B$96:$B$114)*('IP1'!$E$96:$E$114))/12,
SUMPRODUCT(($B20='IP1'!$B$96:$B$114)*('IP1'!$E$96:$E$114))/12*
IF(YEAR(X$3)=2013,'IP1'!$F$154,'IP1'!$G$154)
))</f>
        <v>1250</v>
      </c>
      <c r="Y20" s="85">
        <f>IF(LEFT($D20,5)="Other",
VLOOKUP($A20,'IP1'!$A$37:$G$89,5,0)*
VLOOKUP(
VLOOKUP($A20,'IP1'!$A$37:$G$89,7,0),Patterns!$A$2:$N$28,COLUMN(Y20)-14,0)/
VLOOKUP(
VLOOKUP($A20,'IP1'!$A$37:$G$89,7,0),Patterns!$A$2:$N$28,2,0),
IF(LEFT($D20,7)="Payroll",
SUMPRODUCT(($B20='IP1'!$B$96:$B$114)*('IP1'!$E$96:$E$114))/12,
SUMPRODUCT(($B20='IP1'!$B$96:$B$114)*('IP1'!$E$96:$E$114))/12*
IF(YEAR(Y$3)=2013,'IP1'!$F$154,'IP1'!$G$154)
))</f>
        <v>0</v>
      </c>
      <c r="Z20" s="85">
        <f>IF(LEFT($D20,5)="Other",
VLOOKUP($A20,'IP1'!$A$37:$G$89,5,0)*
VLOOKUP(
VLOOKUP($A20,'IP1'!$A$37:$G$89,7,0),Patterns!$A$2:$N$28,COLUMN(Z20)-14,0)/
VLOOKUP(
VLOOKUP($A20,'IP1'!$A$37:$G$89,7,0),Patterns!$A$2:$N$28,2,0),
IF(LEFT($D20,7)="Payroll",
SUMPRODUCT(($B20='IP1'!$B$96:$B$114)*('IP1'!$E$96:$E$114))/12,
SUMPRODUCT(($B20='IP1'!$B$96:$B$114)*('IP1'!$E$96:$E$114))/12*
IF(YEAR(Z$3)=2013,'IP1'!$F$154,'IP1'!$G$154)
))</f>
        <v>0</v>
      </c>
      <c r="AA20" s="85">
        <f>IF(LEFT($D20,5)="Other",
VLOOKUP($A20,'IP1'!$A$37:$G$89,5,0)*
VLOOKUP(
VLOOKUP($A20,'IP1'!$A$37:$G$89,7,0),Patterns!$A$2:$N$28,COLUMN(AA20)-14,0)/
VLOOKUP(
VLOOKUP($A20,'IP1'!$A$37:$G$89,7,0),Patterns!$A$2:$N$28,2,0),
IF(LEFT($D20,7)="Payroll",
SUMPRODUCT(($B20='IP1'!$B$96:$B$114)*('IP1'!$E$96:$E$114))/12,
SUMPRODUCT(($B20='IP1'!$B$96:$B$114)*('IP1'!$E$96:$E$114))/12*
IF(YEAR(AA$3)=2013,'IP1'!$F$154,'IP1'!$G$154)
))</f>
        <v>1250</v>
      </c>
      <c r="AB20" s="85">
        <f>IF(LEFT($D20,5)="Other",
VLOOKUP($A20,'IP1'!$A$37:$G$89,5,0)*
VLOOKUP(
VLOOKUP($A20,'IP1'!$A$37:$G$89,7,0),Patterns!$A$2:$N$28,COLUMN(AB20)-14,0)/
VLOOKUP(
VLOOKUP($A20,'IP1'!$A$37:$G$89,7,0),Patterns!$A$2:$N$28,2,0),
IF(LEFT($D20,7)="Payroll",
SUMPRODUCT(($B20='IP1'!$B$96:$B$114)*('IP1'!$E$96:$E$114))/12,
SUMPRODUCT(($B20='IP1'!$B$96:$B$114)*('IP1'!$E$96:$E$114))/12*
IF(YEAR(AB$3)=2013,'IP1'!$F$154,'IP1'!$G$154)
))</f>
        <v>0</v>
      </c>
    </row>
    <row r="21" spans="1:28">
      <c r="A21" s="1" t="str">
        <f t="shared" si="2"/>
        <v xml:space="preserve">AdministrationLoss and damage </v>
      </c>
      <c r="B21" s="1" t="s">
        <v>155</v>
      </c>
      <c r="C21" s="1" t="s">
        <v>457</v>
      </c>
      <c r="D21" s="11" t="s">
        <v>100</v>
      </c>
      <c r="E21" s="85">
        <f>IF(LEFT($D21,5)="Other",
VLOOKUP($A21,'IP1'!$A$37:$G$89,4,0)*
VLOOKUP(
VLOOKUP($A21,'IP1'!$A$37:$G$89,7,0),Patterns!$A$2:$N$28,COLUMN(E21)-2,0)/
VLOOKUP(
VLOOKUP($A21,'IP1'!$A$37:$G$89,7,0),Patterns!$A$2:$N$28,2,0),
IF(LEFT($D21,7)="Payroll",
SUMPRODUCT(($B21='IP1'!$B$96:$B$114)*('IP1'!$D$96:$D$114))/12,
SUMPRODUCT(($B21='IP1'!$B$96:$B$114)*('IP1'!$D$96:$D$114))/12*
IF(YEAR(E$3)=2013,'IP1'!$F$154,'IP1'!$G$154)
))</f>
        <v>75</v>
      </c>
      <c r="F21" s="85">
        <f>IF(LEFT($D21,5)="Other",
VLOOKUP($A21,'IP1'!$A$37:$G$89,4,0)*
VLOOKUP(
VLOOKUP($A21,'IP1'!$A$37:$G$89,7,0),Patterns!$A$2:$N$28,COLUMN(F21)-2,0)/
VLOOKUP(
VLOOKUP($A21,'IP1'!$A$37:$G$89,7,0),Patterns!$A$2:$N$28,2,0),
IF(LEFT($D21,7)="Payroll",
SUMPRODUCT(($B21='IP1'!$B$96:$B$114)*('IP1'!$D$96:$D$114))/12,
SUMPRODUCT(($B21='IP1'!$B$96:$B$114)*('IP1'!$D$96:$D$114))/12*
IF(YEAR(F$3)=2013,'IP1'!$F$154,'IP1'!$G$154)
))</f>
        <v>75</v>
      </c>
      <c r="G21" s="85">
        <f>IF(LEFT($D21,5)="Other",
VLOOKUP($A21,'IP1'!$A$37:$G$89,4,0)*
VLOOKUP(
VLOOKUP($A21,'IP1'!$A$37:$G$89,7,0),Patterns!$A$2:$N$28,COLUMN(G21)-2,0)/
VLOOKUP(
VLOOKUP($A21,'IP1'!$A$37:$G$89,7,0),Patterns!$A$2:$N$28,2,0),
IF(LEFT($D21,7)="Payroll",
SUMPRODUCT(($B21='IP1'!$B$96:$B$114)*('IP1'!$D$96:$D$114))/12,
SUMPRODUCT(($B21='IP1'!$B$96:$B$114)*('IP1'!$D$96:$D$114))/12*
IF(YEAR(G$3)=2013,'IP1'!$F$154,'IP1'!$G$154)
))</f>
        <v>125</v>
      </c>
      <c r="H21" s="85">
        <f>IF(LEFT($D21,5)="Other",
VLOOKUP($A21,'IP1'!$A$37:$G$89,4,0)*
VLOOKUP(
VLOOKUP($A21,'IP1'!$A$37:$G$89,7,0),Patterns!$A$2:$N$28,COLUMN(H21)-2,0)/
VLOOKUP(
VLOOKUP($A21,'IP1'!$A$37:$G$89,7,0),Patterns!$A$2:$N$28,2,0),
IF(LEFT($D21,7)="Payroll",
SUMPRODUCT(($B21='IP1'!$B$96:$B$114)*('IP1'!$D$96:$D$114))/12,
SUMPRODUCT(($B21='IP1'!$B$96:$B$114)*('IP1'!$D$96:$D$114))/12*
IF(YEAR(H$3)=2013,'IP1'!$F$154,'IP1'!$G$154)
))</f>
        <v>225</v>
      </c>
      <c r="I21" s="85">
        <f>IF(LEFT($D21,5)="Other",
VLOOKUP($A21,'IP1'!$A$37:$G$89,4,0)*
VLOOKUP(
VLOOKUP($A21,'IP1'!$A$37:$G$89,7,0),Patterns!$A$2:$N$28,COLUMN(I21)-2,0)/
VLOOKUP(
VLOOKUP($A21,'IP1'!$A$37:$G$89,7,0),Patterns!$A$2:$N$28,2,0),
IF(LEFT($D21,7)="Payroll",
SUMPRODUCT(($B21='IP1'!$B$96:$B$114)*('IP1'!$D$96:$D$114))/12,
SUMPRODUCT(($B21='IP1'!$B$96:$B$114)*('IP1'!$D$96:$D$114))/12*
IF(YEAR(I$3)=2013,'IP1'!$F$154,'IP1'!$G$154)
))</f>
        <v>250</v>
      </c>
      <c r="J21" s="85">
        <f>IF(LEFT($D21,5)="Other",
VLOOKUP($A21,'IP1'!$A$37:$G$89,4,0)*
VLOOKUP(
VLOOKUP($A21,'IP1'!$A$37:$G$89,7,0),Patterns!$A$2:$N$28,COLUMN(J21)-2,0)/
VLOOKUP(
VLOOKUP($A21,'IP1'!$A$37:$G$89,7,0),Patterns!$A$2:$N$28,2,0),
IF(LEFT($D21,7)="Payroll",
SUMPRODUCT(($B21='IP1'!$B$96:$B$114)*('IP1'!$D$96:$D$114))/12,
SUMPRODUCT(($B21='IP1'!$B$96:$B$114)*('IP1'!$D$96:$D$114))/12*
IF(YEAR(J$3)=2013,'IP1'!$F$154,'IP1'!$G$154)
))</f>
        <v>250</v>
      </c>
      <c r="K21" s="85">
        <f>IF(LEFT($D21,5)="Other",
VLOOKUP($A21,'IP1'!$A$37:$G$89,4,0)*
VLOOKUP(
VLOOKUP($A21,'IP1'!$A$37:$G$89,7,0),Patterns!$A$2:$N$28,COLUMN(K21)-2,0)/
VLOOKUP(
VLOOKUP($A21,'IP1'!$A$37:$G$89,7,0),Patterns!$A$2:$N$28,2,0),
IF(LEFT($D21,7)="Payroll",
SUMPRODUCT(($B21='IP1'!$B$96:$B$114)*('IP1'!$D$96:$D$114))/12,
SUMPRODUCT(($B21='IP1'!$B$96:$B$114)*('IP1'!$D$96:$D$114))/12*
IF(YEAR(K$3)=2013,'IP1'!$F$154,'IP1'!$G$154)
))</f>
        <v>325</v>
      </c>
      <c r="L21" s="85">
        <f>IF(LEFT($D21,5)="Other",
VLOOKUP($A21,'IP1'!$A$37:$G$89,4,0)*
VLOOKUP(
VLOOKUP($A21,'IP1'!$A$37:$G$89,7,0),Patterns!$A$2:$N$28,COLUMN(L21)-2,0)/
VLOOKUP(
VLOOKUP($A21,'IP1'!$A$37:$G$89,7,0),Patterns!$A$2:$N$28,2,0),
IF(LEFT($D21,7)="Payroll",
SUMPRODUCT(($B21='IP1'!$B$96:$B$114)*('IP1'!$D$96:$D$114))/12,
SUMPRODUCT(($B21='IP1'!$B$96:$B$114)*('IP1'!$D$96:$D$114))/12*
IF(YEAR(L$3)=2013,'IP1'!$F$154,'IP1'!$G$154)
))</f>
        <v>325</v>
      </c>
      <c r="M21" s="85">
        <f>IF(LEFT($D21,5)="Other",
VLOOKUP($A21,'IP1'!$A$37:$G$89,4,0)*
VLOOKUP(
VLOOKUP($A21,'IP1'!$A$37:$G$89,7,0),Patterns!$A$2:$N$28,COLUMN(M21)-2,0)/
VLOOKUP(
VLOOKUP($A21,'IP1'!$A$37:$G$89,7,0),Patterns!$A$2:$N$28,2,0),
IF(LEFT($D21,7)="Payroll",
SUMPRODUCT(($B21='IP1'!$B$96:$B$114)*('IP1'!$D$96:$D$114))/12,
SUMPRODUCT(($B21='IP1'!$B$96:$B$114)*('IP1'!$D$96:$D$114))/12*
IF(YEAR(M$3)=2013,'IP1'!$F$154,'IP1'!$G$154)
))</f>
        <v>250</v>
      </c>
      <c r="N21" s="85">
        <f>IF(LEFT($D21,5)="Other",
VLOOKUP($A21,'IP1'!$A$37:$G$89,4,0)*
VLOOKUP(
VLOOKUP($A21,'IP1'!$A$37:$G$89,7,0),Patterns!$A$2:$N$28,COLUMN(N21)-2,0)/
VLOOKUP(
VLOOKUP($A21,'IP1'!$A$37:$G$89,7,0),Patterns!$A$2:$N$28,2,0),
IF(LEFT($D21,7)="Payroll",
SUMPRODUCT(($B21='IP1'!$B$96:$B$114)*('IP1'!$D$96:$D$114))/12,
SUMPRODUCT(($B21='IP1'!$B$96:$B$114)*('IP1'!$D$96:$D$114))/12*
IF(YEAR(N$3)=2013,'IP1'!$F$154,'IP1'!$G$154)
))</f>
        <v>225</v>
      </c>
      <c r="O21" s="85">
        <f>IF(LEFT($D21,5)="Other",
VLOOKUP($A21,'IP1'!$A$37:$G$89,4,0)*
VLOOKUP(
VLOOKUP($A21,'IP1'!$A$37:$G$89,7,0),Patterns!$A$2:$N$28,COLUMN(O21)-2,0)/
VLOOKUP(
VLOOKUP($A21,'IP1'!$A$37:$G$89,7,0),Patterns!$A$2:$N$28,2,0),
IF(LEFT($D21,7)="Payroll",
SUMPRODUCT(($B21='IP1'!$B$96:$B$114)*('IP1'!$D$96:$D$114))/12,
SUMPRODUCT(($B21='IP1'!$B$96:$B$114)*('IP1'!$D$96:$D$114))/12*
IF(YEAR(O$3)=2013,'IP1'!$F$154,'IP1'!$G$154)
))</f>
        <v>75</v>
      </c>
      <c r="P21" s="85">
        <f>IF(LEFT($D21,5)="Other",
VLOOKUP($A21,'IP1'!$A$37:$G$89,4,0)*
VLOOKUP(
VLOOKUP($A21,'IP1'!$A$37:$G$89,7,0),Patterns!$A$2:$N$28,COLUMN(P21)-2,0)/
VLOOKUP(
VLOOKUP($A21,'IP1'!$A$37:$G$89,7,0),Patterns!$A$2:$N$28,2,0),
IF(LEFT($D21,7)="Payroll",
SUMPRODUCT(($B21='IP1'!$B$96:$B$114)*('IP1'!$D$96:$D$114))/12,
SUMPRODUCT(($B21='IP1'!$B$96:$B$114)*('IP1'!$D$96:$D$114))/12*
IF(YEAR(P$3)=2013,'IP1'!$F$154,'IP1'!$G$154)
))</f>
        <v>300</v>
      </c>
      <c r="Q21" s="85">
        <f>IF(LEFT($D21,5)="Other",
VLOOKUP($A21,'IP1'!$A$37:$G$89,5,0)*
VLOOKUP(
VLOOKUP($A21,'IP1'!$A$37:$G$89,7,0),Patterns!$A$2:$N$28,COLUMN(Q21)-14,0)/
VLOOKUP(
VLOOKUP($A21,'IP1'!$A$37:$G$89,7,0),Patterns!$A$2:$N$28,2,0),
IF(LEFT($D21,7)="Payroll",
SUMPRODUCT(($B21='IP1'!$B$96:$B$114)*('IP1'!$E$96:$E$114))/12,
SUMPRODUCT(($B21='IP1'!$B$96:$B$114)*('IP1'!$E$96:$E$114))/12*
IF(YEAR(Q$3)=2013,'IP1'!$F$154,'IP1'!$G$154)
))</f>
        <v>150</v>
      </c>
      <c r="R21" s="85">
        <f>IF(LEFT($D21,5)="Other",
VLOOKUP($A21,'IP1'!$A$37:$G$89,5,0)*
VLOOKUP(
VLOOKUP($A21,'IP1'!$A$37:$G$89,7,0),Patterns!$A$2:$N$28,COLUMN(R21)-14,0)/
VLOOKUP(
VLOOKUP($A21,'IP1'!$A$37:$G$89,7,0),Patterns!$A$2:$N$28,2,0),
IF(LEFT($D21,7)="Payroll",
SUMPRODUCT(($B21='IP1'!$B$96:$B$114)*('IP1'!$E$96:$E$114))/12,
SUMPRODUCT(($B21='IP1'!$B$96:$B$114)*('IP1'!$E$96:$E$114))/12*
IF(YEAR(R$3)=2013,'IP1'!$F$154,'IP1'!$G$154)
))</f>
        <v>150</v>
      </c>
      <c r="S21" s="85">
        <f>IF(LEFT($D21,5)="Other",
VLOOKUP($A21,'IP1'!$A$37:$G$89,5,0)*
VLOOKUP(
VLOOKUP($A21,'IP1'!$A$37:$G$89,7,0),Patterns!$A$2:$N$28,COLUMN(S21)-14,0)/
VLOOKUP(
VLOOKUP($A21,'IP1'!$A$37:$G$89,7,0),Patterns!$A$2:$N$28,2,0),
IF(LEFT($D21,7)="Payroll",
SUMPRODUCT(($B21='IP1'!$B$96:$B$114)*('IP1'!$E$96:$E$114))/12,
SUMPRODUCT(($B21='IP1'!$B$96:$B$114)*('IP1'!$E$96:$E$114))/12*
IF(YEAR(S$3)=2013,'IP1'!$F$154,'IP1'!$G$154)
))</f>
        <v>250</v>
      </c>
      <c r="T21" s="85">
        <f>IF(LEFT($D21,5)="Other",
VLOOKUP($A21,'IP1'!$A$37:$G$89,5,0)*
VLOOKUP(
VLOOKUP($A21,'IP1'!$A$37:$G$89,7,0),Patterns!$A$2:$N$28,COLUMN(T21)-14,0)/
VLOOKUP(
VLOOKUP($A21,'IP1'!$A$37:$G$89,7,0),Patterns!$A$2:$N$28,2,0),
IF(LEFT($D21,7)="Payroll",
SUMPRODUCT(($B21='IP1'!$B$96:$B$114)*('IP1'!$E$96:$E$114))/12,
SUMPRODUCT(($B21='IP1'!$B$96:$B$114)*('IP1'!$E$96:$E$114))/12*
IF(YEAR(T$3)=2013,'IP1'!$F$154,'IP1'!$G$154)
))</f>
        <v>450</v>
      </c>
      <c r="U21" s="85">
        <f>IF(LEFT($D21,5)="Other",
VLOOKUP($A21,'IP1'!$A$37:$G$89,5,0)*
VLOOKUP(
VLOOKUP($A21,'IP1'!$A$37:$G$89,7,0),Patterns!$A$2:$N$28,COLUMN(U21)-14,0)/
VLOOKUP(
VLOOKUP($A21,'IP1'!$A$37:$G$89,7,0),Patterns!$A$2:$N$28,2,0),
IF(LEFT($D21,7)="Payroll",
SUMPRODUCT(($B21='IP1'!$B$96:$B$114)*('IP1'!$E$96:$E$114))/12,
SUMPRODUCT(($B21='IP1'!$B$96:$B$114)*('IP1'!$E$96:$E$114))/12*
IF(YEAR(U$3)=2013,'IP1'!$F$154,'IP1'!$G$154)
))</f>
        <v>500</v>
      </c>
      <c r="V21" s="85">
        <f>IF(LEFT($D21,5)="Other",
VLOOKUP($A21,'IP1'!$A$37:$G$89,5,0)*
VLOOKUP(
VLOOKUP($A21,'IP1'!$A$37:$G$89,7,0),Patterns!$A$2:$N$28,COLUMN(V21)-14,0)/
VLOOKUP(
VLOOKUP($A21,'IP1'!$A$37:$G$89,7,0),Patterns!$A$2:$N$28,2,0),
IF(LEFT($D21,7)="Payroll",
SUMPRODUCT(($B21='IP1'!$B$96:$B$114)*('IP1'!$E$96:$E$114))/12,
SUMPRODUCT(($B21='IP1'!$B$96:$B$114)*('IP1'!$E$96:$E$114))/12*
IF(YEAR(V$3)=2013,'IP1'!$F$154,'IP1'!$G$154)
))</f>
        <v>500</v>
      </c>
      <c r="W21" s="85">
        <f>IF(LEFT($D21,5)="Other",
VLOOKUP($A21,'IP1'!$A$37:$G$89,5,0)*
VLOOKUP(
VLOOKUP($A21,'IP1'!$A$37:$G$89,7,0),Patterns!$A$2:$N$28,COLUMN(W21)-14,0)/
VLOOKUP(
VLOOKUP($A21,'IP1'!$A$37:$G$89,7,0),Patterns!$A$2:$N$28,2,0),
IF(LEFT($D21,7)="Payroll",
SUMPRODUCT(($B21='IP1'!$B$96:$B$114)*('IP1'!$E$96:$E$114))/12,
SUMPRODUCT(($B21='IP1'!$B$96:$B$114)*('IP1'!$E$96:$E$114))/12*
IF(YEAR(W$3)=2013,'IP1'!$F$154,'IP1'!$G$154)
))</f>
        <v>650</v>
      </c>
      <c r="X21" s="85">
        <f>IF(LEFT($D21,5)="Other",
VLOOKUP($A21,'IP1'!$A$37:$G$89,5,0)*
VLOOKUP(
VLOOKUP($A21,'IP1'!$A$37:$G$89,7,0),Patterns!$A$2:$N$28,COLUMN(X21)-14,0)/
VLOOKUP(
VLOOKUP($A21,'IP1'!$A$37:$G$89,7,0),Patterns!$A$2:$N$28,2,0),
IF(LEFT($D21,7)="Payroll",
SUMPRODUCT(($B21='IP1'!$B$96:$B$114)*('IP1'!$E$96:$E$114))/12,
SUMPRODUCT(($B21='IP1'!$B$96:$B$114)*('IP1'!$E$96:$E$114))/12*
IF(YEAR(X$3)=2013,'IP1'!$F$154,'IP1'!$G$154)
))</f>
        <v>650</v>
      </c>
      <c r="Y21" s="85">
        <f>IF(LEFT($D21,5)="Other",
VLOOKUP($A21,'IP1'!$A$37:$G$89,5,0)*
VLOOKUP(
VLOOKUP($A21,'IP1'!$A$37:$G$89,7,0),Patterns!$A$2:$N$28,COLUMN(Y21)-14,0)/
VLOOKUP(
VLOOKUP($A21,'IP1'!$A$37:$G$89,7,0),Patterns!$A$2:$N$28,2,0),
IF(LEFT($D21,7)="Payroll",
SUMPRODUCT(($B21='IP1'!$B$96:$B$114)*('IP1'!$E$96:$E$114))/12,
SUMPRODUCT(($B21='IP1'!$B$96:$B$114)*('IP1'!$E$96:$E$114))/12*
IF(YEAR(Y$3)=2013,'IP1'!$F$154,'IP1'!$G$154)
))</f>
        <v>500</v>
      </c>
      <c r="Z21" s="85">
        <f>IF(LEFT($D21,5)="Other",
VLOOKUP($A21,'IP1'!$A$37:$G$89,5,0)*
VLOOKUP(
VLOOKUP($A21,'IP1'!$A$37:$G$89,7,0),Patterns!$A$2:$N$28,COLUMN(Z21)-14,0)/
VLOOKUP(
VLOOKUP($A21,'IP1'!$A$37:$G$89,7,0),Patterns!$A$2:$N$28,2,0),
IF(LEFT($D21,7)="Payroll",
SUMPRODUCT(($B21='IP1'!$B$96:$B$114)*('IP1'!$E$96:$E$114))/12,
SUMPRODUCT(($B21='IP1'!$B$96:$B$114)*('IP1'!$E$96:$E$114))/12*
IF(YEAR(Z$3)=2013,'IP1'!$F$154,'IP1'!$G$154)
))</f>
        <v>450</v>
      </c>
      <c r="AA21" s="85">
        <f>IF(LEFT($D21,5)="Other",
VLOOKUP($A21,'IP1'!$A$37:$G$89,5,0)*
VLOOKUP(
VLOOKUP($A21,'IP1'!$A$37:$G$89,7,0),Patterns!$A$2:$N$28,COLUMN(AA21)-14,0)/
VLOOKUP(
VLOOKUP($A21,'IP1'!$A$37:$G$89,7,0),Patterns!$A$2:$N$28,2,0),
IF(LEFT($D21,7)="Payroll",
SUMPRODUCT(($B21='IP1'!$B$96:$B$114)*('IP1'!$E$96:$E$114))/12,
SUMPRODUCT(($B21='IP1'!$B$96:$B$114)*('IP1'!$E$96:$E$114))/12*
IF(YEAR(AA$3)=2013,'IP1'!$F$154,'IP1'!$G$154)
))</f>
        <v>150</v>
      </c>
      <c r="AB21" s="85">
        <f>IF(LEFT($D21,5)="Other",
VLOOKUP($A21,'IP1'!$A$37:$G$89,5,0)*
VLOOKUP(
VLOOKUP($A21,'IP1'!$A$37:$G$89,7,0),Patterns!$A$2:$N$28,COLUMN(AB21)-14,0)/
VLOOKUP(
VLOOKUP($A21,'IP1'!$A$37:$G$89,7,0),Patterns!$A$2:$N$28,2,0),
IF(LEFT($D21,7)="Payroll",
SUMPRODUCT(($B21='IP1'!$B$96:$B$114)*('IP1'!$E$96:$E$114))/12,
SUMPRODUCT(($B21='IP1'!$B$96:$B$114)*('IP1'!$E$96:$E$114))/12*
IF(YEAR(AB$3)=2013,'IP1'!$F$154,'IP1'!$G$154)
))</f>
        <v>600</v>
      </c>
    </row>
    <row r="22" spans="1:28">
      <c r="A22" s="1" t="str">
        <f t="shared" si="2"/>
        <v>AdministrationOperating supplies &amp; equip.</v>
      </c>
      <c r="B22" s="1" t="s">
        <v>155</v>
      </c>
      <c r="C22" s="1" t="s">
        <v>460</v>
      </c>
      <c r="D22" s="11" t="s">
        <v>100</v>
      </c>
      <c r="E22" s="85">
        <f>IF(LEFT($D22,5)="Other",
VLOOKUP($A22,'IP1'!$A$37:$G$89,4,0)*
VLOOKUP(
VLOOKUP($A22,'IP1'!$A$37:$G$89,7,0),Patterns!$A$2:$N$28,COLUMN(E22)-2,0)/
VLOOKUP(
VLOOKUP($A22,'IP1'!$A$37:$G$89,7,0),Patterns!$A$2:$N$28,2,0),
IF(LEFT($D22,7)="Payroll",
SUMPRODUCT(($B22='IP1'!$B$96:$B$114)*('IP1'!$D$96:$D$114))/12,
SUMPRODUCT(($B22='IP1'!$B$96:$B$114)*('IP1'!$D$96:$D$114))/12*
IF(YEAR(E$3)=2013,'IP1'!$F$154,'IP1'!$G$154)
))</f>
        <v>416.66666666666669</v>
      </c>
      <c r="F22" s="85">
        <f>IF(LEFT($D22,5)="Other",
VLOOKUP($A22,'IP1'!$A$37:$G$89,4,0)*
VLOOKUP(
VLOOKUP($A22,'IP1'!$A$37:$G$89,7,0),Patterns!$A$2:$N$28,COLUMN(F22)-2,0)/
VLOOKUP(
VLOOKUP($A22,'IP1'!$A$37:$G$89,7,0),Patterns!$A$2:$N$28,2,0),
IF(LEFT($D22,7)="Payroll",
SUMPRODUCT(($B22='IP1'!$B$96:$B$114)*('IP1'!$D$96:$D$114))/12,
SUMPRODUCT(($B22='IP1'!$B$96:$B$114)*('IP1'!$D$96:$D$114))/12*
IF(YEAR(F$3)=2013,'IP1'!$F$154,'IP1'!$G$154)
))</f>
        <v>416.66666666666669</v>
      </c>
      <c r="G22" s="85">
        <f>IF(LEFT($D22,5)="Other",
VLOOKUP($A22,'IP1'!$A$37:$G$89,4,0)*
VLOOKUP(
VLOOKUP($A22,'IP1'!$A$37:$G$89,7,0),Patterns!$A$2:$N$28,COLUMN(G22)-2,0)/
VLOOKUP(
VLOOKUP($A22,'IP1'!$A$37:$G$89,7,0),Patterns!$A$2:$N$28,2,0),
IF(LEFT($D22,7)="Payroll",
SUMPRODUCT(($B22='IP1'!$B$96:$B$114)*('IP1'!$D$96:$D$114))/12,
SUMPRODUCT(($B22='IP1'!$B$96:$B$114)*('IP1'!$D$96:$D$114))/12*
IF(YEAR(G$3)=2013,'IP1'!$F$154,'IP1'!$G$154)
))</f>
        <v>416.66666666666669</v>
      </c>
      <c r="H22" s="85">
        <f>IF(LEFT($D22,5)="Other",
VLOOKUP($A22,'IP1'!$A$37:$G$89,4,0)*
VLOOKUP(
VLOOKUP($A22,'IP1'!$A$37:$G$89,7,0),Patterns!$A$2:$N$28,COLUMN(H22)-2,0)/
VLOOKUP(
VLOOKUP($A22,'IP1'!$A$37:$G$89,7,0),Patterns!$A$2:$N$28,2,0),
IF(LEFT($D22,7)="Payroll",
SUMPRODUCT(($B22='IP1'!$B$96:$B$114)*('IP1'!$D$96:$D$114))/12,
SUMPRODUCT(($B22='IP1'!$B$96:$B$114)*('IP1'!$D$96:$D$114))/12*
IF(YEAR(H$3)=2013,'IP1'!$F$154,'IP1'!$G$154)
))</f>
        <v>416.66666666666669</v>
      </c>
      <c r="I22" s="85">
        <f>IF(LEFT($D22,5)="Other",
VLOOKUP($A22,'IP1'!$A$37:$G$89,4,0)*
VLOOKUP(
VLOOKUP($A22,'IP1'!$A$37:$G$89,7,0),Patterns!$A$2:$N$28,COLUMN(I22)-2,0)/
VLOOKUP(
VLOOKUP($A22,'IP1'!$A$37:$G$89,7,0),Patterns!$A$2:$N$28,2,0),
IF(LEFT($D22,7)="Payroll",
SUMPRODUCT(($B22='IP1'!$B$96:$B$114)*('IP1'!$D$96:$D$114))/12,
SUMPRODUCT(($B22='IP1'!$B$96:$B$114)*('IP1'!$D$96:$D$114))/12*
IF(YEAR(I$3)=2013,'IP1'!$F$154,'IP1'!$G$154)
))</f>
        <v>416.66666666666669</v>
      </c>
      <c r="J22" s="85">
        <f>IF(LEFT($D22,5)="Other",
VLOOKUP($A22,'IP1'!$A$37:$G$89,4,0)*
VLOOKUP(
VLOOKUP($A22,'IP1'!$A$37:$G$89,7,0),Patterns!$A$2:$N$28,COLUMN(J22)-2,0)/
VLOOKUP(
VLOOKUP($A22,'IP1'!$A$37:$G$89,7,0),Patterns!$A$2:$N$28,2,0),
IF(LEFT($D22,7)="Payroll",
SUMPRODUCT(($B22='IP1'!$B$96:$B$114)*('IP1'!$D$96:$D$114))/12,
SUMPRODUCT(($B22='IP1'!$B$96:$B$114)*('IP1'!$D$96:$D$114))/12*
IF(YEAR(J$3)=2013,'IP1'!$F$154,'IP1'!$G$154)
))</f>
        <v>416.66666666666669</v>
      </c>
      <c r="K22" s="85">
        <f>IF(LEFT($D22,5)="Other",
VLOOKUP($A22,'IP1'!$A$37:$G$89,4,0)*
VLOOKUP(
VLOOKUP($A22,'IP1'!$A$37:$G$89,7,0),Patterns!$A$2:$N$28,COLUMN(K22)-2,0)/
VLOOKUP(
VLOOKUP($A22,'IP1'!$A$37:$G$89,7,0),Patterns!$A$2:$N$28,2,0),
IF(LEFT($D22,7)="Payroll",
SUMPRODUCT(($B22='IP1'!$B$96:$B$114)*('IP1'!$D$96:$D$114))/12,
SUMPRODUCT(($B22='IP1'!$B$96:$B$114)*('IP1'!$D$96:$D$114))/12*
IF(YEAR(K$3)=2013,'IP1'!$F$154,'IP1'!$G$154)
))</f>
        <v>416.66666666666669</v>
      </c>
      <c r="L22" s="85">
        <f>IF(LEFT($D22,5)="Other",
VLOOKUP($A22,'IP1'!$A$37:$G$89,4,0)*
VLOOKUP(
VLOOKUP($A22,'IP1'!$A$37:$G$89,7,0),Patterns!$A$2:$N$28,COLUMN(L22)-2,0)/
VLOOKUP(
VLOOKUP($A22,'IP1'!$A$37:$G$89,7,0),Patterns!$A$2:$N$28,2,0),
IF(LEFT($D22,7)="Payroll",
SUMPRODUCT(($B22='IP1'!$B$96:$B$114)*('IP1'!$D$96:$D$114))/12,
SUMPRODUCT(($B22='IP1'!$B$96:$B$114)*('IP1'!$D$96:$D$114))/12*
IF(YEAR(L$3)=2013,'IP1'!$F$154,'IP1'!$G$154)
))</f>
        <v>416.66666666666669</v>
      </c>
      <c r="M22" s="85">
        <f>IF(LEFT($D22,5)="Other",
VLOOKUP($A22,'IP1'!$A$37:$G$89,4,0)*
VLOOKUP(
VLOOKUP($A22,'IP1'!$A$37:$G$89,7,0),Patterns!$A$2:$N$28,COLUMN(M22)-2,0)/
VLOOKUP(
VLOOKUP($A22,'IP1'!$A$37:$G$89,7,0),Patterns!$A$2:$N$28,2,0),
IF(LEFT($D22,7)="Payroll",
SUMPRODUCT(($B22='IP1'!$B$96:$B$114)*('IP1'!$D$96:$D$114))/12,
SUMPRODUCT(($B22='IP1'!$B$96:$B$114)*('IP1'!$D$96:$D$114))/12*
IF(YEAR(M$3)=2013,'IP1'!$F$154,'IP1'!$G$154)
))</f>
        <v>416.66666666666669</v>
      </c>
      <c r="N22" s="85">
        <f>IF(LEFT($D22,5)="Other",
VLOOKUP($A22,'IP1'!$A$37:$G$89,4,0)*
VLOOKUP(
VLOOKUP($A22,'IP1'!$A$37:$G$89,7,0),Patterns!$A$2:$N$28,COLUMN(N22)-2,0)/
VLOOKUP(
VLOOKUP($A22,'IP1'!$A$37:$G$89,7,0),Patterns!$A$2:$N$28,2,0),
IF(LEFT($D22,7)="Payroll",
SUMPRODUCT(($B22='IP1'!$B$96:$B$114)*('IP1'!$D$96:$D$114))/12,
SUMPRODUCT(($B22='IP1'!$B$96:$B$114)*('IP1'!$D$96:$D$114))/12*
IF(YEAR(N$3)=2013,'IP1'!$F$154,'IP1'!$G$154)
))</f>
        <v>416.66666666666669</v>
      </c>
      <c r="O22" s="85">
        <f>IF(LEFT($D22,5)="Other",
VLOOKUP($A22,'IP1'!$A$37:$G$89,4,0)*
VLOOKUP(
VLOOKUP($A22,'IP1'!$A$37:$G$89,7,0),Patterns!$A$2:$N$28,COLUMN(O22)-2,0)/
VLOOKUP(
VLOOKUP($A22,'IP1'!$A$37:$G$89,7,0),Patterns!$A$2:$N$28,2,0),
IF(LEFT($D22,7)="Payroll",
SUMPRODUCT(($B22='IP1'!$B$96:$B$114)*('IP1'!$D$96:$D$114))/12,
SUMPRODUCT(($B22='IP1'!$B$96:$B$114)*('IP1'!$D$96:$D$114))/12*
IF(YEAR(O$3)=2013,'IP1'!$F$154,'IP1'!$G$154)
))</f>
        <v>416.66666666666669</v>
      </c>
      <c r="P22" s="85">
        <f>IF(LEFT($D22,5)="Other",
VLOOKUP($A22,'IP1'!$A$37:$G$89,4,0)*
VLOOKUP(
VLOOKUP($A22,'IP1'!$A$37:$G$89,7,0),Patterns!$A$2:$N$28,COLUMN(P22)-2,0)/
VLOOKUP(
VLOOKUP($A22,'IP1'!$A$37:$G$89,7,0),Patterns!$A$2:$N$28,2,0),
IF(LEFT($D22,7)="Payroll",
SUMPRODUCT(($B22='IP1'!$B$96:$B$114)*('IP1'!$D$96:$D$114))/12,
SUMPRODUCT(($B22='IP1'!$B$96:$B$114)*('IP1'!$D$96:$D$114))/12*
IF(YEAR(P$3)=2013,'IP1'!$F$154,'IP1'!$G$154)
))</f>
        <v>416.66666666666669</v>
      </c>
      <c r="Q22" s="85">
        <f>IF(LEFT($D22,5)="Other",
VLOOKUP($A22,'IP1'!$A$37:$G$89,5,0)*
VLOOKUP(
VLOOKUP($A22,'IP1'!$A$37:$G$89,7,0),Patterns!$A$2:$N$28,COLUMN(Q22)-14,0)/
VLOOKUP(
VLOOKUP($A22,'IP1'!$A$37:$G$89,7,0),Patterns!$A$2:$N$28,2,0),
IF(LEFT($D22,7)="Payroll",
SUMPRODUCT(($B22='IP1'!$B$96:$B$114)*('IP1'!$E$96:$E$114))/12,
SUMPRODUCT(($B22='IP1'!$B$96:$B$114)*('IP1'!$E$96:$E$114))/12*
IF(YEAR(Q$3)=2013,'IP1'!$F$154,'IP1'!$G$154)
))</f>
        <v>416.66666666666669</v>
      </c>
      <c r="R22" s="85">
        <f>IF(LEFT($D22,5)="Other",
VLOOKUP($A22,'IP1'!$A$37:$G$89,5,0)*
VLOOKUP(
VLOOKUP($A22,'IP1'!$A$37:$G$89,7,0),Patterns!$A$2:$N$28,COLUMN(R22)-14,0)/
VLOOKUP(
VLOOKUP($A22,'IP1'!$A$37:$G$89,7,0),Patterns!$A$2:$N$28,2,0),
IF(LEFT($D22,7)="Payroll",
SUMPRODUCT(($B22='IP1'!$B$96:$B$114)*('IP1'!$E$96:$E$114))/12,
SUMPRODUCT(($B22='IP1'!$B$96:$B$114)*('IP1'!$E$96:$E$114))/12*
IF(YEAR(R$3)=2013,'IP1'!$F$154,'IP1'!$G$154)
))</f>
        <v>416.66666666666669</v>
      </c>
      <c r="S22" s="85">
        <f>IF(LEFT($D22,5)="Other",
VLOOKUP($A22,'IP1'!$A$37:$G$89,5,0)*
VLOOKUP(
VLOOKUP($A22,'IP1'!$A$37:$G$89,7,0),Patterns!$A$2:$N$28,COLUMN(S22)-14,0)/
VLOOKUP(
VLOOKUP($A22,'IP1'!$A$37:$G$89,7,0),Patterns!$A$2:$N$28,2,0),
IF(LEFT($D22,7)="Payroll",
SUMPRODUCT(($B22='IP1'!$B$96:$B$114)*('IP1'!$E$96:$E$114))/12,
SUMPRODUCT(($B22='IP1'!$B$96:$B$114)*('IP1'!$E$96:$E$114))/12*
IF(YEAR(S$3)=2013,'IP1'!$F$154,'IP1'!$G$154)
))</f>
        <v>416.66666666666669</v>
      </c>
      <c r="T22" s="85">
        <f>IF(LEFT($D22,5)="Other",
VLOOKUP($A22,'IP1'!$A$37:$G$89,5,0)*
VLOOKUP(
VLOOKUP($A22,'IP1'!$A$37:$G$89,7,0),Patterns!$A$2:$N$28,COLUMN(T22)-14,0)/
VLOOKUP(
VLOOKUP($A22,'IP1'!$A$37:$G$89,7,0),Patterns!$A$2:$N$28,2,0),
IF(LEFT($D22,7)="Payroll",
SUMPRODUCT(($B22='IP1'!$B$96:$B$114)*('IP1'!$E$96:$E$114))/12,
SUMPRODUCT(($B22='IP1'!$B$96:$B$114)*('IP1'!$E$96:$E$114))/12*
IF(YEAR(T$3)=2013,'IP1'!$F$154,'IP1'!$G$154)
))</f>
        <v>416.66666666666669</v>
      </c>
      <c r="U22" s="85">
        <f>IF(LEFT($D22,5)="Other",
VLOOKUP($A22,'IP1'!$A$37:$G$89,5,0)*
VLOOKUP(
VLOOKUP($A22,'IP1'!$A$37:$G$89,7,0),Patterns!$A$2:$N$28,COLUMN(U22)-14,0)/
VLOOKUP(
VLOOKUP($A22,'IP1'!$A$37:$G$89,7,0),Patterns!$A$2:$N$28,2,0),
IF(LEFT($D22,7)="Payroll",
SUMPRODUCT(($B22='IP1'!$B$96:$B$114)*('IP1'!$E$96:$E$114))/12,
SUMPRODUCT(($B22='IP1'!$B$96:$B$114)*('IP1'!$E$96:$E$114))/12*
IF(YEAR(U$3)=2013,'IP1'!$F$154,'IP1'!$G$154)
))</f>
        <v>416.66666666666669</v>
      </c>
      <c r="V22" s="85">
        <f>IF(LEFT($D22,5)="Other",
VLOOKUP($A22,'IP1'!$A$37:$G$89,5,0)*
VLOOKUP(
VLOOKUP($A22,'IP1'!$A$37:$G$89,7,0),Patterns!$A$2:$N$28,COLUMN(V22)-14,0)/
VLOOKUP(
VLOOKUP($A22,'IP1'!$A$37:$G$89,7,0),Patterns!$A$2:$N$28,2,0),
IF(LEFT($D22,7)="Payroll",
SUMPRODUCT(($B22='IP1'!$B$96:$B$114)*('IP1'!$E$96:$E$114))/12,
SUMPRODUCT(($B22='IP1'!$B$96:$B$114)*('IP1'!$E$96:$E$114))/12*
IF(YEAR(V$3)=2013,'IP1'!$F$154,'IP1'!$G$154)
))</f>
        <v>416.66666666666669</v>
      </c>
      <c r="W22" s="85">
        <f>IF(LEFT($D22,5)="Other",
VLOOKUP($A22,'IP1'!$A$37:$G$89,5,0)*
VLOOKUP(
VLOOKUP($A22,'IP1'!$A$37:$G$89,7,0),Patterns!$A$2:$N$28,COLUMN(W22)-14,0)/
VLOOKUP(
VLOOKUP($A22,'IP1'!$A$37:$G$89,7,0),Patterns!$A$2:$N$28,2,0),
IF(LEFT($D22,7)="Payroll",
SUMPRODUCT(($B22='IP1'!$B$96:$B$114)*('IP1'!$E$96:$E$114))/12,
SUMPRODUCT(($B22='IP1'!$B$96:$B$114)*('IP1'!$E$96:$E$114))/12*
IF(YEAR(W$3)=2013,'IP1'!$F$154,'IP1'!$G$154)
))</f>
        <v>416.66666666666669</v>
      </c>
      <c r="X22" s="85">
        <f>IF(LEFT($D22,5)="Other",
VLOOKUP($A22,'IP1'!$A$37:$G$89,5,0)*
VLOOKUP(
VLOOKUP($A22,'IP1'!$A$37:$G$89,7,0),Patterns!$A$2:$N$28,COLUMN(X22)-14,0)/
VLOOKUP(
VLOOKUP($A22,'IP1'!$A$37:$G$89,7,0),Patterns!$A$2:$N$28,2,0),
IF(LEFT($D22,7)="Payroll",
SUMPRODUCT(($B22='IP1'!$B$96:$B$114)*('IP1'!$E$96:$E$114))/12,
SUMPRODUCT(($B22='IP1'!$B$96:$B$114)*('IP1'!$E$96:$E$114))/12*
IF(YEAR(X$3)=2013,'IP1'!$F$154,'IP1'!$G$154)
))</f>
        <v>416.66666666666669</v>
      </c>
      <c r="Y22" s="85">
        <f>IF(LEFT($D22,5)="Other",
VLOOKUP($A22,'IP1'!$A$37:$G$89,5,0)*
VLOOKUP(
VLOOKUP($A22,'IP1'!$A$37:$G$89,7,0),Patterns!$A$2:$N$28,COLUMN(Y22)-14,0)/
VLOOKUP(
VLOOKUP($A22,'IP1'!$A$37:$G$89,7,0),Patterns!$A$2:$N$28,2,0),
IF(LEFT($D22,7)="Payroll",
SUMPRODUCT(($B22='IP1'!$B$96:$B$114)*('IP1'!$E$96:$E$114))/12,
SUMPRODUCT(($B22='IP1'!$B$96:$B$114)*('IP1'!$E$96:$E$114))/12*
IF(YEAR(Y$3)=2013,'IP1'!$F$154,'IP1'!$G$154)
))</f>
        <v>416.66666666666669</v>
      </c>
      <c r="Z22" s="85">
        <f>IF(LEFT($D22,5)="Other",
VLOOKUP($A22,'IP1'!$A$37:$G$89,5,0)*
VLOOKUP(
VLOOKUP($A22,'IP1'!$A$37:$G$89,7,0),Patterns!$A$2:$N$28,COLUMN(Z22)-14,0)/
VLOOKUP(
VLOOKUP($A22,'IP1'!$A$37:$G$89,7,0),Patterns!$A$2:$N$28,2,0),
IF(LEFT($D22,7)="Payroll",
SUMPRODUCT(($B22='IP1'!$B$96:$B$114)*('IP1'!$E$96:$E$114))/12,
SUMPRODUCT(($B22='IP1'!$B$96:$B$114)*('IP1'!$E$96:$E$114))/12*
IF(YEAR(Z$3)=2013,'IP1'!$F$154,'IP1'!$G$154)
))</f>
        <v>416.66666666666669</v>
      </c>
      <c r="AA22" s="85">
        <f>IF(LEFT($D22,5)="Other",
VLOOKUP($A22,'IP1'!$A$37:$G$89,5,0)*
VLOOKUP(
VLOOKUP($A22,'IP1'!$A$37:$G$89,7,0),Patterns!$A$2:$N$28,COLUMN(AA22)-14,0)/
VLOOKUP(
VLOOKUP($A22,'IP1'!$A$37:$G$89,7,0),Patterns!$A$2:$N$28,2,0),
IF(LEFT($D22,7)="Payroll",
SUMPRODUCT(($B22='IP1'!$B$96:$B$114)*('IP1'!$E$96:$E$114))/12,
SUMPRODUCT(($B22='IP1'!$B$96:$B$114)*('IP1'!$E$96:$E$114))/12*
IF(YEAR(AA$3)=2013,'IP1'!$F$154,'IP1'!$G$154)
))</f>
        <v>416.66666666666669</v>
      </c>
      <c r="AB22" s="85">
        <f>IF(LEFT($D22,5)="Other",
VLOOKUP($A22,'IP1'!$A$37:$G$89,5,0)*
VLOOKUP(
VLOOKUP($A22,'IP1'!$A$37:$G$89,7,0),Patterns!$A$2:$N$28,COLUMN(AB22)-14,0)/
VLOOKUP(
VLOOKUP($A22,'IP1'!$A$37:$G$89,7,0),Patterns!$A$2:$N$28,2,0),
IF(LEFT($D22,7)="Payroll",
SUMPRODUCT(($B22='IP1'!$B$96:$B$114)*('IP1'!$E$96:$E$114))/12,
SUMPRODUCT(($B22='IP1'!$B$96:$B$114)*('IP1'!$E$96:$E$114))/12*
IF(YEAR(AB$3)=2013,'IP1'!$F$154,'IP1'!$G$154)
))</f>
        <v>416.66666666666669</v>
      </c>
    </row>
    <row r="23" spans="1:28">
      <c r="A23" s="1" t="str">
        <f t="shared" si="2"/>
        <v xml:space="preserve">AdministrationPostage </v>
      </c>
      <c r="B23" s="1" t="s">
        <v>155</v>
      </c>
      <c r="C23" s="1" t="s">
        <v>458</v>
      </c>
      <c r="D23" s="11" t="s">
        <v>100</v>
      </c>
      <c r="E23" s="85">
        <f>IF(LEFT($D23,5)="Other",
VLOOKUP($A23,'IP1'!$A$37:$G$89,4,0)*
VLOOKUP(
VLOOKUP($A23,'IP1'!$A$37:$G$89,7,0),Patterns!$A$2:$N$28,COLUMN(E23)-2,0)/
VLOOKUP(
VLOOKUP($A23,'IP1'!$A$37:$G$89,7,0),Patterns!$A$2:$N$28,2,0),
IF(LEFT($D23,7)="Payroll",
SUMPRODUCT(($B23='IP1'!$B$96:$B$114)*('IP1'!$D$96:$D$114))/12,
SUMPRODUCT(($B23='IP1'!$B$96:$B$114)*('IP1'!$D$96:$D$114))/12*
IF(YEAR(E$3)=2013,'IP1'!$F$154,'IP1'!$G$154)
))</f>
        <v>41.666666666666664</v>
      </c>
      <c r="F23" s="85">
        <f>IF(LEFT($D23,5)="Other",
VLOOKUP($A23,'IP1'!$A$37:$G$89,4,0)*
VLOOKUP(
VLOOKUP($A23,'IP1'!$A$37:$G$89,7,0),Patterns!$A$2:$N$28,COLUMN(F23)-2,0)/
VLOOKUP(
VLOOKUP($A23,'IP1'!$A$37:$G$89,7,0),Patterns!$A$2:$N$28,2,0),
IF(LEFT($D23,7)="Payroll",
SUMPRODUCT(($B23='IP1'!$B$96:$B$114)*('IP1'!$D$96:$D$114))/12,
SUMPRODUCT(($B23='IP1'!$B$96:$B$114)*('IP1'!$D$96:$D$114))/12*
IF(YEAR(F$3)=2013,'IP1'!$F$154,'IP1'!$G$154)
))</f>
        <v>41.666666666666664</v>
      </c>
      <c r="G23" s="85">
        <f>IF(LEFT($D23,5)="Other",
VLOOKUP($A23,'IP1'!$A$37:$G$89,4,0)*
VLOOKUP(
VLOOKUP($A23,'IP1'!$A$37:$G$89,7,0),Patterns!$A$2:$N$28,COLUMN(G23)-2,0)/
VLOOKUP(
VLOOKUP($A23,'IP1'!$A$37:$G$89,7,0),Patterns!$A$2:$N$28,2,0),
IF(LEFT($D23,7)="Payroll",
SUMPRODUCT(($B23='IP1'!$B$96:$B$114)*('IP1'!$D$96:$D$114))/12,
SUMPRODUCT(($B23='IP1'!$B$96:$B$114)*('IP1'!$D$96:$D$114))/12*
IF(YEAR(G$3)=2013,'IP1'!$F$154,'IP1'!$G$154)
))</f>
        <v>41.666666666666664</v>
      </c>
      <c r="H23" s="85">
        <f>IF(LEFT($D23,5)="Other",
VLOOKUP($A23,'IP1'!$A$37:$G$89,4,0)*
VLOOKUP(
VLOOKUP($A23,'IP1'!$A$37:$G$89,7,0),Patterns!$A$2:$N$28,COLUMN(H23)-2,0)/
VLOOKUP(
VLOOKUP($A23,'IP1'!$A$37:$G$89,7,0),Patterns!$A$2:$N$28,2,0),
IF(LEFT($D23,7)="Payroll",
SUMPRODUCT(($B23='IP1'!$B$96:$B$114)*('IP1'!$D$96:$D$114))/12,
SUMPRODUCT(($B23='IP1'!$B$96:$B$114)*('IP1'!$D$96:$D$114))/12*
IF(YEAR(H$3)=2013,'IP1'!$F$154,'IP1'!$G$154)
))</f>
        <v>41.666666666666664</v>
      </c>
      <c r="I23" s="85">
        <f>IF(LEFT($D23,5)="Other",
VLOOKUP($A23,'IP1'!$A$37:$G$89,4,0)*
VLOOKUP(
VLOOKUP($A23,'IP1'!$A$37:$G$89,7,0),Patterns!$A$2:$N$28,COLUMN(I23)-2,0)/
VLOOKUP(
VLOOKUP($A23,'IP1'!$A$37:$G$89,7,0),Patterns!$A$2:$N$28,2,0),
IF(LEFT($D23,7)="Payroll",
SUMPRODUCT(($B23='IP1'!$B$96:$B$114)*('IP1'!$D$96:$D$114))/12,
SUMPRODUCT(($B23='IP1'!$B$96:$B$114)*('IP1'!$D$96:$D$114))/12*
IF(YEAR(I$3)=2013,'IP1'!$F$154,'IP1'!$G$154)
))</f>
        <v>41.666666666666664</v>
      </c>
      <c r="J23" s="85">
        <f>IF(LEFT($D23,5)="Other",
VLOOKUP($A23,'IP1'!$A$37:$G$89,4,0)*
VLOOKUP(
VLOOKUP($A23,'IP1'!$A$37:$G$89,7,0),Patterns!$A$2:$N$28,COLUMN(J23)-2,0)/
VLOOKUP(
VLOOKUP($A23,'IP1'!$A$37:$G$89,7,0),Patterns!$A$2:$N$28,2,0),
IF(LEFT($D23,7)="Payroll",
SUMPRODUCT(($B23='IP1'!$B$96:$B$114)*('IP1'!$D$96:$D$114))/12,
SUMPRODUCT(($B23='IP1'!$B$96:$B$114)*('IP1'!$D$96:$D$114))/12*
IF(YEAR(J$3)=2013,'IP1'!$F$154,'IP1'!$G$154)
))</f>
        <v>41.666666666666664</v>
      </c>
      <c r="K23" s="85">
        <f>IF(LEFT($D23,5)="Other",
VLOOKUP($A23,'IP1'!$A$37:$G$89,4,0)*
VLOOKUP(
VLOOKUP($A23,'IP1'!$A$37:$G$89,7,0),Patterns!$A$2:$N$28,COLUMN(K23)-2,0)/
VLOOKUP(
VLOOKUP($A23,'IP1'!$A$37:$G$89,7,0),Patterns!$A$2:$N$28,2,0),
IF(LEFT($D23,7)="Payroll",
SUMPRODUCT(($B23='IP1'!$B$96:$B$114)*('IP1'!$D$96:$D$114))/12,
SUMPRODUCT(($B23='IP1'!$B$96:$B$114)*('IP1'!$D$96:$D$114))/12*
IF(YEAR(K$3)=2013,'IP1'!$F$154,'IP1'!$G$154)
))</f>
        <v>41.666666666666664</v>
      </c>
      <c r="L23" s="85">
        <f>IF(LEFT($D23,5)="Other",
VLOOKUP($A23,'IP1'!$A$37:$G$89,4,0)*
VLOOKUP(
VLOOKUP($A23,'IP1'!$A$37:$G$89,7,0),Patterns!$A$2:$N$28,COLUMN(L23)-2,0)/
VLOOKUP(
VLOOKUP($A23,'IP1'!$A$37:$G$89,7,0),Patterns!$A$2:$N$28,2,0),
IF(LEFT($D23,7)="Payroll",
SUMPRODUCT(($B23='IP1'!$B$96:$B$114)*('IP1'!$D$96:$D$114))/12,
SUMPRODUCT(($B23='IP1'!$B$96:$B$114)*('IP1'!$D$96:$D$114))/12*
IF(YEAR(L$3)=2013,'IP1'!$F$154,'IP1'!$G$154)
))</f>
        <v>41.666666666666664</v>
      </c>
      <c r="M23" s="85">
        <f>IF(LEFT($D23,5)="Other",
VLOOKUP($A23,'IP1'!$A$37:$G$89,4,0)*
VLOOKUP(
VLOOKUP($A23,'IP1'!$A$37:$G$89,7,0),Patterns!$A$2:$N$28,COLUMN(M23)-2,0)/
VLOOKUP(
VLOOKUP($A23,'IP1'!$A$37:$G$89,7,0),Patterns!$A$2:$N$28,2,0),
IF(LEFT($D23,7)="Payroll",
SUMPRODUCT(($B23='IP1'!$B$96:$B$114)*('IP1'!$D$96:$D$114))/12,
SUMPRODUCT(($B23='IP1'!$B$96:$B$114)*('IP1'!$D$96:$D$114))/12*
IF(YEAR(M$3)=2013,'IP1'!$F$154,'IP1'!$G$154)
))</f>
        <v>41.666666666666664</v>
      </c>
      <c r="N23" s="85">
        <f>IF(LEFT($D23,5)="Other",
VLOOKUP($A23,'IP1'!$A$37:$G$89,4,0)*
VLOOKUP(
VLOOKUP($A23,'IP1'!$A$37:$G$89,7,0),Patterns!$A$2:$N$28,COLUMN(N23)-2,0)/
VLOOKUP(
VLOOKUP($A23,'IP1'!$A$37:$G$89,7,0),Patterns!$A$2:$N$28,2,0),
IF(LEFT($D23,7)="Payroll",
SUMPRODUCT(($B23='IP1'!$B$96:$B$114)*('IP1'!$D$96:$D$114))/12,
SUMPRODUCT(($B23='IP1'!$B$96:$B$114)*('IP1'!$D$96:$D$114))/12*
IF(YEAR(N$3)=2013,'IP1'!$F$154,'IP1'!$G$154)
))</f>
        <v>41.666666666666664</v>
      </c>
      <c r="O23" s="85">
        <f>IF(LEFT($D23,5)="Other",
VLOOKUP($A23,'IP1'!$A$37:$G$89,4,0)*
VLOOKUP(
VLOOKUP($A23,'IP1'!$A$37:$G$89,7,0),Patterns!$A$2:$N$28,COLUMN(O23)-2,0)/
VLOOKUP(
VLOOKUP($A23,'IP1'!$A$37:$G$89,7,0),Patterns!$A$2:$N$28,2,0),
IF(LEFT($D23,7)="Payroll",
SUMPRODUCT(($B23='IP1'!$B$96:$B$114)*('IP1'!$D$96:$D$114))/12,
SUMPRODUCT(($B23='IP1'!$B$96:$B$114)*('IP1'!$D$96:$D$114))/12*
IF(YEAR(O$3)=2013,'IP1'!$F$154,'IP1'!$G$154)
))</f>
        <v>41.666666666666664</v>
      </c>
      <c r="P23" s="85">
        <f>IF(LEFT($D23,5)="Other",
VLOOKUP($A23,'IP1'!$A$37:$G$89,4,0)*
VLOOKUP(
VLOOKUP($A23,'IP1'!$A$37:$G$89,7,0),Patterns!$A$2:$N$28,COLUMN(P23)-2,0)/
VLOOKUP(
VLOOKUP($A23,'IP1'!$A$37:$G$89,7,0),Patterns!$A$2:$N$28,2,0),
IF(LEFT($D23,7)="Payroll",
SUMPRODUCT(($B23='IP1'!$B$96:$B$114)*('IP1'!$D$96:$D$114))/12,
SUMPRODUCT(($B23='IP1'!$B$96:$B$114)*('IP1'!$D$96:$D$114))/12*
IF(YEAR(P$3)=2013,'IP1'!$F$154,'IP1'!$G$154)
))</f>
        <v>41.666666666666664</v>
      </c>
      <c r="Q23" s="85">
        <f>IF(LEFT($D23,5)="Other",
VLOOKUP($A23,'IP1'!$A$37:$G$89,5,0)*
VLOOKUP(
VLOOKUP($A23,'IP1'!$A$37:$G$89,7,0),Patterns!$A$2:$N$28,COLUMN(Q23)-14,0)/
VLOOKUP(
VLOOKUP($A23,'IP1'!$A$37:$G$89,7,0),Patterns!$A$2:$N$28,2,0),
IF(LEFT($D23,7)="Payroll",
SUMPRODUCT(($B23='IP1'!$B$96:$B$114)*('IP1'!$E$96:$E$114))/12,
SUMPRODUCT(($B23='IP1'!$B$96:$B$114)*('IP1'!$E$96:$E$114))/12*
IF(YEAR(Q$3)=2013,'IP1'!$F$154,'IP1'!$G$154)
))</f>
        <v>41.666666666666664</v>
      </c>
      <c r="R23" s="85">
        <f>IF(LEFT($D23,5)="Other",
VLOOKUP($A23,'IP1'!$A$37:$G$89,5,0)*
VLOOKUP(
VLOOKUP($A23,'IP1'!$A$37:$G$89,7,0),Patterns!$A$2:$N$28,COLUMN(R23)-14,0)/
VLOOKUP(
VLOOKUP($A23,'IP1'!$A$37:$G$89,7,0),Patterns!$A$2:$N$28,2,0),
IF(LEFT($D23,7)="Payroll",
SUMPRODUCT(($B23='IP1'!$B$96:$B$114)*('IP1'!$E$96:$E$114))/12,
SUMPRODUCT(($B23='IP1'!$B$96:$B$114)*('IP1'!$E$96:$E$114))/12*
IF(YEAR(R$3)=2013,'IP1'!$F$154,'IP1'!$G$154)
))</f>
        <v>41.666666666666664</v>
      </c>
      <c r="S23" s="85">
        <f>IF(LEFT($D23,5)="Other",
VLOOKUP($A23,'IP1'!$A$37:$G$89,5,0)*
VLOOKUP(
VLOOKUP($A23,'IP1'!$A$37:$G$89,7,0),Patterns!$A$2:$N$28,COLUMN(S23)-14,0)/
VLOOKUP(
VLOOKUP($A23,'IP1'!$A$37:$G$89,7,0),Patterns!$A$2:$N$28,2,0),
IF(LEFT($D23,7)="Payroll",
SUMPRODUCT(($B23='IP1'!$B$96:$B$114)*('IP1'!$E$96:$E$114))/12,
SUMPRODUCT(($B23='IP1'!$B$96:$B$114)*('IP1'!$E$96:$E$114))/12*
IF(YEAR(S$3)=2013,'IP1'!$F$154,'IP1'!$G$154)
))</f>
        <v>41.666666666666664</v>
      </c>
      <c r="T23" s="85">
        <f>IF(LEFT($D23,5)="Other",
VLOOKUP($A23,'IP1'!$A$37:$G$89,5,0)*
VLOOKUP(
VLOOKUP($A23,'IP1'!$A$37:$G$89,7,0),Patterns!$A$2:$N$28,COLUMN(T23)-14,0)/
VLOOKUP(
VLOOKUP($A23,'IP1'!$A$37:$G$89,7,0),Patterns!$A$2:$N$28,2,0),
IF(LEFT($D23,7)="Payroll",
SUMPRODUCT(($B23='IP1'!$B$96:$B$114)*('IP1'!$E$96:$E$114))/12,
SUMPRODUCT(($B23='IP1'!$B$96:$B$114)*('IP1'!$E$96:$E$114))/12*
IF(YEAR(T$3)=2013,'IP1'!$F$154,'IP1'!$G$154)
))</f>
        <v>41.666666666666664</v>
      </c>
      <c r="U23" s="85">
        <f>IF(LEFT($D23,5)="Other",
VLOOKUP($A23,'IP1'!$A$37:$G$89,5,0)*
VLOOKUP(
VLOOKUP($A23,'IP1'!$A$37:$G$89,7,0),Patterns!$A$2:$N$28,COLUMN(U23)-14,0)/
VLOOKUP(
VLOOKUP($A23,'IP1'!$A$37:$G$89,7,0),Patterns!$A$2:$N$28,2,0),
IF(LEFT($D23,7)="Payroll",
SUMPRODUCT(($B23='IP1'!$B$96:$B$114)*('IP1'!$E$96:$E$114))/12,
SUMPRODUCT(($B23='IP1'!$B$96:$B$114)*('IP1'!$E$96:$E$114))/12*
IF(YEAR(U$3)=2013,'IP1'!$F$154,'IP1'!$G$154)
))</f>
        <v>41.666666666666664</v>
      </c>
      <c r="V23" s="85">
        <f>IF(LEFT($D23,5)="Other",
VLOOKUP($A23,'IP1'!$A$37:$G$89,5,0)*
VLOOKUP(
VLOOKUP($A23,'IP1'!$A$37:$G$89,7,0),Patterns!$A$2:$N$28,COLUMN(V23)-14,0)/
VLOOKUP(
VLOOKUP($A23,'IP1'!$A$37:$G$89,7,0),Patterns!$A$2:$N$28,2,0),
IF(LEFT($D23,7)="Payroll",
SUMPRODUCT(($B23='IP1'!$B$96:$B$114)*('IP1'!$E$96:$E$114))/12,
SUMPRODUCT(($B23='IP1'!$B$96:$B$114)*('IP1'!$E$96:$E$114))/12*
IF(YEAR(V$3)=2013,'IP1'!$F$154,'IP1'!$G$154)
))</f>
        <v>41.666666666666664</v>
      </c>
      <c r="W23" s="85">
        <f>IF(LEFT($D23,5)="Other",
VLOOKUP($A23,'IP1'!$A$37:$G$89,5,0)*
VLOOKUP(
VLOOKUP($A23,'IP1'!$A$37:$G$89,7,0),Patterns!$A$2:$N$28,COLUMN(W23)-14,0)/
VLOOKUP(
VLOOKUP($A23,'IP1'!$A$37:$G$89,7,0),Patterns!$A$2:$N$28,2,0),
IF(LEFT($D23,7)="Payroll",
SUMPRODUCT(($B23='IP1'!$B$96:$B$114)*('IP1'!$E$96:$E$114))/12,
SUMPRODUCT(($B23='IP1'!$B$96:$B$114)*('IP1'!$E$96:$E$114))/12*
IF(YEAR(W$3)=2013,'IP1'!$F$154,'IP1'!$G$154)
))</f>
        <v>41.666666666666664</v>
      </c>
      <c r="X23" s="85">
        <f>IF(LEFT($D23,5)="Other",
VLOOKUP($A23,'IP1'!$A$37:$G$89,5,0)*
VLOOKUP(
VLOOKUP($A23,'IP1'!$A$37:$G$89,7,0),Patterns!$A$2:$N$28,COLUMN(X23)-14,0)/
VLOOKUP(
VLOOKUP($A23,'IP1'!$A$37:$G$89,7,0),Patterns!$A$2:$N$28,2,0),
IF(LEFT($D23,7)="Payroll",
SUMPRODUCT(($B23='IP1'!$B$96:$B$114)*('IP1'!$E$96:$E$114))/12,
SUMPRODUCT(($B23='IP1'!$B$96:$B$114)*('IP1'!$E$96:$E$114))/12*
IF(YEAR(X$3)=2013,'IP1'!$F$154,'IP1'!$G$154)
))</f>
        <v>41.666666666666664</v>
      </c>
      <c r="Y23" s="85">
        <f>IF(LEFT($D23,5)="Other",
VLOOKUP($A23,'IP1'!$A$37:$G$89,5,0)*
VLOOKUP(
VLOOKUP($A23,'IP1'!$A$37:$G$89,7,0),Patterns!$A$2:$N$28,COLUMN(Y23)-14,0)/
VLOOKUP(
VLOOKUP($A23,'IP1'!$A$37:$G$89,7,0),Patterns!$A$2:$N$28,2,0),
IF(LEFT($D23,7)="Payroll",
SUMPRODUCT(($B23='IP1'!$B$96:$B$114)*('IP1'!$E$96:$E$114))/12,
SUMPRODUCT(($B23='IP1'!$B$96:$B$114)*('IP1'!$E$96:$E$114))/12*
IF(YEAR(Y$3)=2013,'IP1'!$F$154,'IP1'!$G$154)
))</f>
        <v>41.666666666666664</v>
      </c>
      <c r="Z23" s="85">
        <f>IF(LEFT($D23,5)="Other",
VLOOKUP($A23,'IP1'!$A$37:$G$89,5,0)*
VLOOKUP(
VLOOKUP($A23,'IP1'!$A$37:$G$89,7,0),Patterns!$A$2:$N$28,COLUMN(Z23)-14,0)/
VLOOKUP(
VLOOKUP($A23,'IP1'!$A$37:$G$89,7,0),Patterns!$A$2:$N$28,2,0),
IF(LEFT($D23,7)="Payroll",
SUMPRODUCT(($B23='IP1'!$B$96:$B$114)*('IP1'!$E$96:$E$114))/12,
SUMPRODUCT(($B23='IP1'!$B$96:$B$114)*('IP1'!$E$96:$E$114))/12*
IF(YEAR(Z$3)=2013,'IP1'!$F$154,'IP1'!$G$154)
))</f>
        <v>41.666666666666664</v>
      </c>
      <c r="AA23" s="85">
        <f>IF(LEFT($D23,5)="Other",
VLOOKUP($A23,'IP1'!$A$37:$G$89,5,0)*
VLOOKUP(
VLOOKUP($A23,'IP1'!$A$37:$G$89,7,0),Patterns!$A$2:$N$28,COLUMN(AA23)-14,0)/
VLOOKUP(
VLOOKUP($A23,'IP1'!$A$37:$G$89,7,0),Patterns!$A$2:$N$28,2,0),
IF(LEFT($D23,7)="Payroll",
SUMPRODUCT(($B23='IP1'!$B$96:$B$114)*('IP1'!$E$96:$E$114))/12,
SUMPRODUCT(($B23='IP1'!$B$96:$B$114)*('IP1'!$E$96:$E$114))/12*
IF(YEAR(AA$3)=2013,'IP1'!$F$154,'IP1'!$G$154)
))</f>
        <v>41.666666666666664</v>
      </c>
      <c r="AB23" s="85">
        <f>IF(LEFT($D23,5)="Other",
VLOOKUP($A23,'IP1'!$A$37:$G$89,5,0)*
VLOOKUP(
VLOOKUP($A23,'IP1'!$A$37:$G$89,7,0),Patterns!$A$2:$N$28,COLUMN(AB23)-14,0)/
VLOOKUP(
VLOOKUP($A23,'IP1'!$A$37:$G$89,7,0),Patterns!$A$2:$N$28,2,0),
IF(LEFT($D23,7)="Payroll",
SUMPRODUCT(($B23='IP1'!$B$96:$B$114)*('IP1'!$E$96:$E$114))/12,
SUMPRODUCT(($B23='IP1'!$B$96:$B$114)*('IP1'!$E$96:$E$114))/12*
IF(YEAR(AB$3)=2013,'IP1'!$F$154,'IP1'!$G$154)
))</f>
        <v>41.666666666666664</v>
      </c>
    </row>
    <row r="24" spans="1:28">
      <c r="A24" s="1" t="str">
        <f t="shared" si="2"/>
        <v xml:space="preserve">AdministrationPrinting and stationery </v>
      </c>
      <c r="B24" s="1" t="s">
        <v>155</v>
      </c>
      <c r="C24" s="1" t="s">
        <v>459</v>
      </c>
      <c r="D24" s="11" t="s">
        <v>100</v>
      </c>
      <c r="E24" s="85">
        <f>IF(LEFT($D24,5)="Other",
VLOOKUP($A24,'IP1'!$A$37:$G$89,4,0)*
VLOOKUP(
VLOOKUP($A24,'IP1'!$A$37:$G$89,7,0),Patterns!$A$2:$N$28,COLUMN(E24)-2,0)/
VLOOKUP(
VLOOKUP($A24,'IP1'!$A$37:$G$89,7,0),Patterns!$A$2:$N$28,2,0),
IF(LEFT($D24,7)="Payroll",
SUMPRODUCT(($B24='IP1'!$B$96:$B$114)*('IP1'!$D$96:$D$114))/12,
SUMPRODUCT(($B24='IP1'!$B$96:$B$114)*('IP1'!$D$96:$D$114))/12*
IF(YEAR(E$3)=2013,'IP1'!$F$154,'IP1'!$G$154)
))</f>
        <v>208.33333333333334</v>
      </c>
      <c r="F24" s="85">
        <f>IF(LEFT($D24,5)="Other",
VLOOKUP($A24,'IP1'!$A$37:$G$89,4,0)*
VLOOKUP(
VLOOKUP($A24,'IP1'!$A$37:$G$89,7,0),Patterns!$A$2:$N$28,COLUMN(F24)-2,0)/
VLOOKUP(
VLOOKUP($A24,'IP1'!$A$37:$G$89,7,0),Patterns!$A$2:$N$28,2,0),
IF(LEFT($D24,7)="Payroll",
SUMPRODUCT(($B24='IP1'!$B$96:$B$114)*('IP1'!$D$96:$D$114))/12,
SUMPRODUCT(($B24='IP1'!$B$96:$B$114)*('IP1'!$D$96:$D$114))/12*
IF(YEAR(F$3)=2013,'IP1'!$F$154,'IP1'!$G$154)
))</f>
        <v>208.33333333333334</v>
      </c>
      <c r="G24" s="85">
        <f>IF(LEFT($D24,5)="Other",
VLOOKUP($A24,'IP1'!$A$37:$G$89,4,0)*
VLOOKUP(
VLOOKUP($A24,'IP1'!$A$37:$G$89,7,0),Patterns!$A$2:$N$28,COLUMN(G24)-2,0)/
VLOOKUP(
VLOOKUP($A24,'IP1'!$A$37:$G$89,7,0),Patterns!$A$2:$N$28,2,0),
IF(LEFT($D24,7)="Payroll",
SUMPRODUCT(($B24='IP1'!$B$96:$B$114)*('IP1'!$D$96:$D$114))/12,
SUMPRODUCT(($B24='IP1'!$B$96:$B$114)*('IP1'!$D$96:$D$114))/12*
IF(YEAR(G$3)=2013,'IP1'!$F$154,'IP1'!$G$154)
))</f>
        <v>208.33333333333334</v>
      </c>
      <c r="H24" s="85">
        <f>IF(LEFT($D24,5)="Other",
VLOOKUP($A24,'IP1'!$A$37:$G$89,4,0)*
VLOOKUP(
VLOOKUP($A24,'IP1'!$A$37:$G$89,7,0),Patterns!$A$2:$N$28,COLUMN(H24)-2,0)/
VLOOKUP(
VLOOKUP($A24,'IP1'!$A$37:$G$89,7,0),Patterns!$A$2:$N$28,2,0),
IF(LEFT($D24,7)="Payroll",
SUMPRODUCT(($B24='IP1'!$B$96:$B$114)*('IP1'!$D$96:$D$114))/12,
SUMPRODUCT(($B24='IP1'!$B$96:$B$114)*('IP1'!$D$96:$D$114))/12*
IF(YEAR(H$3)=2013,'IP1'!$F$154,'IP1'!$G$154)
))</f>
        <v>208.33333333333334</v>
      </c>
      <c r="I24" s="85">
        <f>IF(LEFT($D24,5)="Other",
VLOOKUP($A24,'IP1'!$A$37:$G$89,4,0)*
VLOOKUP(
VLOOKUP($A24,'IP1'!$A$37:$G$89,7,0),Patterns!$A$2:$N$28,COLUMN(I24)-2,0)/
VLOOKUP(
VLOOKUP($A24,'IP1'!$A$37:$G$89,7,0),Patterns!$A$2:$N$28,2,0),
IF(LEFT($D24,7)="Payroll",
SUMPRODUCT(($B24='IP1'!$B$96:$B$114)*('IP1'!$D$96:$D$114))/12,
SUMPRODUCT(($B24='IP1'!$B$96:$B$114)*('IP1'!$D$96:$D$114))/12*
IF(YEAR(I$3)=2013,'IP1'!$F$154,'IP1'!$G$154)
))</f>
        <v>208.33333333333334</v>
      </c>
      <c r="J24" s="85">
        <f>IF(LEFT($D24,5)="Other",
VLOOKUP($A24,'IP1'!$A$37:$G$89,4,0)*
VLOOKUP(
VLOOKUP($A24,'IP1'!$A$37:$G$89,7,0),Patterns!$A$2:$N$28,COLUMN(J24)-2,0)/
VLOOKUP(
VLOOKUP($A24,'IP1'!$A$37:$G$89,7,0),Patterns!$A$2:$N$28,2,0),
IF(LEFT($D24,7)="Payroll",
SUMPRODUCT(($B24='IP1'!$B$96:$B$114)*('IP1'!$D$96:$D$114))/12,
SUMPRODUCT(($B24='IP1'!$B$96:$B$114)*('IP1'!$D$96:$D$114))/12*
IF(YEAR(J$3)=2013,'IP1'!$F$154,'IP1'!$G$154)
))</f>
        <v>208.33333333333334</v>
      </c>
      <c r="K24" s="85">
        <f>IF(LEFT($D24,5)="Other",
VLOOKUP($A24,'IP1'!$A$37:$G$89,4,0)*
VLOOKUP(
VLOOKUP($A24,'IP1'!$A$37:$G$89,7,0),Patterns!$A$2:$N$28,COLUMN(K24)-2,0)/
VLOOKUP(
VLOOKUP($A24,'IP1'!$A$37:$G$89,7,0),Patterns!$A$2:$N$28,2,0),
IF(LEFT($D24,7)="Payroll",
SUMPRODUCT(($B24='IP1'!$B$96:$B$114)*('IP1'!$D$96:$D$114))/12,
SUMPRODUCT(($B24='IP1'!$B$96:$B$114)*('IP1'!$D$96:$D$114))/12*
IF(YEAR(K$3)=2013,'IP1'!$F$154,'IP1'!$G$154)
))</f>
        <v>208.33333333333334</v>
      </c>
      <c r="L24" s="85">
        <f>IF(LEFT($D24,5)="Other",
VLOOKUP($A24,'IP1'!$A$37:$G$89,4,0)*
VLOOKUP(
VLOOKUP($A24,'IP1'!$A$37:$G$89,7,0),Patterns!$A$2:$N$28,COLUMN(L24)-2,0)/
VLOOKUP(
VLOOKUP($A24,'IP1'!$A$37:$G$89,7,0),Patterns!$A$2:$N$28,2,0),
IF(LEFT($D24,7)="Payroll",
SUMPRODUCT(($B24='IP1'!$B$96:$B$114)*('IP1'!$D$96:$D$114))/12,
SUMPRODUCT(($B24='IP1'!$B$96:$B$114)*('IP1'!$D$96:$D$114))/12*
IF(YEAR(L$3)=2013,'IP1'!$F$154,'IP1'!$G$154)
))</f>
        <v>208.33333333333334</v>
      </c>
      <c r="M24" s="85">
        <f>IF(LEFT($D24,5)="Other",
VLOOKUP($A24,'IP1'!$A$37:$G$89,4,0)*
VLOOKUP(
VLOOKUP($A24,'IP1'!$A$37:$G$89,7,0),Patterns!$A$2:$N$28,COLUMN(M24)-2,0)/
VLOOKUP(
VLOOKUP($A24,'IP1'!$A$37:$G$89,7,0),Patterns!$A$2:$N$28,2,0),
IF(LEFT($D24,7)="Payroll",
SUMPRODUCT(($B24='IP1'!$B$96:$B$114)*('IP1'!$D$96:$D$114))/12,
SUMPRODUCT(($B24='IP1'!$B$96:$B$114)*('IP1'!$D$96:$D$114))/12*
IF(YEAR(M$3)=2013,'IP1'!$F$154,'IP1'!$G$154)
))</f>
        <v>208.33333333333334</v>
      </c>
      <c r="N24" s="85">
        <f>IF(LEFT($D24,5)="Other",
VLOOKUP($A24,'IP1'!$A$37:$G$89,4,0)*
VLOOKUP(
VLOOKUP($A24,'IP1'!$A$37:$G$89,7,0),Patterns!$A$2:$N$28,COLUMN(N24)-2,0)/
VLOOKUP(
VLOOKUP($A24,'IP1'!$A$37:$G$89,7,0),Patterns!$A$2:$N$28,2,0),
IF(LEFT($D24,7)="Payroll",
SUMPRODUCT(($B24='IP1'!$B$96:$B$114)*('IP1'!$D$96:$D$114))/12,
SUMPRODUCT(($B24='IP1'!$B$96:$B$114)*('IP1'!$D$96:$D$114))/12*
IF(YEAR(N$3)=2013,'IP1'!$F$154,'IP1'!$G$154)
))</f>
        <v>208.33333333333334</v>
      </c>
      <c r="O24" s="85">
        <f>IF(LEFT($D24,5)="Other",
VLOOKUP($A24,'IP1'!$A$37:$G$89,4,0)*
VLOOKUP(
VLOOKUP($A24,'IP1'!$A$37:$G$89,7,0),Patterns!$A$2:$N$28,COLUMN(O24)-2,0)/
VLOOKUP(
VLOOKUP($A24,'IP1'!$A$37:$G$89,7,0),Patterns!$A$2:$N$28,2,0),
IF(LEFT($D24,7)="Payroll",
SUMPRODUCT(($B24='IP1'!$B$96:$B$114)*('IP1'!$D$96:$D$114))/12,
SUMPRODUCT(($B24='IP1'!$B$96:$B$114)*('IP1'!$D$96:$D$114))/12*
IF(YEAR(O$3)=2013,'IP1'!$F$154,'IP1'!$G$154)
))</f>
        <v>208.33333333333334</v>
      </c>
      <c r="P24" s="85">
        <f>IF(LEFT($D24,5)="Other",
VLOOKUP($A24,'IP1'!$A$37:$G$89,4,0)*
VLOOKUP(
VLOOKUP($A24,'IP1'!$A$37:$G$89,7,0),Patterns!$A$2:$N$28,COLUMN(P24)-2,0)/
VLOOKUP(
VLOOKUP($A24,'IP1'!$A$37:$G$89,7,0),Patterns!$A$2:$N$28,2,0),
IF(LEFT($D24,7)="Payroll",
SUMPRODUCT(($B24='IP1'!$B$96:$B$114)*('IP1'!$D$96:$D$114))/12,
SUMPRODUCT(($B24='IP1'!$B$96:$B$114)*('IP1'!$D$96:$D$114))/12*
IF(YEAR(P$3)=2013,'IP1'!$F$154,'IP1'!$G$154)
))</f>
        <v>208.33333333333334</v>
      </c>
      <c r="Q24" s="85">
        <f>IF(LEFT($D24,5)="Other",
VLOOKUP($A24,'IP1'!$A$37:$G$89,5,0)*
VLOOKUP(
VLOOKUP($A24,'IP1'!$A$37:$G$89,7,0),Patterns!$A$2:$N$28,COLUMN(Q24)-14,0)/
VLOOKUP(
VLOOKUP($A24,'IP1'!$A$37:$G$89,7,0),Patterns!$A$2:$N$28,2,0),
IF(LEFT($D24,7)="Payroll",
SUMPRODUCT(($B24='IP1'!$B$96:$B$114)*('IP1'!$E$96:$E$114))/12,
SUMPRODUCT(($B24='IP1'!$B$96:$B$114)*('IP1'!$E$96:$E$114))/12*
IF(YEAR(Q$3)=2013,'IP1'!$F$154,'IP1'!$G$154)
))</f>
        <v>208.33333333333334</v>
      </c>
      <c r="R24" s="85">
        <f>IF(LEFT($D24,5)="Other",
VLOOKUP($A24,'IP1'!$A$37:$G$89,5,0)*
VLOOKUP(
VLOOKUP($A24,'IP1'!$A$37:$G$89,7,0),Patterns!$A$2:$N$28,COLUMN(R24)-14,0)/
VLOOKUP(
VLOOKUP($A24,'IP1'!$A$37:$G$89,7,0),Patterns!$A$2:$N$28,2,0),
IF(LEFT($D24,7)="Payroll",
SUMPRODUCT(($B24='IP1'!$B$96:$B$114)*('IP1'!$E$96:$E$114))/12,
SUMPRODUCT(($B24='IP1'!$B$96:$B$114)*('IP1'!$E$96:$E$114))/12*
IF(YEAR(R$3)=2013,'IP1'!$F$154,'IP1'!$G$154)
))</f>
        <v>208.33333333333334</v>
      </c>
      <c r="S24" s="85">
        <f>IF(LEFT($D24,5)="Other",
VLOOKUP($A24,'IP1'!$A$37:$G$89,5,0)*
VLOOKUP(
VLOOKUP($A24,'IP1'!$A$37:$G$89,7,0),Patterns!$A$2:$N$28,COLUMN(S24)-14,0)/
VLOOKUP(
VLOOKUP($A24,'IP1'!$A$37:$G$89,7,0),Patterns!$A$2:$N$28,2,0),
IF(LEFT($D24,7)="Payroll",
SUMPRODUCT(($B24='IP1'!$B$96:$B$114)*('IP1'!$E$96:$E$114))/12,
SUMPRODUCT(($B24='IP1'!$B$96:$B$114)*('IP1'!$E$96:$E$114))/12*
IF(YEAR(S$3)=2013,'IP1'!$F$154,'IP1'!$G$154)
))</f>
        <v>208.33333333333334</v>
      </c>
      <c r="T24" s="85">
        <f>IF(LEFT($D24,5)="Other",
VLOOKUP($A24,'IP1'!$A$37:$G$89,5,0)*
VLOOKUP(
VLOOKUP($A24,'IP1'!$A$37:$G$89,7,0),Patterns!$A$2:$N$28,COLUMN(T24)-14,0)/
VLOOKUP(
VLOOKUP($A24,'IP1'!$A$37:$G$89,7,0),Patterns!$A$2:$N$28,2,0),
IF(LEFT($D24,7)="Payroll",
SUMPRODUCT(($B24='IP1'!$B$96:$B$114)*('IP1'!$E$96:$E$114))/12,
SUMPRODUCT(($B24='IP1'!$B$96:$B$114)*('IP1'!$E$96:$E$114))/12*
IF(YEAR(T$3)=2013,'IP1'!$F$154,'IP1'!$G$154)
))</f>
        <v>208.33333333333334</v>
      </c>
      <c r="U24" s="85">
        <f>IF(LEFT($D24,5)="Other",
VLOOKUP($A24,'IP1'!$A$37:$G$89,5,0)*
VLOOKUP(
VLOOKUP($A24,'IP1'!$A$37:$G$89,7,0),Patterns!$A$2:$N$28,COLUMN(U24)-14,0)/
VLOOKUP(
VLOOKUP($A24,'IP1'!$A$37:$G$89,7,0),Patterns!$A$2:$N$28,2,0),
IF(LEFT($D24,7)="Payroll",
SUMPRODUCT(($B24='IP1'!$B$96:$B$114)*('IP1'!$E$96:$E$114))/12,
SUMPRODUCT(($B24='IP1'!$B$96:$B$114)*('IP1'!$E$96:$E$114))/12*
IF(YEAR(U$3)=2013,'IP1'!$F$154,'IP1'!$G$154)
))</f>
        <v>208.33333333333334</v>
      </c>
      <c r="V24" s="85">
        <f>IF(LEFT($D24,5)="Other",
VLOOKUP($A24,'IP1'!$A$37:$G$89,5,0)*
VLOOKUP(
VLOOKUP($A24,'IP1'!$A$37:$G$89,7,0),Patterns!$A$2:$N$28,COLUMN(V24)-14,0)/
VLOOKUP(
VLOOKUP($A24,'IP1'!$A$37:$G$89,7,0),Patterns!$A$2:$N$28,2,0),
IF(LEFT($D24,7)="Payroll",
SUMPRODUCT(($B24='IP1'!$B$96:$B$114)*('IP1'!$E$96:$E$114))/12,
SUMPRODUCT(($B24='IP1'!$B$96:$B$114)*('IP1'!$E$96:$E$114))/12*
IF(YEAR(V$3)=2013,'IP1'!$F$154,'IP1'!$G$154)
))</f>
        <v>208.33333333333334</v>
      </c>
      <c r="W24" s="85">
        <f>IF(LEFT($D24,5)="Other",
VLOOKUP($A24,'IP1'!$A$37:$G$89,5,0)*
VLOOKUP(
VLOOKUP($A24,'IP1'!$A$37:$G$89,7,0),Patterns!$A$2:$N$28,COLUMN(W24)-14,0)/
VLOOKUP(
VLOOKUP($A24,'IP1'!$A$37:$G$89,7,0),Patterns!$A$2:$N$28,2,0),
IF(LEFT($D24,7)="Payroll",
SUMPRODUCT(($B24='IP1'!$B$96:$B$114)*('IP1'!$E$96:$E$114))/12,
SUMPRODUCT(($B24='IP1'!$B$96:$B$114)*('IP1'!$E$96:$E$114))/12*
IF(YEAR(W$3)=2013,'IP1'!$F$154,'IP1'!$G$154)
))</f>
        <v>208.33333333333334</v>
      </c>
      <c r="X24" s="85">
        <f>IF(LEFT($D24,5)="Other",
VLOOKUP($A24,'IP1'!$A$37:$G$89,5,0)*
VLOOKUP(
VLOOKUP($A24,'IP1'!$A$37:$G$89,7,0),Patterns!$A$2:$N$28,COLUMN(X24)-14,0)/
VLOOKUP(
VLOOKUP($A24,'IP1'!$A$37:$G$89,7,0),Patterns!$A$2:$N$28,2,0),
IF(LEFT($D24,7)="Payroll",
SUMPRODUCT(($B24='IP1'!$B$96:$B$114)*('IP1'!$E$96:$E$114))/12,
SUMPRODUCT(($B24='IP1'!$B$96:$B$114)*('IP1'!$E$96:$E$114))/12*
IF(YEAR(X$3)=2013,'IP1'!$F$154,'IP1'!$G$154)
))</f>
        <v>208.33333333333334</v>
      </c>
      <c r="Y24" s="85">
        <f>IF(LEFT($D24,5)="Other",
VLOOKUP($A24,'IP1'!$A$37:$G$89,5,0)*
VLOOKUP(
VLOOKUP($A24,'IP1'!$A$37:$G$89,7,0),Patterns!$A$2:$N$28,COLUMN(Y24)-14,0)/
VLOOKUP(
VLOOKUP($A24,'IP1'!$A$37:$G$89,7,0),Patterns!$A$2:$N$28,2,0),
IF(LEFT($D24,7)="Payroll",
SUMPRODUCT(($B24='IP1'!$B$96:$B$114)*('IP1'!$E$96:$E$114))/12,
SUMPRODUCT(($B24='IP1'!$B$96:$B$114)*('IP1'!$E$96:$E$114))/12*
IF(YEAR(Y$3)=2013,'IP1'!$F$154,'IP1'!$G$154)
))</f>
        <v>208.33333333333334</v>
      </c>
      <c r="Z24" s="85">
        <f>IF(LEFT($D24,5)="Other",
VLOOKUP($A24,'IP1'!$A$37:$G$89,5,0)*
VLOOKUP(
VLOOKUP($A24,'IP1'!$A$37:$G$89,7,0),Patterns!$A$2:$N$28,COLUMN(Z24)-14,0)/
VLOOKUP(
VLOOKUP($A24,'IP1'!$A$37:$G$89,7,0),Patterns!$A$2:$N$28,2,0),
IF(LEFT($D24,7)="Payroll",
SUMPRODUCT(($B24='IP1'!$B$96:$B$114)*('IP1'!$E$96:$E$114))/12,
SUMPRODUCT(($B24='IP1'!$B$96:$B$114)*('IP1'!$E$96:$E$114))/12*
IF(YEAR(Z$3)=2013,'IP1'!$F$154,'IP1'!$G$154)
))</f>
        <v>208.33333333333334</v>
      </c>
      <c r="AA24" s="85">
        <f>IF(LEFT($D24,5)="Other",
VLOOKUP($A24,'IP1'!$A$37:$G$89,5,0)*
VLOOKUP(
VLOOKUP($A24,'IP1'!$A$37:$G$89,7,0),Patterns!$A$2:$N$28,COLUMN(AA24)-14,0)/
VLOOKUP(
VLOOKUP($A24,'IP1'!$A$37:$G$89,7,0),Patterns!$A$2:$N$28,2,0),
IF(LEFT($D24,7)="Payroll",
SUMPRODUCT(($B24='IP1'!$B$96:$B$114)*('IP1'!$E$96:$E$114))/12,
SUMPRODUCT(($B24='IP1'!$B$96:$B$114)*('IP1'!$E$96:$E$114))/12*
IF(YEAR(AA$3)=2013,'IP1'!$F$154,'IP1'!$G$154)
))</f>
        <v>208.33333333333334</v>
      </c>
      <c r="AB24" s="85">
        <f>IF(LEFT($D24,5)="Other",
VLOOKUP($A24,'IP1'!$A$37:$G$89,5,0)*
VLOOKUP(
VLOOKUP($A24,'IP1'!$A$37:$G$89,7,0),Patterns!$A$2:$N$28,COLUMN(AB24)-14,0)/
VLOOKUP(
VLOOKUP($A24,'IP1'!$A$37:$G$89,7,0),Patterns!$A$2:$N$28,2,0),
IF(LEFT($D24,7)="Payroll",
SUMPRODUCT(($B24='IP1'!$B$96:$B$114)*('IP1'!$E$96:$E$114))/12,
SUMPRODUCT(($B24='IP1'!$B$96:$B$114)*('IP1'!$E$96:$E$114))/12*
IF(YEAR(AB$3)=2013,'IP1'!$F$154,'IP1'!$G$154)
))</f>
        <v>208.33333333333334</v>
      </c>
    </row>
    <row r="25" spans="1:28">
      <c r="A25" s="1" t="str">
        <f t="shared" si="2"/>
        <v>AdministrationProfessional fees</v>
      </c>
      <c r="B25" s="1" t="s">
        <v>155</v>
      </c>
      <c r="C25" s="1" t="s">
        <v>488</v>
      </c>
      <c r="D25" s="11" t="s">
        <v>100</v>
      </c>
      <c r="E25" s="85">
        <f>IF(LEFT($D25,5)="Other",
VLOOKUP($A25,'IP1'!$A$37:$G$89,4,0)*
VLOOKUP(
VLOOKUP($A25,'IP1'!$A$37:$G$89,7,0),Patterns!$A$2:$N$28,COLUMN(E25)-2,0)/
VLOOKUP(
VLOOKUP($A25,'IP1'!$A$37:$G$89,7,0),Patterns!$A$2:$N$28,2,0),
IF(LEFT($D25,7)="Payroll",
SUMPRODUCT(($B25='IP1'!$B$96:$B$114)*('IP1'!$D$96:$D$114))/12,
SUMPRODUCT(($B25='IP1'!$B$96:$B$114)*('IP1'!$D$96:$D$114))/12*
IF(YEAR(E$3)=2013,'IP1'!$F$154,'IP1'!$G$154)
))</f>
        <v>625</v>
      </c>
      <c r="F25" s="85">
        <f>IF(LEFT($D25,5)="Other",
VLOOKUP($A25,'IP1'!$A$37:$G$89,4,0)*
VLOOKUP(
VLOOKUP($A25,'IP1'!$A$37:$G$89,7,0),Patterns!$A$2:$N$28,COLUMN(F25)-2,0)/
VLOOKUP(
VLOOKUP($A25,'IP1'!$A$37:$G$89,7,0),Patterns!$A$2:$N$28,2,0),
IF(LEFT($D25,7)="Payroll",
SUMPRODUCT(($B25='IP1'!$B$96:$B$114)*('IP1'!$D$96:$D$114))/12,
SUMPRODUCT(($B25='IP1'!$B$96:$B$114)*('IP1'!$D$96:$D$114))/12*
IF(YEAR(F$3)=2013,'IP1'!$F$154,'IP1'!$G$154)
))</f>
        <v>625</v>
      </c>
      <c r="G25" s="85">
        <f>IF(LEFT($D25,5)="Other",
VLOOKUP($A25,'IP1'!$A$37:$G$89,4,0)*
VLOOKUP(
VLOOKUP($A25,'IP1'!$A$37:$G$89,7,0),Patterns!$A$2:$N$28,COLUMN(G25)-2,0)/
VLOOKUP(
VLOOKUP($A25,'IP1'!$A$37:$G$89,7,0),Patterns!$A$2:$N$28,2,0),
IF(LEFT($D25,7)="Payroll",
SUMPRODUCT(($B25='IP1'!$B$96:$B$114)*('IP1'!$D$96:$D$114))/12,
SUMPRODUCT(($B25='IP1'!$B$96:$B$114)*('IP1'!$D$96:$D$114))/12*
IF(YEAR(G$3)=2013,'IP1'!$F$154,'IP1'!$G$154)
))</f>
        <v>625</v>
      </c>
      <c r="H25" s="85">
        <f>IF(LEFT($D25,5)="Other",
VLOOKUP($A25,'IP1'!$A$37:$G$89,4,0)*
VLOOKUP(
VLOOKUP($A25,'IP1'!$A$37:$G$89,7,0),Patterns!$A$2:$N$28,COLUMN(H25)-2,0)/
VLOOKUP(
VLOOKUP($A25,'IP1'!$A$37:$G$89,7,0),Patterns!$A$2:$N$28,2,0),
IF(LEFT($D25,7)="Payroll",
SUMPRODUCT(($B25='IP1'!$B$96:$B$114)*('IP1'!$D$96:$D$114))/12,
SUMPRODUCT(($B25='IP1'!$B$96:$B$114)*('IP1'!$D$96:$D$114))/12*
IF(YEAR(H$3)=2013,'IP1'!$F$154,'IP1'!$G$154)
))</f>
        <v>625</v>
      </c>
      <c r="I25" s="85">
        <f>IF(LEFT($D25,5)="Other",
VLOOKUP($A25,'IP1'!$A$37:$G$89,4,0)*
VLOOKUP(
VLOOKUP($A25,'IP1'!$A$37:$G$89,7,0),Patterns!$A$2:$N$28,COLUMN(I25)-2,0)/
VLOOKUP(
VLOOKUP($A25,'IP1'!$A$37:$G$89,7,0),Patterns!$A$2:$N$28,2,0),
IF(LEFT($D25,7)="Payroll",
SUMPRODUCT(($B25='IP1'!$B$96:$B$114)*('IP1'!$D$96:$D$114))/12,
SUMPRODUCT(($B25='IP1'!$B$96:$B$114)*('IP1'!$D$96:$D$114))/12*
IF(YEAR(I$3)=2013,'IP1'!$F$154,'IP1'!$G$154)
))</f>
        <v>625</v>
      </c>
      <c r="J25" s="85">
        <f>IF(LEFT($D25,5)="Other",
VLOOKUP($A25,'IP1'!$A$37:$G$89,4,0)*
VLOOKUP(
VLOOKUP($A25,'IP1'!$A$37:$G$89,7,0),Patterns!$A$2:$N$28,COLUMN(J25)-2,0)/
VLOOKUP(
VLOOKUP($A25,'IP1'!$A$37:$G$89,7,0),Patterns!$A$2:$N$28,2,0),
IF(LEFT($D25,7)="Payroll",
SUMPRODUCT(($B25='IP1'!$B$96:$B$114)*('IP1'!$D$96:$D$114))/12,
SUMPRODUCT(($B25='IP1'!$B$96:$B$114)*('IP1'!$D$96:$D$114))/12*
IF(YEAR(J$3)=2013,'IP1'!$F$154,'IP1'!$G$154)
))</f>
        <v>625</v>
      </c>
      <c r="K25" s="85">
        <f>IF(LEFT($D25,5)="Other",
VLOOKUP($A25,'IP1'!$A$37:$G$89,4,0)*
VLOOKUP(
VLOOKUP($A25,'IP1'!$A$37:$G$89,7,0),Patterns!$A$2:$N$28,COLUMN(K25)-2,0)/
VLOOKUP(
VLOOKUP($A25,'IP1'!$A$37:$G$89,7,0),Patterns!$A$2:$N$28,2,0),
IF(LEFT($D25,7)="Payroll",
SUMPRODUCT(($B25='IP1'!$B$96:$B$114)*('IP1'!$D$96:$D$114))/12,
SUMPRODUCT(($B25='IP1'!$B$96:$B$114)*('IP1'!$D$96:$D$114))/12*
IF(YEAR(K$3)=2013,'IP1'!$F$154,'IP1'!$G$154)
))</f>
        <v>625</v>
      </c>
      <c r="L25" s="85">
        <f>IF(LEFT($D25,5)="Other",
VLOOKUP($A25,'IP1'!$A$37:$G$89,4,0)*
VLOOKUP(
VLOOKUP($A25,'IP1'!$A$37:$G$89,7,0),Patterns!$A$2:$N$28,COLUMN(L25)-2,0)/
VLOOKUP(
VLOOKUP($A25,'IP1'!$A$37:$G$89,7,0),Patterns!$A$2:$N$28,2,0),
IF(LEFT($D25,7)="Payroll",
SUMPRODUCT(($B25='IP1'!$B$96:$B$114)*('IP1'!$D$96:$D$114))/12,
SUMPRODUCT(($B25='IP1'!$B$96:$B$114)*('IP1'!$D$96:$D$114))/12*
IF(YEAR(L$3)=2013,'IP1'!$F$154,'IP1'!$G$154)
))</f>
        <v>625</v>
      </c>
      <c r="M25" s="85">
        <f>IF(LEFT($D25,5)="Other",
VLOOKUP($A25,'IP1'!$A$37:$G$89,4,0)*
VLOOKUP(
VLOOKUP($A25,'IP1'!$A$37:$G$89,7,0),Patterns!$A$2:$N$28,COLUMN(M25)-2,0)/
VLOOKUP(
VLOOKUP($A25,'IP1'!$A$37:$G$89,7,0),Patterns!$A$2:$N$28,2,0),
IF(LEFT($D25,7)="Payroll",
SUMPRODUCT(($B25='IP1'!$B$96:$B$114)*('IP1'!$D$96:$D$114))/12,
SUMPRODUCT(($B25='IP1'!$B$96:$B$114)*('IP1'!$D$96:$D$114))/12*
IF(YEAR(M$3)=2013,'IP1'!$F$154,'IP1'!$G$154)
))</f>
        <v>625</v>
      </c>
      <c r="N25" s="85">
        <f>IF(LEFT($D25,5)="Other",
VLOOKUP($A25,'IP1'!$A$37:$G$89,4,0)*
VLOOKUP(
VLOOKUP($A25,'IP1'!$A$37:$G$89,7,0),Patterns!$A$2:$N$28,COLUMN(N25)-2,0)/
VLOOKUP(
VLOOKUP($A25,'IP1'!$A$37:$G$89,7,0),Patterns!$A$2:$N$28,2,0),
IF(LEFT($D25,7)="Payroll",
SUMPRODUCT(($B25='IP1'!$B$96:$B$114)*('IP1'!$D$96:$D$114))/12,
SUMPRODUCT(($B25='IP1'!$B$96:$B$114)*('IP1'!$D$96:$D$114))/12*
IF(YEAR(N$3)=2013,'IP1'!$F$154,'IP1'!$G$154)
))</f>
        <v>625</v>
      </c>
      <c r="O25" s="85">
        <f>IF(LEFT($D25,5)="Other",
VLOOKUP($A25,'IP1'!$A$37:$G$89,4,0)*
VLOOKUP(
VLOOKUP($A25,'IP1'!$A$37:$G$89,7,0),Patterns!$A$2:$N$28,COLUMN(O25)-2,0)/
VLOOKUP(
VLOOKUP($A25,'IP1'!$A$37:$G$89,7,0),Patterns!$A$2:$N$28,2,0),
IF(LEFT($D25,7)="Payroll",
SUMPRODUCT(($B25='IP1'!$B$96:$B$114)*('IP1'!$D$96:$D$114))/12,
SUMPRODUCT(($B25='IP1'!$B$96:$B$114)*('IP1'!$D$96:$D$114))/12*
IF(YEAR(O$3)=2013,'IP1'!$F$154,'IP1'!$G$154)
))</f>
        <v>625</v>
      </c>
      <c r="P25" s="85">
        <f>IF(LEFT($D25,5)="Other",
VLOOKUP($A25,'IP1'!$A$37:$G$89,4,0)*
VLOOKUP(
VLOOKUP($A25,'IP1'!$A$37:$G$89,7,0),Patterns!$A$2:$N$28,COLUMN(P25)-2,0)/
VLOOKUP(
VLOOKUP($A25,'IP1'!$A$37:$G$89,7,0),Patterns!$A$2:$N$28,2,0),
IF(LEFT($D25,7)="Payroll",
SUMPRODUCT(($B25='IP1'!$B$96:$B$114)*('IP1'!$D$96:$D$114))/12,
SUMPRODUCT(($B25='IP1'!$B$96:$B$114)*('IP1'!$D$96:$D$114))/12*
IF(YEAR(P$3)=2013,'IP1'!$F$154,'IP1'!$G$154)
))</f>
        <v>625</v>
      </c>
      <c r="Q25" s="85">
        <f>IF(LEFT($D25,5)="Other",
VLOOKUP($A25,'IP1'!$A$37:$G$89,5,0)*
VLOOKUP(
VLOOKUP($A25,'IP1'!$A$37:$G$89,7,0),Patterns!$A$2:$N$28,COLUMN(Q25)-14,0)/
VLOOKUP(
VLOOKUP($A25,'IP1'!$A$37:$G$89,7,0),Patterns!$A$2:$N$28,2,0),
IF(LEFT($D25,7)="Payroll",
SUMPRODUCT(($B25='IP1'!$B$96:$B$114)*('IP1'!$E$96:$E$114))/12,
SUMPRODUCT(($B25='IP1'!$B$96:$B$114)*('IP1'!$E$96:$E$114))/12*
IF(YEAR(Q$3)=2013,'IP1'!$F$154,'IP1'!$G$154)
))</f>
        <v>625</v>
      </c>
      <c r="R25" s="85">
        <f>IF(LEFT($D25,5)="Other",
VLOOKUP($A25,'IP1'!$A$37:$G$89,5,0)*
VLOOKUP(
VLOOKUP($A25,'IP1'!$A$37:$G$89,7,0),Patterns!$A$2:$N$28,COLUMN(R25)-14,0)/
VLOOKUP(
VLOOKUP($A25,'IP1'!$A$37:$G$89,7,0),Patterns!$A$2:$N$28,2,0),
IF(LEFT($D25,7)="Payroll",
SUMPRODUCT(($B25='IP1'!$B$96:$B$114)*('IP1'!$E$96:$E$114))/12,
SUMPRODUCT(($B25='IP1'!$B$96:$B$114)*('IP1'!$E$96:$E$114))/12*
IF(YEAR(R$3)=2013,'IP1'!$F$154,'IP1'!$G$154)
))</f>
        <v>625</v>
      </c>
      <c r="S25" s="85">
        <f>IF(LEFT($D25,5)="Other",
VLOOKUP($A25,'IP1'!$A$37:$G$89,5,0)*
VLOOKUP(
VLOOKUP($A25,'IP1'!$A$37:$G$89,7,0),Patterns!$A$2:$N$28,COLUMN(S25)-14,0)/
VLOOKUP(
VLOOKUP($A25,'IP1'!$A$37:$G$89,7,0),Patterns!$A$2:$N$28,2,0),
IF(LEFT($D25,7)="Payroll",
SUMPRODUCT(($B25='IP1'!$B$96:$B$114)*('IP1'!$E$96:$E$114))/12,
SUMPRODUCT(($B25='IP1'!$B$96:$B$114)*('IP1'!$E$96:$E$114))/12*
IF(YEAR(S$3)=2013,'IP1'!$F$154,'IP1'!$G$154)
))</f>
        <v>625</v>
      </c>
      <c r="T25" s="85">
        <f>IF(LEFT($D25,5)="Other",
VLOOKUP($A25,'IP1'!$A$37:$G$89,5,0)*
VLOOKUP(
VLOOKUP($A25,'IP1'!$A$37:$G$89,7,0),Patterns!$A$2:$N$28,COLUMN(T25)-14,0)/
VLOOKUP(
VLOOKUP($A25,'IP1'!$A$37:$G$89,7,0),Patterns!$A$2:$N$28,2,0),
IF(LEFT($D25,7)="Payroll",
SUMPRODUCT(($B25='IP1'!$B$96:$B$114)*('IP1'!$E$96:$E$114))/12,
SUMPRODUCT(($B25='IP1'!$B$96:$B$114)*('IP1'!$E$96:$E$114))/12*
IF(YEAR(T$3)=2013,'IP1'!$F$154,'IP1'!$G$154)
))</f>
        <v>625</v>
      </c>
      <c r="U25" s="85">
        <f>IF(LEFT($D25,5)="Other",
VLOOKUP($A25,'IP1'!$A$37:$G$89,5,0)*
VLOOKUP(
VLOOKUP($A25,'IP1'!$A$37:$G$89,7,0),Patterns!$A$2:$N$28,COLUMN(U25)-14,0)/
VLOOKUP(
VLOOKUP($A25,'IP1'!$A$37:$G$89,7,0),Patterns!$A$2:$N$28,2,0),
IF(LEFT($D25,7)="Payroll",
SUMPRODUCT(($B25='IP1'!$B$96:$B$114)*('IP1'!$E$96:$E$114))/12,
SUMPRODUCT(($B25='IP1'!$B$96:$B$114)*('IP1'!$E$96:$E$114))/12*
IF(YEAR(U$3)=2013,'IP1'!$F$154,'IP1'!$G$154)
))</f>
        <v>625</v>
      </c>
      <c r="V25" s="85">
        <f>IF(LEFT($D25,5)="Other",
VLOOKUP($A25,'IP1'!$A$37:$G$89,5,0)*
VLOOKUP(
VLOOKUP($A25,'IP1'!$A$37:$G$89,7,0),Patterns!$A$2:$N$28,COLUMN(V25)-14,0)/
VLOOKUP(
VLOOKUP($A25,'IP1'!$A$37:$G$89,7,0),Patterns!$A$2:$N$28,2,0),
IF(LEFT($D25,7)="Payroll",
SUMPRODUCT(($B25='IP1'!$B$96:$B$114)*('IP1'!$E$96:$E$114))/12,
SUMPRODUCT(($B25='IP1'!$B$96:$B$114)*('IP1'!$E$96:$E$114))/12*
IF(YEAR(V$3)=2013,'IP1'!$F$154,'IP1'!$G$154)
))</f>
        <v>625</v>
      </c>
      <c r="W25" s="85">
        <f>IF(LEFT($D25,5)="Other",
VLOOKUP($A25,'IP1'!$A$37:$G$89,5,0)*
VLOOKUP(
VLOOKUP($A25,'IP1'!$A$37:$G$89,7,0),Patterns!$A$2:$N$28,COLUMN(W25)-14,0)/
VLOOKUP(
VLOOKUP($A25,'IP1'!$A$37:$G$89,7,0),Patterns!$A$2:$N$28,2,0),
IF(LEFT($D25,7)="Payroll",
SUMPRODUCT(($B25='IP1'!$B$96:$B$114)*('IP1'!$E$96:$E$114))/12,
SUMPRODUCT(($B25='IP1'!$B$96:$B$114)*('IP1'!$E$96:$E$114))/12*
IF(YEAR(W$3)=2013,'IP1'!$F$154,'IP1'!$G$154)
))</f>
        <v>625</v>
      </c>
      <c r="X25" s="85">
        <f>IF(LEFT($D25,5)="Other",
VLOOKUP($A25,'IP1'!$A$37:$G$89,5,0)*
VLOOKUP(
VLOOKUP($A25,'IP1'!$A$37:$G$89,7,0),Patterns!$A$2:$N$28,COLUMN(X25)-14,0)/
VLOOKUP(
VLOOKUP($A25,'IP1'!$A$37:$G$89,7,0),Patterns!$A$2:$N$28,2,0),
IF(LEFT($D25,7)="Payroll",
SUMPRODUCT(($B25='IP1'!$B$96:$B$114)*('IP1'!$E$96:$E$114))/12,
SUMPRODUCT(($B25='IP1'!$B$96:$B$114)*('IP1'!$E$96:$E$114))/12*
IF(YEAR(X$3)=2013,'IP1'!$F$154,'IP1'!$G$154)
))</f>
        <v>625</v>
      </c>
      <c r="Y25" s="85">
        <f>IF(LEFT($D25,5)="Other",
VLOOKUP($A25,'IP1'!$A$37:$G$89,5,0)*
VLOOKUP(
VLOOKUP($A25,'IP1'!$A$37:$G$89,7,0),Patterns!$A$2:$N$28,COLUMN(Y25)-14,0)/
VLOOKUP(
VLOOKUP($A25,'IP1'!$A$37:$G$89,7,0),Patterns!$A$2:$N$28,2,0),
IF(LEFT($D25,7)="Payroll",
SUMPRODUCT(($B25='IP1'!$B$96:$B$114)*('IP1'!$E$96:$E$114))/12,
SUMPRODUCT(($B25='IP1'!$B$96:$B$114)*('IP1'!$E$96:$E$114))/12*
IF(YEAR(Y$3)=2013,'IP1'!$F$154,'IP1'!$G$154)
))</f>
        <v>625</v>
      </c>
      <c r="Z25" s="85">
        <f>IF(LEFT($D25,5)="Other",
VLOOKUP($A25,'IP1'!$A$37:$G$89,5,0)*
VLOOKUP(
VLOOKUP($A25,'IP1'!$A$37:$G$89,7,0),Patterns!$A$2:$N$28,COLUMN(Z25)-14,0)/
VLOOKUP(
VLOOKUP($A25,'IP1'!$A$37:$G$89,7,0),Patterns!$A$2:$N$28,2,0),
IF(LEFT($D25,7)="Payroll",
SUMPRODUCT(($B25='IP1'!$B$96:$B$114)*('IP1'!$E$96:$E$114))/12,
SUMPRODUCT(($B25='IP1'!$B$96:$B$114)*('IP1'!$E$96:$E$114))/12*
IF(YEAR(Z$3)=2013,'IP1'!$F$154,'IP1'!$G$154)
))</f>
        <v>625</v>
      </c>
      <c r="AA25" s="85">
        <f>IF(LEFT($D25,5)="Other",
VLOOKUP($A25,'IP1'!$A$37:$G$89,5,0)*
VLOOKUP(
VLOOKUP($A25,'IP1'!$A$37:$G$89,7,0),Patterns!$A$2:$N$28,COLUMN(AA25)-14,0)/
VLOOKUP(
VLOOKUP($A25,'IP1'!$A$37:$G$89,7,0),Patterns!$A$2:$N$28,2,0),
IF(LEFT($D25,7)="Payroll",
SUMPRODUCT(($B25='IP1'!$B$96:$B$114)*('IP1'!$E$96:$E$114))/12,
SUMPRODUCT(($B25='IP1'!$B$96:$B$114)*('IP1'!$E$96:$E$114))/12*
IF(YEAR(AA$3)=2013,'IP1'!$F$154,'IP1'!$G$154)
))</f>
        <v>625</v>
      </c>
      <c r="AB25" s="85">
        <f>IF(LEFT($D25,5)="Other",
VLOOKUP($A25,'IP1'!$A$37:$G$89,5,0)*
VLOOKUP(
VLOOKUP($A25,'IP1'!$A$37:$G$89,7,0),Patterns!$A$2:$N$28,COLUMN(AB25)-14,0)/
VLOOKUP(
VLOOKUP($A25,'IP1'!$A$37:$G$89,7,0),Patterns!$A$2:$N$28,2,0),
IF(LEFT($D25,7)="Payroll",
SUMPRODUCT(($B25='IP1'!$B$96:$B$114)*('IP1'!$E$96:$E$114))/12,
SUMPRODUCT(($B25='IP1'!$B$96:$B$114)*('IP1'!$E$96:$E$114))/12*
IF(YEAR(AB$3)=2013,'IP1'!$F$154,'IP1'!$G$154)
))</f>
        <v>625</v>
      </c>
    </row>
    <row r="26" spans="1:28">
      <c r="A26" s="1" t="str">
        <f t="shared" si="2"/>
        <v>AdministrationSecurity</v>
      </c>
      <c r="B26" s="1" t="s">
        <v>155</v>
      </c>
      <c r="C26" s="1" t="s">
        <v>489</v>
      </c>
      <c r="D26" s="11" t="s">
        <v>100</v>
      </c>
      <c r="E26" s="85">
        <f>IF(LEFT($D26,5)="Other",
VLOOKUP($A26,'IP1'!$A$37:$G$89,4,0)*
VLOOKUP(
VLOOKUP($A26,'IP1'!$A$37:$G$89,7,0),Patterns!$A$2:$N$28,COLUMN(E26)-2,0)/
VLOOKUP(
VLOOKUP($A26,'IP1'!$A$37:$G$89,7,0),Patterns!$A$2:$N$28,2,0),
IF(LEFT($D26,7)="Payroll",
SUMPRODUCT(($B26='IP1'!$B$96:$B$114)*('IP1'!$D$96:$D$114))/12,
SUMPRODUCT(($B26='IP1'!$B$96:$B$114)*('IP1'!$D$96:$D$114))/12*
IF(YEAR(E$3)=2013,'IP1'!$F$154,'IP1'!$G$154)
))</f>
        <v>833.33333333333337</v>
      </c>
      <c r="F26" s="85">
        <f>IF(LEFT($D26,5)="Other",
VLOOKUP($A26,'IP1'!$A$37:$G$89,4,0)*
VLOOKUP(
VLOOKUP($A26,'IP1'!$A$37:$G$89,7,0),Patterns!$A$2:$N$28,COLUMN(F26)-2,0)/
VLOOKUP(
VLOOKUP($A26,'IP1'!$A$37:$G$89,7,0),Patterns!$A$2:$N$28,2,0),
IF(LEFT($D26,7)="Payroll",
SUMPRODUCT(($B26='IP1'!$B$96:$B$114)*('IP1'!$D$96:$D$114))/12,
SUMPRODUCT(($B26='IP1'!$B$96:$B$114)*('IP1'!$D$96:$D$114))/12*
IF(YEAR(F$3)=2013,'IP1'!$F$154,'IP1'!$G$154)
))</f>
        <v>833.33333333333337</v>
      </c>
      <c r="G26" s="85">
        <f>IF(LEFT($D26,5)="Other",
VLOOKUP($A26,'IP1'!$A$37:$G$89,4,0)*
VLOOKUP(
VLOOKUP($A26,'IP1'!$A$37:$G$89,7,0),Patterns!$A$2:$N$28,COLUMN(G26)-2,0)/
VLOOKUP(
VLOOKUP($A26,'IP1'!$A$37:$G$89,7,0),Patterns!$A$2:$N$28,2,0),
IF(LEFT($D26,7)="Payroll",
SUMPRODUCT(($B26='IP1'!$B$96:$B$114)*('IP1'!$D$96:$D$114))/12,
SUMPRODUCT(($B26='IP1'!$B$96:$B$114)*('IP1'!$D$96:$D$114))/12*
IF(YEAR(G$3)=2013,'IP1'!$F$154,'IP1'!$G$154)
))</f>
        <v>833.33333333333337</v>
      </c>
      <c r="H26" s="85">
        <f>IF(LEFT($D26,5)="Other",
VLOOKUP($A26,'IP1'!$A$37:$G$89,4,0)*
VLOOKUP(
VLOOKUP($A26,'IP1'!$A$37:$G$89,7,0),Patterns!$A$2:$N$28,COLUMN(H26)-2,0)/
VLOOKUP(
VLOOKUP($A26,'IP1'!$A$37:$G$89,7,0),Patterns!$A$2:$N$28,2,0),
IF(LEFT($D26,7)="Payroll",
SUMPRODUCT(($B26='IP1'!$B$96:$B$114)*('IP1'!$D$96:$D$114))/12,
SUMPRODUCT(($B26='IP1'!$B$96:$B$114)*('IP1'!$D$96:$D$114))/12*
IF(YEAR(H$3)=2013,'IP1'!$F$154,'IP1'!$G$154)
))</f>
        <v>833.33333333333337</v>
      </c>
      <c r="I26" s="85">
        <f>IF(LEFT($D26,5)="Other",
VLOOKUP($A26,'IP1'!$A$37:$G$89,4,0)*
VLOOKUP(
VLOOKUP($A26,'IP1'!$A$37:$G$89,7,0),Patterns!$A$2:$N$28,COLUMN(I26)-2,0)/
VLOOKUP(
VLOOKUP($A26,'IP1'!$A$37:$G$89,7,0),Patterns!$A$2:$N$28,2,0),
IF(LEFT($D26,7)="Payroll",
SUMPRODUCT(($B26='IP1'!$B$96:$B$114)*('IP1'!$D$96:$D$114))/12,
SUMPRODUCT(($B26='IP1'!$B$96:$B$114)*('IP1'!$D$96:$D$114))/12*
IF(YEAR(I$3)=2013,'IP1'!$F$154,'IP1'!$G$154)
))</f>
        <v>833.33333333333337</v>
      </c>
      <c r="J26" s="85">
        <f>IF(LEFT($D26,5)="Other",
VLOOKUP($A26,'IP1'!$A$37:$G$89,4,0)*
VLOOKUP(
VLOOKUP($A26,'IP1'!$A$37:$G$89,7,0),Patterns!$A$2:$N$28,COLUMN(J26)-2,0)/
VLOOKUP(
VLOOKUP($A26,'IP1'!$A$37:$G$89,7,0),Patterns!$A$2:$N$28,2,0),
IF(LEFT($D26,7)="Payroll",
SUMPRODUCT(($B26='IP1'!$B$96:$B$114)*('IP1'!$D$96:$D$114))/12,
SUMPRODUCT(($B26='IP1'!$B$96:$B$114)*('IP1'!$D$96:$D$114))/12*
IF(YEAR(J$3)=2013,'IP1'!$F$154,'IP1'!$G$154)
))</f>
        <v>833.33333333333337</v>
      </c>
      <c r="K26" s="85">
        <f>IF(LEFT($D26,5)="Other",
VLOOKUP($A26,'IP1'!$A$37:$G$89,4,0)*
VLOOKUP(
VLOOKUP($A26,'IP1'!$A$37:$G$89,7,0),Patterns!$A$2:$N$28,COLUMN(K26)-2,0)/
VLOOKUP(
VLOOKUP($A26,'IP1'!$A$37:$G$89,7,0),Patterns!$A$2:$N$28,2,0),
IF(LEFT($D26,7)="Payroll",
SUMPRODUCT(($B26='IP1'!$B$96:$B$114)*('IP1'!$D$96:$D$114))/12,
SUMPRODUCT(($B26='IP1'!$B$96:$B$114)*('IP1'!$D$96:$D$114))/12*
IF(YEAR(K$3)=2013,'IP1'!$F$154,'IP1'!$G$154)
))</f>
        <v>833.33333333333337</v>
      </c>
      <c r="L26" s="85">
        <f>IF(LEFT($D26,5)="Other",
VLOOKUP($A26,'IP1'!$A$37:$G$89,4,0)*
VLOOKUP(
VLOOKUP($A26,'IP1'!$A$37:$G$89,7,0),Patterns!$A$2:$N$28,COLUMN(L26)-2,0)/
VLOOKUP(
VLOOKUP($A26,'IP1'!$A$37:$G$89,7,0),Patterns!$A$2:$N$28,2,0),
IF(LEFT($D26,7)="Payroll",
SUMPRODUCT(($B26='IP1'!$B$96:$B$114)*('IP1'!$D$96:$D$114))/12,
SUMPRODUCT(($B26='IP1'!$B$96:$B$114)*('IP1'!$D$96:$D$114))/12*
IF(YEAR(L$3)=2013,'IP1'!$F$154,'IP1'!$G$154)
))</f>
        <v>833.33333333333337</v>
      </c>
      <c r="M26" s="85">
        <f>IF(LEFT($D26,5)="Other",
VLOOKUP($A26,'IP1'!$A$37:$G$89,4,0)*
VLOOKUP(
VLOOKUP($A26,'IP1'!$A$37:$G$89,7,0),Patterns!$A$2:$N$28,COLUMN(M26)-2,0)/
VLOOKUP(
VLOOKUP($A26,'IP1'!$A$37:$G$89,7,0),Patterns!$A$2:$N$28,2,0),
IF(LEFT($D26,7)="Payroll",
SUMPRODUCT(($B26='IP1'!$B$96:$B$114)*('IP1'!$D$96:$D$114))/12,
SUMPRODUCT(($B26='IP1'!$B$96:$B$114)*('IP1'!$D$96:$D$114))/12*
IF(YEAR(M$3)=2013,'IP1'!$F$154,'IP1'!$G$154)
))</f>
        <v>833.33333333333337</v>
      </c>
      <c r="N26" s="85">
        <f>IF(LEFT($D26,5)="Other",
VLOOKUP($A26,'IP1'!$A$37:$G$89,4,0)*
VLOOKUP(
VLOOKUP($A26,'IP1'!$A$37:$G$89,7,0),Patterns!$A$2:$N$28,COLUMN(N26)-2,0)/
VLOOKUP(
VLOOKUP($A26,'IP1'!$A$37:$G$89,7,0),Patterns!$A$2:$N$28,2,0),
IF(LEFT($D26,7)="Payroll",
SUMPRODUCT(($B26='IP1'!$B$96:$B$114)*('IP1'!$D$96:$D$114))/12,
SUMPRODUCT(($B26='IP1'!$B$96:$B$114)*('IP1'!$D$96:$D$114))/12*
IF(YEAR(N$3)=2013,'IP1'!$F$154,'IP1'!$G$154)
))</f>
        <v>833.33333333333337</v>
      </c>
      <c r="O26" s="85">
        <f>IF(LEFT($D26,5)="Other",
VLOOKUP($A26,'IP1'!$A$37:$G$89,4,0)*
VLOOKUP(
VLOOKUP($A26,'IP1'!$A$37:$G$89,7,0),Patterns!$A$2:$N$28,COLUMN(O26)-2,0)/
VLOOKUP(
VLOOKUP($A26,'IP1'!$A$37:$G$89,7,0),Patterns!$A$2:$N$28,2,0),
IF(LEFT($D26,7)="Payroll",
SUMPRODUCT(($B26='IP1'!$B$96:$B$114)*('IP1'!$D$96:$D$114))/12,
SUMPRODUCT(($B26='IP1'!$B$96:$B$114)*('IP1'!$D$96:$D$114))/12*
IF(YEAR(O$3)=2013,'IP1'!$F$154,'IP1'!$G$154)
))</f>
        <v>833.33333333333337</v>
      </c>
      <c r="P26" s="85">
        <f>IF(LEFT($D26,5)="Other",
VLOOKUP($A26,'IP1'!$A$37:$G$89,4,0)*
VLOOKUP(
VLOOKUP($A26,'IP1'!$A$37:$G$89,7,0),Patterns!$A$2:$N$28,COLUMN(P26)-2,0)/
VLOOKUP(
VLOOKUP($A26,'IP1'!$A$37:$G$89,7,0),Patterns!$A$2:$N$28,2,0),
IF(LEFT($D26,7)="Payroll",
SUMPRODUCT(($B26='IP1'!$B$96:$B$114)*('IP1'!$D$96:$D$114))/12,
SUMPRODUCT(($B26='IP1'!$B$96:$B$114)*('IP1'!$D$96:$D$114))/12*
IF(YEAR(P$3)=2013,'IP1'!$F$154,'IP1'!$G$154)
))</f>
        <v>833.33333333333337</v>
      </c>
      <c r="Q26" s="85">
        <f>IF(LEFT($D26,5)="Other",
VLOOKUP($A26,'IP1'!$A$37:$G$89,5,0)*
VLOOKUP(
VLOOKUP($A26,'IP1'!$A$37:$G$89,7,0),Patterns!$A$2:$N$28,COLUMN(Q26)-14,0)/
VLOOKUP(
VLOOKUP($A26,'IP1'!$A$37:$G$89,7,0),Patterns!$A$2:$N$28,2,0),
IF(LEFT($D26,7)="Payroll",
SUMPRODUCT(($B26='IP1'!$B$96:$B$114)*('IP1'!$E$96:$E$114))/12,
SUMPRODUCT(($B26='IP1'!$B$96:$B$114)*('IP1'!$E$96:$E$114))/12*
IF(YEAR(Q$3)=2013,'IP1'!$F$154,'IP1'!$G$154)
))</f>
        <v>833.33333333333337</v>
      </c>
      <c r="R26" s="85">
        <f>IF(LEFT($D26,5)="Other",
VLOOKUP($A26,'IP1'!$A$37:$G$89,5,0)*
VLOOKUP(
VLOOKUP($A26,'IP1'!$A$37:$G$89,7,0),Patterns!$A$2:$N$28,COLUMN(R26)-14,0)/
VLOOKUP(
VLOOKUP($A26,'IP1'!$A$37:$G$89,7,0),Patterns!$A$2:$N$28,2,0),
IF(LEFT($D26,7)="Payroll",
SUMPRODUCT(($B26='IP1'!$B$96:$B$114)*('IP1'!$E$96:$E$114))/12,
SUMPRODUCT(($B26='IP1'!$B$96:$B$114)*('IP1'!$E$96:$E$114))/12*
IF(YEAR(R$3)=2013,'IP1'!$F$154,'IP1'!$G$154)
))</f>
        <v>833.33333333333337</v>
      </c>
      <c r="S26" s="85">
        <f>IF(LEFT($D26,5)="Other",
VLOOKUP($A26,'IP1'!$A$37:$G$89,5,0)*
VLOOKUP(
VLOOKUP($A26,'IP1'!$A$37:$G$89,7,0),Patterns!$A$2:$N$28,COLUMN(S26)-14,0)/
VLOOKUP(
VLOOKUP($A26,'IP1'!$A$37:$G$89,7,0),Patterns!$A$2:$N$28,2,0),
IF(LEFT($D26,7)="Payroll",
SUMPRODUCT(($B26='IP1'!$B$96:$B$114)*('IP1'!$E$96:$E$114))/12,
SUMPRODUCT(($B26='IP1'!$B$96:$B$114)*('IP1'!$E$96:$E$114))/12*
IF(YEAR(S$3)=2013,'IP1'!$F$154,'IP1'!$G$154)
))</f>
        <v>833.33333333333337</v>
      </c>
      <c r="T26" s="85">
        <f>IF(LEFT($D26,5)="Other",
VLOOKUP($A26,'IP1'!$A$37:$G$89,5,0)*
VLOOKUP(
VLOOKUP($A26,'IP1'!$A$37:$G$89,7,0),Patterns!$A$2:$N$28,COLUMN(T26)-14,0)/
VLOOKUP(
VLOOKUP($A26,'IP1'!$A$37:$G$89,7,0),Patterns!$A$2:$N$28,2,0),
IF(LEFT($D26,7)="Payroll",
SUMPRODUCT(($B26='IP1'!$B$96:$B$114)*('IP1'!$E$96:$E$114))/12,
SUMPRODUCT(($B26='IP1'!$B$96:$B$114)*('IP1'!$E$96:$E$114))/12*
IF(YEAR(T$3)=2013,'IP1'!$F$154,'IP1'!$G$154)
))</f>
        <v>833.33333333333337</v>
      </c>
      <c r="U26" s="85">
        <f>IF(LEFT($D26,5)="Other",
VLOOKUP($A26,'IP1'!$A$37:$G$89,5,0)*
VLOOKUP(
VLOOKUP($A26,'IP1'!$A$37:$G$89,7,0),Patterns!$A$2:$N$28,COLUMN(U26)-14,0)/
VLOOKUP(
VLOOKUP($A26,'IP1'!$A$37:$G$89,7,0),Patterns!$A$2:$N$28,2,0),
IF(LEFT($D26,7)="Payroll",
SUMPRODUCT(($B26='IP1'!$B$96:$B$114)*('IP1'!$E$96:$E$114))/12,
SUMPRODUCT(($B26='IP1'!$B$96:$B$114)*('IP1'!$E$96:$E$114))/12*
IF(YEAR(U$3)=2013,'IP1'!$F$154,'IP1'!$G$154)
))</f>
        <v>833.33333333333337</v>
      </c>
      <c r="V26" s="85">
        <f>IF(LEFT($D26,5)="Other",
VLOOKUP($A26,'IP1'!$A$37:$G$89,5,0)*
VLOOKUP(
VLOOKUP($A26,'IP1'!$A$37:$G$89,7,0),Patterns!$A$2:$N$28,COLUMN(V26)-14,0)/
VLOOKUP(
VLOOKUP($A26,'IP1'!$A$37:$G$89,7,0),Patterns!$A$2:$N$28,2,0),
IF(LEFT($D26,7)="Payroll",
SUMPRODUCT(($B26='IP1'!$B$96:$B$114)*('IP1'!$E$96:$E$114))/12,
SUMPRODUCT(($B26='IP1'!$B$96:$B$114)*('IP1'!$E$96:$E$114))/12*
IF(YEAR(V$3)=2013,'IP1'!$F$154,'IP1'!$G$154)
))</f>
        <v>833.33333333333337</v>
      </c>
      <c r="W26" s="85">
        <f>IF(LEFT($D26,5)="Other",
VLOOKUP($A26,'IP1'!$A$37:$G$89,5,0)*
VLOOKUP(
VLOOKUP($A26,'IP1'!$A$37:$G$89,7,0),Patterns!$A$2:$N$28,COLUMN(W26)-14,0)/
VLOOKUP(
VLOOKUP($A26,'IP1'!$A$37:$G$89,7,0),Patterns!$A$2:$N$28,2,0),
IF(LEFT($D26,7)="Payroll",
SUMPRODUCT(($B26='IP1'!$B$96:$B$114)*('IP1'!$E$96:$E$114))/12,
SUMPRODUCT(($B26='IP1'!$B$96:$B$114)*('IP1'!$E$96:$E$114))/12*
IF(YEAR(W$3)=2013,'IP1'!$F$154,'IP1'!$G$154)
))</f>
        <v>833.33333333333337</v>
      </c>
      <c r="X26" s="85">
        <f>IF(LEFT($D26,5)="Other",
VLOOKUP($A26,'IP1'!$A$37:$G$89,5,0)*
VLOOKUP(
VLOOKUP($A26,'IP1'!$A$37:$G$89,7,0),Patterns!$A$2:$N$28,COLUMN(X26)-14,0)/
VLOOKUP(
VLOOKUP($A26,'IP1'!$A$37:$G$89,7,0),Patterns!$A$2:$N$28,2,0),
IF(LEFT($D26,7)="Payroll",
SUMPRODUCT(($B26='IP1'!$B$96:$B$114)*('IP1'!$E$96:$E$114))/12,
SUMPRODUCT(($B26='IP1'!$B$96:$B$114)*('IP1'!$E$96:$E$114))/12*
IF(YEAR(X$3)=2013,'IP1'!$F$154,'IP1'!$G$154)
))</f>
        <v>833.33333333333337</v>
      </c>
      <c r="Y26" s="85">
        <f>IF(LEFT($D26,5)="Other",
VLOOKUP($A26,'IP1'!$A$37:$G$89,5,0)*
VLOOKUP(
VLOOKUP($A26,'IP1'!$A$37:$G$89,7,0),Patterns!$A$2:$N$28,COLUMN(Y26)-14,0)/
VLOOKUP(
VLOOKUP($A26,'IP1'!$A$37:$G$89,7,0),Patterns!$A$2:$N$28,2,0),
IF(LEFT($D26,7)="Payroll",
SUMPRODUCT(($B26='IP1'!$B$96:$B$114)*('IP1'!$E$96:$E$114))/12,
SUMPRODUCT(($B26='IP1'!$B$96:$B$114)*('IP1'!$E$96:$E$114))/12*
IF(YEAR(Y$3)=2013,'IP1'!$F$154,'IP1'!$G$154)
))</f>
        <v>833.33333333333337</v>
      </c>
      <c r="Z26" s="85">
        <f>IF(LEFT($D26,5)="Other",
VLOOKUP($A26,'IP1'!$A$37:$G$89,5,0)*
VLOOKUP(
VLOOKUP($A26,'IP1'!$A$37:$G$89,7,0),Patterns!$A$2:$N$28,COLUMN(Z26)-14,0)/
VLOOKUP(
VLOOKUP($A26,'IP1'!$A$37:$G$89,7,0),Patterns!$A$2:$N$28,2,0),
IF(LEFT($D26,7)="Payroll",
SUMPRODUCT(($B26='IP1'!$B$96:$B$114)*('IP1'!$E$96:$E$114))/12,
SUMPRODUCT(($B26='IP1'!$B$96:$B$114)*('IP1'!$E$96:$E$114))/12*
IF(YEAR(Z$3)=2013,'IP1'!$F$154,'IP1'!$G$154)
))</f>
        <v>833.33333333333337</v>
      </c>
      <c r="AA26" s="85">
        <f>IF(LEFT($D26,5)="Other",
VLOOKUP($A26,'IP1'!$A$37:$G$89,5,0)*
VLOOKUP(
VLOOKUP($A26,'IP1'!$A$37:$G$89,7,0),Patterns!$A$2:$N$28,COLUMN(AA26)-14,0)/
VLOOKUP(
VLOOKUP($A26,'IP1'!$A$37:$G$89,7,0),Patterns!$A$2:$N$28,2,0),
IF(LEFT($D26,7)="Payroll",
SUMPRODUCT(($B26='IP1'!$B$96:$B$114)*('IP1'!$E$96:$E$114))/12,
SUMPRODUCT(($B26='IP1'!$B$96:$B$114)*('IP1'!$E$96:$E$114))/12*
IF(YEAR(AA$3)=2013,'IP1'!$F$154,'IP1'!$G$154)
))</f>
        <v>833.33333333333337</v>
      </c>
      <c r="AB26" s="85">
        <f>IF(LEFT($D26,5)="Other",
VLOOKUP($A26,'IP1'!$A$37:$G$89,5,0)*
VLOOKUP(
VLOOKUP($A26,'IP1'!$A$37:$G$89,7,0),Patterns!$A$2:$N$28,COLUMN(AB26)-14,0)/
VLOOKUP(
VLOOKUP($A26,'IP1'!$A$37:$G$89,7,0),Patterns!$A$2:$N$28,2,0),
IF(LEFT($D26,7)="Payroll",
SUMPRODUCT(($B26='IP1'!$B$96:$B$114)*('IP1'!$E$96:$E$114))/12,
SUMPRODUCT(($B26='IP1'!$B$96:$B$114)*('IP1'!$E$96:$E$114))/12*
IF(YEAR(AB$3)=2013,'IP1'!$F$154,'IP1'!$G$154)
))</f>
        <v>833.33333333333337</v>
      </c>
    </row>
    <row r="27" spans="1:28">
      <c r="A27" s="1" t="str">
        <f t="shared" si="2"/>
        <v>AdministrationTelecommunications</v>
      </c>
      <c r="B27" s="1" t="s">
        <v>155</v>
      </c>
      <c r="C27" s="1" t="s">
        <v>490</v>
      </c>
      <c r="D27" s="11" t="s">
        <v>100</v>
      </c>
      <c r="E27" s="85">
        <f>IF(LEFT($D27,5)="Other",
VLOOKUP($A27,'IP1'!$A$37:$G$89,4,0)*
VLOOKUP(
VLOOKUP($A27,'IP1'!$A$37:$G$89,7,0),Patterns!$A$2:$N$28,COLUMN(E27)-2,0)/
VLOOKUP(
VLOOKUP($A27,'IP1'!$A$37:$G$89,7,0),Patterns!$A$2:$N$28,2,0),
IF(LEFT($D27,7)="Payroll",
SUMPRODUCT(($B27='IP1'!$B$96:$B$114)*('IP1'!$D$96:$D$114))/12,
SUMPRODUCT(($B27='IP1'!$B$96:$B$114)*('IP1'!$D$96:$D$114))/12*
IF(YEAR(E$3)=2013,'IP1'!$F$154,'IP1'!$G$154)
))</f>
        <v>416.66666666666669</v>
      </c>
      <c r="F27" s="85">
        <f>IF(LEFT($D27,5)="Other",
VLOOKUP($A27,'IP1'!$A$37:$G$89,4,0)*
VLOOKUP(
VLOOKUP($A27,'IP1'!$A$37:$G$89,7,0),Patterns!$A$2:$N$28,COLUMN(F27)-2,0)/
VLOOKUP(
VLOOKUP($A27,'IP1'!$A$37:$G$89,7,0),Patterns!$A$2:$N$28,2,0),
IF(LEFT($D27,7)="Payroll",
SUMPRODUCT(($B27='IP1'!$B$96:$B$114)*('IP1'!$D$96:$D$114))/12,
SUMPRODUCT(($B27='IP1'!$B$96:$B$114)*('IP1'!$D$96:$D$114))/12*
IF(YEAR(F$3)=2013,'IP1'!$F$154,'IP1'!$G$154)
))</f>
        <v>416.66666666666669</v>
      </c>
      <c r="G27" s="85">
        <f>IF(LEFT($D27,5)="Other",
VLOOKUP($A27,'IP1'!$A$37:$G$89,4,0)*
VLOOKUP(
VLOOKUP($A27,'IP1'!$A$37:$G$89,7,0),Patterns!$A$2:$N$28,COLUMN(G27)-2,0)/
VLOOKUP(
VLOOKUP($A27,'IP1'!$A$37:$G$89,7,0),Patterns!$A$2:$N$28,2,0),
IF(LEFT($D27,7)="Payroll",
SUMPRODUCT(($B27='IP1'!$B$96:$B$114)*('IP1'!$D$96:$D$114))/12,
SUMPRODUCT(($B27='IP1'!$B$96:$B$114)*('IP1'!$D$96:$D$114))/12*
IF(YEAR(G$3)=2013,'IP1'!$F$154,'IP1'!$G$154)
))</f>
        <v>416.66666666666669</v>
      </c>
      <c r="H27" s="85">
        <f>IF(LEFT($D27,5)="Other",
VLOOKUP($A27,'IP1'!$A$37:$G$89,4,0)*
VLOOKUP(
VLOOKUP($A27,'IP1'!$A$37:$G$89,7,0),Patterns!$A$2:$N$28,COLUMN(H27)-2,0)/
VLOOKUP(
VLOOKUP($A27,'IP1'!$A$37:$G$89,7,0),Patterns!$A$2:$N$28,2,0),
IF(LEFT($D27,7)="Payroll",
SUMPRODUCT(($B27='IP1'!$B$96:$B$114)*('IP1'!$D$96:$D$114))/12,
SUMPRODUCT(($B27='IP1'!$B$96:$B$114)*('IP1'!$D$96:$D$114))/12*
IF(YEAR(H$3)=2013,'IP1'!$F$154,'IP1'!$G$154)
))</f>
        <v>416.66666666666669</v>
      </c>
      <c r="I27" s="85">
        <f>IF(LEFT($D27,5)="Other",
VLOOKUP($A27,'IP1'!$A$37:$G$89,4,0)*
VLOOKUP(
VLOOKUP($A27,'IP1'!$A$37:$G$89,7,0),Patterns!$A$2:$N$28,COLUMN(I27)-2,0)/
VLOOKUP(
VLOOKUP($A27,'IP1'!$A$37:$G$89,7,0),Patterns!$A$2:$N$28,2,0),
IF(LEFT($D27,7)="Payroll",
SUMPRODUCT(($B27='IP1'!$B$96:$B$114)*('IP1'!$D$96:$D$114))/12,
SUMPRODUCT(($B27='IP1'!$B$96:$B$114)*('IP1'!$D$96:$D$114))/12*
IF(YEAR(I$3)=2013,'IP1'!$F$154,'IP1'!$G$154)
))</f>
        <v>416.66666666666669</v>
      </c>
      <c r="J27" s="85">
        <f>IF(LEFT($D27,5)="Other",
VLOOKUP($A27,'IP1'!$A$37:$G$89,4,0)*
VLOOKUP(
VLOOKUP($A27,'IP1'!$A$37:$G$89,7,0),Patterns!$A$2:$N$28,COLUMN(J27)-2,0)/
VLOOKUP(
VLOOKUP($A27,'IP1'!$A$37:$G$89,7,0),Patterns!$A$2:$N$28,2,0),
IF(LEFT($D27,7)="Payroll",
SUMPRODUCT(($B27='IP1'!$B$96:$B$114)*('IP1'!$D$96:$D$114))/12,
SUMPRODUCT(($B27='IP1'!$B$96:$B$114)*('IP1'!$D$96:$D$114))/12*
IF(YEAR(J$3)=2013,'IP1'!$F$154,'IP1'!$G$154)
))</f>
        <v>416.66666666666669</v>
      </c>
      <c r="K27" s="85">
        <f>IF(LEFT($D27,5)="Other",
VLOOKUP($A27,'IP1'!$A$37:$G$89,4,0)*
VLOOKUP(
VLOOKUP($A27,'IP1'!$A$37:$G$89,7,0),Patterns!$A$2:$N$28,COLUMN(K27)-2,0)/
VLOOKUP(
VLOOKUP($A27,'IP1'!$A$37:$G$89,7,0),Patterns!$A$2:$N$28,2,0),
IF(LEFT($D27,7)="Payroll",
SUMPRODUCT(($B27='IP1'!$B$96:$B$114)*('IP1'!$D$96:$D$114))/12,
SUMPRODUCT(($B27='IP1'!$B$96:$B$114)*('IP1'!$D$96:$D$114))/12*
IF(YEAR(K$3)=2013,'IP1'!$F$154,'IP1'!$G$154)
))</f>
        <v>416.66666666666669</v>
      </c>
      <c r="L27" s="85">
        <f>IF(LEFT($D27,5)="Other",
VLOOKUP($A27,'IP1'!$A$37:$G$89,4,0)*
VLOOKUP(
VLOOKUP($A27,'IP1'!$A$37:$G$89,7,0),Patterns!$A$2:$N$28,COLUMN(L27)-2,0)/
VLOOKUP(
VLOOKUP($A27,'IP1'!$A$37:$G$89,7,0),Patterns!$A$2:$N$28,2,0),
IF(LEFT($D27,7)="Payroll",
SUMPRODUCT(($B27='IP1'!$B$96:$B$114)*('IP1'!$D$96:$D$114))/12,
SUMPRODUCT(($B27='IP1'!$B$96:$B$114)*('IP1'!$D$96:$D$114))/12*
IF(YEAR(L$3)=2013,'IP1'!$F$154,'IP1'!$G$154)
))</f>
        <v>416.66666666666669</v>
      </c>
      <c r="M27" s="85">
        <f>IF(LEFT($D27,5)="Other",
VLOOKUP($A27,'IP1'!$A$37:$G$89,4,0)*
VLOOKUP(
VLOOKUP($A27,'IP1'!$A$37:$G$89,7,0),Patterns!$A$2:$N$28,COLUMN(M27)-2,0)/
VLOOKUP(
VLOOKUP($A27,'IP1'!$A$37:$G$89,7,0),Patterns!$A$2:$N$28,2,0),
IF(LEFT($D27,7)="Payroll",
SUMPRODUCT(($B27='IP1'!$B$96:$B$114)*('IP1'!$D$96:$D$114))/12,
SUMPRODUCT(($B27='IP1'!$B$96:$B$114)*('IP1'!$D$96:$D$114))/12*
IF(YEAR(M$3)=2013,'IP1'!$F$154,'IP1'!$G$154)
))</f>
        <v>416.66666666666669</v>
      </c>
      <c r="N27" s="85">
        <f>IF(LEFT($D27,5)="Other",
VLOOKUP($A27,'IP1'!$A$37:$G$89,4,0)*
VLOOKUP(
VLOOKUP($A27,'IP1'!$A$37:$G$89,7,0),Patterns!$A$2:$N$28,COLUMN(N27)-2,0)/
VLOOKUP(
VLOOKUP($A27,'IP1'!$A$37:$G$89,7,0),Patterns!$A$2:$N$28,2,0),
IF(LEFT($D27,7)="Payroll",
SUMPRODUCT(($B27='IP1'!$B$96:$B$114)*('IP1'!$D$96:$D$114))/12,
SUMPRODUCT(($B27='IP1'!$B$96:$B$114)*('IP1'!$D$96:$D$114))/12*
IF(YEAR(N$3)=2013,'IP1'!$F$154,'IP1'!$G$154)
))</f>
        <v>416.66666666666669</v>
      </c>
      <c r="O27" s="85">
        <f>IF(LEFT($D27,5)="Other",
VLOOKUP($A27,'IP1'!$A$37:$G$89,4,0)*
VLOOKUP(
VLOOKUP($A27,'IP1'!$A$37:$G$89,7,0),Patterns!$A$2:$N$28,COLUMN(O27)-2,0)/
VLOOKUP(
VLOOKUP($A27,'IP1'!$A$37:$G$89,7,0),Patterns!$A$2:$N$28,2,0),
IF(LEFT($D27,7)="Payroll",
SUMPRODUCT(($B27='IP1'!$B$96:$B$114)*('IP1'!$D$96:$D$114))/12,
SUMPRODUCT(($B27='IP1'!$B$96:$B$114)*('IP1'!$D$96:$D$114))/12*
IF(YEAR(O$3)=2013,'IP1'!$F$154,'IP1'!$G$154)
))</f>
        <v>416.66666666666669</v>
      </c>
      <c r="P27" s="85">
        <f>IF(LEFT($D27,5)="Other",
VLOOKUP($A27,'IP1'!$A$37:$G$89,4,0)*
VLOOKUP(
VLOOKUP($A27,'IP1'!$A$37:$G$89,7,0),Patterns!$A$2:$N$28,COLUMN(P27)-2,0)/
VLOOKUP(
VLOOKUP($A27,'IP1'!$A$37:$G$89,7,0),Patterns!$A$2:$N$28,2,0),
IF(LEFT($D27,7)="Payroll",
SUMPRODUCT(($B27='IP1'!$B$96:$B$114)*('IP1'!$D$96:$D$114))/12,
SUMPRODUCT(($B27='IP1'!$B$96:$B$114)*('IP1'!$D$96:$D$114))/12*
IF(YEAR(P$3)=2013,'IP1'!$F$154,'IP1'!$G$154)
))</f>
        <v>416.66666666666669</v>
      </c>
      <c r="Q27" s="85">
        <f>IF(LEFT($D27,5)="Other",
VLOOKUP($A27,'IP1'!$A$37:$G$89,5,0)*
VLOOKUP(
VLOOKUP($A27,'IP1'!$A$37:$G$89,7,0),Patterns!$A$2:$N$28,COLUMN(Q27)-14,0)/
VLOOKUP(
VLOOKUP($A27,'IP1'!$A$37:$G$89,7,0),Patterns!$A$2:$N$28,2,0),
IF(LEFT($D27,7)="Payroll",
SUMPRODUCT(($B27='IP1'!$B$96:$B$114)*('IP1'!$E$96:$E$114))/12,
SUMPRODUCT(($B27='IP1'!$B$96:$B$114)*('IP1'!$E$96:$E$114))/12*
IF(YEAR(Q$3)=2013,'IP1'!$F$154,'IP1'!$G$154)
))</f>
        <v>416.66666666666669</v>
      </c>
      <c r="R27" s="85">
        <f>IF(LEFT($D27,5)="Other",
VLOOKUP($A27,'IP1'!$A$37:$G$89,5,0)*
VLOOKUP(
VLOOKUP($A27,'IP1'!$A$37:$G$89,7,0),Patterns!$A$2:$N$28,COLUMN(R27)-14,0)/
VLOOKUP(
VLOOKUP($A27,'IP1'!$A$37:$G$89,7,0),Patterns!$A$2:$N$28,2,0),
IF(LEFT($D27,7)="Payroll",
SUMPRODUCT(($B27='IP1'!$B$96:$B$114)*('IP1'!$E$96:$E$114))/12,
SUMPRODUCT(($B27='IP1'!$B$96:$B$114)*('IP1'!$E$96:$E$114))/12*
IF(YEAR(R$3)=2013,'IP1'!$F$154,'IP1'!$G$154)
))</f>
        <v>416.66666666666669</v>
      </c>
      <c r="S27" s="85">
        <f>IF(LEFT($D27,5)="Other",
VLOOKUP($A27,'IP1'!$A$37:$G$89,5,0)*
VLOOKUP(
VLOOKUP($A27,'IP1'!$A$37:$G$89,7,0),Patterns!$A$2:$N$28,COLUMN(S27)-14,0)/
VLOOKUP(
VLOOKUP($A27,'IP1'!$A$37:$G$89,7,0),Patterns!$A$2:$N$28,2,0),
IF(LEFT($D27,7)="Payroll",
SUMPRODUCT(($B27='IP1'!$B$96:$B$114)*('IP1'!$E$96:$E$114))/12,
SUMPRODUCT(($B27='IP1'!$B$96:$B$114)*('IP1'!$E$96:$E$114))/12*
IF(YEAR(S$3)=2013,'IP1'!$F$154,'IP1'!$G$154)
))</f>
        <v>416.66666666666669</v>
      </c>
      <c r="T27" s="85">
        <f>IF(LEFT($D27,5)="Other",
VLOOKUP($A27,'IP1'!$A$37:$G$89,5,0)*
VLOOKUP(
VLOOKUP($A27,'IP1'!$A$37:$G$89,7,0),Patterns!$A$2:$N$28,COLUMN(T27)-14,0)/
VLOOKUP(
VLOOKUP($A27,'IP1'!$A$37:$G$89,7,0),Patterns!$A$2:$N$28,2,0),
IF(LEFT($D27,7)="Payroll",
SUMPRODUCT(($B27='IP1'!$B$96:$B$114)*('IP1'!$E$96:$E$114))/12,
SUMPRODUCT(($B27='IP1'!$B$96:$B$114)*('IP1'!$E$96:$E$114))/12*
IF(YEAR(T$3)=2013,'IP1'!$F$154,'IP1'!$G$154)
))</f>
        <v>416.66666666666669</v>
      </c>
      <c r="U27" s="85">
        <f>IF(LEFT($D27,5)="Other",
VLOOKUP($A27,'IP1'!$A$37:$G$89,5,0)*
VLOOKUP(
VLOOKUP($A27,'IP1'!$A$37:$G$89,7,0),Patterns!$A$2:$N$28,COLUMN(U27)-14,0)/
VLOOKUP(
VLOOKUP($A27,'IP1'!$A$37:$G$89,7,0),Patterns!$A$2:$N$28,2,0),
IF(LEFT($D27,7)="Payroll",
SUMPRODUCT(($B27='IP1'!$B$96:$B$114)*('IP1'!$E$96:$E$114))/12,
SUMPRODUCT(($B27='IP1'!$B$96:$B$114)*('IP1'!$E$96:$E$114))/12*
IF(YEAR(U$3)=2013,'IP1'!$F$154,'IP1'!$G$154)
))</f>
        <v>416.66666666666669</v>
      </c>
      <c r="V27" s="85">
        <f>IF(LEFT($D27,5)="Other",
VLOOKUP($A27,'IP1'!$A$37:$G$89,5,0)*
VLOOKUP(
VLOOKUP($A27,'IP1'!$A$37:$G$89,7,0),Patterns!$A$2:$N$28,COLUMN(V27)-14,0)/
VLOOKUP(
VLOOKUP($A27,'IP1'!$A$37:$G$89,7,0),Patterns!$A$2:$N$28,2,0),
IF(LEFT($D27,7)="Payroll",
SUMPRODUCT(($B27='IP1'!$B$96:$B$114)*('IP1'!$E$96:$E$114))/12,
SUMPRODUCT(($B27='IP1'!$B$96:$B$114)*('IP1'!$E$96:$E$114))/12*
IF(YEAR(V$3)=2013,'IP1'!$F$154,'IP1'!$G$154)
))</f>
        <v>416.66666666666669</v>
      </c>
      <c r="W27" s="85">
        <f>IF(LEFT($D27,5)="Other",
VLOOKUP($A27,'IP1'!$A$37:$G$89,5,0)*
VLOOKUP(
VLOOKUP($A27,'IP1'!$A$37:$G$89,7,0),Patterns!$A$2:$N$28,COLUMN(W27)-14,0)/
VLOOKUP(
VLOOKUP($A27,'IP1'!$A$37:$G$89,7,0),Patterns!$A$2:$N$28,2,0),
IF(LEFT($D27,7)="Payroll",
SUMPRODUCT(($B27='IP1'!$B$96:$B$114)*('IP1'!$E$96:$E$114))/12,
SUMPRODUCT(($B27='IP1'!$B$96:$B$114)*('IP1'!$E$96:$E$114))/12*
IF(YEAR(W$3)=2013,'IP1'!$F$154,'IP1'!$G$154)
))</f>
        <v>416.66666666666669</v>
      </c>
      <c r="X27" s="85">
        <f>IF(LEFT($D27,5)="Other",
VLOOKUP($A27,'IP1'!$A$37:$G$89,5,0)*
VLOOKUP(
VLOOKUP($A27,'IP1'!$A$37:$G$89,7,0),Patterns!$A$2:$N$28,COLUMN(X27)-14,0)/
VLOOKUP(
VLOOKUP($A27,'IP1'!$A$37:$G$89,7,0),Patterns!$A$2:$N$28,2,0),
IF(LEFT($D27,7)="Payroll",
SUMPRODUCT(($B27='IP1'!$B$96:$B$114)*('IP1'!$E$96:$E$114))/12,
SUMPRODUCT(($B27='IP1'!$B$96:$B$114)*('IP1'!$E$96:$E$114))/12*
IF(YEAR(X$3)=2013,'IP1'!$F$154,'IP1'!$G$154)
))</f>
        <v>416.66666666666669</v>
      </c>
      <c r="Y27" s="85">
        <f>IF(LEFT($D27,5)="Other",
VLOOKUP($A27,'IP1'!$A$37:$G$89,5,0)*
VLOOKUP(
VLOOKUP($A27,'IP1'!$A$37:$G$89,7,0),Patterns!$A$2:$N$28,COLUMN(Y27)-14,0)/
VLOOKUP(
VLOOKUP($A27,'IP1'!$A$37:$G$89,7,0),Patterns!$A$2:$N$28,2,0),
IF(LEFT($D27,7)="Payroll",
SUMPRODUCT(($B27='IP1'!$B$96:$B$114)*('IP1'!$E$96:$E$114))/12,
SUMPRODUCT(($B27='IP1'!$B$96:$B$114)*('IP1'!$E$96:$E$114))/12*
IF(YEAR(Y$3)=2013,'IP1'!$F$154,'IP1'!$G$154)
))</f>
        <v>416.66666666666669</v>
      </c>
      <c r="Z27" s="85">
        <f>IF(LEFT($D27,5)="Other",
VLOOKUP($A27,'IP1'!$A$37:$G$89,5,0)*
VLOOKUP(
VLOOKUP($A27,'IP1'!$A$37:$G$89,7,0),Patterns!$A$2:$N$28,COLUMN(Z27)-14,0)/
VLOOKUP(
VLOOKUP($A27,'IP1'!$A$37:$G$89,7,0),Patterns!$A$2:$N$28,2,0),
IF(LEFT($D27,7)="Payroll",
SUMPRODUCT(($B27='IP1'!$B$96:$B$114)*('IP1'!$E$96:$E$114))/12,
SUMPRODUCT(($B27='IP1'!$B$96:$B$114)*('IP1'!$E$96:$E$114))/12*
IF(YEAR(Z$3)=2013,'IP1'!$F$154,'IP1'!$G$154)
))</f>
        <v>416.66666666666669</v>
      </c>
      <c r="AA27" s="85">
        <f>IF(LEFT($D27,5)="Other",
VLOOKUP($A27,'IP1'!$A$37:$G$89,5,0)*
VLOOKUP(
VLOOKUP($A27,'IP1'!$A$37:$G$89,7,0),Patterns!$A$2:$N$28,COLUMN(AA27)-14,0)/
VLOOKUP(
VLOOKUP($A27,'IP1'!$A$37:$G$89,7,0),Patterns!$A$2:$N$28,2,0),
IF(LEFT($D27,7)="Payroll",
SUMPRODUCT(($B27='IP1'!$B$96:$B$114)*('IP1'!$E$96:$E$114))/12,
SUMPRODUCT(($B27='IP1'!$B$96:$B$114)*('IP1'!$E$96:$E$114))/12*
IF(YEAR(AA$3)=2013,'IP1'!$F$154,'IP1'!$G$154)
))</f>
        <v>416.66666666666669</v>
      </c>
      <c r="AB27" s="85">
        <f>IF(LEFT($D27,5)="Other",
VLOOKUP($A27,'IP1'!$A$37:$G$89,5,0)*
VLOOKUP(
VLOOKUP($A27,'IP1'!$A$37:$G$89,7,0),Patterns!$A$2:$N$28,COLUMN(AB27)-14,0)/
VLOOKUP(
VLOOKUP($A27,'IP1'!$A$37:$G$89,7,0),Patterns!$A$2:$N$28,2,0),
IF(LEFT($D27,7)="Payroll",
SUMPRODUCT(($B27='IP1'!$B$96:$B$114)*('IP1'!$E$96:$E$114))/12,
SUMPRODUCT(($B27='IP1'!$B$96:$B$114)*('IP1'!$E$96:$E$114))/12*
IF(YEAR(AB$3)=2013,'IP1'!$F$154,'IP1'!$G$154)
))</f>
        <v>416.66666666666669</v>
      </c>
    </row>
    <row r="28" spans="1:28">
      <c r="A28" s="1" t="str">
        <f t="shared" si="2"/>
        <v>AdministrationTraining and development</v>
      </c>
      <c r="B28" s="1" t="s">
        <v>155</v>
      </c>
      <c r="C28" s="1" t="s">
        <v>461</v>
      </c>
      <c r="D28" s="11" t="s">
        <v>100</v>
      </c>
      <c r="E28" s="85">
        <f>IF(LEFT($D28,5)="Other",
VLOOKUP($A28,'IP1'!$A$37:$G$89,4,0)*
VLOOKUP(
VLOOKUP($A28,'IP1'!$A$37:$G$89,7,0),Patterns!$A$2:$N$28,COLUMN(E28)-2,0)/
VLOOKUP(
VLOOKUP($A28,'IP1'!$A$37:$G$89,7,0),Patterns!$A$2:$N$28,2,0),
IF(LEFT($D28,7)="Payroll",
SUMPRODUCT(($B28='IP1'!$B$96:$B$114)*('IP1'!$D$96:$D$114))/12,
SUMPRODUCT(($B28='IP1'!$B$96:$B$114)*('IP1'!$D$96:$D$114))/12*
IF(YEAR(E$3)=2013,'IP1'!$F$154,'IP1'!$G$154)
))</f>
        <v>833.33333333333337</v>
      </c>
      <c r="F28" s="85">
        <f>IF(LEFT($D28,5)="Other",
VLOOKUP($A28,'IP1'!$A$37:$G$89,4,0)*
VLOOKUP(
VLOOKUP($A28,'IP1'!$A$37:$G$89,7,0),Patterns!$A$2:$N$28,COLUMN(F28)-2,0)/
VLOOKUP(
VLOOKUP($A28,'IP1'!$A$37:$G$89,7,0),Patterns!$A$2:$N$28,2,0),
IF(LEFT($D28,7)="Payroll",
SUMPRODUCT(($B28='IP1'!$B$96:$B$114)*('IP1'!$D$96:$D$114))/12,
SUMPRODUCT(($B28='IP1'!$B$96:$B$114)*('IP1'!$D$96:$D$114))/12*
IF(YEAR(F$3)=2013,'IP1'!$F$154,'IP1'!$G$154)
))</f>
        <v>833.33333333333337</v>
      </c>
      <c r="G28" s="85">
        <f>IF(LEFT($D28,5)="Other",
VLOOKUP($A28,'IP1'!$A$37:$G$89,4,0)*
VLOOKUP(
VLOOKUP($A28,'IP1'!$A$37:$G$89,7,0),Patterns!$A$2:$N$28,COLUMN(G28)-2,0)/
VLOOKUP(
VLOOKUP($A28,'IP1'!$A$37:$G$89,7,0),Patterns!$A$2:$N$28,2,0),
IF(LEFT($D28,7)="Payroll",
SUMPRODUCT(($B28='IP1'!$B$96:$B$114)*('IP1'!$D$96:$D$114))/12,
SUMPRODUCT(($B28='IP1'!$B$96:$B$114)*('IP1'!$D$96:$D$114))/12*
IF(YEAR(G$3)=2013,'IP1'!$F$154,'IP1'!$G$154)
))</f>
        <v>833.33333333333337</v>
      </c>
      <c r="H28" s="85">
        <f>IF(LEFT($D28,5)="Other",
VLOOKUP($A28,'IP1'!$A$37:$G$89,4,0)*
VLOOKUP(
VLOOKUP($A28,'IP1'!$A$37:$G$89,7,0),Patterns!$A$2:$N$28,COLUMN(H28)-2,0)/
VLOOKUP(
VLOOKUP($A28,'IP1'!$A$37:$G$89,7,0),Patterns!$A$2:$N$28,2,0),
IF(LEFT($D28,7)="Payroll",
SUMPRODUCT(($B28='IP1'!$B$96:$B$114)*('IP1'!$D$96:$D$114))/12,
SUMPRODUCT(($B28='IP1'!$B$96:$B$114)*('IP1'!$D$96:$D$114))/12*
IF(YEAR(H$3)=2013,'IP1'!$F$154,'IP1'!$G$154)
))</f>
        <v>833.33333333333337</v>
      </c>
      <c r="I28" s="85">
        <f>IF(LEFT($D28,5)="Other",
VLOOKUP($A28,'IP1'!$A$37:$G$89,4,0)*
VLOOKUP(
VLOOKUP($A28,'IP1'!$A$37:$G$89,7,0),Patterns!$A$2:$N$28,COLUMN(I28)-2,0)/
VLOOKUP(
VLOOKUP($A28,'IP1'!$A$37:$G$89,7,0),Patterns!$A$2:$N$28,2,0),
IF(LEFT($D28,7)="Payroll",
SUMPRODUCT(($B28='IP1'!$B$96:$B$114)*('IP1'!$D$96:$D$114))/12,
SUMPRODUCT(($B28='IP1'!$B$96:$B$114)*('IP1'!$D$96:$D$114))/12*
IF(YEAR(I$3)=2013,'IP1'!$F$154,'IP1'!$G$154)
))</f>
        <v>833.33333333333337</v>
      </c>
      <c r="J28" s="85">
        <f>IF(LEFT($D28,5)="Other",
VLOOKUP($A28,'IP1'!$A$37:$G$89,4,0)*
VLOOKUP(
VLOOKUP($A28,'IP1'!$A$37:$G$89,7,0),Patterns!$A$2:$N$28,COLUMN(J28)-2,0)/
VLOOKUP(
VLOOKUP($A28,'IP1'!$A$37:$G$89,7,0),Patterns!$A$2:$N$28,2,0),
IF(LEFT($D28,7)="Payroll",
SUMPRODUCT(($B28='IP1'!$B$96:$B$114)*('IP1'!$D$96:$D$114))/12,
SUMPRODUCT(($B28='IP1'!$B$96:$B$114)*('IP1'!$D$96:$D$114))/12*
IF(YEAR(J$3)=2013,'IP1'!$F$154,'IP1'!$G$154)
))</f>
        <v>833.33333333333337</v>
      </c>
      <c r="K28" s="85">
        <f>IF(LEFT($D28,5)="Other",
VLOOKUP($A28,'IP1'!$A$37:$G$89,4,0)*
VLOOKUP(
VLOOKUP($A28,'IP1'!$A$37:$G$89,7,0),Patterns!$A$2:$N$28,COLUMN(K28)-2,0)/
VLOOKUP(
VLOOKUP($A28,'IP1'!$A$37:$G$89,7,0),Patterns!$A$2:$N$28,2,0),
IF(LEFT($D28,7)="Payroll",
SUMPRODUCT(($B28='IP1'!$B$96:$B$114)*('IP1'!$D$96:$D$114))/12,
SUMPRODUCT(($B28='IP1'!$B$96:$B$114)*('IP1'!$D$96:$D$114))/12*
IF(YEAR(K$3)=2013,'IP1'!$F$154,'IP1'!$G$154)
))</f>
        <v>833.33333333333337</v>
      </c>
      <c r="L28" s="85">
        <f>IF(LEFT($D28,5)="Other",
VLOOKUP($A28,'IP1'!$A$37:$G$89,4,0)*
VLOOKUP(
VLOOKUP($A28,'IP1'!$A$37:$G$89,7,0),Patterns!$A$2:$N$28,COLUMN(L28)-2,0)/
VLOOKUP(
VLOOKUP($A28,'IP1'!$A$37:$G$89,7,0),Patterns!$A$2:$N$28,2,0),
IF(LEFT($D28,7)="Payroll",
SUMPRODUCT(($B28='IP1'!$B$96:$B$114)*('IP1'!$D$96:$D$114))/12,
SUMPRODUCT(($B28='IP1'!$B$96:$B$114)*('IP1'!$D$96:$D$114))/12*
IF(YEAR(L$3)=2013,'IP1'!$F$154,'IP1'!$G$154)
))</f>
        <v>833.33333333333337</v>
      </c>
      <c r="M28" s="85">
        <f>IF(LEFT($D28,5)="Other",
VLOOKUP($A28,'IP1'!$A$37:$G$89,4,0)*
VLOOKUP(
VLOOKUP($A28,'IP1'!$A$37:$G$89,7,0),Patterns!$A$2:$N$28,COLUMN(M28)-2,0)/
VLOOKUP(
VLOOKUP($A28,'IP1'!$A$37:$G$89,7,0),Patterns!$A$2:$N$28,2,0),
IF(LEFT($D28,7)="Payroll",
SUMPRODUCT(($B28='IP1'!$B$96:$B$114)*('IP1'!$D$96:$D$114))/12,
SUMPRODUCT(($B28='IP1'!$B$96:$B$114)*('IP1'!$D$96:$D$114))/12*
IF(YEAR(M$3)=2013,'IP1'!$F$154,'IP1'!$G$154)
))</f>
        <v>833.33333333333337</v>
      </c>
      <c r="N28" s="85">
        <f>IF(LEFT($D28,5)="Other",
VLOOKUP($A28,'IP1'!$A$37:$G$89,4,0)*
VLOOKUP(
VLOOKUP($A28,'IP1'!$A$37:$G$89,7,0),Patterns!$A$2:$N$28,COLUMN(N28)-2,0)/
VLOOKUP(
VLOOKUP($A28,'IP1'!$A$37:$G$89,7,0),Patterns!$A$2:$N$28,2,0),
IF(LEFT($D28,7)="Payroll",
SUMPRODUCT(($B28='IP1'!$B$96:$B$114)*('IP1'!$D$96:$D$114))/12,
SUMPRODUCT(($B28='IP1'!$B$96:$B$114)*('IP1'!$D$96:$D$114))/12*
IF(YEAR(N$3)=2013,'IP1'!$F$154,'IP1'!$G$154)
))</f>
        <v>833.33333333333337</v>
      </c>
      <c r="O28" s="85">
        <f>IF(LEFT($D28,5)="Other",
VLOOKUP($A28,'IP1'!$A$37:$G$89,4,0)*
VLOOKUP(
VLOOKUP($A28,'IP1'!$A$37:$G$89,7,0),Patterns!$A$2:$N$28,COLUMN(O28)-2,0)/
VLOOKUP(
VLOOKUP($A28,'IP1'!$A$37:$G$89,7,0),Patterns!$A$2:$N$28,2,0),
IF(LEFT($D28,7)="Payroll",
SUMPRODUCT(($B28='IP1'!$B$96:$B$114)*('IP1'!$D$96:$D$114))/12,
SUMPRODUCT(($B28='IP1'!$B$96:$B$114)*('IP1'!$D$96:$D$114))/12*
IF(YEAR(O$3)=2013,'IP1'!$F$154,'IP1'!$G$154)
))</f>
        <v>833.33333333333337</v>
      </c>
      <c r="P28" s="85">
        <f>IF(LEFT($D28,5)="Other",
VLOOKUP($A28,'IP1'!$A$37:$G$89,4,0)*
VLOOKUP(
VLOOKUP($A28,'IP1'!$A$37:$G$89,7,0),Patterns!$A$2:$N$28,COLUMN(P28)-2,0)/
VLOOKUP(
VLOOKUP($A28,'IP1'!$A$37:$G$89,7,0),Patterns!$A$2:$N$28,2,0),
IF(LEFT($D28,7)="Payroll",
SUMPRODUCT(($B28='IP1'!$B$96:$B$114)*('IP1'!$D$96:$D$114))/12,
SUMPRODUCT(($B28='IP1'!$B$96:$B$114)*('IP1'!$D$96:$D$114))/12*
IF(YEAR(P$3)=2013,'IP1'!$F$154,'IP1'!$G$154)
))</f>
        <v>833.33333333333337</v>
      </c>
      <c r="Q28" s="85">
        <f>IF(LEFT($D28,5)="Other",
VLOOKUP($A28,'IP1'!$A$37:$G$89,5,0)*
VLOOKUP(
VLOOKUP($A28,'IP1'!$A$37:$G$89,7,0),Patterns!$A$2:$N$28,COLUMN(Q28)-14,0)/
VLOOKUP(
VLOOKUP($A28,'IP1'!$A$37:$G$89,7,0),Patterns!$A$2:$N$28,2,0),
IF(LEFT($D28,7)="Payroll",
SUMPRODUCT(($B28='IP1'!$B$96:$B$114)*('IP1'!$E$96:$E$114))/12,
SUMPRODUCT(($B28='IP1'!$B$96:$B$114)*('IP1'!$E$96:$E$114))/12*
IF(YEAR(Q$3)=2013,'IP1'!$F$154,'IP1'!$G$154)
))</f>
        <v>833.33333333333337</v>
      </c>
      <c r="R28" s="85">
        <f>IF(LEFT($D28,5)="Other",
VLOOKUP($A28,'IP1'!$A$37:$G$89,5,0)*
VLOOKUP(
VLOOKUP($A28,'IP1'!$A$37:$G$89,7,0),Patterns!$A$2:$N$28,COLUMN(R28)-14,0)/
VLOOKUP(
VLOOKUP($A28,'IP1'!$A$37:$G$89,7,0),Patterns!$A$2:$N$28,2,0),
IF(LEFT($D28,7)="Payroll",
SUMPRODUCT(($B28='IP1'!$B$96:$B$114)*('IP1'!$E$96:$E$114))/12,
SUMPRODUCT(($B28='IP1'!$B$96:$B$114)*('IP1'!$E$96:$E$114))/12*
IF(YEAR(R$3)=2013,'IP1'!$F$154,'IP1'!$G$154)
))</f>
        <v>833.33333333333337</v>
      </c>
      <c r="S28" s="85">
        <f>IF(LEFT($D28,5)="Other",
VLOOKUP($A28,'IP1'!$A$37:$G$89,5,0)*
VLOOKUP(
VLOOKUP($A28,'IP1'!$A$37:$G$89,7,0),Patterns!$A$2:$N$28,COLUMN(S28)-14,0)/
VLOOKUP(
VLOOKUP($A28,'IP1'!$A$37:$G$89,7,0),Patterns!$A$2:$N$28,2,0),
IF(LEFT($D28,7)="Payroll",
SUMPRODUCT(($B28='IP1'!$B$96:$B$114)*('IP1'!$E$96:$E$114))/12,
SUMPRODUCT(($B28='IP1'!$B$96:$B$114)*('IP1'!$E$96:$E$114))/12*
IF(YEAR(S$3)=2013,'IP1'!$F$154,'IP1'!$G$154)
))</f>
        <v>833.33333333333337</v>
      </c>
      <c r="T28" s="85">
        <f>IF(LEFT($D28,5)="Other",
VLOOKUP($A28,'IP1'!$A$37:$G$89,5,0)*
VLOOKUP(
VLOOKUP($A28,'IP1'!$A$37:$G$89,7,0),Patterns!$A$2:$N$28,COLUMN(T28)-14,0)/
VLOOKUP(
VLOOKUP($A28,'IP1'!$A$37:$G$89,7,0),Patterns!$A$2:$N$28,2,0),
IF(LEFT($D28,7)="Payroll",
SUMPRODUCT(($B28='IP1'!$B$96:$B$114)*('IP1'!$E$96:$E$114))/12,
SUMPRODUCT(($B28='IP1'!$B$96:$B$114)*('IP1'!$E$96:$E$114))/12*
IF(YEAR(T$3)=2013,'IP1'!$F$154,'IP1'!$G$154)
))</f>
        <v>833.33333333333337</v>
      </c>
      <c r="U28" s="85">
        <f>IF(LEFT($D28,5)="Other",
VLOOKUP($A28,'IP1'!$A$37:$G$89,5,0)*
VLOOKUP(
VLOOKUP($A28,'IP1'!$A$37:$G$89,7,0),Patterns!$A$2:$N$28,COLUMN(U28)-14,0)/
VLOOKUP(
VLOOKUP($A28,'IP1'!$A$37:$G$89,7,0),Patterns!$A$2:$N$28,2,0),
IF(LEFT($D28,7)="Payroll",
SUMPRODUCT(($B28='IP1'!$B$96:$B$114)*('IP1'!$E$96:$E$114))/12,
SUMPRODUCT(($B28='IP1'!$B$96:$B$114)*('IP1'!$E$96:$E$114))/12*
IF(YEAR(U$3)=2013,'IP1'!$F$154,'IP1'!$G$154)
))</f>
        <v>833.33333333333337</v>
      </c>
      <c r="V28" s="85">
        <f>IF(LEFT($D28,5)="Other",
VLOOKUP($A28,'IP1'!$A$37:$G$89,5,0)*
VLOOKUP(
VLOOKUP($A28,'IP1'!$A$37:$G$89,7,0),Patterns!$A$2:$N$28,COLUMN(V28)-14,0)/
VLOOKUP(
VLOOKUP($A28,'IP1'!$A$37:$G$89,7,0),Patterns!$A$2:$N$28,2,0),
IF(LEFT($D28,7)="Payroll",
SUMPRODUCT(($B28='IP1'!$B$96:$B$114)*('IP1'!$E$96:$E$114))/12,
SUMPRODUCT(($B28='IP1'!$B$96:$B$114)*('IP1'!$E$96:$E$114))/12*
IF(YEAR(V$3)=2013,'IP1'!$F$154,'IP1'!$G$154)
))</f>
        <v>833.33333333333337</v>
      </c>
      <c r="W28" s="85">
        <f>IF(LEFT($D28,5)="Other",
VLOOKUP($A28,'IP1'!$A$37:$G$89,5,0)*
VLOOKUP(
VLOOKUP($A28,'IP1'!$A$37:$G$89,7,0),Patterns!$A$2:$N$28,COLUMN(W28)-14,0)/
VLOOKUP(
VLOOKUP($A28,'IP1'!$A$37:$G$89,7,0),Patterns!$A$2:$N$28,2,0),
IF(LEFT($D28,7)="Payroll",
SUMPRODUCT(($B28='IP1'!$B$96:$B$114)*('IP1'!$E$96:$E$114))/12,
SUMPRODUCT(($B28='IP1'!$B$96:$B$114)*('IP1'!$E$96:$E$114))/12*
IF(YEAR(W$3)=2013,'IP1'!$F$154,'IP1'!$G$154)
))</f>
        <v>833.33333333333337</v>
      </c>
      <c r="X28" s="85">
        <f>IF(LEFT($D28,5)="Other",
VLOOKUP($A28,'IP1'!$A$37:$G$89,5,0)*
VLOOKUP(
VLOOKUP($A28,'IP1'!$A$37:$G$89,7,0),Patterns!$A$2:$N$28,COLUMN(X28)-14,0)/
VLOOKUP(
VLOOKUP($A28,'IP1'!$A$37:$G$89,7,0),Patterns!$A$2:$N$28,2,0),
IF(LEFT($D28,7)="Payroll",
SUMPRODUCT(($B28='IP1'!$B$96:$B$114)*('IP1'!$E$96:$E$114))/12,
SUMPRODUCT(($B28='IP1'!$B$96:$B$114)*('IP1'!$E$96:$E$114))/12*
IF(YEAR(X$3)=2013,'IP1'!$F$154,'IP1'!$G$154)
))</f>
        <v>833.33333333333337</v>
      </c>
      <c r="Y28" s="85">
        <f>IF(LEFT($D28,5)="Other",
VLOOKUP($A28,'IP1'!$A$37:$G$89,5,0)*
VLOOKUP(
VLOOKUP($A28,'IP1'!$A$37:$G$89,7,0),Patterns!$A$2:$N$28,COLUMN(Y28)-14,0)/
VLOOKUP(
VLOOKUP($A28,'IP1'!$A$37:$G$89,7,0),Patterns!$A$2:$N$28,2,0),
IF(LEFT($D28,7)="Payroll",
SUMPRODUCT(($B28='IP1'!$B$96:$B$114)*('IP1'!$E$96:$E$114))/12,
SUMPRODUCT(($B28='IP1'!$B$96:$B$114)*('IP1'!$E$96:$E$114))/12*
IF(YEAR(Y$3)=2013,'IP1'!$F$154,'IP1'!$G$154)
))</f>
        <v>833.33333333333337</v>
      </c>
      <c r="Z28" s="85">
        <f>IF(LEFT($D28,5)="Other",
VLOOKUP($A28,'IP1'!$A$37:$G$89,5,0)*
VLOOKUP(
VLOOKUP($A28,'IP1'!$A$37:$G$89,7,0),Patterns!$A$2:$N$28,COLUMN(Z28)-14,0)/
VLOOKUP(
VLOOKUP($A28,'IP1'!$A$37:$G$89,7,0),Patterns!$A$2:$N$28,2,0),
IF(LEFT($D28,7)="Payroll",
SUMPRODUCT(($B28='IP1'!$B$96:$B$114)*('IP1'!$E$96:$E$114))/12,
SUMPRODUCT(($B28='IP1'!$B$96:$B$114)*('IP1'!$E$96:$E$114))/12*
IF(YEAR(Z$3)=2013,'IP1'!$F$154,'IP1'!$G$154)
))</f>
        <v>833.33333333333337</v>
      </c>
      <c r="AA28" s="85">
        <f>IF(LEFT($D28,5)="Other",
VLOOKUP($A28,'IP1'!$A$37:$G$89,5,0)*
VLOOKUP(
VLOOKUP($A28,'IP1'!$A$37:$G$89,7,0),Patterns!$A$2:$N$28,COLUMN(AA28)-14,0)/
VLOOKUP(
VLOOKUP($A28,'IP1'!$A$37:$G$89,7,0),Patterns!$A$2:$N$28,2,0),
IF(LEFT($D28,7)="Payroll",
SUMPRODUCT(($B28='IP1'!$B$96:$B$114)*('IP1'!$E$96:$E$114))/12,
SUMPRODUCT(($B28='IP1'!$B$96:$B$114)*('IP1'!$E$96:$E$114))/12*
IF(YEAR(AA$3)=2013,'IP1'!$F$154,'IP1'!$G$154)
))</f>
        <v>833.33333333333337</v>
      </c>
      <c r="AB28" s="85">
        <f>IF(LEFT($D28,5)="Other",
VLOOKUP($A28,'IP1'!$A$37:$G$89,5,0)*
VLOOKUP(
VLOOKUP($A28,'IP1'!$A$37:$G$89,7,0),Patterns!$A$2:$N$28,COLUMN(AB28)-14,0)/
VLOOKUP(
VLOOKUP($A28,'IP1'!$A$37:$G$89,7,0),Patterns!$A$2:$N$28,2,0),
IF(LEFT($D28,7)="Payroll",
SUMPRODUCT(($B28='IP1'!$B$96:$B$114)*('IP1'!$E$96:$E$114))/12,
SUMPRODUCT(($B28='IP1'!$B$96:$B$114)*('IP1'!$E$96:$E$114))/12*
IF(YEAR(AB$3)=2013,'IP1'!$F$154,'IP1'!$G$154)
))</f>
        <v>833.33333333333337</v>
      </c>
    </row>
    <row r="29" spans="1:28">
      <c r="A29" s="1" t="str">
        <f t="shared" si="2"/>
        <v>AdministrationTravel</v>
      </c>
      <c r="B29" s="1" t="s">
        <v>155</v>
      </c>
      <c r="C29" s="1" t="s">
        <v>462</v>
      </c>
      <c r="D29" s="11" t="s">
        <v>100</v>
      </c>
      <c r="E29" s="85">
        <f>IF(LEFT($D29,5)="Other",
VLOOKUP($A29,'IP1'!$A$37:$G$89,4,0)*
VLOOKUP(
VLOOKUP($A29,'IP1'!$A$37:$G$89,7,0),Patterns!$A$2:$N$28,COLUMN(E29)-2,0)/
VLOOKUP(
VLOOKUP($A29,'IP1'!$A$37:$G$89,7,0),Patterns!$A$2:$N$28,2,0),
IF(LEFT($D29,7)="Payroll",
SUMPRODUCT(($B29='IP1'!$B$96:$B$114)*('IP1'!$D$96:$D$114))/12,
SUMPRODUCT(($B29='IP1'!$B$96:$B$114)*('IP1'!$D$96:$D$114))/12*
IF(YEAR(E$3)=2013,'IP1'!$F$154,'IP1'!$G$154)
))</f>
        <v>416.66666666666669</v>
      </c>
      <c r="F29" s="85">
        <f>IF(LEFT($D29,5)="Other",
VLOOKUP($A29,'IP1'!$A$37:$G$89,4,0)*
VLOOKUP(
VLOOKUP($A29,'IP1'!$A$37:$G$89,7,0),Patterns!$A$2:$N$28,COLUMN(F29)-2,0)/
VLOOKUP(
VLOOKUP($A29,'IP1'!$A$37:$G$89,7,0),Patterns!$A$2:$N$28,2,0),
IF(LEFT($D29,7)="Payroll",
SUMPRODUCT(($B29='IP1'!$B$96:$B$114)*('IP1'!$D$96:$D$114))/12,
SUMPRODUCT(($B29='IP1'!$B$96:$B$114)*('IP1'!$D$96:$D$114))/12*
IF(YEAR(F$3)=2013,'IP1'!$F$154,'IP1'!$G$154)
))</f>
        <v>416.66666666666669</v>
      </c>
      <c r="G29" s="85">
        <f>IF(LEFT($D29,5)="Other",
VLOOKUP($A29,'IP1'!$A$37:$G$89,4,0)*
VLOOKUP(
VLOOKUP($A29,'IP1'!$A$37:$G$89,7,0),Patterns!$A$2:$N$28,COLUMN(G29)-2,0)/
VLOOKUP(
VLOOKUP($A29,'IP1'!$A$37:$G$89,7,0),Patterns!$A$2:$N$28,2,0),
IF(LEFT($D29,7)="Payroll",
SUMPRODUCT(($B29='IP1'!$B$96:$B$114)*('IP1'!$D$96:$D$114))/12,
SUMPRODUCT(($B29='IP1'!$B$96:$B$114)*('IP1'!$D$96:$D$114))/12*
IF(YEAR(G$3)=2013,'IP1'!$F$154,'IP1'!$G$154)
))</f>
        <v>416.66666666666669</v>
      </c>
      <c r="H29" s="85">
        <f>IF(LEFT($D29,5)="Other",
VLOOKUP($A29,'IP1'!$A$37:$G$89,4,0)*
VLOOKUP(
VLOOKUP($A29,'IP1'!$A$37:$G$89,7,0),Patterns!$A$2:$N$28,COLUMN(H29)-2,0)/
VLOOKUP(
VLOOKUP($A29,'IP1'!$A$37:$G$89,7,0),Patterns!$A$2:$N$28,2,0),
IF(LEFT($D29,7)="Payroll",
SUMPRODUCT(($B29='IP1'!$B$96:$B$114)*('IP1'!$D$96:$D$114))/12,
SUMPRODUCT(($B29='IP1'!$B$96:$B$114)*('IP1'!$D$96:$D$114))/12*
IF(YEAR(H$3)=2013,'IP1'!$F$154,'IP1'!$G$154)
))</f>
        <v>416.66666666666669</v>
      </c>
      <c r="I29" s="85">
        <f>IF(LEFT($D29,5)="Other",
VLOOKUP($A29,'IP1'!$A$37:$G$89,4,0)*
VLOOKUP(
VLOOKUP($A29,'IP1'!$A$37:$G$89,7,0),Patterns!$A$2:$N$28,COLUMN(I29)-2,0)/
VLOOKUP(
VLOOKUP($A29,'IP1'!$A$37:$G$89,7,0),Patterns!$A$2:$N$28,2,0),
IF(LEFT($D29,7)="Payroll",
SUMPRODUCT(($B29='IP1'!$B$96:$B$114)*('IP1'!$D$96:$D$114))/12,
SUMPRODUCT(($B29='IP1'!$B$96:$B$114)*('IP1'!$D$96:$D$114))/12*
IF(YEAR(I$3)=2013,'IP1'!$F$154,'IP1'!$G$154)
))</f>
        <v>416.66666666666669</v>
      </c>
      <c r="J29" s="85">
        <f>IF(LEFT($D29,5)="Other",
VLOOKUP($A29,'IP1'!$A$37:$G$89,4,0)*
VLOOKUP(
VLOOKUP($A29,'IP1'!$A$37:$G$89,7,0),Patterns!$A$2:$N$28,COLUMN(J29)-2,0)/
VLOOKUP(
VLOOKUP($A29,'IP1'!$A$37:$G$89,7,0),Patterns!$A$2:$N$28,2,0),
IF(LEFT($D29,7)="Payroll",
SUMPRODUCT(($B29='IP1'!$B$96:$B$114)*('IP1'!$D$96:$D$114))/12,
SUMPRODUCT(($B29='IP1'!$B$96:$B$114)*('IP1'!$D$96:$D$114))/12*
IF(YEAR(J$3)=2013,'IP1'!$F$154,'IP1'!$G$154)
))</f>
        <v>416.66666666666669</v>
      </c>
      <c r="K29" s="85">
        <f>IF(LEFT($D29,5)="Other",
VLOOKUP($A29,'IP1'!$A$37:$G$89,4,0)*
VLOOKUP(
VLOOKUP($A29,'IP1'!$A$37:$G$89,7,0),Patterns!$A$2:$N$28,COLUMN(K29)-2,0)/
VLOOKUP(
VLOOKUP($A29,'IP1'!$A$37:$G$89,7,0),Patterns!$A$2:$N$28,2,0),
IF(LEFT($D29,7)="Payroll",
SUMPRODUCT(($B29='IP1'!$B$96:$B$114)*('IP1'!$D$96:$D$114))/12,
SUMPRODUCT(($B29='IP1'!$B$96:$B$114)*('IP1'!$D$96:$D$114))/12*
IF(YEAR(K$3)=2013,'IP1'!$F$154,'IP1'!$G$154)
))</f>
        <v>416.66666666666669</v>
      </c>
      <c r="L29" s="85">
        <f>IF(LEFT($D29,5)="Other",
VLOOKUP($A29,'IP1'!$A$37:$G$89,4,0)*
VLOOKUP(
VLOOKUP($A29,'IP1'!$A$37:$G$89,7,0),Patterns!$A$2:$N$28,COLUMN(L29)-2,0)/
VLOOKUP(
VLOOKUP($A29,'IP1'!$A$37:$G$89,7,0),Patterns!$A$2:$N$28,2,0),
IF(LEFT($D29,7)="Payroll",
SUMPRODUCT(($B29='IP1'!$B$96:$B$114)*('IP1'!$D$96:$D$114))/12,
SUMPRODUCT(($B29='IP1'!$B$96:$B$114)*('IP1'!$D$96:$D$114))/12*
IF(YEAR(L$3)=2013,'IP1'!$F$154,'IP1'!$G$154)
))</f>
        <v>416.66666666666669</v>
      </c>
      <c r="M29" s="85">
        <f>IF(LEFT($D29,5)="Other",
VLOOKUP($A29,'IP1'!$A$37:$G$89,4,0)*
VLOOKUP(
VLOOKUP($A29,'IP1'!$A$37:$G$89,7,0),Patterns!$A$2:$N$28,COLUMN(M29)-2,0)/
VLOOKUP(
VLOOKUP($A29,'IP1'!$A$37:$G$89,7,0),Patterns!$A$2:$N$28,2,0),
IF(LEFT($D29,7)="Payroll",
SUMPRODUCT(($B29='IP1'!$B$96:$B$114)*('IP1'!$D$96:$D$114))/12,
SUMPRODUCT(($B29='IP1'!$B$96:$B$114)*('IP1'!$D$96:$D$114))/12*
IF(YEAR(M$3)=2013,'IP1'!$F$154,'IP1'!$G$154)
))</f>
        <v>416.66666666666669</v>
      </c>
      <c r="N29" s="85">
        <f>IF(LEFT($D29,5)="Other",
VLOOKUP($A29,'IP1'!$A$37:$G$89,4,0)*
VLOOKUP(
VLOOKUP($A29,'IP1'!$A$37:$G$89,7,0),Patterns!$A$2:$N$28,COLUMN(N29)-2,0)/
VLOOKUP(
VLOOKUP($A29,'IP1'!$A$37:$G$89,7,0),Patterns!$A$2:$N$28,2,0),
IF(LEFT($D29,7)="Payroll",
SUMPRODUCT(($B29='IP1'!$B$96:$B$114)*('IP1'!$D$96:$D$114))/12,
SUMPRODUCT(($B29='IP1'!$B$96:$B$114)*('IP1'!$D$96:$D$114))/12*
IF(YEAR(N$3)=2013,'IP1'!$F$154,'IP1'!$G$154)
))</f>
        <v>416.66666666666669</v>
      </c>
      <c r="O29" s="85">
        <f>IF(LEFT($D29,5)="Other",
VLOOKUP($A29,'IP1'!$A$37:$G$89,4,0)*
VLOOKUP(
VLOOKUP($A29,'IP1'!$A$37:$G$89,7,0),Patterns!$A$2:$N$28,COLUMN(O29)-2,0)/
VLOOKUP(
VLOOKUP($A29,'IP1'!$A$37:$G$89,7,0),Patterns!$A$2:$N$28,2,0),
IF(LEFT($D29,7)="Payroll",
SUMPRODUCT(($B29='IP1'!$B$96:$B$114)*('IP1'!$D$96:$D$114))/12,
SUMPRODUCT(($B29='IP1'!$B$96:$B$114)*('IP1'!$D$96:$D$114))/12*
IF(YEAR(O$3)=2013,'IP1'!$F$154,'IP1'!$G$154)
))</f>
        <v>416.66666666666669</v>
      </c>
      <c r="P29" s="85">
        <f>IF(LEFT($D29,5)="Other",
VLOOKUP($A29,'IP1'!$A$37:$G$89,4,0)*
VLOOKUP(
VLOOKUP($A29,'IP1'!$A$37:$G$89,7,0),Patterns!$A$2:$N$28,COLUMN(P29)-2,0)/
VLOOKUP(
VLOOKUP($A29,'IP1'!$A$37:$G$89,7,0),Patterns!$A$2:$N$28,2,0),
IF(LEFT($D29,7)="Payroll",
SUMPRODUCT(($B29='IP1'!$B$96:$B$114)*('IP1'!$D$96:$D$114))/12,
SUMPRODUCT(($B29='IP1'!$B$96:$B$114)*('IP1'!$D$96:$D$114))/12*
IF(YEAR(P$3)=2013,'IP1'!$F$154,'IP1'!$G$154)
))</f>
        <v>416.66666666666669</v>
      </c>
      <c r="Q29" s="85">
        <f>IF(LEFT($D29,5)="Other",
VLOOKUP($A29,'IP1'!$A$37:$G$89,5,0)*
VLOOKUP(
VLOOKUP($A29,'IP1'!$A$37:$G$89,7,0),Patterns!$A$2:$N$28,COLUMN(Q29)-14,0)/
VLOOKUP(
VLOOKUP($A29,'IP1'!$A$37:$G$89,7,0),Patterns!$A$2:$N$28,2,0),
IF(LEFT($D29,7)="Payroll",
SUMPRODUCT(($B29='IP1'!$B$96:$B$114)*('IP1'!$E$96:$E$114))/12,
SUMPRODUCT(($B29='IP1'!$B$96:$B$114)*('IP1'!$E$96:$E$114))/12*
IF(YEAR(Q$3)=2013,'IP1'!$F$154,'IP1'!$G$154)
))</f>
        <v>416.66666666666669</v>
      </c>
      <c r="R29" s="85">
        <f>IF(LEFT($D29,5)="Other",
VLOOKUP($A29,'IP1'!$A$37:$G$89,5,0)*
VLOOKUP(
VLOOKUP($A29,'IP1'!$A$37:$G$89,7,0),Patterns!$A$2:$N$28,COLUMN(R29)-14,0)/
VLOOKUP(
VLOOKUP($A29,'IP1'!$A$37:$G$89,7,0),Patterns!$A$2:$N$28,2,0),
IF(LEFT($D29,7)="Payroll",
SUMPRODUCT(($B29='IP1'!$B$96:$B$114)*('IP1'!$E$96:$E$114))/12,
SUMPRODUCT(($B29='IP1'!$B$96:$B$114)*('IP1'!$E$96:$E$114))/12*
IF(YEAR(R$3)=2013,'IP1'!$F$154,'IP1'!$G$154)
))</f>
        <v>416.66666666666669</v>
      </c>
      <c r="S29" s="85">
        <f>IF(LEFT($D29,5)="Other",
VLOOKUP($A29,'IP1'!$A$37:$G$89,5,0)*
VLOOKUP(
VLOOKUP($A29,'IP1'!$A$37:$G$89,7,0),Patterns!$A$2:$N$28,COLUMN(S29)-14,0)/
VLOOKUP(
VLOOKUP($A29,'IP1'!$A$37:$G$89,7,0),Patterns!$A$2:$N$28,2,0),
IF(LEFT($D29,7)="Payroll",
SUMPRODUCT(($B29='IP1'!$B$96:$B$114)*('IP1'!$E$96:$E$114))/12,
SUMPRODUCT(($B29='IP1'!$B$96:$B$114)*('IP1'!$E$96:$E$114))/12*
IF(YEAR(S$3)=2013,'IP1'!$F$154,'IP1'!$G$154)
))</f>
        <v>416.66666666666669</v>
      </c>
      <c r="T29" s="85">
        <f>IF(LEFT($D29,5)="Other",
VLOOKUP($A29,'IP1'!$A$37:$G$89,5,0)*
VLOOKUP(
VLOOKUP($A29,'IP1'!$A$37:$G$89,7,0),Patterns!$A$2:$N$28,COLUMN(T29)-14,0)/
VLOOKUP(
VLOOKUP($A29,'IP1'!$A$37:$G$89,7,0),Patterns!$A$2:$N$28,2,0),
IF(LEFT($D29,7)="Payroll",
SUMPRODUCT(($B29='IP1'!$B$96:$B$114)*('IP1'!$E$96:$E$114))/12,
SUMPRODUCT(($B29='IP1'!$B$96:$B$114)*('IP1'!$E$96:$E$114))/12*
IF(YEAR(T$3)=2013,'IP1'!$F$154,'IP1'!$G$154)
))</f>
        <v>416.66666666666669</v>
      </c>
      <c r="U29" s="85">
        <f>IF(LEFT($D29,5)="Other",
VLOOKUP($A29,'IP1'!$A$37:$G$89,5,0)*
VLOOKUP(
VLOOKUP($A29,'IP1'!$A$37:$G$89,7,0),Patterns!$A$2:$N$28,COLUMN(U29)-14,0)/
VLOOKUP(
VLOOKUP($A29,'IP1'!$A$37:$G$89,7,0),Patterns!$A$2:$N$28,2,0),
IF(LEFT($D29,7)="Payroll",
SUMPRODUCT(($B29='IP1'!$B$96:$B$114)*('IP1'!$E$96:$E$114))/12,
SUMPRODUCT(($B29='IP1'!$B$96:$B$114)*('IP1'!$E$96:$E$114))/12*
IF(YEAR(U$3)=2013,'IP1'!$F$154,'IP1'!$G$154)
))</f>
        <v>416.66666666666669</v>
      </c>
      <c r="V29" s="85">
        <f>IF(LEFT($D29,5)="Other",
VLOOKUP($A29,'IP1'!$A$37:$G$89,5,0)*
VLOOKUP(
VLOOKUP($A29,'IP1'!$A$37:$G$89,7,0),Patterns!$A$2:$N$28,COLUMN(V29)-14,0)/
VLOOKUP(
VLOOKUP($A29,'IP1'!$A$37:$G$89,7,0),Patterns!$A$2:$N$28,2,0),
IF(LEFT($D29,7)="Payroll",
SUMPRODUCT(($B29='IP1'!$B$96:$B$114)*('IP1'!$E$96:$E$114))/12,
SUMPRODUCT(($B29='IP1'!$B$96:$B$114)*('IP1'!$E$96:$E$114))/12*
IF(YEAR(V$3)=2013,'IP1'!$F$154,'IP1'!$G$154)
))</f>
        <v>416.66666666666669</v>
      </c>
      <c r="W29" s="85">
        <f>IF(LEFT($D29,5)="Other",
VLOOKUP($A29,'IP1'!$A$37:$G$89,5,0)*
VLOOKUP(
VLOOKUP($A29,'IP1'!$A$37:$G$89,7,0),Patterns!$A$2:$N$28,COLUMN(W29)-14,0)/
VLOOKUP(
VLOOKUP($A29,'IP1'!$A$37:$G$89,7,0),Patterns!$A$2:$N$28,2,0),
IF(LEFT($D29,7)="Payroll",
SUMPRODUCT(($B29='IP1'!$B$96:$B$114)*('IP1'!$E$96:$E$114))/12,
SUMPRODUCT(($B29='IP1'!$B$96:$B$114)*('IP1'!$E$96:$E$114))/12*
IF(YEAR(W$3)=2013,'IP1'!$F$154,'IP1'!$G$154)
))</f>
        <v>416.66666666666669</v>
      </c>
      <c r="X29" s="85">
        <f>IF(LEFT($D29,5)="Other",
VLOOKUP($A29,'IP1'!$A$37:$G$89,5,0)*
VLOOKUP(
VLOOKUP($A29,'IP1'!$A$37:$G$89,7,0),Patterns!$A$2:$N$28,COLUMN(X29)-14,0)/
VLOOKUP(
VLOOKUP($A29,'IP1'!$A$37:$G$89,7,0),Patterns!$A$2:$N$28,2,0),
IF(LEFT($D29,7)="Payroll",
SUMPRODUCT(($B29='IP1'!$B$96:$B$114)*('IP1'!$E$96:$E$114))/12,
SUMPRODUCT(($B29='IP1'!$B$96:$B$114)*('IP1'!$E$96:$E$114))/12*
IF(YEAR(X$3)=2013,'IP1'!$F$154,'IP1'!$G$154)
))</f>
        <v>416.66666666666669</v>
      </c>
      <c r="Y29" s="85">
        <f>IF(LEFT($D29,5)="Other",
VLOOKUP($A29,'IP1'!$A$37:$G$89,5,0)*
VLOOKUP(
VLOOKUP($A29,'IP1'!$A$37:$G$89,7,0),Patterns!$A$2:$N$28,COLUMN(Y29)-14,0)/
VLOOKUP(
VLOOKUP($A29,'IP1'!$A$37:$G$89,7,0),Patterns!$A$2:$N$28,2,0),
IF(LEFT($D29,7)="Payroll",
SUMPRODUCT(($B29='IP1'!$B$96:$B$114)*('IP1'!$E$96:$E$114))/12,
SUMPRODUCT(($B29='IP1'!$B$96:$B$114)*('IP1'!$E$96:$E$114))/12*
IF(YEAR(Y$3)=2013,'IP1'!$F$154,'IP1'!$G$154)
))</f>
        <v>416.66666666666669</v>
      </c>
      <c r="Z29" s="85">
        <f>IF(LEFT($D29,5)="Other",
VLOOKUP($A29,'IP1'!$A$37:$G$89,5,0)*
VLOOKUP(
VLOOKUP($A29,'IP1'!$A$37:$G$89,7,0),Patterns!$A$2:$N$28,COLUMN(Z29)-14,0)/
VLOOKUP(
VLOOKUP($A29,'IP1'!$A$37:$G$89,7,0),Patterns!$A$2:$N$28,2,0),
IF(LEFT($D29,7)="Payroll",
SUMPRODUCT(($B29='IP1'!$B$96:$B$114)*('IP1'!$E$96:$E$114))/12,
SUMPRODUCT(($B29='IP1'!$B$96:$B$114)*('IP1'!$E$96:$E$114))/12*
IF(YEAR(Z$3)=2013,'IP1'!$F$154,'IP1'!$G$154)
))</f>
        <v>416.66666666666669</v>
      </c>
      <c r="AA29" s="85">
        <f>IF(LEFT($D29,5)="Other",
VLOOKUP($A29,'IP1'!$A$37:$G$89,5,0)*
VLOOKUP(
VLOOKUP($A29,'IP1'!$A$37:$G$89,7,0),Patterns!$A$2:$N$28,COLUMN(AA29)-14,0)/
VLOOKUP(
VLOOKUP($A29,'IP1'!$A$37:$G$89,7,0),Patterns!$A$2:$N$28,2,0),
IF(LEFT($D29,7)="Payroll",
SUMPRODUCT(($B29='IP1'!$B$96:$B$114)*('IP1'!$E$96:$E$114))/12,
SUMPRODUCT(($B29='IP1'!$B$96:$B$114)*('IP1'!$E$96:$E$114))/12*
IF(YEAR(AA$3)=2013,'IP1'!$F$154,'IP1'!$G$154)
))</f>
        <v>416.66666666666669</v>
      </c>
      <c r="AB29" s="85">
        <f>IF(LEFT($D29,5)="Other",
VLOOKUP($A29,'IP1'!$A$37:$G$89,5,0)*
VLOOKUP(
VLOOKUP($A29,'IP1'!$A$37:$G$89,7,0),Patterns!$A$2:$N$28,COLUMN(AB29)-14,0)/
VLOOKUP(
VLOOKUP($A29,'IP1'!$A$37:$G$89,7,0),Patterns!$A$2:$N$28,2,0),
IF(LEFT($D29,7)="Payroll",
SUMPRODUCT(($B29='IP1'!$B$96:$B$114)*('IP1'!$E$96:$E$114))/12,
SUMPRODUCT(($B29='IP1'!$B$96:$B$114)*('IP1'!$E$96:$E$114))/12*
IF(YEAR(AB$3)=2013,'IP1'!$F$154,'IP1'!$G$154)
))</f>
        <v>416.66666666666669</v>
      </c>
    </row>
    <row r="30" spans="1:28">
      <c r="A30" s="1" t="str">
        <f t="shared" si="2"/>
        <v>AdministrationUniforms</v>
      </c>
      <c r="B30" s="1" t="s">
        <v>155</v>
      </c>
      <c r="C30" s="1" t="s">
        <v>3</v>
      </c>
      <c r="D30" s="11" t="s">
        <v>100</v>
      </c>
      <c r="E30" s="85">
        <f>IF(LEFT($D30,5)="Other",
VLOOKUP($A30,'IP1'!$A$37:$G$89,4,0)*
VLOOKUP(
VLOOKUP($A30,'IP1'!$A$37:$G$89,7,0),Patterns!$A$2:$N$28,COLUMN(E30)-2,0)/
VLOOKUP(
VLOOKUP($A30,'IP1'!$A$37:$G$89,7,0),Patterns!$A$2:$N$28,2,0),
IF(LEFT($D30,7)="Payroll",
SUMPRODUCT(($B30='IP1'!$B$96:$B$114)*('IP1'!$D$96:$D$114))/12,
SUMPRODUCT(($B30='IP1'!$B$96:$B$114)*('IP1'!$D$96:$D$114))/12*
IF(YEAR(E$3)=2013,'IP1'!$F$154,'IP1'!$G$154)
))</f>
        <v>5000</v>
      </c>
      <c r="F30" s="85">
        <f>IF(LEFT($D30,5)="Other",
VLOOKUP($A30,'IP1'!$A$37:$G$89,4,0)*
VLOOKUP(
VLOOKUP($A30,'IP1'!$A$37:$G$89,7,0),Patterns!$A$2:$N$28,COLUMN(F30)-2,0)/
VLOOKUP(
VLOOKUP($A30,'IP1'!$A$37:$G$89,7,0),Patterns!$A$2:$N$28,2,0),
IF(LEFT($D30,7)="Payroll",
SUMPRODUCT(($B30='IP1'!$B$96:$B$114)*('IP1'!$D$96:$D$114))/12,
SUMPRODUCT(($B30='IP1'!$B$96:$B$114)*('IP1'!$D$96:$D$114))/12*
IF(YEAR(F$3)=2013,'IP1'!$F$154,'IP1'!$G$154)
))</f>
        <v>0</v>
      </c>
      <c r="G30" s="85">
        <f>IF(LEFT($D30,5)="Other",
VLOOKUP($A30,'IP1'!$A$37:$G$89,4,0)*
VLOOKUP(
VLOOKUP($A30,'IP1'!$A$37:$G$89,7,0),Patterns!$A$2:$N$28,COLUMN(G30)-2,0)/
VLOOKUP(
VLOOKUP($A30,'IP1'!$A$37:$G$89,7,0),Patterns!$A$2:$N$28,2,0),
IF(LEFT($D30,7)="Payroll",
SUMPRODUCT(($B30='IP1'!$B$96:$B$114)*('IP1'!$D$96:$D$114))/12,
SUMPRODUCT(($B30='IP1'!$B$96:$B$114)*('IP1'!$D$96:$D$114))/12*
IF(YEAR(G$3)=2013,'IP1'!$F$154,'IP1'!$G$154)
))</f>
        <v>0</v>
      </c>
      <c r="H30" s="85">
        <f>IF(LEFT($D30,5)="Other",
VLOOKUP($A30,'IP1'!$A$37:$G$89,4,0)*
VLOOKUP(
VLOOKUP($A30,'IP1'!$A$37:$G$89,7,0),Patterns!$A$2:$N$28,COLUMN(H30)-2,0)/
VLOOKUP(
VLOOKUP($A30,'IP1'!$A$37:$G$89,7,0),Patterns!$A$2:$N$28,2,0),
IF(LEFT($D30,7)="Payroll",
SUMPRODUCT(($B30='IP1'!$B$96:$B$114)*('IP1'!$D$96:$D$114))/12,
SUMPRODUCT(($B30='IP1'!$B$96:$B$114)*('IP1'!$D$96:$D$114))/12*
IF(YEAR(H$3)=2013,'IP1'!$F$154,'IP1'!$G$154)
))</f>
        <v>0</v>
      </c>
      <c r="I30" s="85">
        <f>IF(LEFT($D30,5)="Other",
VLOOKUP($A30,'IP1'!$A$37:$G$89,4,0)*
VLOOKUP(
VLOOKUP($A30,'IP1'!$A$37:$G$89,7,0),Patterns!$A$2:$N$28,COLUMN(I30)-2,0)/
VLOOKUP(
VLOOKUP($A30,'IP1'!$A$37:$G$89,7,0),Patterns!$A$2:$N$28,2,0),
IF(LEFT($D30,7)="Payroll",
SUMPRODUCT(($B30='IP1'!$B$96:$B$114)*('IP1'!$D$96:$D$114))/12,
SUMPRODUCT(($B30='IP1'!$B$96:$B$114)*('IP1'!$D$96:$D$114))/12*
IF(YEAR(I$3)=2013,'IP1'!$F$154,'IP1'!$G$154)
))</f>
        <v>0</v>
      </c>
      <c r="J30" s="85">
        <f>IF(LEFT($D30,5)="Other",
VLOOKUP($A30,'IP1'!$A$37:$G$89,4,0)*
VLOOKUP(
VLOOKUP($A30,'IP1'!$A$37:$G$89,7,0),Patterns!$A$2:$N$28,COLUMN(J30)-2,0)/
VLOOKUP(
VLOOKUP($A30,'IP1'!$A$37:$G$89,7,0),Patterns!$A$2:$N$28,2,0),
IF(LEFT($D30,7)="Payroll",
SUMPRODUCT(($B30='IP1'!$B$96:$B$114)*('IP1'!$D$96:$D$114))/12,
SUMPRODUCT(($B30='IP1'!$B$96:$B$114)*('IP1'!$D$96:$D$114))/12*
IF(YEAR(J$3)=2013,'IP1'!$F$154,'IP1'!$G$154)
))</f>
        <v>0</v>
      </c>
      <c r="K30" s="85">
        <f>IF(LEFT($D30,5)="Other",
VLOOKUP($A30,'IP1'!$A$37:$G$89,4,0)*
VLOOKUP(
VLOOKUP($A30,'IP1'!$A$37:$G$89,7,0),Patterns!$A$2:$N$28,COLUMN(K30)-2,0)/
VLOOKUP(
VLOOKUP($A30,'IP1'!$A$37:$G$89,7,0),Patterns!$A$2:$N$28,2,0),
IF(LEFT($D30,7)="Payroll",
SUMPRODUCT(($B30='IP1'!$B$96:$B$114)*('IP1'!$D$96:$D$114))/12,
SUMPRODUCT(($B30='IP1'!$B$96:$B$114)*('IP1'!$D$96:$D$114))/12*
IF(YEAR(K$3)=2013,'IP1'!$F$154,'IP1'!$G$154)
))</f>
        <v>5000</v>
      </c>
      <c r="L30" s="85">
        <f>IF(LEFT($D30,5)="Other",
VLOOKUP($A30,'IP1'!$A$37:$G$89,4,0)*
VLOOKUP(
VLOOKUP($A30,'IP1'!$A$37:$G$89,7,0),Patterns!$A$2:$N$28,COLUMN(L30)-2,0)/
VLOOKUP(
VLOOKUP($A30,'IP1'!$A$37:$G$89,7,0),Patterns!$A$2:$N$28,2,0),
IF(LEFT($D30,7)="Payroll",
SUMPRODUCT(($B30='IP1'!$B$96:$B$114)*('IP1'!$D$96:$D$114))/12,
SUMPRODUCT(($B30='IP1'!$B$96:$B$114)*('IP1'!$D$96:$D$114))/12*
IF(YEAR(L$3)=2013,'IP1'!$F$154,'IP1'!$G$154)
))</f>
        <v>0</v>
      </c>
      <c r="M30" s="85">
        <f>IF(LEFT($D30,5)="Other",
VLOOKUP($A30,'IP1'!$A$37:$G$89,4,0)*
VLOOKUP(
VLOOKUP($A30,'IP1'!$A$37:$G$89,7,0),Patterns!$A$2:$N$28,COLUMN(M30)-2,0)/
VLOOKUP(
VLOOKUP($A30,'IP1'!$A$37:$G$89,7,0),Patterns!$A$2:$N$28,2,0),
IF(LEFT($D30,7)="Payroll",
SUMPRODUCT(($B30='IP1'!$B$96:$B$114)*('IP1'!$D$96:$D$114))/12,
SUMPRODUCT(($B30='IP1'!$B$96:$B$114)*('IP1'!$D$96:$D$114))/12*
IF(YEAR(M$3)=2013,'IP1'!$F$154,'IP1'!$G$154)
))</f>
        <v>0</v>
      </c>
      <c r="N30" s="85">
        <f>IF(LEFT($D30,5)="Other",
VLOOKUP($A30,'IP1'!$A$37:$G$89,4,0)*
VLOOKUP(
VLOOKUP($A30,'IP1'!$A$37:$G$89,7,0),Patterns!$A$2:$N$28,COLUMN(N30)-2,0)/
VLOOKUP(
VLOOKUP($A30,'IP1'!$A$37:$G$89,7,0),Patterns!$A$2:$N$28,2,0),
IF(LEFT($D30,7)="Payroll",
SUMPRODUCT(($B30='IP1'!$B$96:$B$114)*('IP1'!$D$96:$D$114))/12,
SUMPRODUCT(($B30='IP1'!$B$96:$B$114)*('IP1'!$D$96:$D$114))/12*
IF(YEAR(N$3)=2013,'IP1'!$F$154,'IP1'!$G$154)
))</f>
        <v>0</v>
      </c>
      <c r="O30" s="85">
        <f>IF(LEFT($D30,5)="Other",
VLOOKUP($A30,'IP1'!$A$37:$G$89,4,0)*
VLOOKUP(
VLOOKUP($A30,'IP1'!$A$37:$G$89,7,0),Patterns!$A$2:$N$28,COLUMN(O30)-2,0)/
VLOOKUP(
VLOOKUP($A30,'IP1'!$A$37:$G$89,7,0),Patterns!$A$2:$N$28,2,0),
IF(LEFT($D30,7)="Payroll",
SUMPRODUCT(($B30='IP1'!$B$96:$B$114)*('IP1'!$D$96:$D$114))/12,
SUMPRODUCT(($B30='IP1'!$B$96:$B$114)*('IP1'!$D$96:$D$114))/12*
IF(YEAR(O$3)=2013,'IP1'!$F$154,'IP1'!$G$154)
))</f>
        <v>0</v>
      </c>
      <c r="P30" s="85">
        <f>IF(LEFT($D30,5)="Other",
VLOOKUP($A30,'IP1'!$A$37:$G$89,4,0)*
VLOOKUP(
VLOOKUP($A30,'IP1'!$A$37:$G$89,7,0),Patterns!$A$2:$N$28,COLUMN(P30)-2,0)/
VLOOKUP(
VLOOKUP($A30,'IP1'!$A$37:$G$89,7,0),Patterns!$A$2:$N$28,2,0),
IF(LEFT($D30,7)="Payroll",
SUMPRODUCT(($B30='IP1'!$B$96:$B$114)*('IP1'!$D$96:$D$114))/12,
SUMPRODUCT(($B30='IP1'!$B$96:$B$114)*('IP1'!$D$96:$D$114))/12*
IF(YEAR(P$3)=2013,'IP1'!$F$154,'IP1'!$G$154)
))</f>
        <v>0</v>
      </c>
      <c r="Q30" s="85">
        <f>IF(LEFT($D30,5)="Other",
VLOOKUP($A30,'IP1'!$A$37:$G$89,5,0)*
VLOOKUP(
VLOOKUP($A30,'IP1'!$A$37:$G$89,7,0),Patterns!$A$2:$N$28,COLUMN(Q30)-14,0)/
VLOOKUP(
VLOOKUP($A30,'IP1'!$A$37:$G$89,7,0),Patterns!$A$2:$N$28,2,0),
IF(LEFT($D30,7)="Payroll",
SUMPRODUCT(($B30='IP1'!$B$96:$B$114)*('IP1'!$E$96:$E$114))/12,
SUMPRODUCT(($B30='IP1'!$B$96:$B$114)*('IP1'!$E$96:$E$114))/12*
IF(YEAR(Q$3)=2013,'IP1'!$F$154,'IP1'!$G$154)
))</f>
        <v>5000</v>
      </c>
      <c r="R30" s="85">
        <f>IF(LEFT($D30,5)="Other",
VLOOKUP($A30,'IP1'!$A$37:$G$89,5,0)*
VLOOKUP(
VLOOKUP($A30,'IP1'!$A$37:$G$89,7,0),Patterns!$A$2:$N$28,COLUMN(R30)-14,0)/
VLOOKUP(
VLOOKUP($A30,'IP1'!$A$37:$G$89,7,0),Patterns!$A$2:$N$28,2,0),
IF(LEFT($D30,7)="Payroll",
SUMPRODUCT(($B30='IP1'!$B$96:$B$114)*('IP1'!$E$96:$E$114))/12,
SUMPRODUCT(($B30='IP1'!$B$96:$B$114)*('IP1'!$E$96:$E$114))/12*
IF(YEAR(R$3)=2013,'IP1'!$F$154,'IP1'!$G$154)
))</f>
        <v>0</v>
      </c>
      <c r="S30" s="85">
        <f>IF(LEFT($D30,5)="Other",
VLOOKUP($A30,'IP1'!$A$37:$G$89,5,0)*
VLOOKUP(
VLOOKUP($A30,'IP1'!$A$37:$G$89,7,0),Patterns!$A$2:$N$28,COLUMN(S30)-14,0)/
VLOOKUP(
VLOOKUP($A30,'IP1'!$A$37:$G$89,7,0),Patterns!$A$2:$N$28,2,0),
IF(LEFT($D30,7)="Payroll",
SUMPRODUCT(($B30='IP1'!$B$96:$B$114)*('IP1'!$E$96:$E$114))/12,
SUMPRODUCT(($B30='IP1'!$B$96:$B$114)*('IP1'!$E$96:$E$114))/12*
IF(YEAR(S$3)=2013,'IP1'!$F$154,'IP1'!$G$154)
))</f>
        <v>0</v>
      </c>
      <c r="T30" s="85">
        <f>IF(LEFT($D30,5)="Other",
VLOOKUP($A30,'IP1'!$A$37:$G$89,5,0)*
VLOOKUP(
VLOOKUP($A30,'IP1'!$A$37:$G$89,7,0),Patterns!$A$2:$N$28,COLUMN(T30)-14,0)/
VLOOKUP(
VLOOKUP($A30,'IP1'!$A$37:$G$89,7,0),Patterns!$A$2:$N$28,2,0),
IF(LEFT($D30,7)="Payroll",
SUMPRODUCT(($B30='IP1'!$B$96:$B$114)*('IP1'!$E$96:$E$114))/12,
SUMPRODUCT(($B30='IP1'!$B$96:$B$114)*('IP1'!$E$96:$E$114))/12*
IF(YEAR(T$3)=2013,'IP1'!$F$154,'IP1'!$G$154)
))</f>
        <v>0</v>
      </c>
      <c r="U30" s="85">
        <f>IF(LEFT($D30,5)="Other",
VLOOKUP($A30,'IP1'!$A$37:$G$89,5,0)*
VLOOKUP(
VLOOKUP($A30,'IP1'!$A$37:$G$89,7,0),Patterns!$A$2:$N$28,COLUMN(U30)-14,0)/
VLOOKUP(
VLOOKUP($A30,'IP1'!$A$37:$G$89,7,0),Patterns!$A$2:$N$28,2,0),
IF(LEFT($D30,7)="Payroll",
SUMPRODUCT(($B30='IP1'!$B$96:$B$114)*('IP1'!$E$96:$E$114))/12,
SUMPRODUCT(($B30='IP1'!$B$96:$B$114)*('IP1'!$E$96:$E$114))/12*
IF(YEAR(U$3)=2013,'IP1'!$F$154,'IP1'!$G$154)
))</f>
        <v>0</v>
      </c>
      <c r="V30" s="85">
        <f>IF(LEFT($D30,5)="Other",
VLOOKUP($A30,'IP1'!$A$37:$G$89,5,0)*
VLOOKUP(
VLOOKUP($A30,'IP1'!$A$37:$G$89,7,0),Patterns!$A$2:$N$28,COLUMN(V30)-14,0)/
VLOOKUP(
VLOOKUP($A30,'IP1'!$A$37:$G$89,7,0),Patterns!$A$2:$N$28,2,0),
IF(LEFT($D30,7)="Payroll",
SUMPRODUCT(($B30='IP1'!$B$96:$B$114)*('IP1'!$E$96:$E$114))/12,
SUMPRODUCT(($B30='IP1'!$B$96:$B$114)*('IP1'!$E$96:$E$114))/12*
IF(YEAR(V$3)=2013,'IP1'!$F$154,'IP1'!$G$154)
))</f>
        <v>0</v>
      </c>
      <c r="W30" s="85">
        <f>IF(LEFT($D30,5)="Other",
VLOOKUP($A30,'IP1'!$A$37:$G$89,5,0)*
VLOOKUP(
VLOOKUP($A30,'IP1'!$A$37:$G$89,7,0),Patterns!$A$2:$N$28,COLUMN(W30)-14,0)/
VLOOKUP(
VLOOKUP($A30,'IP1'!$A$37:$G$89,7,0),Patterns!$A$2:$N$28,2,0),
IF(LEFT($D30,7)="Payroll",
SUMPRODUCT(($B30='IP1'!$B$96:$B$114)*('IP1'!$E$96:$E$114))/12,
SUMPRODUCT(($B30='IP1'!$B$96:$B$114)*('IP1'!$E$96:$E$114))/12*
IF(YEAR(W$3)=2013,'IP1'!$F$154,'IP1'!$G$154)
))</f>
        <v>5000</v>
      </c>
      <c r="X30" s="85">
        <f>IF(LEFT($D30,5)="Other",
VLOOKUP($A30,'IP1'!$A$37:$G$89,5,0)*
VLOOKUP(
VLOOKUP($A30,'IP1'!$A$37:$G$89,7,0),Patterns!$A$2:$N$28,COLUMN(X30)-14,0)/
VLOOKUP(
VLOOKUP($A30,'IP1'!$A$37:$G$89,7,0),Patterns!$A$2:$N$28,2,0),
IF(LEFT($D30,7)="Payroll",
SUMPRODUCT(($B30='IP1'!$B$96:$B$114)*('IP1'!$E$96:$E$114))/12,
SUMPRODUCT(($B30='IP1'!$B$96:$B$114)*('IP1'!$E$96:$E$114))/12*
IF(YEAR(X$3)=2013,'IP1'!$F$154,'IP1'!$G$154)
))</f>
        <v>0</v>
      </c>
      <c r="Y30" s="85">
        <f>IF(LEFT($D30,5)="Other",
VLOOKUP($A30,'IP1'!$A$37:$G$89,5,0)*
VLOOKUP(
VLOOKUP($A30,'IP1'!$A$37:$G$89,7,0),Patterns!$A$2:$N$28,COLUMN(Y30)-14,0)/
VLOOKUP(
VLOOKUP($A30,'IP1'!$A$37:$G$89,7,0),Patterns!$A$2:$N$28,2,0),
IF(LEFT($D30,7)="Payroll",
SUMPRODUCT(($B30='IP1'!$B$96:$B$114)*('IP1'!$E$96:$E$114))/12,
SUMPRODUCT(($B30='IP1'!$B$96:$B$114)*('IP1'!$E$96:$E$114))/12*
IF(YEAR(Y$3)=2013,'IP1'!$F$154,'IP1'!$G$154)
))</f>
        <v>0</v>
      </c>
      <c r="Z30" s="85">
        <f>IF(LEFT($D30,5)="Other",
VLOOKUP($A30,'IP1'!$A$37:$G$89,5,0)*
VLOOKUP(
VLOOKUP($A30,'IP1'!$A$37:$G$89,7,0),Patterns!$A$2:$N$28,COLUMN(Z30)-14,0)/
VLOOKUP(
VLOOKUP($A30,'IP1'!$A$37:$G$89,7,0),Patterns!$A$2:$N$28,2,0),
IF(LEFT($D30,7)="Payroll",
SUMPRODUCT(($B30='IP1'!$B$96:$B$114)*('IP1'!$E$96:$E$114))/12,
SUMPRODUCT(($B30='IP1'!$B$96:$B$114)*('IP1'!$E$96:$E$114))/12*
IF(YEAR(Z$3)=2013,'IP1'!$F$154,'IP1'!$G$154)
))</f>
        <v>0</v>
      </c>
      <c r="AA30" s="85">
        <f>IF(LEFT($D30,5)="Other",
VLOOKUP($A30,'IP1'!$A$37:$G$89,5,0)*
VLOOKUP(
VLOOKUP($A30,'IP1'!$A$37:$G$89,7,0),Patterns!$A$2:$N$28,COLUMN(AA30)-14,0)/
VLOOKUP(
VLOOKUP($A30,'IP1'!$A$37:$G$89,7,0),Patterns!$A$2:$N$28,2,0),
IF(LEFT($D30,7)="Payroll",
SUMPRODUCT(($B30='IP1'!$B$96:$B$114)*('IP1'!$E$96:$E$114))/12,
SUMPRODUCT(($B30='IP1'!$B$96:$B$114)*('IP1'!$E$96:$E$114))/12*
IF(YEAR(AA$3)=2013,'IP1'!$F$154,'IP1'!$G$154)
))</f>
        <v>0</v>
      </c>
      <c r="AB30" s="85">
        <f>IF(LEFT($D30,5)="Other",
VLOOKUP($A30,'IP1'!$A$37:$G$89,5,0)*
VLOOKUP(
VLOOKUP($A30,'IP1'!$A$37:$G$89,7,0),Patterns!$A$2:$N$28,COLUMN(AB30)-14,0)/
VLOOKUP(
VLOOKUP($A30,'IP1'!$A$37:$G$89,7,0),Patterns!$A$2:$N$28,2,0),
IF(LEFT($D30,7)="Payroll",
SUMPRODUCT(($B30='IP1'!$B$96:$B$114)*('IP1'!$E$96:$E$114))/12,
SUMPRODUCT(($B30='IP1'!$B$96:$B$114)*('IP1'!$E$96:$E$114))/12*
IF(YEAR(AB$3)=2013,'IP1'!$F$154,'IP1'!$G$154)
))</f>
        <v>0</v>
      </c>
    </row>
    <row r="31" spans="1:28">
      <c r="A31" s="1" t="str">
        <f t="shared" si="2"/>
        <v>AdministrationOther</v>
      </c>
      <c r="B31" s="1" t="s">
        <v>155</v>
      </c>
      <c r="C31" s="1" t="s">
        <v>2</v>
      </c>
      <c r="D31" s="11" t="s">
        <v>100</v>
      </c>
      <c r="E31" s="85">
        <f>IF(LEFT($D31,5)="Other",
VLOOKUP($A31,'IP1'!$A$37:$G$89,4,0)*
VLOOKUP(
VLOOKUP($A31,'IP1'!$A$37:$G$89,7,0),Patterns!$A$2:$N$28,COLUMN(E31)-2,0)/
VLOOKUP(
VLOOKUP($A31,'IP1'!$A$37:$G$89,7,0),Patterns!$A$2:$N$28,2,0),
IF(LEFT($D31,7)="Payroll",
SUMPRODUCT(($B31='IP1'!$B$96:$B$114)*('IP1'!$D$96:$D$114))/12,
SUMPRODUCT(($B31='IP1'!$B$96:$B$114)*('IP1'!$D$96:$D$114))/12*
IF(YEAR(E$3)=2013,'IP1'!$F$154,'IP1'!$G$154)
))</f>
        <v>83.333333333333329</v>
      </c>
      <c r="F31" s="85">
        <f>IF(LEFT($D31,5)="Other",
VLOOKUP($A31,'IP1'!$A$37:$G$89,4,0)*
VLOOKUP(
VLOOKUP($A31,'IP1'!$A$37:$G$89,7,0),Patterns!$A$2:$N$28,COLUMN(F31)-2,0)/
VLOOKUP(
VLOOKUP($A31,'IP1'!$A$37:$G$89,7,0),Patterns!$A$2:$N$28,2,0),
IF(LEFT($D31,7)="Payroll",
SUMPRODUCT(($B31='IP1'!$B$96:$B$114)*('IP1'!$D$96:$D$114))/12,
SUMPRODUCT(($B31='IP1'!$B$96:$B$114)*('IP1'!$D$96:$D$114))/12*
IF(YEAR(F$3)=2013,'IP1'!$F$154,'IP1'!$G$154)
))</f>
        <v>83.333333333333329</v>
      </c>
      <c r="G31" s="85">
        <f>IF(LEFT($D31,5)="Other",
VLOOKUP($A31,'IP1'!$A$37:$G$89,4,0)*
VLOOKUP(
VLOOKUP($A31,'IP1'!$A$37:$G$89,7,0),Patterns!$A$2:$N$28,COLUMN(G31)-2,0)/
VLOOKUP(
VLOOKUP($A31,'IP1'!$A$37:$G$89,7,0),Patterns!$A$2:$N$28,2,0),
IF(LEFT($D31,7)="Payroll",
SUMPRODUCT(($B31='IP1'!$B$96:$B$114)*('IP1'!$D$96:$D$114))/12,
SUMPRODUCT(($B31='IP1'!$B$96:$B$114)*('IP1'!$D$96:$D$114))/12*
IF(YEAR(G$3)=2013,'IP1'!$F$154,'IP1'!$G$154)
))</f>
        <v>83.333333333333329</v>
      </c>
      <c r="H31" s="85">
        <f>IF(LEFT($D31,5)="Other",
VLOOKUP($A31,'IP1'!$A$37:$G$89,4,0)*
VLOOKUP(
VLOOKUP($A31,'IP1'!$A$37:$G$89,7,0),Patterns!$A$2:$N$28,COLUMN(H31)-2,0)/
VLOOKUP(
VLOOKUP($A31,'IP1'!$A$37:$G$89,7,0),Patterns!$A$2:$N$28,2,0),
IF(LEFT($D31,7)="Payroll",
SUMPRODUCT(($B31='IP1'!$B$96:$B$114)*('IP1'!$D$96:$D$114))/12,
SUMPRODUCT(($B31='IP1'!$B$96:$B$114)*('IP1'!$D$96:$D$114))/12*
IF(YEAR(H$3)=2013,'IP1'!$F$154,'IP1'!$G$154)
))</f>
        <v>83.333333333333329</v>
      </c>
      <c r="I31" s="85">
        <f>IF(LEFT($D31,5)="Other",
VLOOKUP($A31,'IP1'!$A$37:$G$89,4,0)*
VLOOKUP(
VLOOKUP($A31,'IP1'!$A$37:$G$89,7,0),Patterns!$A$2:$N$28,COLUMN(I31)-2,0)/
VLOOKUP(
VLOOKUP($A31,'IP1'!$A$37:$G$89,7,0),Patterns!$A$2:$N$28,2,0),
IF(LEFT($D31,7)="Payroll",
SUMPRODUCT(($B31='IP1'!$B$96:$B$114)*('IP1'!$D$96:$D$114))/12,
SUMPRODUCT(($B31='IP1'!$B$96:$B$114)*('IP1'!$D$96:$D$114))/12*
IF(YEAR(I$3)=2013,'IP1'!$F$154,'IP1'!$G$154)
))</f>
        <v>83.333333333333329</v>
      </c>
      <c r="J31" s="85">
        <f>IF(LEFT($D31,5)="Other",
VLOOKUP($A31,'IP1'!$A$37:$G$89,4,0)*
VLOOKUP(
VLOOKUP($A31,'IP1'!$A$37:$G$89,7,0),Patterns!$A$2:$N$28,COLUMN(J31)-2,0)/
VLOOKUP(
VLOOKUP($A31,'IP1'!$A$37:$G$89,7,0),Patterns!$A$2:$N$28,2,0),
IF(LEFT($D31,7)="Payroll",
SUMPRODUCT(($B31='IP1'!$B$96:$B$114)*('IP1'!$D$96:$D$114))/12,
SUMPRODUCT(($B31='IP1'!$B$96:$B$114)*('IP1'!$D$96:$D$114))/12*
IF(YEAR(J$3)=2013,'IP1'!$F$154,'IP1'!$G$154)
))</f>
        <v>83.333333333333329</v>
      </c>
      <c r="K31" s="85">
        <f>IF(LEFT($D31,5)="Other",
VLOOKUP($A31,'IP1'!$A$37:$G$89,4,0)*
VLOOKUP(
VLOOKUP($A31,'IP1'!$A$37:$G$89,7,0),Patterns!$A$2:$N$28,COLUMN(K31)-2,0)/
VLOOKUP(
VLOOKUP($A31,'IP1'!$A$37:$G$89,7,0),Patterns!$A$2:$N$28,2,0),
IF(LEFT($D31,7)="Payroll",
SUMPRODUCT(($B31='IP1'!$B$96:$B$114)*('IP1'!$D$96:$D$114))/12,
SUMPRODUCT(($B31='IP1'!$B$96:$B$114)*('IP1'!$D$96:$D$114))/12*
IF(YEAR(K$3)=2013,'IP1'!$F$154,'IP1'!$G$154)
))</f>
        <v>83.333333333333329</v>
      </c>
      <c r="L31" s="85">
        <f>IF(LEFT($D31,5)="Other",
VLOOKUP($A31,'IP1'!$A$37:$G$89,4,0)*
VLOOKUP(
VLOOKUP($A31,'IP1'!$A$37:$G$89,7,0),Patterns!$A$2:$N$28,COLUMN(L31)-2,0)/
VLOOKUP(
VLOOKUP($A31,'IP1'!$A$37:$G$89,7,0),Patterns!$A$2:$N$28,2,0),
IF(LEFT($D31,7)="Payroll",
SUMPRODUCT(($B31='IP1'!$B$96:$B$114)*('IP1'!$D$96:$D$114))/12,
SUMPRODUCT(($B31='IP1'!$B$96:$B$114)*('IP1'!$D$96:$D$114))/12*
IF(YEAR(L$3)=2013,'IP1'!$F$154,'IP1'!$G$154)
))</f>
        <v>83.333333333333329</v>
      </c>
      <c r="M31" s="85">
        <f>IF(LEFT($D31,5)="Other",
VLOOKUP($A31,'IP1'!$A$37:$G$89,4,0)*
VLOOKUP(
VLOOKUP($A31,'IP1'!$A$37:$G$89,7,0),Patterns!$A$2:$N$28,COLUMN(M31)-2,0)/
VLOOKUP(
VLOOKUP($A31,'IP1'!$A$37:$G$89,7,0),Patterns!$A$2:$N$28,2,0),
IF(LEFT($D31,7)="Payroll",
SUMPRODUCT(($B31='IP1'!$B$96:$B$114)*('IP1'!$D$96:$D$114))/12,
SUMPRODUCT(($B31='IP1'!$B$96:$B$114)*('IP1'!$D$96:$D$114))/12*
IF(YEAR(M$3)=2013,'IP1'!$F$154,'IP1'!$G$154)
))</f>
        <v>83.333333333333329</v>
      </c>
      <c r="N31" s="85">
        <f>IF(LEFT($D31,5)="Other",
VLOOKUP($A31,'IP1'!$A$37:$G$89,4,0)*
VLOOKUP(
VLOOKUP($A31,'IP1'!$A$37:$G$89,7,0),Patterns!$A$2:$N$28,COLUMN(N31)-2,0)/
VLOOKUP(
VLOOKUP($A31,'IP1'!$A$37:$G$89,7,0),Patterns!$A$2:$N$28,2,0),
IF(LEFT($D31,7)="Payroll",
SUMPRODUCT(($B31='IP1'!$B$96:$B$114)*('IP1'!$D$96:$D$114))/12,
SUMPRODUCT(($B31='IP1'!$B$96:$B$114)*('IP1'!$D$96:$D$114))/12*
IF(YEAR(N$3)=2013,'IP1'!$F$154,'IP1'!$G$154)
))</f>
        <v>83.333333333333329</v>
      </c>
      <c r="O31" s="85">
        <f>IF(LEFT($D31,5)="Other",
VLOOKUP($A31,'IP1'!$A$37:$G$89,4,0)*
VLOOKUP(
VLOOKUP($A31,'IP1'!$A$37:$G$89,7,0),Patterns!$A$2:$N$28,COLUMN(O31)-2,0)/
VLOOKUP(
VLOOKUP($A31,'IP1'!$A$37:$G$89,7,0),Patterns!$A$2:$N$28,2,0),
IF(LEFT($D31,7)="Payroll",
SUMPRODUCT(($B31='IP1'!$B$96:$B$114)*('IP1'!$D$96:$D$114))/12,
SUMPRODUCT(($B31='IP1'!$B$96:$B$114)*('IP1'!$D$96:$D$114))/12*
IF(YEAR(O$3)=2013,'IP1'!$F$154,'IP1'!$G$154)
))</f>
        <v>83.333333333333329</v>
      </c>
      <c r="P31" s="85">
        <f>IF(LEFT($D31,5)="Other",
VLOOKUP($A31,'IP1'!$A$37:$G$89,4,0)*
VLOOKUP(
VLOOKUP($A31,'IP1'!$A$37:$G$89,7,0),Patterns!$A$2:$N$28,COLUMN(P31)-2,0)/
VLOOKUP(
VLOOKUP($A31,'IP1'!$A$37:$G$89,7,0),Patterns!$A$2:$N$28,2,0),
IF(LEFT($D31,7)="Payroll",
SUMPRODUCT(($B31='IP1'!$B$96:$B$114)*('IP1'!$D$96:$D$114))/12,
SUMPRODUCT(($B31='IP1'!$B$96:$B$114)*('IP1'!$D$96:$D$114))/12*
IF(YEAR(P$3)=2013,'IP1'!$F$154,'IP1'!$G$154)
))</f>
        <v>83.333333333333329</v>
      </c>
      <c r="Q31" s="85">
        <f>IF(LEFT($D31,5)="Other",
VLOOKUP($A31,'IP1'!$A$37:$G$89,5,0)*
VLOOKUP(
VLOOKUP($A31,'IP1'!$A$37:$G$89,7,0),Patterns!$A$2:$N$28,COLUMN(Q31)-14,0)/
VLOOKUP(
VLOOKUP($A31,'IP1'!$A$37:$G$89,7,0),Patterns!$A$2:$N$28,2,0),
IF(LEFT($D31,7)="Payroll",
SUMPRODUCT(($B31='IP1'!$B$96:$B$114)*('IP1'!$E$96:$E$114))/12,
SUMPRODUCT(($B31='IP1'!$B$96:$B$114)*('IP1'!$E$96:$E$114))/12*
IF(YEAR(Q$3)=2013,'IP1'!$F$154,'IP1'!$G$154)
))</f>
        <v>83.333333333333329</v>
      </c>
      <c r="R31" s="85">
        <f>IF(LEFT($D31,5)="Other",
VLOOKUP($A31,'IP1'!$A$37:$G$89,5,0)*
VLOOKUP(
VLOOKUP($A31,'IP1'!$A$37:$G$89,7,0),Patterns!$A$2:$N$28,COLUMN(R31)-14,0)/
VLOOKUP(
VLOOKUP($A31,'IP1'!$A$37:$G$89,7,0),Patterns!$A$2:$N$28,2,0),
IF(LEFT($D31,7)="Payroll",
SUMPRODUCT(($B31='IP1'!$B$96:$B$114)*('IP1'!$E$96:$E$114))/12,
SUMPRODUCT(($B31='IP1'!$B$96:$B$114)*('IP1'!$E$96:$E$114))/12*
IF(YEAR(R$3)=2013,'IP1'!$F$154,'IP1'!$G$154)
))</f>
        <v>83.333333333333329</v>
      </c>
      <c r="S31" s="85">
        <f>IF(LEFT($D31,5)="Other",
VLOOKUP($A31,'IP1'!$A$37:$G$89,5,0)*
VLOOKUP(
VLOOKUP($A31,'IP1'!$A$37:$G$89,7,0),Patterns!$A$2:$N$28,COLUMN(S31)-14,0)/
VLOOKUP(
VLOOKUP($A31,'IP1'!$A$37:$G$89,7,0),Patterns!$A$2:$N$28,2,0),
IF(LEFT($D31,7)="Payroll",
SUMPRODUCT(($B31='IP1'!$B$96:$B$114)*('IP1'!$E$96:$E$114))/12,
SUMPRODUCT(($B31='IP1'!$B$96:$B$114)*('IP1'!$E$96:$E$114))/12*
IF(YEAR(S$3)=2013,'IP1'!$F$154,'IP1'!$G$154)
))</f>
        <v>83.333333333333329</v>
      </c>
      <c r="T31" s="85">
        <f>IF(LEFT($D31,5)="Other",
VLOOKUP($A31,'IP1'!$A$37:$G$89,5,0)*
VLOOKUP(
VLOOKUP($A31,'IP1'!$A$37:$G$89,7,0),Patterns!$A$2:$N$28,COLUMN(T31)-14,0)/
VLOOKUP(
VLOOKUP($A31,'IP1'!$A$37:$G$89,7,0),Patterns!$A$2:$N$28,2,0),
IF(LEFT($D31,7)="Payroll",
SUMPRODUCT(($B31='IP1'!$B$96:$B$114)*('IP1'!$E$96:$E$114))/12,
SUMPRODUCT(($B31='IP1'!$B$96:$B$114)*('IP1'!$E$96:$E$114))/12*
IF(YEAR(T$3)=2013,'IP1'!$F$154,'IP1'!$G$154)
))</f>
        <v>83.333333333333329</v>
      </c>
      <c r="U31" s="85">
        <f>IF(LEFT($D31,5)="Other",
VLOOKUP($A31,'IP1'!$A$37:$G$89,5,0)*
VLOOKUP(
VLOOKUP($A31,'IP1'!$A$37:$G$89,7,0),Patterns!$A$2:$N$28,COLUMN(U31)-14,0)/
VLOOKUP(
VLOOKUP($A31,'IP1'!$A$37:$G$89,7,0),Patterns!$A$2:$N$28,2,0),
IF(LEFT($D31,7)="Payroll",
SUMPRODUCT(($B31='IP1'!$B$96:$B$114)*('IP1'!$E$96:$E$114))/12,
SUMPRODUCT(($B31='IP1'!$B$96:$B$114)*('IP1'!$E$96:$E$114))/12*
IF(YEAR(U$3)=2013,'IP1'!$F$154,'IP1'!$G$154)
))</f>
        <v>83.333333333333329</v>
      </c>
      <c r="V31" s="85">
        <f>IF(LEFT($D31,5)="Other",
VLOOKUP($A31,'IP1'!$A$37:$G$89,5,0)*
VLOOKUP(
VLOOKUP($A31,'IP1'!$A$37:$G$89,7,0),Patterns!$A$2:$N$28,COLUMN(V31)-14,0)/
VLOOKUP(
VLOOKUP($A31,'IP1'!$A$37:$G$89,7,0),Patterns!$A$2:$N$28,2,0),
IF(LEFT($D31,7)="Payroll",
SUMPRODUCT(($B31='IP1'!$B$96:$B$114)*('IP1'!$E$96:$E$114))/12,
SUMPRODUCT(($B31='IP1'!$B$96:$B$114)*('IP1'!$E$96:$E$114))/12*
IF(YEAR(V$3)=2013,'IP1'!$F$154,'IP1'!$G$154)
))</f>
        <v>83.333333333333329</v>
      </c>
      <c r="W31" s="85">
        <f>IF(LEFT($D31,5)="Other",
VLOOKUP($A31,'IP1'!$A$37:$G$89,5,0)*
VLOOKUP(
VLOOKUP($A31,'IP1'!$A$37:$G$89,7,0),Patterns!$A$2:$N$28,COLUMN(W31)-14,0)/
VLOOKUP(
VLOOKUP($A31,'IP1'!$A$37:$G$89,7,0),Patterns!$A$2:$N$28,2,0),
IF(LEFT($D31,7)="Payroll",
SUMPRODUCT(($B31='IP1'!$B$96:$B$114)*('IP1'!$E$96:$E$114))/12,
SUMPRODUCT(($B31='IP1'!$B$96:$B$114)*('IP1'!$E$96:$E$114))/12*
IF(YEAR(W$3)=2013,'IP1'!$F$154,'IP1'!$G$154)
))</f>
        <v>83.333333333333329</v>
      </c>
      <c r="X31" s="85">
        <f>IF(LEFT($D31,5)="Other",
VLOOKUP($A31,'IP1'!$A$37:$G$89,5,0)*
VLOOKUP(
VLOOKUP($A31,'IP1'!$A$37:$G$89,7,0),Patterns!$A$2:$N$28,COLUMN(X31)-14,0)/
VLOOKUP(
VLOOKUP($A31,'IP1'!$A$37:$G$89,7,0),Patterns!$A$2:$N$28,2,0),
IF(LEFT($D31,7)="Payroll",
SUMPRODUCT(($B31='IP1'!$B$96:$B$114)*('IP1'!$E$96:$E$114))/12,
SUMPRODUCT(($B31='IP1'!$B$96:$B$114)*('IP1'!$E$96:$E$114))/12*
IF(YEAR(X$3)=2013,'IP1'!$F$154,'IP1'!$G$154)
))</f>
        <v>83.333333333333329</v>
      </c>
      <c r="Y31" s="85">
        <f>IF(LEFT($D31,5)="Other",
VLOOKUP($A31,'IP1'!$A$37:$G$89,5,0)*
VLOOKUP(
VLOOKUP($A31,'IP1'!$A$37:$G$89,7,0),Patterns!$A$2:$N$28,COLUMN(Y31)-14,0)/
VLOOKUP(
VLOOKUP($A31,'IP1'!$A$37:$G$89,7,0),Patterns!$A$2:$N$28,2,0),
IF(LEFT($D31,7)="Payroll",
SUMPRODUCT(($B31='IP1'!$B$96:$B$114)*('IP1'!$E$96:$E$114))/12,
SUMPRODUCT(($B31='IP1'!$B$96:$B$114)*('IP1'!$E$96:$E$114))/12*
IF(YEAR(Y$3)=2013,'IP1'!$F$154,'IP1'!$G$154)
))</f>
        <v>83.333333333333329</v>
      </c>
      <c r="Z31" s="85">
        <f>IF(LEFT($D31,5)="Other",
VLOOKUP($A31,'IP1'!$A$37:$G$89,5,0)*
VLOOKUP(
VLOOKUP($A31,'IP1'!$A$37:$G$89,7,0),Patterns!$A$2:$N$28,COLUMN(Z31)-14,0)/
VLOOKUP(
VLOOKUP($A31,'IP1'!$A$37:$G$89,7,0),Patterns!$A$2:$N$28,2,0),
IF(LEFT($D31,7)="Payroll",
SUMPRODUCT(($B31='IP1'!$B$96:$B$114)*('IP1'!$E$96:$E$114))/12,
SUMPRODUCT(($B31='IP1'!$B$96:$B$114)*('IP1'!$E$96:$E$114))/12*
IF(YEAR(Z$3)=2013,'IP1'!$F$154,'IP1'!$G$154)
))</f>
        <v>83.333333333333329</v>
      </c>
      <c r="AA31" s="85">
        <f>IF(LEFT($D31,5)="Other",
VLOOKUP($A31,'IP1'!$A$37:$G$89,5,0)*
VLOOKUP(
VLOOKUP($A31,'IP1'!$A$37:$G$89,7,0),Patterns!$A$2:$N$28,COLUMN(AA31)-14,0)/
VLOOKUP(
VLOOKUP($A31,'IP1'!$A$37:$G$89,7,0),Patterns!$A$2:$N$28,2,0),
IF(LEFT($D31,7)="Payroll",
SUMPRODUCT(($B31='IP1'!$B$96:$B$114)*('IP1'!$E$96:$E$114))/12,
SUMPRODUCT(($B31='IP1'!$B$96:$B$114)*('IP1'!$E$96:$E$114))/12*
IF(YEAR(AA$3)=2013,'IP1'!$F$154,'IP1'!$G$154)
))</f>
        <v>83.333333333333329</v>
      </c>
      <c r="AB31" s="85">
        <f>IF(LEFT($D31,5)="Other",
VLOOKUP($A31,'IP1'!$A$37:$G$89,5,0)*
VLOOKUP(
VLOOKUP($A31,'IP1'!$A$37:$G$89,7,0),Patterns!$A$2:$N$28,COLUMN(AB31)-14,0)/
VLOOKUP(
VLOOKUP($A31,'IP1'!$A$37:$G$89,7,0),Patterns!$A$2:$N$28,2,0),
IF(LEFT($D31,7)="Payroll",
SUMPRODUCT(($B31='IP1'!$B$96:$B$114)*('IP1'!$E$96:$E$114))/12,
SUMPRODUCT(($B31='IP1'!$B$96:$B$114)*('IP1'!$E$96:$E$114))/12*
IF(YEAR(AB$3)=2013,'IP1'!$F$154,'IP1'!$G$154)
))</f>
        <v>83.333333333333329</v>
      </c>
    </row>
    <row r="32" spans="1:28">
      <c r="A32" s="1" t="str">
        <f t="shared" si="2"/>
        <v xml:space="preserve">UtilitiesElectricity </v>
      </c>
      <c r="B32" s="1" t="s">
        <v>443</v>
      </c>
      <c r="C32" s="1" t="s">
        <v>444</v>
      </c>
      <c r="D32" s="11" t="s">
        <v>100</v>
      </c>
      <c r="E32" s="85">
        <f>IF(LEFT($D32,5)="Other",
VLOOKUP($A32,'IP1'!$A$37:$G$89,4,0)*
VLOOKUP(
VLOOKUP($A32,'IP1'!$A$37:$G$89,7,0),Patterns!$A$2:$N$28,COLUMN(E32)-2,0)/
VLOOKUP(
VLOOKUP($A32,'IP1'!$A$37:$G$89,7,0),Patterns!$A$2:$N$28,2,0),
IF(LEFT($D32,7)="Payroll",
SUMPRODUCT(($B32='IP1'!$B$96:$B$114)*('IP1'!$D$96:$D$114))/12,
SUMPRODUCT(($B32='IP1'!$B$96:$B$114)*('IP1'!$D$96:$D$114))/12*
IF(YEAR(E$3)=2013,'IP1'!$F$154,'IP1'!$G$154)
))</f>
        <v>12500</v>
      </c>
      <c r="F32" s="85">
        <f>IF(LEFT($D32,5)="Other",
VLOOKUP($A32,'IP1'!$A$37:$G$89,4,0)*
VLOOKUP(
VLOOKUP($A32,'IP1'!$A$37:$G$89,7,0),Patterns!$A$2:$N$28,COLUMN(F32)-2,0)/
VLOOKUP(
VLOOKUP($A32,'IP1'!$A$37:$G$89,7,0),Patterns!$A$2:$N$28,2,0),
IF(LEFT($D32,7)="Payroll",
SUMPRODUCT(($B32='IP1'!$B$96:$B$114)*('IP1'!$D$96:$D$114))/12,
SUMPRODUCT(($B32='IP1'!$B$96:$B$114)*('IP1'!$D$96:$D$114))/12*
IF(YEAR(F$3)=2013,'IP1'!$F$154,'IP1'!$G$154)
))</f>
        <v>0</v>
      </c>
      <c r="G32" s="85">
        <f>IF(LEFT($D32,5)="Other",
VLOOKUP($A32,'IP1'!$A$37:$G$89,4,0)*
VLOOKUP(
VLOOKUP($A32,'IP1'!$A$37:$G$89,7,0),Patterns!$A$2:$N$28,COLUMN(G32)-2,0)/
VLOOKUP(
VLOOKUP($A32,'IP1'!$A$37:$G$89,7,0),Patterns!$A$2:$N$28,2,0),
IF(LEFT($D32,7)="Payroll",
SUMPRODUCT(($B32='IP1'!$B$96:$B$114)*('IP1'!$D$96:$D$114))/12,
SUMPRODUCT(($B32='IP1'!$B$96:$B$114)*('IP1'!$D$96:$D$114))/12*
IF(YEAR(G$3)=2013,'IP1'!$F$154,'IP1'!$G$154)
))</f>
        <v>0</v>
      </c>
      <c r="H32" s="85">
        <f>IF(LEFT($D32,5)="Other",
VLOOKUP($A32,'IP1'!$A$37:$G$89,4,0)*
VLOOKUP(
VLOOKUP($A32,'IP1'!$A$37:$G$89,7,0),Patterns!$A$2:$N$28,COLUMN(H32)-2,0)/
VLOOKUP(
VLOOKUP($A32,'IP1'!$A$37:$G$89,7,0),Patterns!$A$2:$N$28,2,0),
IF(LEFT($D32,7)="Payroll",
SUMPRODUCT(($B32='IP1'!$B$96:$B$114)*('IP1'!$D$96:$D$114))/12,
SUMPRODUCT(($B32='IP1'!$B$96:$B$114)*('IP1'!$D$96:$D$114))/12*
IF(YEAR(H$3)=2013,'IP1'!$F$154,'IP1'!$G$154)
))</f>
        <v>12500</v>
      </c>
      <c r="I32" s="85">
        <f>IF(LEFT($D32,5)="Other",
VLOOKUP($A32,'IP1'!$A$37:$G$89,4,0)*
VLOOKUP(
VLOOKUP($A32,'IP1'!$A$37:$G$89,7,0),Patterns!$A$2:$N$28,COLUMN(I32)-2,0)/
VLOOKUP(
VLOOKUP($A32,'IP1'!$A$37:$G$89,7,0),Patterns!$A$2:$N$28,2,0),
IF(LEFT($D32,7)="Payroll",
SUMPRODUCT(($B32='IP1'!$B$96:$B$114)*('IP1'!$D$96:$D$114))/12,
SUMPRODUCT(($B32='IP1'!$B$96:$B$114)*('IP1'!$D$96:$D$114))/12*
IF(YEAR(I$3)=2013,'IP1'!$F$154,'IP1'!$G$154)
))</f>
        <v>0</v>
      </c>
      <c r="J32" s="85">
        <f>IF(LEFT($D32,5)="Other",
VLOOKUP($A32,'IP1'!$A$37:$G$89,4,0)*
VLOOKUP(
VLOOKUP($A32,'IP1'!$A$37:$G$89,7,0),Patterns!$A$2:$N$28,COLUMN(J32)-2,0)/
VLOOKUP(
VLOOKUP($A32,'IP1'!$A$37:$G$89,7,0),Patterns!$A$2:$N$28,2,0),
IF(LEFT($D32,7)="Payroll",
SUMPRODUCT(($B32='IP1'!$B$96:$B$114)*('IP1'!$D$96:$D$114))/12,
SUMPRODUCT(($B32='IP1'!$B$96:$B$114)*('IP1'!$D$96:$D$114))/12*
IF(YEAR(J$3)=2013,'IP1'!$F$154,'IP1'!$G$154)
))</f>
        <v>0</v>
      </c>
      <c r="K32" s="85">
        <f>IF(LEFT($D32,5)="Other",
VLOOKUP($A32,'IP1'!$A$37:$G$89,4,0)*
VLOOKUP(
VLOOKUP($A32,'IP1'!$A$37:$G$89,7,0),Patterns!$A$2:$N$28,COLUMN(K32)-2,0)/
VLOOKUP(
VLOOKUP($A32,'IP1'!$A$37:$G$89,7,0),Patterns!$A$2:$N$28,2,0),
IF(LEFT($D32,7)="Payroll",
SUMPRODUCT(($B32='IP1'!$B$96:$B$114)*('IP1'!$D$96:$D$114))/12,
SUMPRODUCT(($B32='IP1'!$B$96:$B$114)*('IP1'!$D$96:$D$114))/12*
IF(YEAR(K$3)=2013,'IP1'!$F$154,'IP1'!$G$154)
))</f>
        <v>12500</v>
      </c>
      <c r="L32" s="85">
        <f>IF(LEFT($D32,5)="Other",
VLOOKUP($A32,'IP1'!$A$37:$G$89,4,0)*
VLOOKUP(
VLOOKUP($A32,'IP1'!$A$37:$G$89,7,0),Patterns!$A$2:$N$28,COLUMN(L32)-2,0)/
VLOOKUP(
VLOOKUP($A32,'IP1'!$A$37:$G$89,7,0),Patterns!$A$2:$N$28,2,0),
IF(LEFT($D32,7)="Payroll",
SUMPRODUCT(($B32='IP1'!$B$96:$B$114)*('IP1'!$D$96:$D$114))/12,
SUMPRODUCT(($B32='IP1'!$B$96:$B$114)*('IP1'!$D$96:$D$114))/12*
IF(YEAR(L$3)=2013,'IP1'!$F$154,'IP1'!$G$154)
))</f>
        <v>0</v>
      </c>
      <c r="M32" s="85">
        <f>IF(LEFT($D32,5)="Other",
VLOOKUP($A32,'IP1'!$A$37:$G$89,4,0)*
VLOOKUP(
VLOOKUP($A32,'IP1'!$A$37:$G$89,7,0),Patterns!$A$2:$N$28,COLUMN(M32)-2,0)/
VLOOKUP(
VLOOKUP($A32,'IP1'!$A$37:$G$89,7,0),Patterns!$A$2:$N$28,2,0),
IF(LEFT($D32,7)="Payroll",
SUMPRODUCT(($B32='IP1'!$B$96:$B$114)*('IP1'!$D$96:$D$114))/12,
SUMPRODUCT(($B32='IP1'!$B$96:$B$114)*('IP1'!$D$96:$D$114))/12*
IF(YEAR(M$3)=2013,'IP1'!$F$154,'IP1'!$G$154)
))</f>
        <v>0</v>
      </c>
      <c r="N32" s="85">
        <f>IF(LEFT($D32,5)="Other",
VLOOKUP($A32,'IP1'!$A$37:$G$89,4,0)*
VLOOKUP(
VLOOKUP($A32,'IP1'!$A$37:$G$89,7,0),Patterns!$A$2:$N$28,COLUMN(N32)-2,0)/
VLOOKUP(
VLOOKUP($A32,'IP1'!$A$37:$G$89,7,0),Patterns!$A$2:$N$28,2,0),
IF(LEFT($D32,7)="Payroll",
SUMPRODUCT(($B32='IP1'!$B$96:$B$114)*('IP1'!$D$96:$D$114))/12,
SUMPRODUCT(($B32='IP1'!$B$96:$B$114)*('IP1'!$D$96:$D$114))/12*
IF(YEAR(N$3)=2013,'IP1'!$F$154,'IP1'!$G$154)
))</f>
        <v>12500</v>
      </c>
      <c r="O32" s="85">
        <f>IF(LEFT($D32,5)="Other",
VLOOKUP($A32,'IP1'!$A$37:$G$89,4,0)*
VLOOKUP(
VLOOKUP($A32,'IP1'!$A$37:$G$89,7,0),Patterns!$A$2:$N$28,COLUMN(O32)-2,0)/
VLOOKUP(
VLOOKUP($A32,'IP1'!$A$37:$G$89,7,0),Patterns!$A$2:$N$28,2,0),
IF(LEFT($D32,7)="Payroll",
SUMPRODUCT(($B32='IP1'!$B$96:$B$114)*('IP1'!$D$96:$D$114))/12,
SUMPRODUCT(($B32='IP1'!$B$96:$B$114)*('IP1'!$D$96:$D$114))/12*
IF(YEAR(O$3)=2013,'IP1'!$F$154,'IP1'!$G$154)
))</f>
        <v>0</v>
      </c>
      <c r="P32" s="85">
        <f>IF(LEFT($D32,5)="Other",
VLOOKUP($A32,'IP1'!$A$37:$G$89,4,0)*
VLOOKUP(
VLOOKUP($A32,'IP1'!$A$37:$G$89,7,0),Patterns!$A$2:$N$28,COLUMN(P32)-2,0)/
VLOOKUP(
VLOOKUP($A32,'IP1'!$A$37:$G$89,7,0),Patterns!$A$2:$N$28,2,0),
IF(LEFT($D32,7)="Payroll",
SUMPRODUCT(($B32='IP1'!$B$96:$B$114)*('IP1'!$D$96:$D$114))/12,
SUMPRODUCT(($B32='IP1'!$B$96:$B$114)*('IP1'!$D$96:$D$114))/12*
IF(YEAR(P$3)=2013,'IP1'!$F$154,'IP1'!$G$154)
))</f>
        <v>0</v>
      </c>
      <c r="Q32" s="85">
        <f>IF(LEFT($D32,5)="Other",
VLOOKUP($A32,'IP1'!$A$37:$G$89,5,0)*
VLOOKUP(
VLOOKUP($A32,'IP1'!$A$37:$G$89,7,0),Patterns!$A$2:$N$28,COLUMN(Q32)-14,0)/
VLOOKUP(
VLOOKUP($A32,'IP1'!$A$37:$G$89,7,0),Patterns!$A$2:$N$28,2,0),
IF(LEFT($D32,7)="Payroll",
SUMPRODUCT(($B32='IP1'!$B$96:$B$114)*('IP1'!$E$96:$E$114))/12,
SUMPRODUCT(($B32='IP1'!$B$96:$B$114)*('IP1'!$E$96:$E$114))/12*
IF(YEAR(Q$3)=2013,'IP1'!$F$154,'IP1'!$G$154)
))</f>
        <v>15000</v>
      </c>
      <c r="R32" s="85">
        <f>IF(LEFT($D32,5)="Other",
VLOOKUP($A32,'IP1'!$A$37:$G$89,5,0)*
VLOOKUP(
VLOOKUP($A32,'IP1'!$A$37:$G$89,7,0),Patterns!$A$2:$N$28,COLUMN(R32)-14,0)/
VLOOKUP(
VLOOKUP($A32,'IP1'!$A$37:$G$89,7,0),Patterns!$A$2:$N$28,2,0),
IF(LEFT($D32,7)="Payroll",
SUMPRODUCT(($B32='IP1'!$B$96:$B$114)*('IP1'!$E$96:$E$114))/12,
SUMPRODUCT(($B32='IP1'!$B$96:$B$114)*('IP1'!$E$96:$E$114))/12*
IF(YEAR(R$3)=2013,'IP1'!$F$154,'IP1'!$G$154)
))</f>
        <v>0</v>
      </c>
      <c r="S32" s="85">
        <f>IF(LEFT($D32,5)="Other",
VLOOKUP($A32,'IP1'!$A$37:$G$89,5,0)*
VLOOKUP(
VLOOKUP($A32,'IP1'!$A$37:$G$89,7,0),Patterns!$A$2:$N$28,COLUMN(S32)-14,0)/
VLOOKUP(
VLOOKUP($A32,'IP1'!$A$37:$G$89,7,0),Patterns!$A$2:$N$28,2,0),
IF(LEFT($D32,7)="Payroll",
SUMPRODUCT(($B32='IP1'!$B$96:$B$114)*('IP1'!$E$96:$E$114))/12,
SUMPRODUCT(($B32='IP1'!$B$96:$B$114)*('IP1'!$E$96:$E$114))/12*
IF(YEAR(S$3)=2013,'IP1'!$F$154,'IP1'!$G$154)
))</f>
        <v>0</v>
      </c>
      <c r="T32" s="85">
        <f>IF(LEFT($D32,5)="Other",
VLOOKUP($A32,'IP1'!$A$37:$G$89,5,0)*
VLOOKUP(
VLOOKUP($A32,'IP1'!$A$37:$G$89,7,0),Patterns!$A$2:$N$28,COLUMN(T32)-14,0)/
VLOOKUP(
VLOOKUP($A32,'IP1'!$A$37:$G$89,7,0),Patterns!$A$2:$N$28,2,0),
IF(LEFT($D32,7)="Payroll",
SUMPRODUCT(($B32='IP1'!$B$96:$B$114)*('IP1'!$E$96:$E$114))/12,
SUMPRODUCT(($B32='IP1'!$B$96:$B$114)*('IP1'!$E$96:$E$114))/12*
IF(YEAR(T$3)=2013,'IP1'!$F$154,'IP1'!$G$154)
))</f>
        <v>15000</v>
      </c>
      <c r="U32" s="85">
        <f>IF(LEFT($D32,5)="Other",
VLOOKUP($A32,'IP1'!$A$37:$G$89,5,0)*
VLOOKUP(
VLOOKUP($A32,'IP1'!$A$37:$G$89,7,0),Patterns!$A$2:$N$28,COLUMN(U32)-14,0)/
VLOOKUP(
VLOOKUP($A32,'IP1'!$A$37:$G$89,7,0),Patterns!$A$2:$N$28,2,0),
IF(LEFT($D32,7)="Payroll",
SUMPRODUCT(($B32='IP1'!$B$96:$B$114)*('IP1'!$E$96:$E$114))/12,
SUMPRODUCT(($B32='IP1'!$B$96:$B$114)*('IP1'!$E$96:$E$114))/12*
IF(YEAR(U$3)=2013,'IP1'!$F$154,'IP1'!$G$154)
))</f>
        <v>0</v>
      </c>
      <c r="V32" s="85">
        <f>IF(LEFT($D32,5)="Other",
VLOOKUP($A32,'IP1'!$A$37:$G$89,5,0)*
VLOOKUP(
VLOOKUP($A32,'IP1'!$A$37:$G$89,7,0),Patterns!$A$2:$N$28,COLUMN(V32)-14,0)/
VLOOKUP(
VLOOKUP($A32,'IP1'!$A$37:$G$89,7,0),Patterns!$A$2:$N$28,2,0),
IF(LEFT($D32,7)="Payroll",
SUMPRODUCT(($B32='IP1'!$B$96:$B$114)*('IP1'!$E$96:$E$114))/12,
SUMPRODUCT(($B32='IP1'!$B$96:$B$114)*('IP1'!$E$96:$E$114))/12*
IF(YEAR(V$3)=2013,'IP1'!$F$154,'IP1'!$G$154)
))</f>
        <v>0</v>
      </c>
      <c r="W32" s="85">
        <f>IF(LEFT($D32,5)="Other",
VLOOKUP($A32,'IP1'!$A$37:$G$89,5,0)*
VLOOKUP(
VLOOKUP($A32,'IP1'!$A$37:$G$89,7,0),Patterns!$A$2:$N$28,COLUMN(W32)-14,0)/
VLOOKUP(
VLOOKUP($A32,'IP1'!$A$37:$G$89,7,0),Patterns!$A$2:$N$28,2,0),
IF(LEFT($D32,7)="Payroll",
SUMPRODUCT(($B32='IP1'!$B$96:$B$114)*('IP1'!$E$96:$E$114))/12,
SUMPRODUCT(($B32='IP1'!$B$96:$B$114)*('IP1'!$E$96:$E$114))/12*
IF(YEAR(W$3)=2013,'IP1'!$F$154,'IP1'!$G$154)
))</f>
        <v>15000</v>
      </c>
      <c r="X32" s="85">
        <f>IF(LEFT($D32,5)="Other",
VLOOKUP($A32,'IP1'!$A$37:$G$89,5,0)*
VLOOKUP(
VLOOKUP($A32,'IP1'!$A$37:$G$89,7,0),Patterns!$A$2:$N$28,COLUMN(X32)-14,0)/
VLOOKUP(
VLOOKUP($A32,'IP1'!$A$37:$G$89,7,0),Patterns!$A$2:$N$28,2,0),
IF(LEFT($D32,7)="Payroll",
SUMPRODUCT(($B32='IP1'!$B$96:$B$114)*('IP1'!$E$96:$E$114))/12,
SUMPRODUCT(($B32='IP1'!$B$96:$B$114)*('IP1'!$E$96:$E$114))/12*
IF(YEAR(X$3)=2013,'IP1'!$F$154,'IP1'!$G$154)
))</f>
        <v>0</v>
      </c>
      <c r="Y32" s="85">
        <f>IF(LEFT($D32,5)="Other",
VLOOKUP($A32,'IP1'!$A$37:$G$89,5,0)*
VLOOKUP(
VLOOKUP($A32,'IP1'!$A$37:$G$89,7,0),Patterns!$A$2:$N$28,COLUMN(Y32)-14,0)/
VLOOKUP(
VLOOKUP($A32,'IP1'!$A$37:$G$89,7,0),Patterns!$A$2:$N$28,2,0),
IF(LEFT($D32,7)="Payroll",
SUMPRODUCT(($B32='IP1'!$B$96:$B$114)*('IP1'!$E$96:$E$114))/12,
SUMPRODUCT(($B32='IP1'!$B$96:$B$114)*('IP1'!$E$96:$E$114))/12*
IF(YEAR(Y$3)=2013,'IP1'!$F$154,'IP1'!$G$154)
))</f>
        <v>0</v>
      </c>
      <c r="Z32" s="85">
        <f>IF(LEFT($D32,5)="Other",
VLOOKUP($A32,'IP1'!$A$37:$G$89,5,0)*
VLOOKUP(
VLOOKUP($A32,'IP1'!$A$37:$G$89,7,0),Patterns!$A$2:$N$28,COLUMN(Z32)-14,0)/
VLOOKUP(
VLOOKUP($A32,'IP1'!$A$37:$G$89,7,0),Patterns!$A$2:$N$28,2,0),
IF(LEFT($D32,7)="Payroll",
SUMPRODUCT(($B32='IP1'!$B$96:$B$114)*('IP1'!$E$96:$E$114))/12,
SUMPRODUCT(($B32='IP1'!$B$96:$B$114)*('IP1'!$E$96:$E$114))/12*
IF(YEAR(Z$3)=2013,'IP1'!$F$154,'IP1'!$G$154)
))</f>
        <v>15000</v>
      </c>
      <c r="AA32" s="85">
        <f>IF(LEFT($D32,5)="Other",
VLOOKUP($A32,'IP1'!$A$37:$G$89,5,0)*
VLOOKUP(
VLOOKUP($A32,'IP1'!$A$37:$G$89,7,0),Patterns!$A$2:$N$28,COLUMN(AA32)-14,0)/
VLOOKUP(
VLOOKUP($A32,'IP1'!$A$37:$G$89,7,0),Patterns!$A$2:$N$28,2,0),
IF(LEFT($D32,7)="Payroll",
SUMPRODUCT(($B32='IP1'!$B$96:$B$114)*('IP1'!$E$96:$E$114))/12,
SUMPRODUCT(($B32='IP1'!$B$96:$B$114)*('IP1'!$E$96:$E$114))/12*
IF(YEAR(AA$3)=2013,'IP1'!$F$154,'IP1'!$G$154)
))</f>
        <v>0</v>
      </c>
      <c r="AB32" s="85">
        <f>IF(LEFT($D32,5)="Other",
VLOOKUP($A32,'IP1'!$A$37:$G$89,5,0)*
VLOOKUP(
VLOOKUP($A32,'IP1'!$A$37:$G$89,7,0),Patterns!$A$2:$N$28,COLUMN(AB32)-14,0)/
VLOOKUP(
VLOOKUP($A32,'IP1'!$A$37:$G$89,7,0),Patterns!$A$2:$N$28,2,0),
IF(LEFT($D32,7)="Payroll",
SUMPRODUCT(($B32='IP1'!$B$96:$B$114)*('IP1'!$E$96:$E$114))/12,
SUMPRODUCT(($B32='IP1'!$B$96:$B$114)*('IP1'!$E$96:$E$114))/12*
IF(YEAR(AB$3)=2013,'IP1'!$F$154,'IP1'!$G$154)
))</f>
        <v>0</v>
      </c>
    </row>
    <row r="33" spans="1:28">
      <c r="A33" s="1" t="str">
        <f t="shared" si="2"/>
        <v xml:space="preserve">UtilitiesGas </v>
      </c>
      <c r="B33" s="1" t="s">
        <v>443</v>
      </c>
      <c r="C33" s="1" t="s">
        <v>445</v>
      </c>
      <c r="D33" s="11" t="s">
        <v>100</v>
      </c>
      <c r="E33" s="85">
        <f>IF(LEFT($D33,5)="Other",
VLOOKUP($A33,'IP1'!$A$37:$G$89,4,0)*
VLOOKUP(
VLOOKUP($A33,'IP1'!$A$37:$G$89,7,0),Patterns!$A$2:$N$28,COLUMN(E33)-2,0)/
VLOOKUP(
VLOOKUP($A33,'IP1'!$A$37:$G$89,7,0),Patterns!$A$2:$N$28,2,0),
IF(LEFT($D33,7)="Payroll",
SUMPRODUCT(($B33='IP1'!$B$96:$B$114)*('IP1'!$D$96:$D$114))/12,
SUMPRODUCT(($B33='IP1'!$B$96:$B$114)*('IP1'!$D$96:$D$114))/12*
IF(YEAR(E$3)=2013,'IP1'!$F$154,'IP1'!$G$154)
))</f>
        <v>12500</v>
      </c>
      <c r="F33" s="85">
        <f>IF(LEFT($D33,5)="Other",
VLOOKUP($A33,'IP1'!$A$37:$G$89,4,0)*
VLOOKUP(
VLOOKUP($A33,'IP1'!$A$37:$G$89,7,0),Patterns!$A$2:$N$28,COLUMN(F33)-2,0)/
VLOOKUP(
VLOOKUP($A33,'IP1'!$A$37:$G$89,7,0),Patterns!$A$2:$N$28,2,0),
IF(LEFT($D33,7)="Payroll",
SUMPRODUCT(($B33='IP1'!$B$96:$B$114)*('IP1'!$D$96:$D$114))/12,
SUMPRODUCT(($B33='IP1'!$B$96:$B$114)*('IP1'!$D$96:$D$114))/12*
IF(YEAR(F$3)=2013,'IP1'!$F$154,'IP1'!$G$154)
))</f>
        <v>0</v>
      </c>
      <c r="G33" s="85">
        <f>IF(LEFT($D33,5)="Other",
VLOOKUP($A33,'IP1'!$A$37:$G$89,4,0)*
VLOOKUP(
VLOOKUP($A33,'IP1'!$A$37:$G$89,7,0),Patterns!$A$2:$N$28,COLUMN(G33)-2,0)/
VLOOKUP(
VLOOKUP($A33,'IP1'!$A$37:$G$89,7,0),Patterns!$A$2:$N$28,2,0),
IF(LEFT($D33,7)="Payroll",
SUMPRODUCT(($B33='IP1'!$B$96:$B$114)*('IP1'!$D$96:$D$114))/12,
SUMPRODUCT(($B33='IP1'!$B$96:$B$114)*('IP1'!$D$96:$D$114))/12*
IF(YEAR(G$3)=2013,'IP1'!$F$154,'IP1'!$G$154)
))</f>
        <v>0</v>
      </c>
      <c r="H33" s="85">
        <f>IF(LEFT($D33,5)="Other",
VLOOKUP($A33,'IP1'!$A$37:$G$89,4,0)*
VLOOKUP(
VLOOKUP($A33,'IP1'!$A$37:$G$89,7,0),Patterns!$A$2:$N$28,COLUMN(H33)-2,0)/
VLOOKUP(
VLOOKUP($A33,'IP1'!$A$37:$G$89,7,0),Patterns!$A$2:$N$28,2,0),
IF(LEFT($D33,7)="Payroll",
SUMPRODUCT(($B33='IP1'!$B$96:$B$114)*('IP1'!$D$96:$D$114))/12,
SUMPRODUCT(($B33='IP1'!$B$96:$B$114)*('IP1'!$D$96:$D$114))/12*
IF(YEAR(H$3)=2013,'IP1'!$F$154,'IP1'!$G$154)
))</f>
        <v>12500</v>
      </c>
      <c r="I33" s="85">
        <f>IF(LEFT($D33,5)="Other",
VLOOKUP($A33,'IP1'!$A$37:$G$89,4,0)*
VLOOKUP(
VLOOKUP($A33,'IP1'!$A$37:$G$89,7,0),Patterns!$A$2:$N$28,COLUMN(I33)-2,0)/
VLOOKUP(
VLOOKUP($A33,'IP1'!$A$37:$G$89,7,0),Patterns!$A$2:$N$28,2,0),
IF(LEFT($D33,7)="Payroll",
SUMPRODUCT(($B33='IP1'!$B$96:$B$114)*('IP1'!$D$96:$D$114))/12,
SUMPRODUCT(($B33='IP1'!$B$96:$B$114)*('IP1'!$D$96:$D$114))/12*
IF(YEAR(I$3)=2013,'IP1'!$F$154,'IP1'!$G$154)
))</f>
        <v>0</v>
      </c>
      <c r="J33" s="85">
        <f>IF(LEFT($D33,5)="Other",
VLOOKUP($A33,'IP1'!$A$37:$G$89,4,0)*
VLOOKUP(
VLOOKUP($A33,'IP1'!$A$37:$G$89,7,0),Patterns!$A$2:$N$28,COLUMN(J33)-2,0)/
VLOOKUP(
VLOOKUP($A33,'IP1'!$A$37:$G$89,7,0),Patterns!$A$2:$N$28,2,0),
IF(LEFT($D33,7)="Payroll",
SUMPRODUCT(($B33='IP1'!$B$96:$B$114)*('IP1'!$D$96:$D$114))/12,
SUMPRODUCT(($B33='IP1'!$B$96:$B$114)*('IP1'!$D$96:$D$114))/12*
IF(YEAR(J$3)=2013,'IP1'!$F$154,'IP1'!$G$154)
))</f>
        <v>0</v>
      </c>
      <c r="K33" s="85">
        <f>IF(LEFT($D33,5)="Other",
VLOOKUP($A33,'IP1'!$A$37:$G$89,4,0)*
VLOOKUP(
VLOOKUP($A33,'IP1'!$A$37:$G$89,7,0),Patterns!$A$2:$N$28,COLUMN(K33)-2,0)/
VLOOKUP(
VLOOKUP($A33,'IP1'!$A$37:$G$89,7,0),Patterns!$A$2:$N$28,2,0),
IF(LEFT($D33,7)="Payroll",
SUMPRODUCT(($B33='IP1'!$B$96:$B$114)*('IP1'!$D$96:$D$114))/12,
SUMPRODUCT(($B33='IP1'!$B$96:$B$114)*('IP1'!$D$96:$D$114))/12*
IF(YEAR(K$3)=2013,'IP1'!$F$154,'IP1'!$G$154)
))</f>
        <v>12500</v>
      </c>
      <c r="L33" s="85">
        <f>IF(LEFT($D33,5)="Other",
VLOOKUP($A33,'IP1'!$A$37:$G$89,4,0)*
VLOOKUP(
VLOOKUP($A33,'IP1'!$A$37:$G$89,7,0),Patterns!$A$2:$N$28,COLUMN(L33)-2,0)/
VLOOKUP(
VLOOKUP($A33,'IP1'!$A$37:$G$89,7,0),Patterns!$A$2:$N$28,2,0),
IF(LEFT($D33,7)="Payroll",
SUMPRODUCT(($B33='IP1'!$B$96:$B$114)*('IP1'!$D$96:$D$114))/12,
SUMPRODUCT(($B33='IP1'!$B$96:$B$114)*('IP1'!$D$96:$D$114))/12*
IF(YEAR(L$3)=2013,'IP1'!$F$154,'IP1'!$G$154)
))</f>
        <v>0</v>
      </c>
      <c r="M33" s="85">
        <f>IF(LEFT($D33,5)="Other",
VLOOKUP($A33,'IP1'!$A$37:$G$89,4,0)*
VLOOKUP(
VLOOKUP($A33,'IP1'!$A$37:$G$89,7,0),Patterns!$A$2:$N$28,COLUMN(M33)-2,0)/
VLOOKUP(
VLOOKUP($A33,'IP1'!$A$37:$G$89,7,0),Patterns!$A$2:$N$28,2,0),
IF(LEFT($D33,7)="Payroll",
SUMPRODUCT(($B33='IP1'!$B$96:$B$114)*('IP1'!$D$96:$D$114))/12,
SUMPRODUCT(($B33='IP1'!$B$96:$B$114)*('IP1'!$D$96:$D$114))/12*
IF(YEAR(M$3)=2013,'IP1'!$F$154,'IP1'!$G$154)
))</f>
        <v>0</v>
      </c>
      <c r="N33" s="85">
        <f>IF(LEFT($D33,5)="Other",
VLOOKUP($A33,'IP1'!$A$37:$G$89,4,0)*
VLOOKUP(
VLOOKUP($A33,'IP1'!$A$37:$G$89,7,0),Patterns!$A$2:$N$28,COLUMN(N33)-2,0)/
VLOOKUP(
VLOOKUP($A33,'IP1'!$A$37:$G$89,7,0),Patterns!$A$2:$N$28,2,0),
IF(LEFT($D33,7)="Payroll",
SUMPRODUCT(($B33='IP1'!$B$96:$B$114)*('IP1'!$D$96:$D$114))/12,
SUMPRODUCT(($B33='IP1'!$B$96:$B$114)*('IP1'!$D$96:$D$114))/12*
IF(YEAR(N$3)=2013,'IP1'!$F$154,'IP1'!$G$154)
))</f>
        <v>12500</v>
      </c>
      <c r="O33" s="85">
        <f>IF(LEFT($D33,5)="Other",
VLOOKUP($A33,'IP1'!$A$37:$G$89,4,0)*
VLOOKUP(
VLOOKUP($A33,'IP1'!$A$37:$G$89,7,0),Patterns!$A$2:$N$28,COLUMN(O33)-2,0)/
VLOOKUP(
VLOOKUP($A33,'IP1'!$A$37:$G$89,7,0),Patterns!$A$2:$N$28,2,0),
IF(LEFT($D33,7)="Payroll",
SUMPRODUCT(($B33='IP1'!$B$96:$B$114)*('IP1'!$D$96:$D$114))/12,
SUMPRODUCT(($B33='IP1'!$B$96:$B$114)*('IP1'!$D$96:$D$114))/12*
IF(YEAR(O$3)=2013,'IP1'!$F$154,'IP1'!$G$154)
))</f>
        <v>0</v>
      </c>
      <c r="P33" s="85">
        <f>IF(LEFT($D33,5)="Other",
VLOOKUP($A33,'IP1'!$A$37:$G$89,4,0)*
VLOOKUP(
VLOOKUP($A33,'IP1'!$A$37:$G$89,7,0),Patterns!$A$2:$N$28,COLUMN(P33)-2,0)/
VLOOKUP(
VLOOKUP($A33,'IP1'!$A$37:$G$89,7,0),Patterns!$A$2:$N$28,2,0),
IF(LEFT($D33,7)="Payroll",
SUMPRODUCT(($B33='IP1'!$B$96:$B$114)*('IP1'!$D$96:$D$114))/12,
SUMPRODUCT(($B33='IP1'!$B$96:$B$114)*('IP1'!$D$96:$D$114))/12*
IF(YEAR(P$3)=2013,'IP1'!$F$154,'IP1'!$G$154)
))</f>
        <v>0</v>
      </c>
      <c r="Q33" s="85">
        <f>IF(LEFT($D33,5)="Other",
VLOOKUP($A33,'IP1'!$A$37:$G$89,5,0)*
VLOOKUP(
VLOOKUP($A33,'IP1'!$A$37:$G$89,7,0),Patterns!$A$2:$N$28,COLUMN(Q33)-14,0)/
VLOOKUP(
VLOOKUP($A33,'IP1'!$A$37:$G$89,7,0),Patterns!$A$2:$N$28,2,0),
IF(LEFT($D33,7)="Payroll",
SUMPRODUCT(($B33='IP1'!$B$96:$B$114)*('IP1'!$E$96:$E$114))/12,
SUMPRODUCT(($B33='IP1'!$B$96:$B$114)*('IP1'!$E$96:$E$114))/12*
IF(YEAR(Q$3)=2013,'IP1'!$F$154,'IP1'!$G$154)
))</f>
        <v>18750</v>
      </c>
      <c r="R33" s="85">
        <f>IF(LEFT($D33,5)="Other",
VLOOKUP($A33,'IP1'!$A$37:$G$89,5,0)*
VLOOKUP(
VLOOKUP($A33,'IP1'!$A$37:$G$89,7,0),Patterns!$A$2:$N$28,COLUMN(R33)-14,0)/
VLOOKUP(
VLOOKUP($A33,'IP1'!$A$37:$G$89,7,0),Patterns!$A$2:$N$28,2,0),
IF(LEFT($D33,7)="Payroll",
SUMPRODUCT(($B33='IP1'!$B$96:$B$114)*('IP1'!$E$96:$E$114))/12,
SUMPRODUCT(($B33='IP1'!$B$96:$B$114)*('IP1'!$E$96:$E$114))/12*
IF(YEAR(R$3)=2013,'IP1'!$F$154,'IP1'!$G$154)
))</f>
        <v>0</v>
      </c>
      <c r="S33" s="85">
        <f>IF(LEFT($D33,5)="Other",
VLOOKUP($A33,'IP1'!$A$37:$G$89,5,0)*
VLOOKUP(
VLOOKUP($A33,'IP1'!$A$37:$G$89,7,0),Patterns!$A$2:$N$28,COLUMN(S33)-14,0)/
VLOOKUP(
VLOOKUP($A33,'IP1'!$A$37:$G$89,7,0),Patterns!$A$2:$N$28,2,0),
IF(LEFT($D33,7)="Payroll",
SUMPRODUCT(($B33='IP1'!$B$96:$B$114)*('IP1'!$E$96:$E$114))/12,
SUMPRODUCT(($B33='IP1'!$B$96:$B$114)*('IP1'!$E$96:$E$114))/12*
IF(YEAR(S$3)=2013,'IP1'!$F$154,'IP1'!$G$154)
))</f>
        <v>0</v>
      </c>
      <c r="T33" s="85">
        <f>IF(LEFT($D33,5)="Other",
VLOOKUP($A33,'IP1'!$A$37:$G$89,5,0)*
VLOOKUP(
VLOOKUP($A33,'IP1'!$A$37:$G$89,7,0),Patterns!$A$2:$N$28,COLUMN(T33)-14,0)/
VLOOKUP(
VLOOKUP($A33,'IP1'!$A$37:$G$89,7,0),Patterns!$A$2:$N$28,2,0),
IF(LEFT($D33,7)="Payroll",
SUMPRODUCT(($B33='IP1'!$B$96:$B$114)*('IP1'!$E$96:$E$114))/12,
SUMPRODUCT(($B33='IP1'!$B$96:$B$114)*('IP1'!$E$96:$E$114))/12*
IF(YEAR(T$3)=2013,'IP1'!$F$154,'IP1'!$G$154)
))</f>
        <v>18750</v>
      </c>
      <c r="U33" s="85">
        <f>IF(LEFT($D33,5)="Other",
VLOOKUP($A33,'IP1'!$A$37:$G$89,5,0)*
VLOOKUP(
VLOOKUP($A33,'IP1'!$A$37:$G$89,7,0),Patterns!$A$2:$N$28,COLUMN(U33)-14,0)/
VLOOKUP(
VLOOKUP($A33,'IP1'!$A$37:$G$89,7,0),Patterns!$A$2:$N$28,2,0),
IF(LEFT($D33,7)="Payroll",
SUMPRODUCT(($B33='IP1'!$B$96:$B$114)*('IP1'!$E$96:$E$114))/12,
SUMPRODUCT(($B33='IP1'!$B$96:$B$114)*('IP1'!$E$96:$E$114))/12*
IF(YEAR(U$3)=2013,'IP1'!$F$154,'IP1'!$G$154)
))</f>
        <v>0</v>
      </c>
      <c r="V33" s="85">
        <f>IF(LEFT($D33,5)="Other",
VLOOKUP($A33,'IP1'!$A$37:$G$89,5,0)*
VLOOKUP(
VLOOKUP($A33,'IP1'!$A$37:$G$89,7,0),Patterns!$A$2:$N$28,COLUMN(V33)-14,0)/
VLOOKUP(
VLOOKUP($A33,'IP1'!$A$37:$G$89,7,0),Patterns!$A$2:$N$28,2,0),
IF(LEFT($D33,7)="Payroll",
SUMPRODUCT(($B33='IP1'!$B$96:$B$114)*('IP1'!$E$96:$E$114))/12,
SUMPRODUCT(($B33='IP1'!$B$96:$B$114)*('IP1'!$E$96:$E$114))/12*
IF(YEAR(V$3)=2013,'IP1'!$F$154,'IP1'!$G$154)
))</f>
        <v>0</v>
      </c>
      <c r="W33" s="85">
        <f>IF(LEFT($D33,5)="Other",
VLOOKUP($A33,'IP1'!$A$37:$G$89,5,0)*
VLOOKUP(
VLOOKUP($A33,'IP1'!$A$37:$G$89,7,0),Patterns!$A$2:$N$28,COLUMN(W33)-14,0)/
VLOOKUP(
VLOOKUP($A33,'IP1'!$A$37:$G$89,7,0),Patterns!$A$2:$N$28,2,0),
IF(LEFT($D33,7)="Payroll",
SUMPRODUCT(($B33='IP1'!$B$96:$B$114)*('IP1'!$E$96:$E$114))/12,
SUMPRODUCT(($B33='IP1'!$B$96:$B$114)*('IP1'!$E$96:$E$114))/12*
IF(YEAR(W$3)=2013,'IP1'!$F$154,'IP1'!$G$154)
))</f>
        <v>18750</v>
      </c>
      <c r="X33" s="85">
        <f>IF(LEFT($D33,5)="Other",
VLOOKUP($A33,'IP1'!$A$37:$G$89,5,0)*
VLOOKUP(
VLOOKUP($A33,'IP1'!$A$37:$G$89,7,0),Patterns!$A$2:$N$28,COLUMN(X33)-14,0)/
VLOOKUP(
VLOOKUP($A33,'IP1'!$A$37:$G$89,7,0),Patterns!$A$2:$N$28,2,0),
IF(LEFT($D33,7)="Payroll",
SUMPRODUCT(($B33='IP1'!$B$96:$B$114)*('IP1'!$E$96:$E$114))/12,
SUMPRODUCT(($B33='IP1'!$B$96:$B$114)*('IP1'!$E$96:$E$114))/12*
IF(YEAR(X$3)=2013,'IP1'!$F$154,'IP1'!$G$154)
))</f>
        <v>0</v>
      </c>
      <c r="Y33" s="85">
        <f>IF(LEFT($D33,5)="Other",
VLOOKUP($A33,'IP1'!$A$37:$G$89,5,0)*
VLOOKUP(
VLOOKUP($A33,'IP1'!$A$37:$G$89,7,0),Patterns!$A$2:$N$28,COLUMN(Y33)-14,0)/
VLOOKUP(
VLOOKUP($A33,'IP1'!$A$37:$G$89,7,0),Patterns!$A$2:$N$28,2,0),
IF(LEFT($D33,7)="Payroll",
SUMPRODUCT(($B33='IP1'!$B$96:$B$114)*('IP1'!$E$96:$E$114))/12,
SUMPRODUCT(($B33='IP1'!$B$96:$B$114)*('IP1'!$E$96:$E$114))/12*
IF(YEAR(Y$3)=2013,'IP1'!$F$154,'IP1'!$G$154)
))</f>
        <v>0</v>
      </c>
      <c r="Z33" s="85">
        <f>IF(LEFT($D33,5)="Other",
VLOOKUP($A33,'IP1'!$A$37:$G$89,5,0)*
VLOOKUP(
VLOOKUP($A33,'IP1'!$A$37:$G$89,7,0),Patterns!$A$2:$N$28,COLUMN(Z33)-14,0)/
VLOOKUP(
VLOOKUP($A33,'IP1'!$A$37:$G$89,7,0),Patterns!$A$2:$N$28,2,0),
IF(LEFT($D33,7)="Payroll",
SUMPRODUCT(($B33='IP1'!$B$96:$B$114)*('IP1'!$E$96:$E$114))/12,
SUMPRODUCT(($B33='IP1'!$B$96:$B$114)*('IP1'!$E$96:$E$114))/12*
IF(YEAR(Z$3)=2013,'IP1'!$F$154,'IP1'!$G$154)
))</f>
        <v>18750</v>
      </c>
      <c r="AA33" s="85">
        <f>IF(LEFT($D33,5)="Other",
VLOOKUP($A33,'IP1'!$A$37:$G$89,5,0)*
VLOOKUP(
VLOOKUP($A33,'IP1'!$A$37:$G$89,7,0),Patterns!$A$2:$N$28,COLUMN(AA33)-14,0)/
VLOOKUP(
VLOOKUP($A33,'IP1'!$A$37:$G$89,7,0),Patterns!$A$2:$N$28,2,0),
IF(LEFT($D33,7)="Payroll",
SUMPRODUCT(($B33='IP1'!$B$96:$B$114)*('IP1'!$E$96:$E$114))/12,
SUMPRODUCT(($B33='IP1'!$B$96:$B$114)*('IP1'!$E$96:$E$114))/12*
IF(YEAR(AA$3)=2013,'IP1'!$F$154,'IP1'!$G$154)
))</f>
        <v>0</v>
      </c>
      <c r="AB33" s="85">
        <f>IF(LEFT($D33,5)="Other",
VLOOKUP($A33,'IP1'!$A$37:$G$89,5,0)*
VLOOKUP(
VLOOKUP($A33,'IP1'!$A$37:$G$89,7,0),Patterns!$A$2:$N$28,COLUMN(AB33)-14,0)/
VLOOKUP(
VLOOKUP($A33,'IP1'!$A$37:$G$89,7,0),Patterns!$A$2:$N$28,2,0),
IF(LEFT($D33,7)="Payroll",
SUMPRODUCT(($B33='IP1'!$B$96:$B$114)*('IP1'!$E$96:$E$114))/12,
SUMPRODUCT(($B33='IP1'!$B$96:$B$114)*('IP1'!$E$96:$E$114))/12*
IF(YEAR(AB$3)=2013,'IP1'!$F$154,'IP1'!$G$154)
))</f>
        <v>0</v>
      </c>
    </row>
    <row r="34" spans="1:28">
      <c r="A34" s="1" t="str">
        <f t="shared" si="2"/>
        <v xml:space="preserve">UtilitiesOil </v>
      </c>
      <c r="B34" s="1" t="s">
        <v>443</v>
      </c>
      <c r="C34" s="1" t="s">
        <v>446</v>
      </c>
      <c r="D34" s="11" t="s">
        <v>100</v>
      </c>
      <c r="E34" s="85">
        <f>IF(LEFT($D34,5)="Other",
VLOOKUP($A34,'IP1'!$A$37:$G$89,4,0)*
VLOOKUP(
VLOOKUP($A34,'IP1'!$A$37:$G$89,7,0),Patterns!$A$2:$N$28,COLUMN(E34)-2,0)/
VLOOKUP(
VLOOKUP($A34,'IP1'!$A$37:$G$89,7,0),Patterns!$A$2:$N$28,2,0),
IF(LEFT($D34,7)="Payroll",
SUMPRODUCT(($B34='IP1'!$B$96:$B$114)*('IP1'!$D$96:$D$114))/12,
SUMPRODUCT(($B34='IP1'!$B$96:$B$114)*('IP1'!$D$96:$D$114))/12*
IF(YEAR(E$3)=2013,'IP1'!$F$154,'IP1'!$G$154)
))</f>
        <v>0</v>
      </c>
      <c r="F34" s="85">
        <f>IF(LEFT($D34,5)="Other",
VLOOKUP($A34,'IP1'!$A$37:$G$89,4,0)*
VLOOKUP(
VLOOKUP($A34,'IP1'!$A$37:$G$89,7,0),Patterns!$A$2:$N$28,COLUMN(F34)-2,0)/
VLOOKUP(
VLOOKUP($A34,'IP1'!$A$37:$G$89,7,0),Patterns!$A$2:$N$28,2,0),
IF(LEFT($D34,7)="Payroll",
SUMPRODUCT(($B34='IP1'!$B$96:$B$114)*('IP1'!$D$96:$D$114))/12,
SUMPRODUCT(($B34='IP1'!$B$96:$B$114)*('IP1'!$D$96:$D$114))/12*
IF(YEAR(F$3)=2013,'IP1'!$F$154,'IP1'!$G$154)
))</f>
        <v>0</v>
      </c>
      <c r="G34" s="85">
        <f>IF(LEFT($D34,5)="Other",
VLOOKUP($A34,'IP1'!$A$37:$G$89,4,0)*
VLOOKUP(
VLOOKUP($A34,'IP1'!$A$37:$G$89,7,0),Patterns!$A$2:$N$28,COLUMN(G34)-2,0)/
VLOOKUP(
VLOOKUP($A34,'IP1'!$A$37:$G$89,7,0),Patterns!$A$2:$N$28,2,0),
IF(LEFT($D34,7)="Payroll",
SUMPRODUCT(($B34='IP1'!$B$96:$B$114)*('IP1'!$D$96:$D$114))/12,
SUMPRODUCT(($B34='IP1'!$B$96:$B$114)*('IP1'!$D$96:$D$114))/12*
IF(YEAR(G$3)=2013,'IP1'!$F$154,'IP1'!$G$154)
))</f>
        <v>0</v>
      </c>
      <c r="H34" s="85">
        <f>IF(LEFT($D34,5)="Other",
VLOOKUP($A34,'IP1'!$A$37:$G$89,4,0)*
VLOOKUP(
VLOOKUP($A34,'IP1'!$A$37:$G$89,7,0),Patterns!$A$2:$N$28,COLUMN(H34)-2,0)/
VLOOKUP(
VLOOKUP($A34,'IP1'!$A$37:$G$89,7,0),Patterns!$A$2:$N$28,2,0),
IF(LEFT($D34,7)="Payroll",
SUMPRODUCT(($B34='IP1'!$B$96:$B$114)*('IP1'!$D$96:$D$114))/12,
SUMPRODUCT(($B34='IP1'!$B$96:$B$114)*('IP1'!$D$96:$D$114))/12*
IF(YEAR(H$3)=2013,'IP1'!$F$154,'IP1'!$G$154)
))</f>
        <v>0</v>
      </c>
      <c r="I34" s="85">
        <f>IF(LEFT($D34,5)="Other",
VLOOKUP($A34,'IP1'!$A$37:$G$89,4,0)*
VLOOKUP(
VLOOKUP($A34,'IP1'!$A$37:$G$89,7,0),Patterns!$A$2:$N$28,COLUMN(I34)-2,0)/
VLOOKUP(
VLOOKUP($A34,'IP1'!$A$37:$G$89,7,0),Patterns!$A$2:$N$28,2,0),
IF(LEFT($D34,7)="Payroll",
SUMPRODUCT(($B34='IP1'!$B$96:$B$114)*('IP1'!$D$96:$D$114))/12,
SUMPRODUCT(($B34='IP1'!$B$96:$B$114)*('IP1'!$D$96:$D$114))/12*
IF(YEAR(I$3)=2013,'IP1'!$F$154,'IP1'!$G$154)
))</f>
        <v>0</v>
      </c>
      <c r="J34" s="85">
        <f>IF(LEFT($D34,5)="Other",
VLOOKUP($A34,'IP1'!$A$37:$G$89,4,0)*
VLOOKUP(
VLOOKUP($A34,'IP1'!$A$37:$G$89,7,0),Patterns!$A$2:$N$28,COLUMN(J34)-2,0)/
VLOOKUP(
VLOOKUP($A34,'IP1'!$A$37:$G$89,7,0),Patterns!$A$2:$N$28,2,0),
IF(LEFT($D34,7)="Payroll",
SUMPRODUCT(($B34='IP1'!$B$96:$B$114)*('IP1'!$D$96:$D$114))/12,
SUMPRODUCT(($B34='IP1'!$B$96:$B$114)*('IP1'!$D$96:$D$114))/12*
IF(YEAR(J$3)=2013,'IP1'!$F$154,'IP1'!$G$154)
))</f>
        <v>0</v>
      </c>
      <c r="K34" s="85">
        <f>IF(LEFT($D34,5)="Other",
VLOOKUP($A34,'IP1'!$A$37:$G$89,4,0)*
VLOOKUP(
VLOOKUP($A34,'IP1'!$A$37:$G$89,7,0),Patterns!$A$2:$N$28,COLUMN(K34)-2,0)/
VLOOKUP(
VLOOKUP($A34,'IP1'!$A$37:$G$89,7,0),Patterns!$A$2:$N$28,2,0),
IF(LEFT($D34,7)="Payroll",
SUMPRODUCT(($B34='IP1'!$B$96:$B$114)*('IP1'!$D$96:$D$114))/12,
SUMPRODUCT(($B34='IP1'!$B$96:$B$114)*('IP1'!$D$96:$D$114))/12*
IF(YEAR(K$3)=2013,'IP1'!$F$154,'IP1'!$G$154)
))</f>
        <v>0</v>
      </c>
      <c r="L34" s="85">
        <f>IF(LEFT($D34,5)="Other",
VLOOKUP($A34,'IP1'!$A$37:$G$89,4,0)*
VLOOKUP(
VLOOKUP($A34,'IP1'!$A$37:$G$89,7,0),Patterns!$A$2:$N$28,COLUMN(L34)-2,0)/
VLOOKUP(
VLOOKUP($A34,'IP1'!$A$37:$G$89,7,0),Patterns!$A$2:$N$28,2,0),
IF(LEFT($D34,7)="Payroll",
SUMPRODUCT(($B34='IP1'!$B$96:$B$114)*('IP1'!$D$96:$D$114))/12,
SUMPRODUCT(($B34='IP1'!$B$96:$B$114)*('IP1'!$D$96:$D$114))/12*
IF(YEAR(L$3)=2013,'IP1'!$F$154,'IP1'!$G$154)
))</f>
        <v>0</v>
      </c>
      <c r="M34" s="85">
        <f>IF(LEFT($D34,5)="Other",
VLOOKUP($A34,'IP1'!$A$37:$G$89,4,0)*
VLOOKUP(
VLOOKUP($A34,'IP1'!$A$37:$G$89,7,0),Patterns!$A$2:$N$28,COLUMN(M34)-2,0)/
VLOOKUP(
VLOOKUP($A34,'IP1'!$A$37:$G$89,7,0),Patterns!$A$2:$N$28,2,0),
IF(LEFT($D34,7)="Payroll",
SUMPRODUCT(($B34='IP1'!$B$96:$B$114)*('IP1'!$D$96:$D$114))/12,
SUMPRODUCT(($B34='IP1'!$B$96:$B$114)*('IP1'!$D$96:$D$114))/12*
IF(YEAR(M$3)=2013,'IP1'!$F$154,'IP1'!$G$154)
))</f>
        <v>0</v>
      </c>
      <c r="N34" s="85">
        <f>IF(LEFT($D34,5)="Other",
VLOOKUP($A34,'IP1'!$A$37:$G$89,4,0)*
VLOOKUP(
VLOOKUP($A34,'IP1'!$A$37:$G$89,7,0),Patterns!$A$2:$N$28,COLUMN(N34)-2,0)/
VLOOKUP(
VLOOKUP($A34,'IP1'!$A$37:$G$89,7,0),Patterns!$A$2:$N$28,2,0),
IF(LEFT($D34,7)="Payroll",
SUMPRODUCT(($B34='IP1'!$B$96:$B$114)*('IP1'!$D$96:$D$114))/12,
SUMPRODUCT(($B34='IP1'!$B$96:$B$114)*('IP1'!$D$96:$D$114))/12*
IF(YEAR(N$3)=2013,'IP1'!$F$154,'IP1'!$G$154)
))</f>
        <v>0</v>
      </c>
      <c r="O34" s="85">
        <f>IF(LEFT($D34,5)="Other",
VLOOKUP($A34,'IP1'!$A$37:$G$89,4,0)*
VLOOKUP(
VLOOKUP($A34,'IP1'!$A$37:$G$89,7,0),Patterns!$A$2:$N$28,COLUMN(O34)-2,0)/
VLOOKUP(
VLOOKUP($A34,'IP1'!$A$37:$G$89,7,0),Patterns!$A$2:$N$28,2,0),
IF(LEFT($D34,7)="Payroll",
SUMPRODUCT(($B34='IP1'!$B$96:$B$114)*('IP1'!$D$96:$D$114))/12,
SUMPRODUCT(($B34='IP1'!$B$96:$B$114)*('IP1'!$D$96:$D$114))/12*
IF(YEAR(O$3)=2013,'IP1'!$F$154,'IP1'!$G$154)
))</f>
        <v>0</v>
      </c>
      <c r="P34" s="85">
        <f>IF(LEFT($D34,5)="Other",
VLOOKUP($A34,'IP1'!$A$37:$G$89,4,0)*
VLOOKUP(
VLOOKUP($A34,'IP1'!$A$37:$G$89,7,0),Patterns!$A$2:$N$28,COLUMN(P34)-2,0)/
VLOOKUP(
VLOOKUP($A34,'IP1'!$A$37:$G$89,7,0),Patterns!$A$2:$N$28,2,0),
IF(LEFT($D34,7)="Payroll",
SUMPRODUCT(($B34='IP1'!$B$96:$B$114)*('IP1'!$D$96:$D$114))/12,
SUMPRODUCT(($B34='IP1'!$B$96:$B$114)*('IP1'!$D$96:$D$114))/12*
IF(YEAR(P$3)=2013,'IP1'!$F$154,'IP1'!$G$154)
))</f>
        <v>0</v>
      </c>
      <c r="Q34" s="85">
        <f>IF(LEFT($D34,5)="Other",
VLOOKUP($A34,'IP1'!$A$37:$G$89,5,0)*
VLOOKUP(
VLOOKUP($A34,'IP1'!$A$37:$G$89,7,0),Patterns!$A$2:$N$28,COLUMN(Q34)-14,0)/
VLOOKUP(
VLOOKUP($A34,'IP1'!$A$37:$G$89,7,0),Patterns!$A$2:$N$28,2,0),
IF(LEFT($D34,7)="Payroll",
SUMPRODUCT(($B34='IP1'!$B$96:$B$114)*('IP1'!$E$96:$E$114))/12,
SUMPRODUCT(($B34='IP1'!$B$96:$B$114)*('IP1'!$E$96:$E$114))/12*
IF(YEAR(Q$3)=2013,'IP1'!$F$154,'IP1'!$G$154)
))</f>
        <v>0</v>
      </c>
      <c r="R34" s="85">
        <f>IF(LEFT($D34,5)="Other",
VLOOKUP($A34,'IP1'!$A$37:$G$89,5,0)*
VLOOKUP(
VLOOKUP($A34,'IP1'!$A$37:$G$89,7,0),Patterns!$A$2:$N$28,COLUMN(R34)-14,0)/
VLOOKUP(
VLOOKUP($A34,'IP1'!$A$37:$G$89,7,0),Patterns!$A$2:$N$28,2,0),
IF(LEFT($D34,7)="Payroll",
SUMPRODUCT(($B34='IP1'!$B$96:$B$114)*('IP1'!$E$96:$E$114))/12,
SUMPRODUCT(($B34='IP1'!$B$96:$B$114)*('IP1'!$E$96:$E$114))/12*
IF(YEAR(R$3)=2013,'IP1'!$F$154,'IP1'!$G$154)
))</f>
        <v>0</v>
      </c>
      <c r="S34" s="85">
        <f>IF(LEFT($D34,5)="Other",
VLOOKUP($A34,'IP1'!$A$37:$G$89,5,0)*
VLOOKUP(
VLOOKUP($A34,'IP1'!$A$37:$G$89,7,0),Patterns!$A$2:$N$28,COLUMN(S34)-14,0)/
VLOOKUP(
VLOOKUP($A34,'IP1'!$A$37:$G$89,7,0),Patterns!$A$2:$N$28,2,0),
IF(LEFT($D34,7)="Payroll",
SUMPRODUCT(($B34='IP1'!$B$96:$B$114)*('IP1'!$E$96:$E$114))/12,
SUMPRODUCT(($B34='IP1'!$B$96:$B$114)*('IP1'!$E$96:$E$114))/12*
IF(YEAR(S$3)=2013,'IP1'!$F$154,'IP1'!$G$154)
))</f>
        <v>0</v>
      </c>
      <c r="T34" s="85">
        <f>IF(LEFT($D34,5)="Other",
VLOOKUP($A34,'IP1'!$A$37:$G$89,5,0)*
VLOOKUP(
VLOOKUP($A34,'IP1'!$A$37:$G$89,7,0),Patterns!$A$2:$N$28,COLUMN(T34)-14,0)/
VLOOKUP(
VLOOKUP($A34,'IP1'!$A$37:$G$89,7,0),Patterns!$A$2:$N$28,2,0),
IF(LEFT($D34,7)="Payroll",
SUMPRODUCT(($B34='IP1'!$B$96:$B$114)*('IP1'!$E$96:$E$114))/12,
SUMPRODUCT(($B34='IP1'!$B$96:$B$114)*('IP1'!$E$96:$E$114))/12*
IF(YEAR(T$3)=2013,'IP1'!$F$154,'IP1'!$G$154)
))</f>
        <v>0</v>
      </c>
      <c r="U34" s="85">
        <f>IF(LEFT($D34,5)="Other",
VLOOKUP($A34,'IP1'!$A$37:$G$89,5,0)*
VLOOKUP(
VLOOKUP($A34,'IP1'!$A$37:$G$89,7,0),Patterns!$A$2:$N$28,COLUMN(U34)-14,0)/
VLOOKUP(
VLOOKUP($A34,'IP1'!$A$37:$G$89,7,0),Patterns!$A$2:$N$28,2,0),
IF(LEFT($D34,7)="Payroll",
SUMPRODUCT(($B34='IP1'!$B$96:$B$114)*('IP1'!$E$96:$E$114))/12,
SUMPRODUCT(($B34='IP1'!$B$96:$B$114)*('IP1'!$E$96:$E$114))/12*
IF(YEAR(U$3)=2013,'IP1'!$F$154,'IP1'!$G$154)
))</f>
        <v>0</v>
      </c>
      <c r="V34" s="85">
        <f>IF(LEFT($D34,5)="Other",
VLOOKUP($A34,'IP1'!$A$37:$G$89,5,0)*
VLOOKUP(
VLOOKUP($A34,'IP1'!$A$37:$G$89,7,0),Patterns!$A$2:$N$28,COLUMN(V34)-14,0)/
VLOOKUP(
VLOOKUP($A34,'IP1'!$A$37:$G$89,7,0),Patterns!$A$2:$N$28,2,0),
IF(LEFT($D34,7)="Payroll",
SUMPRODUCT(($B34='IP1'!$B$96:$B$114)*('IP1'!$E$96:$E$114))/12,
SUMPRODUCT(($B34='IP1'!$B$96:$B$114)*('IP1'!$E$96:$E$114))/12*
IF(YEAR(V$3)=2013,'IP1'!$F$154,'IP1'!$G$154)
))</f>
        <v>0</v>
      </c>
      <c r="W34" s="85">
        <f>IF(LEFT($D34,5)="Other",
VLOOKUP($A34,'IP1'!$A$37:$G$89,5,0)*
VLOOKUP(
VLOOKUP($A34,'IP1'!$A$37:$G$89,7,0),Patterns!$A$2:$N$28,COLUMN(W34)-14,0)/
VLOOKUP(
VLOOKUP($A34,'IP1'!$A$37:$G$89,7,0),Patterns!$A$2:$N$28,2,0),
IF(LEFT($D34,7)="Payroll",
SUMPRODUCT(($B34='IP1'!$B$96:$B$114)*('IP1'!$E$96:$E$114))/12,
SUMPRODUCT(($B34='IP1'!$B$96:$B$114)*('IP1'!$E$96:$E$114))/12*
IF(YEAR(W$3)=2013,'IP1'!$F$154,'IP1'!$G$154)
))</f>
        <v>0</v>
      </c>
      <c r="X34" s="85">
        <f>IF(LEFT($D34,5)="Other",
VLOOKUP($A34,'IP1'!$A$37:$G$89,5,0)*
VLOOKUP(
VLOOKUP($A34,'IP1'!$A$37:$G$89,7,0),Patterns!$A$2:$N$28,COLUMN(X34)-14,0)/
VLOOKUP(
VLOOKUP($A34,'IP1'!$A$37:$G$89,7,0),Patterns!$A$2:$N$28,2,0),
IF(LEFT($D34,7)="Payroll",
SUMPRODUCT(($B34='IP1'!$B$96:$B$114)*('IP1'!$E$96:$E$114))/12,
SUMPRODUCT(($B34='IP1'!$B$96:$B$114)*('IP1'!$E$96:$E$114))/12*
IF(YEAR(X$3)=2013,'IP1'!$F$154,'IP1'!$G$154)
))</f>
        <v>0</v>
      </c>
      <c r="Y34" s="85">
        <f>IF(LEFT($D34,5)="Other",
VLOOKUP($A34,'IP1'!$A$37:$G$89,5,0)*
VLOOKUP(
VLOOKUP($A34,'IP1'!$A$37:$G$89,7,0),Patterns!$A$2:$N$28,COLUMN(Y34)-14,0)/
VLOOKUP(
VLOOKUP($A34,'IP1'!$A$37:$G$89,7,0),Patterns!$A$2:$N$28,2,0),
IF(LEFT($D34,7)="Payroll",
SUMPRODUCT(($B34='IP1'!$B$96:$B$114)*('IP1'!$E$96:$E$114))/12,
SUMPRODUCT(($B34='IP1'!$B$96:$B$114)*('IP1'!$E$96:$E$114))/12*
IF(YEAR(Y$3)=2013,'IP1'!$F$154,'IP1'!$G$154)
))</f>
        <v>0</v>
      </c>
      <c r="Z34" s="85">
        <f>IF(LEFT($D34,5)="Other",
VLOOKUP($A34,'IP1'!$A$37:$G$89,5,0)*
VLOOKUP(
VLOOKUP($A34,'IP1'!$A$37:$G$89,7,0),Patterns!$A$2:$N$28,COLUMN(Z34)-14,0)/
VLOOKUP(
VLOOKUP($A34,'IP1'!$A$37:$G$89,7,0),Patterns!$A$2:$N$28,2,0),
IF(LEFT($D34,7)="Payroll",
SUMPRODUCT(($B34='IP1'!$B$96:$B$114)*('IP1'!$E$96:$E$114))/12,
SUMPRODUCT(($B34='IP1'!$B$96:$B$114)*('IP1'!$E$96:$E$114))/12*
IF(YEAR(Z$3)=2013,'IP1'!$F$154,'IP1'!$G$154)
))</f>
        <v>0</v>
      </c>
      <c r="AA34" s="85">
        <f>IF(LEFT($D34,5)="Other",
VLOOKUP($A34,'IP1'!$A$37:$G$89,5,0)*
VLOOKUP(
VLOOKUP($A34,'IP1'!$A$37:$G$89,7,0),Patterns!$A$2:$N$28,COLUMN(AA34)-14,0)/
VLOOKUP(
VLOOKUP($A34,'IP1'!$A$37:$G$89,7,0),Patterns!$A$2:$N$28,2,0),
IF(LEFT($D34,7)="Payroll",
SUMPRODUCT(($B34='IP1'!$B$96:$B$114)*('IP1'!$E$96:$E$114))/12,
SUMPRODUCT(($B34='IP1'!$B$96:$B$114)*('IP1'!$E$96:$E$114))/12*
IF(YEAR(AA$3)=2013,'IP1'!$F$154,'IP1'!$G$154)
))</f>
        <v>0</v>
      </c>
      <c r="AB34" s="85">
        <f>IF(LEFT($D34,5)="Other",
VLOOKUP($A34,'IP1'!$A$37:$G$89,5,0)*
VLOOKUP(
VLOOKUP($A34,'IP1'!$A$37:$G$89,7,0),Patterns!$A$2:$N$28,COLUMN(AB34)-14,0)/
VLOOKUP(
VLOOKUP($A34,'IP1'!$A$37:$G$89,7,0),Patterns!$A$2:$N$28,2,0),
IF(LEFT($D34,7)="Payroll",
SUMPRODUCT(($B34='IP1'!$B$96:$B$114)*('IP1'!$E$96:$E$114))/12,
SUMPRODUCT(($B34='IP1'!$B$96:$B$114)*('IP1'!$E$96:$E$114))/12*
IF(YEAR(AB$3)=2013,'IP1'!$F$154,'IP1'!$G$154)
))</f>
        <v>0</v>
      </c>
    </row>
    <row r="35" spans="1:28">
      <c r="A35" s="1" t="str">
        <f t="shared" si="2"/>
        <v xml:space="preserve">UtilitiesWater </v>
      </c>
      <c r="B35" s="1" t="s">
        <v>443</v>
      </c>
      <c r="C35" s="1" t="s">
        <v>447</v>
      </c>
      <c r="D35" s="11" t="s">
        <v>100</v>
      </c>
      <c r="E35" s="85">
        <f>IF(LEFT($D35,5)="Other",
VLOOKUP($A35,'IP1'!$A$37:$G$89,4,0)*
VLOOKUP(
VLOOKUP($A35,'IP1'!$A$37:$G$89,7,0),Patterns!$A$2:$N$28,COLUMN(E35)-2,0)/
VLOOKUP(
VLOOKUP($A35,'IP1'!$A$37:$G$89,7,0),Patterns!$A$2:$N$28,2,0),
IF(LEFT($D35,7)="Payroll",
SUMPRODUCT(($B35='IP1'!$B$96:$B$114)*('IP1'!$D$96:$D$114))/12,
SUMPRODUCT(($B35='IP1'!$B$96:$B$114)*('IP1'!$D$96:$D$114))/12*
IF(YEAR(E$3)=2013,'IP1'!$F$154,'IP1'!$G$154)
))</f>
        <v>416.66666666666669</v>
      </c>
      <c r="F35" s="85">
        <f>IF(LEFT($D35,5)="Other",
VLOOKUP($A35,'IP1'!$A$37:$G$89,4,0)*
VLOOKUP(
VLOOKUP($A35,'IP1'!$A$37:$G$89,7,0),Patterns!$A$2:$N$28,COLUMN(F35)-2,0)/
VLOOKUP(
VLOOKUP($A35,'IP1'!$A$37:$G$89,7,0),Patterns!$A$2:$N$28,2,0),
IF(LEFT($D35,7)="Payroll",
SUMPRODUCT(($B35='IP1'!$B$96:$B$114)*('IP1'!$D$96:$D$114))/12,
SUMPRODUCT(($B35='IP1'!$B$96:$B$114)*('IP1'!$D$96:$D$114))/12*
IF(YEAR(F$3)=2013,'IP1'!$F$154,'IP1'!$G$154)
))</f>
        <v>416.66666666666669</v>
      </c>
      <c r="G35" s="85">
        <f>IF(LEFT($D35,5)="Other",
VLOOKUP($A35,'IP1'!$A$37:$G$89,4,0)*
VLOOKUP(
VLOOKUP($A35,'IP1'!$A$37:$G$89,7,0),Patterns!$A$2:$N$28,COLUMN(G35)-2,0)/
VLOOKUP(
VLOOKUP($A35,'IP1'!$A$37:$G$89,7,0),Patterns!$A$2:$N$28,2,0),
IF(LEFT($D35,7)="Payroll",
SUMPRODUCT(($B35='IP1'!$B$96:$B$114)*('IP1'!$D$96:$D$114))/12,
SUMPRODUCT(($B35='IP1'!$B$96:$B$114)*('IP1'!$D$96:$D$114))/12*
IF(YEAR(G$3)=2013,'IP1'!$F$154,'IP1'!$G$154)
))</f>
        <v>416.66666666666669</v>
      </c>
      <c r="H35" s="85">
        <f>IF(LEFT($D35,5)="Other",
VLOOKUP($A35,'IP1'!$A$37:$G$89,4,0)*
VLOOKUP(
VLOOKUP($A35,'IP1'!$A$37:$G$89,7,0),Patterns!$A$2:$N$28,COLUMN(H35)-2,0)/
VLOOKUP(
VLOOKUP($A35,'IP1'!$A$37:$G$89,7,0),Patterns!$A$2:$N$28,2,0),
IF(LEFT($D35,7)="Payroll",
SUMPRODUCT(($B35='IP1'!$B$96:$B$114)*('IP1'!$D$96:$D$114))/12,
SUMPRODUCT(($B35='IP1'!$B$96:$B$114)*('IP1'!$D$96:$D$114))/12*
IF(YEAR(H$3)=2013,'IP1'!$F$154,'IP1'!$G$154)
))</f>
        <v>416.66666666666669</v>
      </c>
      <c r="I35" s="85">
        <f>IF(LEFT($D35,5)="Other",
VLOOKUP($A35,'IP1'!$A$37:$G$89,4,0)*
VLOOKUP(
VLOOKUP($A35,'IP1'!$A$37:$G$89,7,0),Patterns!$A$2:$N$28,COLUMN(I35)-2,0)/
VLOOKUP(
VLOOKUP($A35,'IP1'!$A$37:$G$89,7,0),Patterns!$A$2:$N$28,2,0),
IF(LEFT($D35,7)="Payroll",
SUMPRODUCT(($B35='IP1'!$B$96:$B$114)*('IP1'!$D$96:$D$114))/12,
SUMPRODUCT(($B35='IP1'!$B$96:$B$114)*('IP1'!$D$96:$D$114))/12*
IF(YEAR(I$3)=2013,'IP1'!$F$154,'IP1'!$G$154)
))</f>
        <v>416.66666666666669</v>
      </c>
      <c r="J35" s="85">
        <f>IF(LEFT($D35,5)="Other",
VLOOKUP($A35,'IP1'!$A$37:$G$89,4,0)*
VLOOKUP(
VLOOKUP($A35,'IP1'!$A$37:$G$89,7,0),Patterns!$A$2:$N$28,COLUMN(J35)-2,0)/
VLOOKUP(
VLOOKUP($A35,'IP1'!$A$37:$G$89,7,0),Patterns!$A$2:$N$28,2,0),
IF(LEFT($D35,7)="Payroll",
SUMPRODUCT(($B35='IP1'!$B$96:$B$114)*('IP1'!$D$96:$D$114))/12,
SUMPRODUCT(($B35='IP1'!$B$96:$B$114)*('IP1'!$D$96:$D$114))/12*
IF(YEAR(J$3)=2013,'IP1'!$F$154,'IP1'!$G$154)
))</f>
        <v>416.66666666666669</v>
      </c>
      <c r="K35" s="85">
        <f>IF(LEFT($D35,5)="Other",
VLOOKUP($A35,'IP1'!$A$37:$G$89,4,0)*
VLOOKUP(
VLOOKUP($A35,'IP1'!$A$37:$G$89,7,0),Patterns!$A$2:$N$28,COLUMN(K35)-2,0)/
VLOOKUP(
VLOOKUP($A35,'IP1'!$A$37:$G$89,7,0),Patterns!$A$2:$N$28,2,0),
IF(LEFT($D35,7)="Payroll",
SUMPRODUCT(($B35='IP1'!$B$96:$B$114)*('IP1'!$D$96:$D$114))/12,
SUMPRODUCT(($B35='IP1'!$B$96:$B$114)*('IP1'!$D$96:$D$114))/12*
IF(YEAR(K$3)=2013,'IP1'!$F$154,'IP1'!$G$154)
))</f>
        <v>416.66666666666669</v>
      </c>
      <c r="L35" s="85">
        <f>IF(LEFT($D35,5)="Other",
VLOOKUP($A35,'IP1'!$A$37:$G$89,4,0)*
VLOOKUP(
VLOOKUP($A35,'IP1'!$A$37:$G$89,7,0),Patterns!$A$2:$N$28,COLUMN(L35)-2,0)/
VLOOKUP(
VLOOKUP($A35,'IP1'!$A$37:$G$89,7,0),Patterns!$A$2:$N$28,2,0),
IF(LEFT($D35,7)="Payroll",
SUMPRODUCT(($B35='IP1'!$B$96:$B$114)*('IP1'!$D$96:$D$114))/12,
SUMPRODUCT(($B35='IP1'!$B$96:$B$114)*('IP1'!$D$96:$D$114))/12*
IF(YEAR(L$3)=2013,'IP1'!$F$154,'IP1'!$G$154)
))</f>
        <v>416.66666666666669</v>
      </c>
      <c r="M35" s="85">
        <f>IF(LEFT($D35,5)="Other",
VLOOKUP($A35,'IP1'!$A$37:$G$89,4,0)*
VLOOKUP(
VLOOKUP($A35,'IP1'!$A$37:$G$89,7,0),Patterns!$A$2:$N$28,COLUMN(M35)-2,0)/
VLOOKUP(
VLOOKUP($A35,'IP1'!$A$37:$G$89,7,0),Patterns!$A$2:$N$28,2,0),
IF(LEFT($D35,7)="Payroll",
SUMPRODUCT(($B35='IP1'!$B$96:$B$114)*('IP1'!$D$96:$D$114))/12,
SUMPRODUCT(($B35='IP1'!$B$96:$B$114)*('IP1'!$D$96:$D$114))/12*
IF(YEAR(M$3)=2013,'IP1'!$F$154,'IP1'!$G$154)
))</f>
        <v>416.66666666666669</v>
      </c>
      <c r="N35" s="85">
        <f>IF(LEFT($D35,5)="Other",
VLOOKUP($A35,'IP1'!$A$37:$G$89,4,0)*
VLOOKUP(
VLOOKUP($A35,'IP1'!$A$37:$G$89,7,0),Patterns!$A$2:$N$28,COLUMN(N35)-2,0)/
VLOOKUP(
VLOOKUP($A35,'IP1'!$A$37:$G$89,7,0),Patterns!$A$2:$N$28,2,0),
IF(LEFT($D35,7)="Payroll",
SUMPRODUCT(($B35='IP1'!$B$96:$B$114)*('IP1'!$D$96:$D$114))/12,
SUMPRODUCT(($B35='IP1'!$B$96:$B$114)*('IP1'!$D$96:$D$114))/12*
IF(YEAR(N$3)=2013,'IP1'!$F$154,'IP1'!$G$154)
))</f>
        <v>416.66666666666669</v>
      </c>
      <c r="O35" s="85">
        <f>IF(LEFT($D35,5)="Other",
VLOOKUP($A35,'IP1'!$A$37:$G$89,4,0)*
VLOOKUP(
VLOOKUP($A35,'IP1'!$A$37:$G$89,7,0),Patterns!$A$2:$N$28,COLUMN(O35)-2,0)/
VLOOKUP(
VLOOKUP($A35,'IP1'!$A$37:$G$89,7,0),Patterns!$A$2:$N$28,2,0),
IF(LEFT($D35,7)="Payroll",
SUMPRODUCT(($B35='IP1'!$B$96:$B$114)*('IP1'!$D$96:$D$114))/12,
SUMPRODUCT(($B35='IP1'!$B$96:$B$114)*('IP1'!$D$96:$D$114))/12*
IF(YEAR(O$3)=2013,'IP1'!$F$154,'IP1'!$G$154)
))</f>
        <v>416.66666666666669</v>
      </c>
      <c r="P35" s="85">
        <f>IF(LEFT($D35,5)="Other",
VLOOKUP($A35,'IP1'!$A$37:$G$89,4,0)*
VLOOKUP(
VLOOKUP($A35,'IP1'!$A$37:$G$89,7,0),Patterns!$A$2:$N$28,COLUMN(P35)-2,0)/
VLOOKUP(
VLOOKUP($A35,'IP1'!$A$37:$G$89,7,0),Patterns!$A$2:$N$28,2,0),
IF(LEFT($D35,7)="Payroll",
SUMPRODUCT(($B35='IP1'!$B$96:$B$114)*('IP1'!$D$96:$D$114))/12,
SUMPRODUCT(($B35='IP1'!$B$96:$B$114)*('IP1'!$D$96:$D$114))/12*
IF(YEAR(P$3)=2013,'IP1'!$F$154,'IP1'!$G$154)
))</f>
        <v>416.66666666666669</v>
      </c>
      <c r="Q35" s="85">
        <f>IF(LEFT($D35,5)="Other",
VLOOKUP($A35,'IP1'!$A$37:$G$89,5,0)*
VLOOKUP(
VLOOKUP($A35,'IP1'!$A$37:$G$89,7,0),Patterns!$A$2:$N$28,COLUMN(Q35)-14,0)/
VLOOKUP(
VLOOKUP($A35,'IP1'!$A$37:$G$89,7,0),Patterns!$A$2:$N$28,2,0),
IF(LEFT($D35,7)="Payroll",
SUMPRODUCT(($B35='IP1'!$B$96:$B$114)*('IP1'!$E$96:$E$114))/12,
SUMPRODUCT(($B35='IP1'!$B$96:$B$114)*('IP1'!$E$96:$E$114))/12*
IF(YEAR(Q$3)=2013,'IP1'!$F$154,'IP1'!$G$154)
))</f>
        <v>416.66666666666669</v>
      </c>
      <c r="R35" s="85">
        <f>IF(LEFT($D35,5)="Other",
VLOOKUP($A35,'IP1'!$A$37:$G$89,5,0)*
VLOOKUP(
VLOOKUP($A35,'IP1'!$A$37:$G$89,7,0),Patterns!$A$2:$N$28,COLUMN(R35)-14,0)/
VLOOKUP(
VLOOKUP($A35,'IP1'!$A$37:$G$89,7,0),Patterns!$A$2:$N$28,2,0),
IF(LEFT($D35,7)="Payroll",
SUMPRODUCT(($B35='IP1'!$B$96:$B$114)*('IP1'!$E$96:$E$114))/12,
SUMPRODUCT(($B35='IP1'!$B$96:$B$114)*('IP1'!$E$96:$E$114))/12*
IF(YEAR(R$3)=2013,'IP1'!$F$154,'IP1'!$G$154)
))</f>
        <v>416.66666666666669</v>
      </c>
      <c r="S35" s="85">
        <f>IF(LEFT($D35,5)="Other",
VLOOKUP($A35,'IP1'!$A$37:$G$89,5,0)*
VLOOKUP(
VLOOKUP($A35,'IP1'!$A$37:$G$89,7,0),Patterns!$A$2:$N$28,COLUMN(S35)-14,0)/
VLOOKUP(
VLOOKUP($A35,'IP1'!$A$37:$G$89,7,0),Patterns!$A$2:$N$28,2,0),
IF(LEFT($D35,7)="Payroll",
SUMPRODUCT(($B35='IP1'!$B$96:$B$114)*('IP1'!$E$96:$E$114))/12,
SUMPRODUCT(($B35='IP1'!$B$96:$B$114)*('IP1'!$E$96:$E$114))/12*
IF(YEAR(S$3)=2013,'IP1'!$F$154,'IP1'!$G$154)
))</f>
        <v>416.66666666666669</v>
      </c>
      <c r="T35" s="85">
        <f>IF(LEFT($D35,5)="Other",
VLOOKUP($A35,'IP1'!$A$37:$G$89,5,0)*
VLOOKUP(
VLOOKUP($A35,'IP1'!$A$37:$G$89,7,0),Patterns!$A$2:$N$28,COLUMN(T35)-14,0)/
VLOOKUP(
VLOOKUP($A35,'IP1'!$A$37:$G$89,7,0),Patterns!$A$2:$N$28,2,0),
IF(LEFT($D35,7)="Payroll",
SUMPRODUCT(($B35='IP1'!$B$96:$B$114)*('IP1'!$E$96:$E$114))/12,
SUMPRODUCT(($B35='IP1'!$B$96:$B$114)*('IP1'!$E$96:$E$114))/12*
IF(YEAR(T$3)=2013,'IP1'!$F$154,'IP1'!$G$154)
))</f>
        <v>416.66666666666669</v>
      </c>
      <c r="U35" s="85">
        <f>IF(LEFT($D35,5)="Other",
VLOOKUP($A35,'IP1'!$A$37:$G$89,5,0)*
VLOOKUP(
VLOOKUP($A35,'IP1'!$A$37:$G$89,7,0),Patterns!$A$2:$N$28,COLUMN(U35)-14,0)/
VLOOKUP(
VLOOKUP($A35,'IP1'!$A$37:$G$89,7,0),Patterns!$A$2:$N$28,2,0),
IF(LEFT($D35,7)="Payroll",
SUMPRODUCT(($B35='IP1'!$B$96:$B$114)*('IP1'!$E$96:$E$114))/12,
SUMPRODUCT(($B35='IP1'!$B$96:$B$114)*('IP1'!$E$96:$E$114))/12*
IF(YEAR(U$3)=2013,'IP1'!$F$154,'IP1'!$G$154)
))</f>
        <v>416.66666666666669</v>
      </c>
      <c r="V35" s="85">
        <f>IF(LEFT($D35,5)="Other",
VLOOKUP($A35,'IP1'!$A$37:$G$89,5,0)*
VLOOKUP(
VLOOKUP($A35,'IP1'!$A$37:$G$89,7,0),Patterns!$A$2:$N$28,COLUMN(V35)-14,0)/
VLOOKUP(
VLOOKUP($A35,'IP1'!$A$37:$G$89,7,0),Patterns!$A$2:$N$28,2,0),
IF(LEFT($D35,7)="Payroll",
SUMPRODUCT(($B35='IP1'!$B$96:$B$114)*('IP1'!$E$96:$E$114))/12,
SUMPRODUCT(($B35='IP1'!$B$96:$B$114)*('IP1'!$E$96:$E$114))/12*
IF(YEAR(V$3)=2013,'IP1'!$F$154,'IP1'!$G$154)
))</f>
        <v>416.66666666666669</v>
      </c>
      <c r="W35" s="85">
        <f>IF(LEFT($D35,5)="Other",
VLOOKUP($A35,'IP1'!$A$37:$G$89,5,0)*
VLOOKUP(
VLOOKUP($A35,'IP1'!$A$37:$G$89,7,0),Patterns!$A$2:$N$28,COLUMN(W35)-14,0)/
VLOOKUP(
VLOOKUP($A35,'IP1'!$A$37:$G$89,7,0),Patterns!$A$2:$N$28,2,0),
IF(LEFT($D35,7)="Payroll",
SUMPRODUCT(($B35='IP1'!$B$96:$B$114)*('IP1'!$E$96:$E$114))/12,
SUMPRODUCT(($B35='IP1'!$B$96:$B$114)*('IP1'!$E$96:$E$114))/12*
IF(YEAR(W$3)=2013,'IP1'!$F$154,'IP1'!$G$154)
))</f>
        <v>416.66666666666669</v>
      </c>
      <c r="X35" s="85">
        <f>IF(LEFT($D35,5)="Other",
VLOOKUP($A35,'IP1'!$A$37:$G$89,5,0)*
VLOOKUP(
VLOOKUP($A35,'IP1'!$A$37:$G$89,7,0),Patterns!$A$2:$N$28,COLUMN(X35)-14,0)/
VLOOKUP(
VLOOKUP($A35,'IP1'!$A$37:$G$89,7,0),Patterns!$A$2:$N$28,2,0),
IF(LEFT($D35,7)="Payroll",
SUMPRODUCT(($B35='IP1'!$B$96:$B$114)*('IP1'!$E$96:$E$114))/12,
SUMPRODUCT(($B35='IP1'!$B$96:$B$114)*('IP1'!$E$96:$E$114))/12*
IF(YEAR(X$3)=2013,'IP1'!$F$154,'IP1'!$G$154)
))</f>
        <v>416.66666666666669</v>
      </c>
      <c r="Y35" s="85">
        <f>IF(LEFT($D35,5)="Other",
VLOOKUP($A35,'IP1'!$A$37:$G$89,5,0)*
VLOOKUP(
VLOOKUP($A35,'IP1'!$A$37:$G$89,7,0),Patterns!$A$2:$N$28,COLUMN(Y35)-14,0)/
VLOOKUP(
VLOOKUP($A35,'IP1'!$A$37:$G$89,7,0),Patterns!$A$2:$N$28,2,0),
IF(LEFT($D35,7)="Payroll",
SUMPRODUCT(($B35='IP1'!$B$96:$B$114)*('IP1'!$E$96:$E$114))/12,
SUMPRODUCT(($B35='IP1'!$B$96:$B$114)*('IP1'!$E$96:$E$114))/12*
IF(YEAR(Y$3)=2013,'IP1'!$F$154,'IP1'!$G$154)
))</f>
        <v>416.66666666666669</v>
      </c>
      <c r="Z35" s="85">
        <f>IF(LEFT($D35,5)="Other",
VLOOKUP($A35,'IP1'!$A$37:$G$89,5,0)*
VLOOKUP(
VLOOKUP($A35,'IP1'!$A$37:$G$89,7,0),Patterns!$A$2:$N$28,COLUMN(Z35)-14,0)/
VLOOKUP(
VLOOKUP($A35,'IP1'!$A$37:$G$89,7,0),Patterns!$A$2:$N$28,2,0),
IF(LEFT($D35,7)="Payroll",
SUMPRODUCT(($B35='IP1'!$B$96:$B$114)*('IP1'!$E$96:$E$114))/12,
SUMPRODUCT(($B35='IP1'!$B$96:$B$114)*('IP1'!$E$96:$E$114))/12*
IF(YEAR(Z$3)=2013,'IP1'!$F$154,'IP1'!$G$154)
))</f>
        <v>416.66666666666669</v>
      </c>
      <c r="AA35" s="85">
        <f>IF(LEFT($D35,5)="Other",
VLOOKUP($A35,'IP1'!$A$37:$G$89,5,0)*
VLOOKUP(
VLOOKUP($A35,'IP1'!$A$37:$G$89,7,0),Patterns!$A$2:$N$28,COLUMN(AA35)-14,0)/
VLOOKUP(
VLOOKUP($A35,'IP1'!$A$37:$G$89,7,0),Patterns!$A$2:$N$28,2,0),
IF(LEFT($D35,7)="Payroll",
SUMPRODUCT(($B35='IP1'!$B$96:$B$114)*('IP1'!$E$96:$E$114))/12,
SUMPRODUCT(($B35='IP1'!$B$96:$B$114)*('IP1'!$E$96:$E$114))/12*
IF(YEAR(AA$3)=2013,'IP1'!$F$154,'IP1'!$G$154)
))</f>
        <v>416.66666666666669</v>
      </c>
      <c r="AB35" s="85">
        <f>IF(LEFT($D35,5)="Other",
VLOOKUP($A35,'IP1'!$A$37:$G$89,5,0)*
VLOOKUP(
VLOOKUP($A35,'IP1'!$A$37:$G$89,7,0),Patterns!$A$2:$N$28,COLUMN(AB35)-14,0)/
VLOOKUP(
VLOOKUP($A35,'IP1'!$A$37:$G$89,7,0),Patterns!$A$2:$N$28,2,0),
IF(LEFT($D35,7)="Payroll",
SUMPRODUCT(($B35='IP1'!$B$96:$B$114)*('IP1'!$E$96:$E$114))/12,
SUMPRODUCT(($B35='IP1'!$B$96:$B$114)*('IP1'!$E$96:$E$114))/12*
IF(YEAR(AB$3)=2013,'IP1'!$F$154,'IP1'!$G$154)
))</f>
        <v>416.66666666666669</v>
      </c>
    </row>
    <row r="36" spans="1:28">
      <c r="A36" s="1" t="str">
        <f t="shared" si="2"/>
        <v>Property-relatedRents</v>
      </c>
      <c r="B36" s="1" t="s">
        <v>448</v>
      </c>
      <c r="C36" s="1" t="s">
        <v>449</v>
      </c>
      <c r="D36" s="11" t="s">
        <v>100</v>
      </c>
      <c r="E36" s="85">
        <f>IF(LEFT($D36,5)="Other",
VLOOKUP($A36,'IP1'!$A$37:$G$89,4,0)*
VLOOKUP(
VLOOKUP($A36,'IP1'!$A$37:$G$89,7,0),Patterns!$A$2:$N$28,COLUMN(E36)-2,0)/
VLOOKUP(
VLOOKUP($A36,'IP1'!$A$37:$G$89,7,0),Patterns!$A$2:$N$28,2,0),
IF(LEFT($D36,7)="Payroll",
SUMPRODUCT(($B36='IP1'!$B$96:$B$114)*('IP1'!$D$96:$D$114))/12,
SUMPRODUCT(($B36='IP1'!$B$96:$B$114)*('IP1'!$D$96:$D$114))/12*
IF(YEAR(E$3)=2013,'IP1'!$F$154,'IP1'!$G$154)
))</f>
        <v>0</v>
      </c>
      <c r="F36" s="85">
        <f>IF(LEFT($D36,5)="Other",
VLOOKUP($A36,'IP1'!$A$37:$G$89,4,0)*
VLOOKUP(
VLOOKUP($A36,'IP1'!$A$37:$G$89,7,0),Patterns!$A$2:$N$28,COLUMN(F36)-2,0)/
VLOOKUP(
VLOOKUP($A36,'IP1'!$A$37:$G$89,7,0),Patterns!$A$2:$N$28,2,0),
IF(LEFT($D36,7)="Payroll",
SUMPRODUCT(($B36='IP1'!$B$96:$B$114)*('IP1'!$D$96:$D$114))/12,
SUMPRODUCT(($B36='IP1'!$B$96:$B$114)*('IP1'!$D$96:$D$114))/12*
IF(YEAR(F$3)=2013,'IP1'!$F$154,'IP1'!$G$154)
))</f>
        <v>0</v>
      </c>
      <c r="G36" s="85">
        <f>IF(LEFT($D36,5)="Other",
VLOOKUP($A36,'IP1'!$A$37:$G$89,4,0)*
VLOOKUP(
VLOOKUP($A36,'IP1'!$A$37:$G$89,7,0),Patterns!$A$2:$N$28,COLUMN(G36)-2,0)/
VLOOKUP(
VLOOKUP($A36,'IP1'!$A$37:$G$89,7,0),Patterns!$A$2:$N$28,2,0),
IF(LEFT($D36,7)="Payroll",
SUMPRODUCT(($B36='IP1'!$B$96:$B$114)*('IP1'!$D$96:$D$114))/12,
SUMPRODUCT(($B36='IP1'!$B$96:$B$114)*('IP1'!$D$96:$D$114))/12*
IF(YEAR(G$3)=2013,'IP1'!$F$154,'IP1'!$G$154)
))</f>
        <v>0</v>
      </c>
      <c r="H36" s="85">
        <f>IF(LEFT($D36,5)="Other",
VLOOKUP($A36,'IP1'!$A$37:$G$89,4,0)*
VLOOKUP(
VLOOKUP($A36,'IP1'!$A$37:$G$89,7,0),Patterns!$A$2:$N$28,COLUMN(H36)-2,0)/
VLOOKUP(
VLOOKUP($A36,'IP1'!$A$37:$G$89,7,0),Patterns!$A$2:$N$28,2,0),
IF(LEFT($D36,7)="Payroll",
SUMPRODUCT(($B36='IP1'!$B$96:$B$114)*('IP1'!$D$96:$D$114))/12,
SUMPRODUCT(($B36='IP1'!$B$96:$B$114)*('IP1'!$D$96:$D$114))/12*
IF(YEAR(H$3)=2013,'IP1'!$F$154,'IP1'!$G$154)
))</f>
        <v>0</v>
      </c>
      <c r="I36" s="85">
        <f>IF(LEFT($D36,5)="Other",
VLOOKUP($A36,'IP1'!$A$37:$G$89,4,0)*
VLOOKUP(
VLOOKUP($A36,'IP1'!$A$37:$G$89,7,0),Patterns!$A$2:$N$28,COLUMN(I36)-2,0)/
VLOOKUP(
VLOOKUP($A36,'IP1'!$A$37:$G$89,7,0),Patterns!$A$2:$N$28,2,0),
IF(LEFT($D36,7)="Payroll",
SUMPRODUCT(($B36='IP1'!$B$96:$B$114)*('IP1'!$D$96:$D$114))/12,
SUMPRODUCT(($B36='IP1'!$B$96:$B$114)*('IP1'!$D$96:$D$114))/12*
IF(YEAR(I$3)=2013,'IP1'!$F$154,'IP1'!$G$154)
))</f>
        <v>0</v>
      </c>
      <c r="J36" s="85">
        <f>IF(LEFT($D36,5)="Other",
VLOOKUP($A36,'IP1'!$A$37:$G$89,4,0)*
VLOOKUP(
VLOOKUP($A36,'IP1'!$A$37:$G$89,7,0),Patterns!$A$2:$N$28,COLUMN(J36)-2,0)/
VLOOKUP(
VLOOKUP($A36,'IP1'!$A$37:$G$89,7,0),Patterns!$A$2:$N$28,2,0),
IF(LEFT($D36,7)="Payroll",
SUMPRODUCT(($B36='IP1'!$B$96:$B$114)*('IP1'!$D$96:$D$114))/12,
SUMPRODUCT(($B36='IP1'!$B$96:$B$114)*('IP1'!$D$96:$D$114))/12*
IF(YEAR(J$3)=2013,'IP1'!$F$154,'IP1'!$G$154)
))</f>
        <v>0</v>
      </c>
      <c r="K36" s="85">
        <f>IF(LEFT($D36,5)="Other",
VLOOKUP($A36,'IP1'!$A$37:$G$89,4,0)*
VLOOKUP(
VLOOKUP($A36,'IP1'!$A$37:$G$89,7,0),Patterns!$A$2:$N$28,COLUMN(K36)-2,0)/
VLOOKUP(
VLOOKUP($A36,'IP1'!$A$37:$G$89,7,0),Patterns!$A$2:$N$28,2,0),
IF(LEFT($D36,7)="Payroll",
SUMPRODUCT(($B36='IP1'!$B$96:$B$114)*('IP1'!$D$96:$D$114))/12,
SUMPRODUCT(($B36='IP1'!$B$96:$B$114)*('IP1'!$D$96:$D$114))/12*
IF(YEAR(K$3)=2013,'IP1'!$F$154,'IP1'!$G$154)
))</f>
        <v>0</v>
      </c>
      <c r="L36" s="85">
        <f>IF(LEFT($D36,5)="Other",
VLOOKUP($A36,'IP1'!$A$37:$G$89,4,0)*
VLOOKUP(
VLOOKUP($A36,'IP1'!$A$37:$G$89,7,0),Patterns!$A$2:$N$28,COLUMN(L36)-2,0)/
VLOOKUP(
VLOOKUP($A36,'IP1'!$A$37:$G$89,7,0),Patterns!$A$2:$N$28,2,0),
IF(LEFT($D36,7)="Payroll",
SUMPRODUCT(($B36='IP1'!$B$96:$B$114)*('IP1'!$D$96:$D$114))/12,
SUMPRODUCT(($B36='IP1'!$B$96:$B$114)*('IP1'!$D$96:$D$114))/12*
IF(YEAR(L$3)=2013,'IP1'!$F$154,'IP1'!$G$154)
))</f>
        <v>0</v>
      </c>
      <c r="M36" s="85">
        <f>IF(LEFT($D36,5)="Other",
VLOOKUP($A36,'IP1'!$A$37:$G$89,4,0)*
VLOOKUP(
VLOOKUP($A36,'IP1'!$A$37:$G$89,7,0),Patterns!$A$2:$N$28,COLUMN(M36)-2,0)/
VLOOKUP(
VLOOKUP($A36,'IP1'!$A$37:$G$89,7,0),Patterns!$A$2:$N$28,2,0),
IF(LEFT($D36,7)="Payroll",
SUMPRODUCT(($B36='IP1'!$B$96:$B$114)*('IP1'!$D$96:$D$114))/12,
SUMPRODUCT(($B36='IP1'!$B$96:$B$114)*('IP1'!$D$96:$D$114))/12*
IF(YEAR(M$3)=2013,'IP1'!$F$154,'IP1'!$G$154)
))</f>
        <v>0</v>
      </c>
      <c r="N36" s="85">
        <f>IF(LEFT($D36,5)="Other",
VLOOKUP($A36,'IP1'!$A$37:$G$89,4,0)*
VLOOKUP(
VLOOKUP($A36,'IP1'!$A$37:$G$89,7,0),Patterns!$A$2:$N$28,COLUMN(N36)-2,0)/
VLOOKUP(
VLOOKUP($A36,'IP1'!$A$37:$G$89,7,0),Patterns!$A$2:$N$28,2,0),
IF(LEFT($D36,7)="Payroll",
SUMPRODUCT(($B36='IP1'!$B$96:$B$114)*('IP1'!$D$96:$D$114))/12,
SUMPRODUCT(($B36='IP1'!$B$96:$B$114)*('IP1'!$D$96:$D$114))/12*
IF(YEAR(N$3)=2013,'IP1'!$F$154,'IP1'!$G$154)
))</f>
        <v>0</v>
      </c>
      <c r="O36" s="85">
        <f>IF(LEFT($D36,5)="Other",
VLOOKUP($A36,'IP1'!$A$37:$G$89,4,0)*
VLOOKUP(
VLOOKUP($A36,'IP1'!$A$37:$G$89,7,0),Patterns!$A$2:$N$28,COLUMN(O36)-2,0)/
VLOOKUP(
VLOOKUP($A36,'IP1'!$A$37:$G$89,7,0),Patterns!$A$2:$N$28,2,0),
IF(LEFT($D36,7)="Payroll",
SUMPRODUCT(($B36='IP1'!$B$96:$B$114)*('IP1'!$D$96:$D$114))/12,
SUMPRODUCT(($B36='IP1'!$B$96:$B$114)*('IP1'!$D$96:$D$114))/12*
IF(YEAR(O$3)=2013,'IP1'!$F$154,'IP1'!$G$154)
))</f>
        <v>0</v>
      </c>
      <c r="P36" s="85">
        <f>IF(LEFT($D36,5)="Other",
VLOOKUP($A36,'IP1'!$A$37:$G$89,4,0)*
VLOOKUP(
VLOOKUP($A36,'IP1'!$A$37:$G$89,7,0),Patterns!$A$2:$N$28,COLUMN(P36)-2,0)/
VLOOKUP(
VLOOKUP($A36,'IP1'!$A$37:$G$89,7,0),Patterns!$A$2:$N$28,2,0),
IF(LEFT($D36,7)="Payroll",
SUMPRODUCT(($B36='IP1'!$B$96:$B$114)*('IP1'!$D$96:$D$114))/12,
SUMPRODUCT(($B36='IP1'!$B$96:$B$114)*('IP1'!$D$96:$D$114))/12*
IF(YEAR(P$3)=2013,'IP1'!$F$154,'IP1'!$G$154)
))</f>
        <v>0</v>
      </c>
      <c r="Q36" s="85">
        <f>IF(LEFT($D36,5)="Other",
VLOOKUP($A36,'IP1'!$A$37:$G$89,5,0)*
VLOOKUP(
VLOOKUP($A36,'IP1'!$A$37:$G$89,7,0),Patterns!$A$2:$N$28,COLUMN(Q36)-14,0)/
VLOOKUP(
VLOOKUP($A36,'IP1'!$A$37:$G$89,7,0),Patterns!$A$2:$N$28,2,0),
IF(LEFT($D36,7)="Payroll",
SUMPRODUCT(($B36='IP1'!$B$96:$B$114)*('IP1'!$E$96:$E$114))/12,
SUMPRODUCT(($B36='IP1'!$B$96:$B$114)*('IP1'!$E$96:$E$114))/12*
IF(YEAR(Q$3)=2013,'IP1'!$F$154,'IP1'!$G$154)
))</f>
        <v>0</v>
      </c>
      <c r="R36" s="85">
        <f>IF(LEFT($D36,5)="Other",
VLOOKUP($A36,'IP1'!$A$37:$G$89,5,0)*
VLOOKUP(
VLOOKUP($A36,'IP1'!$A$37:$G$89,7,0),Patterns!$A$2:$N$28,COLUMN(R36)-14,0)/
VLOOKUP(
VLOOKUP($A36,'IP1'!$A$37:$G$89,7,0),Patterns!$A$2:$N$28,2,0),
IF(LEFT($D36,7)="Payroll",
SUMPRODUCT(($B36='IP1'!$B$96:$B$114)*('IP1'!$E$96:$E$114))/12,
SUMPRODUCT(($B36='IP1'!$B$96:$B$114)*('IP1'!$E$96:$E$114))/12*
IF(YEAR(R$3)=2013,'IP1'!$F$154,'IP1'!$G$154)
))</f>
        <v>0</v>
      </c>
      <c r="S36" s="85">
        <f>IF(LEFT($D36,5)="Other",
VLOOKUP($A36,'IP1'!$A$37:$G$89,5,0)*
VLOOKUP(
VLOOKUP($A36,'IP1'!$A$37:$G$89,7,0),Patterns!$A$2:$N$28,COLUMN(S36)-14,0)/
VLOOKUP(
VLOOKUP($A36,'IP1'!$A$37:$G$89,7,0),Patterns!$A$2:$N$28,2,0),
IF(LEFT($D36,7)="Payroll",
SUMPRODUCT(($B36='IP1'!$B$96:$B$114)*('IP1'!$E$96:$E$114))/12,
SUMPRODUCT(($B36='IP1'!$B$96:$B$114)*('IP1'!$E$96:$E$114))/12*
IF(YEAR(S$3)=2013,'IP1'!$F$154,'IP1'!$G$154)
))</f>
        <v>0</v>
      </c>
      <c r="T36" s="85">
        <f>IF(LEFT($D36,5)="Other",
VLOOKUP($A36,'IP1'!$A$37:$G$89,5,0)*
VLOOKUP(
VLOOKUP($A36,'IP1'!$A$37:$G$89,7,0),Patterns!$A$2:$N$28,COLUMN(T36)-14,0)/
VLOOKUP(
VLOOKUP($A36,'IP1'!$A$37:$G$89,7,0),Patterns!$A$2:$N$28,2,0),
IF(LEFT($D36,7)="Payroll",
SUMPRODUCT(($B36='IP1'!$B$96:$B$114)*('IP1'!$E$96:$E$114))/12,
SUMPRODUCT(($B36='IP1'!$B$96:$B$114)*('IP1'!$E$96:$E$114))/12*
IF(YEAR(T$3)=2013,'IP1'!$F$154,'IP1'!$G$154)
))</f>
        <v>0</v>
      </c>
      <c r="U36" s="85">
        <f>IF(LEFT($D36,5)="Other",
VLOOKUP($A36,'IP1'!$A$37:$G$89,5,0)*
VLOOKUP(
VLOOKUP($A36,'IP1'!$A$37:$G$89,7,0),Patterns!$A$2:$N$28,COLUMN(U36)-14,0)/
VLOOKUP(
VLOOKUP($A36,'IP1'!$A$37:$G$89,7,0),Patterns!$A$2:$N$28,2,0),
IF(LEFT($D36,7)="Payroll",
SUMPRODUCT(($B36='IP1'!$B$96:$B$114)*('IP1'!$E$96:$E$114))/12,
SUMPRODUCT(($B36='IP1'!$B$96:$B$114)*('IP1'!$E$96:$E$114))/12*
IF(YEAR(U$3)=2013,'IP1'!$F$154,'IP1'!$G$154)
))</f>
        <v>0</v>
      </c>
      <c r="V36" s="85">
        <f>IF(LEFT($D36,5)="Other",
VLOOKUP($A36,'IP1'!$A$37:$G$89,5,0)*
VLOOKUP(
VLOOKUP($A36,'IP1'!$A$37:$G$89,7,0),Patterns!$A$2:$N$28,COLUMN(V36)-14,0)/
VLOOKUP(
VLOOKUP($A36,'IP1'!$A$37:$G$89,7,0),Patterns!$A$2:$N$28,2,0),
IF(LEFT($D36,7)="Payroll",
SUMPRODUCT(($B36='IP1'!$B$96:$B$114)*('IP1'!$E$96:$E$114))/12,
SUMPRODUCT(($B36='IP1'!$B$96:$B$114)*('IP1'!$E$96:$E$114))/12*
IF(YEAR(V$3)=2013,'IP1'!$F$154,'IP1'!$G$154)
))</f>
        <v>0</v>
      </c>
      <c r="W36" s="85">
        <f>IF(LEFT($D36,5)="Other",
VLOOKUP($A36,'IP1'!$A$37:$G$89,5,0)*
VLOOKUP(
VLOOKUP($A36,'IP1'!$A$37:$G$89,7,0),Patterns!$A$2:$N$28,COLUMN(W36)-14,0)/
VLOOKUP(
VLOOKUP($A36,'IP1'!$A$37:$G$89,7,0),Patterns!$A$2:$N$28,2,0),
IF(LEFT($D36,7)="Payroll",
SUMPRODUCT(($B36='IP1'!$B$96:$B$114)*('IP1'!$E$96:$E$114))/12,
SUMPRODUCT(($B36='IP1'!$B$96:$B$114)*('IP1'!$E$96:$E$114))/12*
IF(YEAR(W$3)=2013,'IP1'!$F$154,'IP1'!$G$154)
))</f>
        <v>0</v>
      </c>
      <c r="X36" s="85">
        <f>IF(LEFT($D36,5)="Other",
VLOOKUP($A36,'IP1'!$A$37:$G$89,5,0)*
VLOOKUP(
VLOOKUP($A36,'IP1'!$A$37:$G$89,7,0),Patterns!$A$2:$N$28,COLUMN(X36)-14,0)/
VLOOKUP(
VLOOKUP($A36,'IP1'!$A$37:$G$89,7,0),Patterns!$A$2:$N$28,2,0),
IF(LEFT($D36,7)="Payroll",
SUMPRODUCT(($B36='IP1'!$B$96:$B$114)*('IP1'!$E$96:$E$114))/12,
SUMPRODUCT(($B36='IP1'!$B$96:$B$114)*('IP1'!$E$96:$E$114))/12*
IF(YEAR(X$3)=2013,'IP1'!$F$154,'IP1'!$G$154)
))</f>
        <v>0</v>
      </c>
      <c r="Y36" s="85">
        <f>IF(LEFT($D36,5)="Other",
VLOOKUP($A36,'IP1'!$A$37:$G$89,5,0)*
VLOOKUP(
VLOOKUP($A36,'IP1'!$A$37:$G$89,7,0),Patterns!$A$2:$N$28,COLUMN(Y36)-14,0)/
VLOOKUP(
VLOOKUP($A36,'IP1'!$A$37:$G$89,7,0),Patterns!$A$2:$N$28,2,0),
IF(LEFT($D36,7)="Payroll",
SUMPRODUCT(($B36='IP1'!$B$96:$B$114)*('IP1'!$E$96:$E$114))/12,
SUMPRODUCT(($B36='IP1'!$B$96:$B$114)*('IP1'!$E$96:$E$114))/12*
IF(YEAR(Y$3)=2013,'IP1'!$F$154,'IP1'!$G$154)
))</f>
        <v>0</v>
      </c>
      <c r="Z36" s="85">
        <f>IF(LEFT($D36,5)="Other",
VLOOKUP($A36,'IP1'!$A$37:$G$89,5,0)*
VLOOKUP(
VLOOKUP($A36,'IP1'!$A$37:$G$89,7,0),Patterns!$A$2:$N$28,COLUMN(Z36)-14,0)/
VLOOKUP(
VLOOKUP($A36,'IP1'!$A$37:$G$89,7,0),Patterns!$A$2:$N$28,2,0),
IF(LEFT($D36,7)="Payroll",
SUMPRODUCT(($B36='IP1'!$B$96:$B$114)*('IP1'!$E$96:$E$114))/12,
SUMPRODUCT(($B36='IP1'!$B$96:$B$114)*('IP1'!$E$96:$E$114))/12*
IF(YEAR(Z$3)=2013,'IP1'!$F$154,'IP1'!$G$154)
))</f>
        <v>0</v>
      </c>
      <c r="AA36" s="85">
        <f>IF(LEFT($D36,5)="Other",
VLOOKUP($A36,'IP1'!$A$37:$G$89,5,0)*
VLOOKUP(
VLOOKUP($A36,'IP1'!$A$37:$G$89,7,0),Patterns!$A$2:$N$28,COLUMN(AA36)-14,0)/
VLOOKUP(
VLOOKUP($A36,'IP1'!$A$37:$G$89,7,0),Patterns!$A$2:$N$28,2,0),
IF(LEFT($D36,7)="Payroll",
SUMPRODUCT(($B36='IP1'!$B$96:$B$114)*('IP1'!$E$96:$E$114))/12,
SUMPRODUCT(($B36='IP1'!$B$96:$B$114)*('IP1'!$E$96:$E$114))/12*
IF(YEAR(AA$3)=2013,'IP1'!$F$154,'IP1'!$G$154)
))</f>
        <v>0</v>
      </c>
      <c r="AB36" s="85">
        <f>IF(LEFT($D36,5)="Other",
VLOOKUP($A36,'IP1'!$A$37:$G$89,5,0)*
VLOOKUP(
VLOOKUP($A36,'IP1'!$A$37:$G$89,7,0),Patterns!$A$2:$N$28,COLUMN(AB36)-14,0)/
VLOOKUP(
VLOOKUP($A36,'IP1'!$A$37:$G$89,7,0),Patterns!$A$2:$N$28,2,0),
IF(LEFT($D36,7)="Payroll",
SUMPRODUCT(($B36='IP1'!$B$96:$B$114)*('IP1'!$E$96:$E$114))/12,
SUMPRODUCT(($B36='IP1'!$B$96:$B$114)*('IP1'!$E$96:$E$114))/12*
IF(YEAR(AB$3)=2013,'IP1'!$F$154,'IP1'!$G$154)
))</f>
        <v>0</v>
      </c>
    </row>
    <row r="37" spans="1:28">
      <c r="A37" s="1" t="str">
        <f t="shared" si="2"/>
        <v>Property-relatedRates</v>
      </c>
      <c r="B37" s="1" t="s">
        <v>448</v>
      </c>
      <c r="C37" s="1" t="s">
        <v>450</v>
      </c>
      <c r="D37" s="11" t="s">
        <v>100</v>
      </c>
      <c r="E37" s="85">
        <f>IF(LEFT($D37,5)="Other",
VLOOKUP($A37,'IP1'!$A$37:$G$89,4,0)*
VLOOKUP(
VLOOKUP($A37,'IP1'!$A$37:$G$89,7,0),Patterns!$A$2:$N$28,COLUMN(E37)-2,0)/
VLOOKUP(
VLOOKUP($A37,'IP1'!$A$37:$G$89,7,0),Patterns!$A$2:$N$28,2,0),
IF(LEFT($D37,7)="Payroll",
SUMPRODUCT(($B37='IP1'!$B$96:$B$114)*('IP1'!$D$96:$D$114))/12,
SUMPRODUCT(($B37='IP1'!$B$96:$B$114)*('IP1'!$D$96:$D$114))/12*
IF(YEAR(E$3)=2013,'IP1'!$F$154,'IP1'!$G$154)
))</f>
        <v>7500</v>
      </c>
      <c r="F37" s="85">
        <f>IF(LEFT($D37,5)="Other",
VLOOKUP($A37,'IP1'!$A$37:$G$89,4,0)*
VLOOKUP(
VLOOKUP($A37,'IP1'!$A$37:$G$89,7,0),Patterns!$A$2:$N$28,COLUMN(F37)-2,0)/
VLOOKUP(
VLOOKUP($A37,'IP1'!$A$37:$G$89,7,0),Patterns!$A$2:$N$28,2,0),
IF(LEFT($D37,7)="Payroll",
SUMPRODUCT(($B37='IP1'!$B$96:$B$114)*('IP1'!$D$96:$D$114))/12,
SUMPRODUCT(($B37='IP1'!$B$96:$B$114)*('IP1'!$D$96:$D$114))/12*
IF(YEAR(F$3)=2013,'IP1'!$F$154,'IP1'!$G$154)
))</f>
        <v>0</v>
      </c>
      <c r="G37" s="85">
        <f>IF(LEFT($D37,5)="Other",
VLOOKUP($A37,'IP1'!$A$37:$G$89,4,0)*
VLOOKUP(
VLOOKUP($A37,'IP1'!$A$37:$G$89,7,0),Patterns!$A$2:$N$28,COLUMN(G37)-2,0)/
VLOOKUP(
VLOOKUP($A37,'IP1'!$A$37:$G$89,7,0),Patterns!$A$2:$N$28,2,0),
IF(LEFT($D37,7)="Payroll",
SUMPRODUCT(($B37='IP1'!$B$96:$B$114)*('IP1'!$D$96:$D$114))/12,
SUMPRODUCT(($B37='IP1'!$B$96:$B$114)*('IP1'!$D$96:$D$114))/12*
IF(YEAR(G$3)=2013,'IP1'!$F$154,'IP1'!$G$154)
))</f>
        <v>0</v>
      </c>
      <c r="H37" s="85">
        <f>IF(LEFT($D37,5)="Other",
VLOOKUP($A37,'IP1'!$A$37:$G$89,4,0)*
VLOOKUP(
VLOOKUP($A37,'IP1'!$A$37:$G$89,7,0),Patterns!$A$2:$N$28,COLUMN(H37)-2,0)/
VLOOKUP(
VLOOKUP($A37,'IP1'!$A$37:$G$89,7,0),Patterns!$A$2:$N$28,2,0),
IF(LEFT($D37,7)="Payroll",
SUMPRODUCT(($B37='IP1'!$B$96:$B$114)*('IP1'!$D$96:$D$114))/12,
SUMPRODUCT(($B37='IP1'!$B$96:$B$114)*('IP1'!$D$96:$D$114))/12*
IF(YEAR(H$3)=2013,'IP1'!$F$154,'IP1'!$G$154)
))</f>
        <v>0</v>
      </c>
      <c r="I37" s="85">
        <f>IF(LEFT($D37,5)="Other",
VLOOKUP($A37,'IP1'!$A$37:$G$89,4,0)*
VLOOKUP(
VLOOKUP($A37,'IP1'!$A$37:$G$89,7,0),Patterns!$A$2:$N$28,COLUMN(I37)-2,0)/
VLOOKUP(
VLOOKUP($A37,'IP1'!$A$37:$G$89,7,0),Patterns!$A$2:$N$28,2,0),
IF(LEFT($D37,7)="Payroll",
SUMPRODUCT(($B37='IP1'!$B$96:$B$114)*('IP1'!$D$96:$D$114))/12,
SUMPRODUCT(($B37='IP1'!$B$96:$B$114)*('IP1'!$D$96:$D$114))/12*
IF(YEAR(I$3)=2013,'IP1'!$F$154,'IP1'!$G$154)
))</f>
        <v>0</v>
      </c>
      <c r="J37" s="85">
        <f>IF(LEFT($D37,5)="Other",
VLOOKUP($A37,'IP1'!$A$37:$G$89,4,0)*
VLOOKUP(
VLOOKUP($A37,'IP1'!$A$37:$G$89,7,0),Patterns!$A$2:$N$28,COLUMN(J37)-2,0)/
VLOOKUP(
VLOOKUP($A37,'IP1'!$A$37:$G$89,7,0),Patterns!$A$2:$N$28,2,0),
IF(LEFT($D37,7)="Payroll",
SUMPRODUCT(($B37='IP1'!$B$96:$B$114)*('IP1'!$D$96:$D$114))/12,
SUMPRODUCT(($B37='IP1'!$B$96:$B$114)*('IP1'!$D$96:$D$114))/12*
IF(YEAR(J$3)=2013,'IP1'!$F$154,'IP1'!$G$154)
))</f>
        <v>0</v>
      </c>
      <c r="K37" s="85">
        <f>IF(LEFT($D37,5)="Other",
VLOOKUP($A37,'IP1'!$A$37:$G$89,4,0)*
VLOOKUP(
VLOOKUP($A37,'IP1'!$A$37:$G$89,7,0),Patterns!$A$2:$N$28,COLUMN(K37)-2,0)/
VLOOKUP(
VLOOKUP($A37,'IP1'!$A$37:$G$89,7,0),Patterns!$A$2:$N$28,2,0),
IF(LEFT($D37,7)="Payroll",
SUMPRODUCT(($B37='IP1'!$B$96:$B$114)*('IP1'!$D$96:$D$114))/12,
SUMPRODUCT(($B37='IP1'!$B$96:$B$114)*('IP1'!$D$96:$D$114))/12*
IF(YEAR(K$3)=2013,'IP1'!$F$154,'IP1'!$G$154)
))</f>
        <v>0</v>
      </c>
      <c r="L37" s="85">
        <f>IF(LEFT($D37,5)="Other",
VLOOKUP($A37,'IP1'!$A$37:$G$89,4,0)*
VLOOKUP(
VLOOKUP($A37,'IP1'!$A$37:$G$89,7,0),Patterns!$A$2:$N$28,COLUMN(L37)-2,0)/
VLOOKUP(
VLOOKUP($A37,'IP1'!$A$37:$G$89,7,0),Patterns!$A$2:$N$28,2,0),
IF(LEFT($D37,7)="Payroll",
SUMPRODUCT(($B37='IP1'!$B$96:$B$114)*('IP1'!$D$96:$D$114))/12,
SUMPRODUCT(($B37='IP1'!$B$96:$B$114)*('IP1'!$D$96:$D$114))/12*
IF(YEAR(L$3)=2013,'IP1'!$F$154,'IP1'!$G$154)
))</f>
        <v>0</v>
      </c>
      <c r="M37" s="85">
        <f>IF(LEFT($D37,5)="Other",
VLOOKUP($A37,'IP1'!$A$37:$G$89,4,0)*
VLOOKUP(
VLOOKUP($A37,'IP1'!$A$37:$G$89,7,0),Patterns!$A$2:$N$28,COLUMN(M37)-2,0)/
VLOOKUP(
VLOOKUP($A37,'IP1'!$A$37:$G$89,7,0),Patterns!$A$2:$N$28,2,0),
IF(LEFT($D37,7)="Payroll",
SUMPRODUCT(($B37='IP1'!$B$96:$B$114)*('IP1'!$D$96:$D$114))/12,
SUMPRODUCT(($B37='IP1'!$B$96:$B$114)*('IP1'!$D$96:$D$114))/12*
IF(YEAR(M$3)=2013,'IP1'!$F$154,'IP1'!$G$154)
))</f>
        <v>0</v>
      </c>
      <c r="N37" s="85">
        <f>IF(LEFT($D37,5)="Other",
VLOOKUP($A37,'IP1'!$A$37:$G$89,4,0)*
VLOOKUP(
VLOOKUP($A37,'IP1'!$A$37:$G$89,7,0),Patterns!$A$2:$N$28,COLUMN(N37)-2,0)/
VLOOKUP(
VLOOKUP($A37,'IP1'!$A$37:$G$89,7,0),Patterns!$A$2:$N$28,2,0),
IF(LEFT($D37,7)="Payroll",
SUMPRODUCT(($B37='IP1'!$B$96:$B$114)*('IP1'!$D$96:$D$114))/12,
SUMPRODUCT(($B37='IP1'!$B$96:$B$114)*('IP1'!$D$96:$D$114))/12*
IF(YEAR(N$3)=2013,'IP1'!$F$154,'IP1'!$G$154)
))</f>
        <v>0</v>
      </c>
      <c r="O37" s="85">
        <f>IF(LEFT($D37,5)="Other",
VLOOKUP($A37,'IP1'!$A$37:$G$89,4,0)*
VLOOKUP(
VLOOKUP($A37,'IP1'!$A$37:$G$89,7,0),Patterns!$A$2:$N$28,COLUMN(O37)-2,0)/
VLOOKUP(
VLOOKUP($A37,'IP1'!$A$37:$G$89,7,0),Patterns!$A$2:$N$28,2,0),
IF(LEFT($D37,7)="Payroll",
SUMPRODUCT(($B37='IP1'!$B$96:$B$114)*('IP1'!$D$96:$D$114))/12,
SUMPRODUCT(($B37='IP1'!$B$96:$B$114)*('IP1'!$D$96:$D$114))/12*
IF(YEAR(O$3)=2013,'IP1'!$F$154,'IP1'!$G$154)
))</f>
        <v>0</v>
      </c>
      <c r="P37" s="85">
        <f>IF(LEFT($D37,5)="Other",
VLOOKUP($A37,'IP1'!$A$37:$G$89,4,0)*
VLOOKUP(
VLOOKUP($A37,'IP1'!$A$37:$G$89,7,0),Patterns!$A$2:$N$28,COLUMN(P37)-2,0)/
VLOOKUP(
VLOOKUP($A37,'IP1'!$A$37:$G$89,7,0),Patterns!$A$2:$N$28,2,0),
IF(LEFT($D37,7)="Payroll",
SUMPRODUCT(($B37='IP1'!$B$96:$B$114)*('IP1'!$D$96:$D$114))/12,
SUMPRODUCT(($B37='IP1'!$B$96:$B$114)*('IP1'!$D$96:$D$114))/12*
IF(YEAR(P$3)=2013,'IP1'!$F$154,'IP1'!$G$154)
))</f>
        <v>0</v>
      </c>
      <c r="Q37" s="85">
        <f>IF(LEFT($D37,5)="Other",
VLOOKUP($A37,'IP1'!$A$37:$G$89,5,0)*
VLOOKUP(
VLOOKUP($A37,'IP1'!$A$37:$G$89,7,0),Patterns!$A$2:$N$28,COLUMN(Q37)-14,0)/
VLOOKUP(
VLOOKUP($A37,'IP1'!$A$37:$G$89,7,0),Patterns!$A$2:$N$28,2,0),
IF(LEFT($D37,7)="Payroll",
SUMPRODUCT(($B37='IP1'!$B$96:$B$114)*('IP1'!$E$96:$E$114))/12,
SUMPRODUCT(($B37='IP1'!$B$96:$B$114)*('IP1'!$E$96:$E$114))/12*
IF(YEAR(Q$3)=2013,'IP1'!$F$154,'IP1'!$G$154)
))</f>
        <v>7500</v>
      </c>
      <c r="R37" s="85">
        <f>IF(LEFT($D37,5)="Other",
VLOOKUP($A37,'IP1'!$A$37:$G$89,5,0)*
VLOOKUP(
VLOOKUP($A37,'IP1'!$A$37:$G$89,7,0),Patterns!$A$2:$N$28,COLUMN(R37)-14,0)/
VLOOKUP(
VLOOKUP($A37,'IP1'!$A$37:$G$89,7,0),Patterns!$A$2:$N$28,2,0),
IF(LEFT($D37,7)="Payroll",
SUMPRODUCT(($B37='IP1'!$B$96:$B$114)*('IP1'!$E$96:$E$114))/12,
SUMPRODUCT(($B37='IP1'!$B$96:$B$114)*('IP1'!$E$96:$E$114))/12*
IF(YEAR(R$3)=2013,'IP1'!$F$154,'IP1'!$G$154)
))</f>
        <v>0</v>
      </c>
      <c r="S37" s="85">
        <f>IF(LEFT($D37,5)="Other",
VLOOKUP($A37,'IP1'!$A$37:$G$89,5,0)*
VLOOKUP(
VLOOKUP($A37,'IP1'!$A$37:$G$89,7,0),Patterns!$A$2:$N$28,COLUMN(S37)-14,0)/
VLOOKUP(
VLOOKUP($A37,'IP1'!$A$37:$G$89,7,0),Patterns!$A$2:$N$28,2,0),
IF(LEFT($D37,7)="Payroll",
SUMPRODUCT(($B37='IP1'!$B$96:$B$114)*('IP1'!$E$96:$E$114))/12,
SUMPRODUCT(($B37='IP1'!$B$96:$B$114)*('IP1'!$E$96:$E$114))/12*
IF(YEAR(S$3)=2013,'IP1'!$F$154,'IP1'!$G$154)
))</f>
        <v>0</v>
      </c>
      <c r="T37" s="85">
        <f>IF(LEFT($D37,5)="Other",
VLOOKUP($A37,'IP1'!$A$37:$G$89,5,0)*
VLOOKUP(
VLOOKUP($A37,'IP1'!$A$37:$G$89,7,0),Patterns!$A$2:$N$28,COLUMN(T37)-14,0)/
VLOOKUP(
VLOOKUP($A37,'IP1'!$A$37:$G$89,7,0),Patterns!$A$2:$N$28,2,0),
IF(LEFT($D37,7)="Payroll",
SUMPRODUCT(($B37='IP1'!$B$96:$B$114)*('IP1'!$E$96:$E$114))/12,
SUMPRODUCT(($B37='IP1'!$B$96:$B$114)*('IP1'!$E$96:$E$114))/12*
IF(YEAR(T$3)=2013,'IP1'!$F$154,'IP1'!$G$154)
))</f>
        <v>0</v>
      </c>
      <c r="U37" s="85">
        <f>IF(LEFT($D37,5)="Other",
VLOOKUP($A37,'IP1'!$A$37:$G$89,5,0)*
VLOOKUP(
VLOOKUP($A37,'IP1'!$A$37:$G$89,7,0),Patterns!$A$2:$N$28,COLUMN(U37)-14,0)/
VLOOKUP(
VLOOKUP($A37,'IP1'!$A$37:$G$89,7,0),Patterns!$A$2:$N$28,2,0),
IF(LEFT($D37,7)="Payroll",
SUMPRODUCT(($B37='IP1'!$B$96:$B$114)*('IP1'!$E$96:$E$114))/12,
SUMPRODUCT(($B37='IP1'!$B$96:$B$114)*('IP1'!$E$96:$E$114))/12*
IF(YEAR(U$3)=2013,'IP1'!$F$154,'IP1'!$G$154)
))</f>
        <v>0</v>
      </c>
      <c r="V37" s="85">
        <f>IF(LEFT($D37,5)="Other",
VLOOKUP($A37,'IP1'!$A$37:$G$89,5,0)*
VLOOKUP(
VLOOKUP($A37,'IP1'!$A$37:$G$89,7,0),Patterns!$A$2:$N$28,COLUMN(V37)-14,0)/
VLOOKUP(
VLOOKUP($A37,'IP1'!$A$37:$G$89,7,0),Patterns!$A$2:$N$28,2,0),
IF(LEFT($D37,7)="Payroll",
SUMPRODUCT(($B37='IP1'!$B$96:$B$114)*('IP1'!$E$96:$E$114))/12,
SUMPRODUCT(($B37='IP1'!$B$96:$B$114)*('IP1'!$E$96:$E$114))/12*
IF(YEAR(V$3)=2013,'IP1'!$F$154,'IP1'!$G$154)
))</f>
        <v>0</v>
      </c>
      <c r="W37" s="85">
        <f>IF(LEFT($D37,5)="Other",
VLOOKUP($A37,'IP1'!$A$37:$G$89,5,0)*
VLOOKUP(
VLOOKUP($A37,'IP1'!$A$37:$G$89,7,0),Patterns!$A$2:$N$28,COLUMN(W37)-14,0)/
VLOOKUP(
VLOOKUP($A37,'IP1'!$A$37:$G$89,7,0),Patterns!$A$2:$N$28,2,0),
IF(LEFT($D37,7)="Payroll",
SUMPRODUCT(($B37='IP1'!$B$96:$B$114)*('IP1'!$E$96:$E$114))/12,
SUMPRODUCT(($B37='IP1'!$B$96:$B$114)*('IP1'!$E$96:$E$114))/12*
IF(YEAR(W$3)=2013,'IP1'!$F$154,'IP1'!$G$154)
))</f>
        <v>0</v>
      </c>
      <c r="X37" s="85">
        <f>IF(LEFT($D37,5)="Other",
VLOOKUP($A37,'IP1'!$A$37:$G$89,5,0)*
VLOOKUP(
VLOOKUP($A37,'IP1'!$A$37:$G$89,7,0),Patterns!$A$2:$N$28,COLUMN(X37)-14,0)/
VLOOKUP(
VLOOKUP($A37,'IP1'!$A$37:$G$89,7,0),Patterns!$A$2:$N$28,2,0),
IF(LEFT($D37,7)="Payroll",
SUMPRODUCT(($B37='IP1'!$B$96:$B$114)*('IP1'!$E$96:$E$114))/12,
SUMPRODUCT(($B37='IP1'!$B$96:$B$114)*('IP1'!$E$96:$E$114))/12*
IF(YEAR(X$3)=2013,'IP1'!$F$154,'IP1'!$G$154)
))</f>
        <v>0</v>
      </c>
      <c r="Y37" s="85">
        <f>IF(LEFT($D37,5)="Other",
VLOOKUP($A37,'IP1'!$A$37:$G$89,5,0)*
VLOOKUP(
VLOOKUP($A37,'IP1'!$A$37:$G$89,7,0),Patterns!$A$2:$N$28,COLUMN(Y37)-14,0)/
VLOOKUP(
VLOOKUP($A37,'IP1'!$A$37:$G$89,7,0),Patterns!$A$2:$N$28,2,0),
IF(LEFT($D37,7)="Payroll",
SUMPRODUCT(($B37='IP1'!$B$96:$B$114)*('IP1'!$E$96:$E$114))/12,
SUMPRODUCT(($B37='IP1'!$B$96:$B$114)*('IP1'!$E$96:$E$114))/12*
IF(YEAR(Y$3)=2013,'IP1'!$F$154,'IP1'!$G$154)
))</f>
        <v>0</v>
      </c>
      <c r="Z37" s="85">
        <f>IF(LEFT($D37,5)="Other",
VLOOKUP($A37,'IP1'!$A$37:$G$89,5,0)*
VLOOKUP(
VLOOKUP($A37,'IP1'!$A$37:$G$89,7,0),Patterns!$A$2:$N$28,COLUMN(Z37)-14,0)/
VLOOKUP(
VLOOKUP($A37,'IP1'!$A$37:$G$89,7,0),Patterns!$A$2:$N$28,2,0),
IF(LEFT($D37,7)="Payroll",
SUMPRODUCT(($B37='IP1'!$B$96:$B$114)*('IP1'!$E$96:$E$114))/12,
SUMPRODUCT(($B37='IP1'!$B$96:$B$114)*('IP1'!$E$96:$E$114))/12*
IF(YEAR(Z$3)=2013,'IP1'!$F$154,'IP1'!$G$154)
))</f>
        <v>0</v>
      </c>
      <c r="AA37" s="85">
        <f>IF(LEFT($D37,5)="Other",
VLOOKUP($A37,'IP1'!$A$37:$G$89,5,0)*
VLOOKUP(
VLOOKUP($A37,'IP1'!$A$37:$G$89,7,0),Patterns!$A$2:$N$28,COLUMN(AA37)-14,0)/
VLOOKUP(
VLOOKUP($A37,'IP1'!$A$37:$G$89,7,0),Patterns!$A$2:$N$28,2,0),
IF(LEFT($D37,7)="Payroll",
SUMPRODUCT(($B37='IP1'!$B$96:$B$114)*('IP1'!$E$96:$E$114))/12,
SUMPRODUCT(($B37='IP1'!$B$96:$B$114)*('IP1'!$E$96:$E$114))/12*
IF(YEAR(AA$3)=2013,'IP1'!$F$154,'IP1'!$G$154)
))</f>
        <v>0</v>
      </c>
      <c r="AB37" s="85">
        <f>IF(LEFT($D37,5)="Other",
VLOOKUP($A37,'IP1'!$A$37:$G$89,5,0)*
VLOOKUP(
VLOOKUP($A37,'IP1'!$A$37:$G$89,7,0),Patterns!$A$2:$N$28,COLUMN(AB37)-14,0)/
VLOOKUP(
VLOOKUP($A37,'IP1'!$A$37:$G$89,7,0),Patterns!$A$2:$N$28,2,0),
IF(LEFT($D37,7)="Payroll",
SUMPRODUCT(($B37='IP1'!$B$96:$B$114)*('IP1'!$E$96:$E$114))/12,
SUMPRODUCT(($B37='IP1'!$B$96:$B$114)*('IP1'!$E$96:$E$114))/12*
IF(YEAR(AB$3)=2013,'IP1'!$F$154,'IP1'!$G$154)
))</f>
        <v>0</v>
      </c>
    </row>
    <row r="38" spans="1:28">
      <c r="A38" s="1" t="str">
        <f t="shared" si="2"/>
        <v>Property-relatedBuilding Insurance</v>
      </c>
      <c r="B38" s="1" t="s">
        <v>448</v>
      </c>
      <c r="C38" s="1" t="s">
        <v>451</v>
      </c>
      <c r="D38" s="11" t="s">
        <v>100</v>
      </c>
      <c r="E38" s="85">
        <f>IF(LEFT($D38,5)="Other",
VLOOKUP($A38,'IP1'!$A$37:$G$89,4,0)*
VLOOKUP(
VLOOKUP($A38,'IP1'!$A$37:$G$89,7,0),Patterns!$A$2:$N$28,COLUMN(E38)-2,0)/
VLOOKUP(
VLOOKUP($A38,'IP1'!$A$37:$G$89,7,0),Patterns!$A$2:$N$28,2,0),
IF(LEFT($D38,7)="Payroll",
SUMPRODUCT(($B38='IP1'!$B$96:$B$114)*('IP1'!$D$96:$D$114))/12,
SUMPRODUCT(($B38='IP1'!$B$96:$B$114)*('IP1'!$D$96:$D$114))/12*
IF(YEAR(E$3)=2013,'IP1'!$F$154,'IP1'!$G$154)
))</f>
        <v>11500</v>
      </c>
      <c r="F38" s="85">
        <f>IF(LEFT($D38,5)="Other",
VLOOKUP($A38,'IP1'!$A$37:$G$89,4,0)*
VLOOKUP(
VLOOKUP($A38,'IP1'!$A$37:$G$89,7,0),Patterns!$A$2:$N$28,COLUMN(F38)-2,0)/
VLOOKUP(
VLOOKUP($A38,'IP1'!$A$37:$G$89,7,0),Patterns!$A$2:$N$28,2,0),
IF(LEFT($D38,7)="Payroll",
SUMPRODUCT(($B38='IP1'!$B$96:$B$114)*('IP1'!$D$96:$D$114))/12,
SUMPRODUCT(($B38='IP1'!$B$96:$B$114)*('IP1'!$D$96:$D$114))/12*
IF(YEAR(F$3)=2013,'IP1'!$F$154,'IP1'!$G$154)
))</f>
        <v>0</v>
      </c>
      <c r="G38" s="85">
        <f>IF(LEFT($D38,5)="Other",
VLOOKUP($A38,'IP1'!$A$37:$G$89,4,0)*
VLOOKUP(
VLOOKUP($A38,'IP1'!$A$37:$G$89,7,0),Patterns!$A$2:$N$28,COLUMN(G38)-2,0)/
VLOOKUP(
VLOOKUP($A38,'IP1'!$A$37:$G$89,7,0),Patterns!$A$2:$N$28,2,0),
IF(LEFT($D38,7)="Payroll",
SUMPRODUCT(($B38='IP1'!$B$96:$B$114)*('IP1'!$D$96:$D$114))/12,
SUMPRODUCT(($B38='IP1'!$B$96:$B$114)*('IP1'!$D$96:$D$114))/12*
IF(YEAR(G$3)=2013,'IP1'!$F$154,'IP1'!$G$154)
))</f>
        <v>0</v>
      </c>
      <c r="H38" s="85">
        <f>IF(LEFT($D38,5)="Other",
VLOOKUP($A38,'IP1'!$A$37:$G$89,4,0)*
VLOOKUP(
VLOOKUP($A38,'IP1'!$A$37:$G$89,7,0),Patterns!$A$2:$N$28,COLUMN(H38)-2,0)/
VLOOKUP(
VLOOKUP($A38,'IP1'!$A$37:$G$89,7,0),Patterns!$A$2:$N$28,2,0),
IF(LEFT($D38,7)="Payroll",
SUMPRODUCT(($B38='IP1'!$B$96:$B$114)*('IP1'!$D$96:$D$114))/12,
SUMPRODUCT(($B38='IP1'!$B$96:$B$114)*('IP1'!$D$96:$D$114))/12*
IF(YEAR(H$3)=2013,'IP1'!$F$154,'IP1'!$G$154)
))</f>
        <v>0</v>
      </c>
      <c r="I38" s="85">
        <f>IF(LEFT($D38,5)="Other",
VLOOKUP($A38,'IP1'!$A$37:$G$89,4,0)*
VLOOKUP(
VLOOKUP($A38,'IP1'!$A$37:$G$89,7,0),Patterns!$A$2:$N$28,COLUMN(I38)-2,0)/
VLOOKUP(
VLOOKUP($A38,'IP1'!$A$37:$G$89,7,0),Patterns!$A$2:$N$28,2,0),
IF(LEFT($D38,7)="Payroll",
SUMPRODUCT(($B38='IP1'!$B$96:$B$114)*('IP1'!$D$96:$D$114))/12,
SUMPRODUCT(($B38='IP1'!$B$96:$B$114)*('IP1'!$D$96:$D$114))/12*
IF(YEAR(I$3)=2013,'IP1'!$F$154,'IP1'!$G$154)
))</f>
        <v>0</v>
      </c>
      <c r="J38" s="85">
        <f>IF(LEFT($D38,5)="Other",
VLOOKUP($A38,'IP1'!$A$37:$G$89,4,0)*
VLOOKUP(
VLOOKUP($A38,'IP1'!$A$37:$G$89,7,0),Patterns!$A$2:$N$28,COLUMN(J38)-2,0)/
VLOOKUP(
VLOOKUP($A38,'IP1'!$A$37:$G$89,7,0),Patterns!$A$2:$N$28,2,0),
IF(LEFT($D38,7)="Payroll",
SUMPRODUCT(($B38='IP1'!$B$96:$B$114)*('IP1'!$D$96:$D$114))/12,
SUMPRODUCT(($B38='IP1'!$B$96:$B$114)*('IP1'!$D$96:$D$114))/12*
IF(YEAR(J$3)=2013,'IP1'!$F$154,'IP1'!$G$154)
))</f>
        <v>0</v>
      </c>
      <c r="K38" s="85">
        <f>IF(LEFT($D38,5)="Other",
VLOOKUP($A38,'IP1'!$A$37:$G$89,4,0)*
VLOOKUP(
VLOOKUP($A38,'IP1'!$A$37:$G$89,7,0),Patterns!$A$2:$N$28,COLUMN(K38)-2,0)/
VLOOKUP(
VLOOKUP($A38,'IP1'!$A$37:$G$89,7,0),Patterns!$A$2:$N$28,2,0),
IF(LEFT($D38,7)="Payroll",
SUMPRODUCT(($B38='IP1'!$B$96:$B$114)*('IP1'!$D$96:$D$114))/12,
SUMPRODUCT(($B38='IP1'!$B$96:$B$114)*('IP1'!$D$96:$D$114))/12*
IF(YEAR(K$3)=2013,'IP1'!$F$154,'IP1'!$G$154)
))</f>
        <v>0</v>
      </c>
      <c r="L38" s="85">
        <f>IF(LEFT($D38,5)="Other",
VLOOKUP($A38,'IP1'!$A$37:$G$89,4,0)*
VLOOKUP(
VLOOKUP($A38,'IP1'!$A$37:$G$89,7,0),Patterns!$A$2:$N$28,COLUMN(L38)-2,0)/
VLOOKUP(
VLOOKUP($A38,'IP1'!$A$37:$G$89,7,0),Patterns!$A$2:$N$28,2,0),
IF(LEFT($D38,7)="Payroll",
SUMPRODUCT(($B38='IP1'!$B$96:$B$114)*('IP1'!$D$96:$D$114))/12,
SUMPRODUCT(($B38='IP1'!$B$96:$B$114)*('IP1'!$D$96:$D$114))/12*
IF(YEAR(L$3)=2013,'IP1'!$F$154,'IP1'!$G$154)
))</f>
        <v>0</v>
      </c>
      <c r="M38" s="85">
        <f>IF(LEFT($D38,5)="Other",
VLOOKUP($A38,'IP1'!$A$37:$G$89,4,0)*
VLOOKUP(
VLOOKUP($A38,'IP1'!$A$37:$G$89,7,0),Patterns!$A$2:$N$28,COLUMN(M38)-2,0)/
VLOOKUP(
VLOOKUP($A38,'IP1'!$A$37:$G$89,7,0),Patterns!$A$2:$N$28,2,0),
IF(LEFT($D38,7)="Payroll",
SUMPRODUCT(($B38='IP1'!$B$96:$B$114)*('IP1'!$D$96:$D$114))/12,
SUMPRODUCT(($B38='IP1'!$B$96:$B$114)*('IP1'!$D$96:$D$114))/12*
IF(YEAR(M$3)=2013,'IP1'!$F$154,'IP1'!$G$154)
))</f>
        <v>0</v>
      </c>
      <c r="N38" s="85">
        <f>IF(LEFT($D38,5)="Other",
VLOOKUP($A38,'IP1'!$A$37:$G$89,4,0)*
VLOOKUP(
VLOOKUP($A38,'IP1'!$A$37:$G$89,7,0),Patterns!$A$2:$N$28,COLUMN(N38)-2,0)/
VLOOKUP(
VLOOKUP($A38,'IP1'!$A$37:$G$89,7,0),Patterns!$A$2:$N$28,2,0),
IF(LEFT($D38,7)="Payroll",
SUMPRODUCT(($B38='IP1'!$B$96:$B$114)*('IP1'!$D$96:$D$114))/12,
SUMPRODUCT(($B38='IP1'!$B$96:$B$114)*('IP1'!$D$96:$D$114))/12*
IF(YEAR(N$3)=2013,'IP1'!$F$154,'IP1'!$G$154)
))</f>
        <v>0</v>
      </c>
      <c r="O38" s="85">
        <f>IF(LEFT($D38,5)="Other",
VLOOKUP($A38,'IP1'!$A$37:$G$89,4,0)*
VLOOKUP(
VLOOKUP($A38,'IP1'!$A$37:$G$89,7,0),Patterns!$A$2:$N$28,COLUMN(O38)-2,0)/
VLOOKUP(
VLOOKUP($A38,'IP1'!$A$37:$G$89,7,0),Patterns!$A$2:$N$28,2,0),
IF(LEFT($D38,7)="Payroll",
SUMPRODUCT(($B38='IP1'!$B$96:$B$114)*('IP1'!$D$96:$D$114))/12,
SUMPRODUCT(($B38='IP1'!$B$96:$B$114)*('IP1'!$D$96:$D$114))/12*
IF(YEAR(O$3)=2013,'IP1'!$F$154,'IP1'!$G$154)
))</f>
        <v>0</v>
      </c>
      <c r="P38" s="85">
        <f>IF(LEFT($D38,5)="Other",
VLOOKUP($A38,'IP1'!$A$37:$G$89,4,0)*
VLOOKUP(
VLOOKUP($A38,'IP1'!$A$37:$G$89,7,0),Patterns!$A$2:$N$28,COLUMN(P38)-2,0)/
VLOOKUP(
VLOOKUP($A38,'IP1'!$A$37:$G$89,7,0),Patterns!$A$2:$N$28,2,0),
IF(LEFT($D38,7)="Payroll",
SUMPRODUCT(($B38='IP1'!$B$96:$B$114)*('IP1'!$D$96:$D$114))/12,
SUMPRODUCT(($B38='IP1'!$B$96:$B$114)*('IP1'!$D$96:$D$114))/12*
IF(YEAR(P$3)=2013,'IP1'!$F$154,'IP1'!$G$154)
))</f>
        <v>0</v>
      </c>
      <c r="Q38" s="85">
        <f>IF(LEFT($D38,5)="Other",
VLOOKUP($A38,'IP1'!$A$37:$G$89,5,0)*
VLOOKUP(
VLOOKUP($A38,'IP1'!$A$37:$G$89,7,0),Patterns!$A$2:$N$28,COLUMN(Q38)-14,0)/
VLOOKUP(
VLOOKUP($A38,'IP1'!$A$37:$G$89,7,0),Patterns!$A$2:$N$28,2,0),
IF(LEFT($D38,7)="Payroll",
SUMPRODUCT(($B38='IP1'!$B$96:$B$114)*('IP1'!$E$96:$E$114))/12,
SUMPRODUCT(($B38='IP1'!$B$96:$B$114)*('IP1'!$E$96:$E$114))/12*
IF(YEAR(Q$3)=2013,'IP1'!$F$154,'IP1'!$G$154)
))</f>
        <v>25000</v>
      </c>
      <c r="R38" s="85">
        <f>IF(LEFT($D38,5)="Other",
VLOOKUP($A38,'IP1'!$A$37:$G$89,5,0)*
VLOOKUP(
VLOOKUP($A38,'IP1'!$A$37:$G$89,7,0),Patterns!$A$2:$N$28,COLUMN(R38)-14,0)/
VLOOKUP(
VLOOKUP($A38,'IP1'!$A$37:$G$89,7,0),Patterns!$A$2:$N$28,2,0),
IF(LEFT($D38,7)="Payroll",
SUMPRODUCT(($B38='IP1'!$B$96:$B$114)*('IP1'!$E$96:$E$114))/12,
SUMPRODUCT(($B38='IP1'!$B$96:$B$114)*('IP1'!$E$96:$E$114))/12*
IF(YEAR(R$3)=2013,'IP1'!$F$154,'IP1'!$G$154)
))</f>
        <v>0</v>
      </c>
      <c r="S38" s="85">
        <f>IF(LEFT($D38,5)="Other",
VLOOKUP($A38,'IP1'!$A$37:$G$89,5,0)*
VLOOKUP(
VLOOKUP($A38,'IP1'!$A$37:$G$89,7,0),Patterns!$A$2:$N$28,COLUMN(S38)-14,0)/
VLOOKUP(
VLOOKUP($A38,'IP1'!$A$37:$G$89,7,0),Patterns!$A$2:$N$28,2,0),
IF(LEFT($D38,7)="Payroll",
SUMPRODUCT(($B38='IP1'!$B$96:$B$114)*('IP1'!$E$96:$E$114))/12,
SUMPRODUCT(($B38='IP1'!$B$96:$B$114)*('IP1'!$E$96:$E$114))/12*
IF(YEAR(S$3)=2013,'IP1'!$F$154,'IP1'!$G$154)
))</f>
        <v>0</v>
      </c>
      <c r="T38" s="85">
        <f>IF(LEFT($D38,5)="Other",
VLOOKUP($A38,'IP1'!$A$37:$G$89,5,0)*
VLOOKUP(
VLOOKUP($A38,'IP1'!$A$37:$G$89,7,0),Patterns!$A$2:$N$28,COLUMN(T38)-14,0)/
VLOOKUP(
VLOOKUP($A38,'IP1'!$A$37:$G$89,7,0),Patterns!$A$2:$N$28,2,0),
IF(LEFT($D38,7)="Payroll",
SUMPRODUCT(($B38='IP1'!$B$96:$B$114)*('IP1'!$E$96:$E$114))/12,
SUMPRODUCT(($B38='IP1'!$B$96:$B$114)*('IP1'!$E$96:$E$114))/12*
IF(YEAR(T$3)=2013,'IP1'!$F$154,'IP1'!$G$154)
))</f>
        <v>0</v>
      </c>
      <c r="U38" s="85">
        <f>IF(LEFT($D38,5)="Other",
VLOOKUP($A38,'IP1'!$A$37:$G$89,5,0)*
VLOOKUP(
VLOOKUP($A38,'IP1'!$A$37:$G$89,7,0),Patterns!$A$2:$N$28,COLUMN(U38)-14,0)/
VLOOKUP(
VLOOKUP($A38,'IP1'!$A$37:$G$89,7,0),Patterns!$A$2:$N$28,2,0),
IF(LEFT($D38,7)="Payroll",
SUMPRODUCT(($B38='IP1'!$B$96:$B$114)*('IP1'!$E$96:$E$114))/12,
SUMPRODUCT(($B38='IP1'!$B$96:$B$114)*('IP1'!$E$96:$E$114))/12*
IF(YEAR(U$3)=2013,'IP1'!$F$154,'IP1'!$G$154)
))</f>
        <v>0</v>
      </c>
      <c r="V38" s="85">
        <f>IF(LEFT($D38,5)="Other",
VLOOKUP($A38,'IP1'!$A$37:$G$89,5,0)*
VLOOKUP(
VLOOKUP($A38,'IP1'!$A$37:$G$89,7,0),Patterns!$A$2:$N$28,COLUMN(V38)-14,0)/
VLOOKUP(
VLOOKUP($A38,'IP1'!$A$37:$G$89,7,0),Patterns!$A$2:$N$28,2,0),
IF(LEFT($D38,7)="Payroll",
SUMPRODUCT(($B38='IP1'!$B$96:$B$114)*('IP1'!$E$96:$E$114))/12,
SUMPRODUCT(($B38='IP1'!$B$96:$B$114)*('IP1'!$E$96:$E$114))/12*
IF(YEAR(V$3)=2013,'IP1'!$F$154,'IP1'!$G$154)
))</f>
        <v>0</v>
      </c>
      <c r="W38" s="85">
        <f>IF(LEFT($D38,5)="Other",
VLOOKUP($A38,'IP1'!$A$37:$G$89,5,0)*
VLOOKUP(
VLOOKUP($A38,'IP1'!$A$37:$G$89,7,0),Patterns!$A$2:$N$28,COLUMN(W38)-14,0)/
VLOOKUP(
VLOOKUP($A38,'IP1'!$A$37:$G$89,7,0),Patterns!$A$2:$N$28,2,0),
IF(LEFT($D38,7)="Payroll",
SUMPRODUCT(($B38='IP1'!$B$96:$B$114)*('IP1'!$E$96:$E$114))/12,
SUMPRODUCT(($B38='IP1'!$B$96:$B$114)*('IP1'!$E$96:$E$114))/12*
IF(YEAR(W$3)=2013,'IP1'!$F$154,'IP1'!$G$154)
))</f>
        <v>0</v>
      </c>
      <c r="X38" s="85">
        <f>IF(LEFT($D38,5)="Other",
VLOOKUP($A38,'IP1'!$A$37:$G$89,5,0)*
VLOOKUP(
VLOOKUP($A38,'IP1'!$A$37:$G$89,7,0),Patterns!$A$2:$N$28,COLUMN(X38)-14,0)/
VLOOKUP(
VLOOKUP($A38,'IP1'!$A$37:$G$89,7,0),Patterns!$A$2:$N$28,2,0),
IF(LEFT($D38,7)="Payroll",
SUMPRODUCT(($B38='IP1'!$B$96:$B$114)*('IP1'!$E$96:$E$114))/12,
SUMPRODUCT(($B38='IP1'!$B$96:$B$114)*('IP1'!$E$96:$E$114))/12*
IF(YEAR(X$3)=2013,'IP1'!$F$154,'IP1'!$G$154)
))</f>
        <v>0</v>
      </c>
      <c r="Y38" s="85">
        <f>IF(LEFT($D38,5)="Other",
VLOOKUP($A38,'IP1'!$A$37:$G$89,5,0)*
VLOOKUP(
VLOOKUP($A38,'IP1'!$A$37:$G$89,7,0),Patterns!$A$2:$N$28,COLUMN(Y38)-14,0)/
VLOOKUP(
VLOOKUP($A38,'IP1'!$A$37:$G$89,7,0),Patterns!$A$2:$N$28,2,0),
IF(LEFT($D38,7)="Payroll",
SUMPRODUCT(($B38='IP1'!$B$96:$B$114)*('IP1'!$E$96:$E$114))/12,
SUMPRODUCT(($B38='IP1'!$B$96:$B$114)*('IP1'!$E$96:$E$114))/12*
IF(YEAR(Y$3)=2013,'IP1'!$F$154,'IP1'!$G$154)
))</f>
        <v>0</v>
      </c>
      <c r="Z38" s="85">
        <f>IF(LEFT($D38,5)="Other",
VLOOKUP($A38,'IP1'!$A$37:$G$89,5,0)*
VLOOKUP(
VLOOKUP($A38,'IP1'!$A$37:$G$89,7,0),Patterns!$A$2:$N$28,COLUMN(Z38)-14,0)/
VLOOKUP(
VLOOKUP($A38,'IP1'!$A$37:$G$89,7,0),Patterns!$A$2:$N$28,2,0),
IF(LEFT($D38,7)="Payroll",
SUMPRODUCT(($B38='IP1'!$B$96:$B$114)*('IP1'!$E$96:$E$114))/12,
SUMPRODUCT(($B38='IP1'!$B$96:$B$114)*('IP1'!$E$96:$E$114))/12*
IF(YEAR(Z$3)=2013,'IP1'!$F$154,'IP1'!$G$154)
))</f>
        <v>0</v>
      </c>
      <c r="AA38" s="85">
        <f>IF(LEFT($D38,5)="Other",
VLOOKUP($A38,'IP1'!$A$37:$G$89,5,0)*
VLOOKUP(
VLOOKUP($A38,'IP1'!$A$37:$G$89,7,0),Patterns!$A$2:$N$28,COLUMN(AA38)-14,0)/
VLOOKUP(
VLOOKUP($A38,'IP1'!$A$37:$G$89,7,0),Patterns!$A$2:$N$28,2,0),
IF(LEFT($D38,7)="Payroll",
SUMPRODUCT(($B38='IP1'!$B$96:$B$114)*('IP1'!$E$96:$E$114))/12,
SUMPRODUCT(($B38='IP1'!$B$96:$B$114)*('IP1'!$E$96:$E$114))/12*
IF(YEAR(AA$3)=2013,'IP1'!$F$154,'IP1'!$G$154)
))</f>
        <v>0</v>
      </c>
      <c r="AB38" s="85">
        <f>IF(LEFT($D38,5)="Other",
VLOOKUP($A38,'IP1'!$A$37:$G$89,5,0)*
VLOOKUP(
VLOOKUP($A38,'IP1'!$A$37:$G$89,7,0),Patterns!$A$2:$N$28,COLUMN(AB38)-14,0)/
VLOOKUP(
VLOOKUP($A38,'IP1'!$A$37:$G$89,7,0),Patterns!$A$2:$N$28,2,0),
IF(LEFT($D38,7)="Payroll",
SUMPRODUCT(($B38='IP1'!$B$96:$B$114)*('IP1'!$E$96:$E$114))/12,
SUMPRODUCT(($B38='IP1'!$B$96:$B$114)*('IP1'!$E$96:$E$114))/12*
IF(YEAR(AB$3)=2013,'IP1'!$F$154,'IP1'!$G$154)
))</f>
        <v>0</v>
      </c>
    </row>
    <row r="39" spans="1:28">
      <c r="A39" s="1" t="str">
        <f t="shared" si="2"/>
        <v>OperationsWages &amp; Salaries</v>
      </c>
      <c r="B39" s="1" t="s">
        <v>463</v>
      </c>
      <c r="C39" s="1" t="s">
        <v>66</v>
      </c>
      <c r="D39" s="11" t="s">
        <v>62</v>
      </c>
      <c r="E39" s="85">
        <f>IF(LEFT($D39,5)="Other",
VLOOKUP($A39,'IP1'!$A$37:$G$89,4,0)*
VLOOKUP(
VLOOKUP($A39,'IP1'!$A$37:$G$89,7,0),Patterns!$A$2:$N$28,COLUMN(E39)-2,0)/
VLOOKUP(
VLOOKUP($A39,'IP1'!$A$37:$G$89,7,0),Patterns!$A$2:$N$28,2,0),
IF(LEFT($D39,7)="Payroll",
SUMPRODUCT(($B39='IP1'!$B$96:$B$114)*('IP1'!$D$96:$D$114))/12,
SUMPRODUCT(($B39='IP1'!$B$96:$B$114)*('IP1'!$D$96:$D$114))/12*
IF(YEAR(E$3)=2013,'IP1'!$F$154,'IP1'!$G$154)
))</f>
        <v>10416.666666666666</v>
      </c>
      <c r="F39" s="85">
        <f>IF(LEFT($D39,5)="Other",
VLOOKUP($A39,'IP1'!$A$37:$G$89,4,0)*
VLOOKUP(
VLOOKUP($A39,'IP1'!$A$37:$G$89,7,0),Patterns!$A$2:$N$28,COLUMN(F39)-2,0)/
VLOOKUP(
VLOOKUP($A39,'IP1'!$A$37:$G$89,7,0),Patterns!$A$2:$N$28,2,0),
IF(LEFT($D39,7)="Payroll",
SUMPRODUCT(($B39='IP1'!$B$96:$B$114)*('IP1'!$D$96:$D$114))/12,
SUMPRODUCT(($B39='IP1'!$B$96:$B$114)*('IP1'!$D$96:$D$114))/12*
IF(YEAR(F$3)=2013,'IP1'!$F$154,'IP1'!$G$154)
))</f>
        <v>10416.666666666666</v>
      </c>
      <c r="G39" s="85">
        <f>IF(LEFT($D39,5)="Other",
VLOOKUP($A39,'IP1'!$A$37:$G$89,4,0)*
VLOOKUP(
VLOOKUP($A39,'IP1'!$A$37:$G$89,7,0),Patterns!$A$2:$N$28,COLUMN(G39)-2,0)/
VLOOKUP(
VLOOKUP($A39,'IP1'!$A$37:$G$89,7,0),Patterns!$A$2:$N$28,2,0),
IF(LEFT($D39,7)="Payroll",
SUMPRODUCT(($B39='IP1'!$B$96:$B$114)*('IP1'!$D$96:$D$114))/12,
SUMPRODUCT(($B39='IP1'!$B$96:$B$114)*('IP1'!$D$96:$D$114))/12*
IF(YEAR(G$3)=2013,'IP1'!$F$154,'IP1'!$G$154)
))</f>
        <v>10416.666666666666</v>
      </c>
      <c r="H39" s="85">
        <f>IF(LEFT($D39,5)="Other",
VLOOKUP($A39,'IP1'!$A$37:$G$89,4,0)*
VLOOKUP(
VLOOKUP($A39,'IP1'!$A$37:$G$89,7,0),Patterns!$A$2:$N$28,COLUMN(H39)-2,0)/
VLOOKUP(
VLOOKUP($A39,'IP1'!$A$37:$G$89,7,0),Patterns!$A$2:$N$28,2,0),
IF(LEFT($D39,7)="Payroll",
SUMPRODUCT(($B39='IP1'!$B$96:$B$114)*('IP1'!$D$96:$D$114))/12,
SUMPRODUCT(($B39='IP1'!$B$96:$B$114)*('IP1'!$D$96:$D$114))/12*
IF(YEAR(H$3)=2013,'IP1'!$F$154,'IP1'!$G$154)
))</f>
        <v>10416.666666666666</v>
      </c>
      <c r="I39" s="85">
        <f>IF(LEFT($D39,5)="Other",
VLOOKUP($A39,'IP1'!$A$37:$G$89,4,0)*
VLOOKUP(
VLOOKUP($A39,'IP1'!$A$37:$G$89,7,0),Patterns!$A$2:$N$28,COLUMN(I39)-2,0)/
VLOOKUP(
VLOOKUP($A39,'IP1'!$A$37:$G$89,7,0),Patterns!$A$2:$N$28,2,0),
IF(LEFT($D39,7)="Payroll",
SUMPRODUCT(($B39='IP1'!$B$96:$B$114)*('IP1'!$D$96:$D$114))/12,
SUMPRODUCT(($B39='IP1'!$B$96:$B$114)*('IP1'!$D$96:$D$114))/12*
IF(YEAR(I$3)=2013,'IP1'!$F$154,'IP1'!$G$154)
))</f>
        <v>10416.666666666666</v>
      </c>
      <c r="J39" s="85">
        <f>IF(LEFT($D39,5)="Other",
VLOOKUP($A39,'IP1'!$A$37:$G$89,4,0)*
VLOOKUP(
VLOOKUP($A39,'IP1'!$A$37:$G$89,7,0),Patterns!$A$2:$N$28,COLUMN(J39)-2,0)/
VLOOKUP(
VLOOKUP($A39,'IP1'!$A$37:$G$89,7,0),Patterns!$A$2:$N$28,2,0),
IF(LEFT($D39,7)="Payroll",
SUMPRODUCT(($B39='IP1'!$B$96:$B$114)*('IP1'!$D$96:$D$114))/12,
SUMPRODUCT(($B39='IP1'!$B$96:$B$114)*('IP1'!$D$96:$D$114))/12*
IF(YEAR(J$3)=2013,'IP1'!$F$154,'IP1'!$G$154)
))</f>
        <v>10416.666666666666</v>
      </c>
      <c r="K39" s="85">
        <f>IF(LEFT($D39,5)="Other",
VLOOKUP($A39,'IP1'!$A$37:$G$89,4,0)*
VLOOKUP(
VLOOKUP($A39,'IP1'!$A$37:$G$89,7,0),Patterns!$A$2:$N$28,COLUMN(K39)-2,0)/
VLOOKUP(
VLOOKUP($A39,'IP1'!$A$37:$G$89,7,0),Patterns!$A$2:$N$28,2,0),
IF(LEFT($D39,7)="Payroll",
SUMPRODUCT(($B39='IP1'!$B$96:$B$114)*('IP1'!$D$96:$D$114))/12,
SUMPRODUCT(($B39='IP1'!$B$96:$B$114)*('IP1'!$D$96:$D$114))/12*
IF(YEAR(K$3)=2013,'IP1'!$F$154,'IP1'!$G$154)
))</f>
        <v>10416.666666666666</v>
      </c>
      <c r="L39" s="85">
        <f>IF(LEFT($D39,5)="Other",
VLOOKUP($A39,'IP1'!$A$37:$G$89,4,0)*
VLOOKUP(
VLOOKUP($A39,'IP1'!$A$37:$G$89,7,0),Patterns!$A$2:$N$28,COLUMN(L39)-2,0)/
VLOOKUP(
VLOOKUP($A39,'IP1'!$A$37:$G$89,7,0),Patterns!$A$2:$N$28,2,0),
IF(LEFT($D39,7)="Payroll",
SUMPRODUCT(($B39='IP1'!$B$96:$B$114)*('IP1'!$D$96:$D$114))/12,
SUMPRODUCT(($B39='IP1'!$B$96:$B$114)*('IP1'!$D$96:$D$114))/12*
IF(YEAR(L$3)=2013,'IP1'!$F$154,'IP1'!$G$154)
))</f>
        <v>10416.666666666666</v>
      </c>
      <c r="M39" s="85">
        <f>IF(LEFT($D39,5)="Other",
VLOOKUP($A39,'IP1'!$A$37:$G$89,4,0)*
VLOOKUP(
VLOOKUP($A39,'IP1'!$A$37:$G$89,7,0),Patterns!$A$2:$N$28,COLUMN(M39)-2,0)/
VLOOKUP(
VLOOKUP($A39,'IP1'!$A$37:$G$89,7,0),Patterns!$A$2:$N$28,2,0),
IF(LEFT($D39,7)="Payroll",
SUMPRODUCT(($B39='IP1'!$B$96:$B$114)*('IP1'!$D$96:$D$114))/12,
SUMPRODUCT(($B39='IP1'!$B$96:$B$114)*('IP1'!$D$96:$D$114))/12*
IF(YEAR(M$3)=2013,'IP1'!$F$154,'IP1'!$G$154)
))</f>
        <v>10416.666666666666</v>
      </c>
      <c r="N39" s="85">
        <f>IF(LEFT($D39,5)="Other",
VLOOKUP($A39,'IP1'!$A$37:$G$89,4,0)*
VLOOKUP(
VLOOKUP($A39,'IP1'!$A$37:$G$89,7,0),Patterns!$A$2:$N$28,COLUMN(N39)-2,0)/
VLOOKUP(
VLOOKUP($A39,'IP1'!$A$37:$G$89,7,0),Patterns!$A$2:$N$28,2,0),
IF(LEFT($D39,7)="Payroll",
SUMPRODUCT(($B39='IP1'!$B$96:$B$114)*('IP1'!$D$96:$D$114))/12,
SUMPRODUCT(($B39='IP1'!$B$96:$B$114)*('IP1'!$D$96:$D$114))/12*
IF(YEAR(N$3)=2013,'IP1'!$F$154,'IP1'!$G$154)
))</f>
        <v>10416.666666666666</v>
      </c>
      <c r="O39" s="85">
        <f>IF(LEFT($D39,5)="Other",
VLOOKUP($A39,'IP1'!$A$37:$G$89,4,0)*
VLOOKUP(
VLOOKUP($A39,'IP1'!$A$37:$G$89,7,0),Patterns!$A$2:$N$28,COLUMN(O39)-2,0)/
VLOOKUP(
VLOOKUP($A39,'IP1'!$A$37:$G$89,7,0),Patterns!$A$2:$N$28,2,0),
IF(LEFT($D39,7)="Payroll",
SUMPRODUCT(($B39='IP1'!$B$96:$B$114)*('IP1'!$D$96:$D$114))/12,
SUMPRODUCT(($B39='IP1'!$B$96:$B$114)*('IP1'!$D$96:$D$114))/12*
IF(YEAR(O$3)=2013,'IP1'!$F$154,'IP1'!$G$154)
))</f>
        <v>10416.666666666666</v>
      </c>
      <c r="P39" s="85">
        <f>IF(LEFT($D39,5)="Other",
VLOOKUP($A39,'IP1'!$A$37:$G$89,4,0)*
VLOOKUP(
VLOOKUP($A39,'IP1'!$A$37:$G$89,7,0),Patterns!$A$2:$N$28,COLUMN(P39)-2,0)/
VLOOKUP(
VLOOKUP($A39,'IP1'!$A$37:$G$89,7,0),Patterns!$A$2:$N$28,2,0),
IF(LEFT($D39,7)="Payroll",
SUMPRODUCT(($B39='IP1'!$B$96:$B$114)*('IP1'!$D$96:$D$114))/12,
SUMPRODUCT(($B39='IP1'!$B$96:$B$114)*('IP1'!$D$96:$D$114))/12*
IF(YEAR(P$3)=2013,'IP1'!$F$154,'IP1'!$G$154)
))</f>
        <v>10416.666666666666</v>
      </c>
      <c r="Q39" s="85">
        <f>IF(LEFT($D39,5)="Other",
VLOOKUP($A39,'IP1'!$A$37:$G$89,5,0)*
VLOOKUP(
VLOOKUP($A39,'IP1'!$A$37:$G$89,7,0),Patterns!$A$2:$N$28,COLUMN(Q39)-14,0)/
VLOOKUP(
VLOOKUP($A39,'IP1'!$A$37:$G$89,7,0),Patterns!$A$2:$N$28,2,0),
IF(LEFT($D39,7)="Payroll",
SUMPRODUCT(($B39='IP1'!$B$96:$B$114)*('IP1'!$E$96:$E$114))/12,
SUMPRODUCT(($B39='IP1'!$B$96:$B$114)*('IP1'!$E$96:$E$114))/12*
IF(YEAR(Q$3)=2013,'IP1'!$F$154,'IP1'!$G$154)
))</f>
        <v>10833.333333333334</v>
      </c>
      <c r="R39" s="85">
        <f>IF(LEFT($D39,5)="Other",
VLOOKUP($A39,'IP1'!$A$37:$G$89,5,0)*
VLOOKUP(
VLOOKUP($A39,'IP1'!$A$37:$G$89,7,0),Patterns!$A$2:$N$28,COLUMN(R39)-14,0)/
VLOOKUP(
VLOOKUP($A39,'IP1'!$A$37:$G$89,7,0),Patterns!$A$2:$N$28,2,0),
IF(LEFT($D39,7)="Payroll",
SUMPRODUCT(($B39='IP1'!$B$96:$B$114)*('IP1'!$E$96:$E$114))/12,
SUMPRODUCT(($B39='IP1'!$B$96:$B$114)*('IP1'!$E$96:$E$114))/12*
IF(YEAR(R$3)=2013,'IP1'!$F$154,'IP1'!$G$154)
))</f>
        <v>10833.333333333334</v>
      </c>
      <c r="S39" s="85">
        <f>IF(LEFT($D39,5)="Other",
VLOOKUP($A39,'IP1'!$A$37:$G$89,5,0)*
VLOOKUP(
VLOOKUP($A39,'IP1'!$A$37:$G$89,7,0),Patterns!$A$2:$N$28,COLUMN(S39)-14,0)/
VLOOKUP(
VLOOKUP($A39,'IP1'!$A$37:$G$89,7,0),Patterns!$A$2:$N$28,2,0),
IF(LEFT($D39,7)="Payroll",
SUMPRODUCT(($B39='IP1'!$B$96:$B$114)*('IP1'!$E$96:$E$114))/12,
SUMPRODUCT(($B39='IP1'!$B$96:$B$114)*('IP1'!$E$96:$E$114))/12*
IF(YEAR(S$3)=2013,'IP1'!$F$154,'IP1'!$G$154)
))</f>
        <v>10833.333333333334</v>
      </c>
      <c r="T39" s="85">
        <f>IF(LEFT($D39,5)="Other",
VLOOKUP($A39,'IP1'!$A$37:$G$89,5,0)*
VLOOKUP(
VLOOKUP($A39,'IP1'!$A$37:$G$89,7,0),Patterns!$A$2:$N$28,COLUMN(T39)-14,0)/
VLOOKUP(
VLOOKUP($A39,'IP1'!$A$37:$G$89,7,0),Patterns!$A$2:$N$28,2,0),
IF(LEFT($D39,7)="Payroll",
SUMPRODUCT(($B39='IP1'!$B$96:$B$114)*('IP1'!$E$96:$E$114))/12,
SUMPRODUCT(($B39='IP1'!$B$96:$B$114)*('IP1'!$E$96:$E$114))/12*
IF(YEAR(T$3)=2013,'IP1'!$F$154,'IP1'!$G$154)
))</f>
        <v>10833.333333333334</v>
      </c>
      <c r="U39" s="85">
        <f>IF(LEFT($D39,5)="Other",
VLOOKUP($A39,'IP1'!$A$37:$G$89,5,0)*
VLOOKUP(
VLOOKUP($A39,'IP1'!$A$37:$G$89,7,0),Patterns!$A$2:$N$28,COLUMN(U39)-14,0)/
VLOOKUP(
VLOOKUP($A39,'IP1'!$A$37:$G$89,7,0),Patterns!$A$2:$N$28,2,0),
IF(LEFT($D39,7)="Payroll",
SUMPRODUCT(($B39='IP1'!$B$96:$B$114)*('IP1'!$E$96:$E$114))/12,
SUMPRODUCT(($B39='IP1'!$B$96:$B$114)*('IP1'!$E$96:$E$114))/12*
IF(YEAR(U$3)=2013,'IP1'!$F$154,'IP1'!$G$154)
))</f>
        <v>10833.333333333334</v>
      </c>
      <c r="V39" s="85">
        <f>IF(LEFT($D39,5)="Other",
VLOOKUP($A39,'IP1'!$A$37:$G$89,5,0)*
VLOOKUP(
VLOOKUP($A39,'IP1'!$A$37:$G$89,7,0),Patterns!$A$2:$N$28,COLUMN(V39)-14,0)/
VLOOKUP(
VLOOKUP($A39,'IP1'!$A$37:$G$89,7,0),Patterns!$A$2:$N$28,2,0),
IF(LEFT($D39,7)="Payroll",
SUMPRODUCT(($B39='IP1'!$B$96:$B$114)*('IP1'!$E$96:$E$114))/12,
SUMPRODUCT(($B39='IP1'!$B$96:$B$114)*('IP1'!$E$96:$E$114))/12*
IF(YEAR(V$3)=2013,'IP1'!$F$154,'IP1'!$G$154)
))</f>
        <v>10833.333333333334</v>
      </c>
      <c r="W39" s="85">
        <f>IF(LEFT($D39,5)="Other",
VLOOKUP($A39,'IP1'!$A$37:$G$89,5,0)*
VLOOKUP(
VLOOKUP($A39,'IP1'!$A$37:$G$89,7,0),Patterns!$A$2:$N$28,COLUMN(W39)-14,0)/
VLOOKUP(
VLOOKUP($A39,'IP1'!$A$37:$G$89,7,0),Patterns!$A$2:$N$28,2,0),
IF(LEFT($D39,7)="Payroll",
SUMPRODUCT(($B39='IP1'!$B$96:$B$114)*('IP1'!$E$96:$E$114))/12,
SUMPRODUCT(($B39='IP1'!$B$96:$B$114)*('IP1'!$E$96:$E$114))/12*
IF(YEAR(W$3)=2013,'IP1'!$F$154,'IP1'!$G$154)
))</f>
        <v>10833.333333333334</v>
      </c>
      <c r="X39" s="85">
        <f>IF(LEFT($D39,5)="Other",
VLOOKUP($A39,'IP1'!$A$37:$G$89,5,0)*
VLOOKUP(
VLOOKUP($A39,'IP1'!$A$37:$G$89,7,0),Patterns!$A$2:$N$28,COLUMN(X39)-14,0)/
VLOOKUP(
VLOOKUP($A39,'IP1'!$A$37:$G$89,7,0),Patterns!$A$2:$N$28,2,0),
IF(LEFT($D39,7)="Payroll",
SUMPRODUCT(($B39='IP1'!$B$96:$B$114)*('IP1'!$E$96:$E$114))/12,
SUMPRODUCT(($B39='IP1'!$B$96:$B$114)*('IP1'!$E$96:$E$114))/12*
IF(YEAR(X$3)=2013,'IP1'!$F$154,'IP1'!$G$154)
))</f>
        <v>10833.333333333334</v>
      </c>
      <c r="Y39" s="85">
        <f>IF(LEFT($D39,5)="Other",
VLOOKUP($A39,'IP1'!$A$37:$G$89,5,0)*
VLOOKUP(
VLOOKUP($A39,'IP1'!$A$37:$G$89,7,0),Patterns!$A$2:$N$28,COLUMN(Y39)-14,0)/
VLOOKUP(
VLOOKUP($A39,'IP1'!$A$37:$G$89,7,0),Patterns!$A$2:$N$28,2,0),
IF(LEFT($D39,7)="Payroll",
SUMPRODUCT(($B39='IP1'!$B$96:$B$114)*('IP1'!$E$96:$E$114))/12,
SUMPRODUCT(($B39='IP1'!$B$96:$B$114)*('IP1'!$E$96:$E$114))/12*
IF(YEAR(Y$3)=2013,'IP1'!$F$154,'IP1'!$G$154)
))</f>
        <v>10833.333333333334</v>
      </c>
      <c r="Z39" s="85">
        <f>IF(LEFT($D39,5)="Other",
VLOOKUP($A39,'IP1'!$A$37:$G$89,5,0)*
VLOOKUP(
VLOOKUP($A39,'IP1'!$A$37:$G$89,7,0),Patterns!$A$2:$N$28,COLUMN(Z39)-14,0)/
VLOOKUP(
VLOOKUP($A39,'IP1'!$A$37:$G$89,7,0),Patterns!$A$2:$N$28,2,0),
IF(LEFT($D39,7)="Payroll",
SUMPRODUCT(($B39='IP1'!$B$96:$B$114)*('IP1'!$E$96:$E$114))/12,
SUMPRODUCT(($B39='IP1'!$B$96:$B$114)*('IP1'!$E$96:$E$114))/12*
IF(YEAR(Z$3)=2013,'IP1'!$F$154,'IP1'!$G$154)
))</f>
        <v>10833.333333333334</v>
      </c>
      <c r="AA39" s="85">
        <f>IF(LEFT($D39,5)="Other",
VLOOKUP($A39,'IP1'!$A$37:$G$89,5,0)*
VLOOKUP(
VLOOKUP($A39,'IP1'!$A$37:$G$89,7,0),Patterns!$A$2:$N$28,COLUMN(AA39)-14,0)/
VLOOKUP(
VLOOKUP($A39,'IP1'!$A$37:$G$89,7,0),Patterns!$A$2:$N$28,2,0),
IF(LEFT($D39,7)="Payroll",
SUMPRODUCT(($B39='IP1'!$B$96:$B$114)*('IP1'!$E$96:$E$114))/12,
SUMPRODUCT(($B39='IP1'!$B$96:$B$114)*('IP1'!$E$96:$E$114))/12*
IF(YEAR(AA$3)=2013,'IP1'!$F$154,'IP1'!$G$154)
))</f>
        <v>10833.333333333334</v>
      </c>
      <c r="AB39" s="85">
        <f>IF(LEFT($D39,5)="Other",
VLOOKUP($A39,'IP1'!$A$37:$G$89,5,0)*
VLOOKUP(
VLOOKUP($A39,'IP1'!$A$37:$G$89,7,0),Patterns!$A$2:$N$28,COLUMN(AB39)-14,0)/
VLOOKUP(
VLOOKUP($A39,'IP1'!$A$37:$G$89,7,0),Patterns!$A$2:$N$28,2,0),
IF(LEFT($D39,7)="Payroll",
SUMPRODUCT(($B39='IP1'!$B$96:$B$114)*('IP1'!$E$96:$E$114))/12,
SUMPRODUCT(($B39='IP1'!$B$96:$B$114)*('IP1'!$E$96:$E$114))/12*
IF(YEAR(AB$3)=2013,'IP1'!$F$154,'IP1'!$G$154)
))</f>
        <v>10833.333333333334</v>
      </c>
    </row>
    <row r="40" spans="1:28">
      <c r="A40" s="1" t="str">
        <f t="shared" si="2"/>
        <v>OperationsPAYE / PRSI</v>
      </c>
      <c r="B40" s="1" t="s">
        <v>463</v>
      </c>
      <c r="C40" s="1" t="s">
        <v>25</v>
      </c>
      <c r="D40" s="11" t="s">
        <v>65</v>
      </c>
      <c r="E40" s="85">
        <f>IF(LEFT($D40,5)="Other",
VLOOKUP($A40,'IP1'!$A$37:$G$89,4,0)*
VLOOKUP(
VLOOKUP($A40,'IP1'!$A$37:$G$89,7,0),Patterns!$A$2:$N$28,COLUMN(E40)-2,0)/
VLOOKUP(
VLOOKUP($A40,'IP1'!$A$37:$G$89,7,0),Patterns!$A$2:$N$28,2,0),
IF(LEFT($D40,7)="Payroll",
SUMPRODUCT(($B40='IP1'!$B$96:$B$114)*('IP1'!$D$96:$D$114))/12,
SUMPRODUCT(($B40='IP1'!$B$96:$B$114)*('IP1'!$D$96:$D$114))/12*
IF(YEAR(E$3)=2013,'IP1'!$F$154,'IP1'!$G$154)
))</f>
        <v>1562.4999999999998</v>
      </c>
      <c r="F40" s="85">
        <f>IF(LEFT($D40,5)="Other",
VLOOKUP($A40,'IP1'!$A$37:$G$89,4,0)*
VLOOKUP(
VLOOKUP($A40,'IP1'!$A$37:$G$89,7,0),Patterns!$A$2:$N$28,COLUMN(F40)-2,0)/
VLOOKUP(
VLOOKUP($A40,'IP1'!$A$37:$G$89,7,0),Patterns!$A$2:$N$28,2,0),
IF(LEFT($D40,7)="Payroll",
SUMPRODUCT(($B40='IP1'!$B$96:$B$114)*('IP1'!$D$96:$D$114))/12,
SUMPRODUCT(($B40='IP1'!$B$96:$B$114)*('IP1'!$D$96:$D$114))/12*
IF(YEAR(F$3)=2013,'IP1'!$F$154,'IP1'!$G$154)
))</f>
        <v>1562.4999999999998</v>
      </c>
      <c r="G40" s="85">
        <f>IF(LEFT($D40,5)="Other",
VLOOKUP($A40,'IP1'!$A$37:$G$89,4,0)*
VLOOKUP(
VLOOKUP($A40,'IP1'!$A$37:$G$89,7,0),Patterns!$A$2:$N$28,COLUMN(G40)-2,0)/
VLOOKUP(
VLOOKUP($A40,'IP1'!$A$37:$G$89,7,0),Patterns!$A$2:$N$28,2,0),
IF(LEFT($D40,7)="Payroll",
SUMPRODUCT(($B40='IP1'!$B$96:$B$114)*('IP1'!$D$96:$D$114))/12,
SUMPRODUCT(($B40='IP1'!$B$96:$B$114)*('IP1'!$D$96:$D$114))/12*
IF(YEAR(G$3)=2013,'IP1'!$F$154,'IP1'!$G$154)
))</f>
        <v>1562.4999999999998</v>
      </c>
      <c r="H40" s="85">
        <f>IF(LEFT($D40,5)="Other",
VLOOKUP($A40,'IP1'!$A$37:$G$89,4,0)*
VLOOKUP(
VLOOKUP($A40,'IP1'!$A$37:$G$89,7,0),Patterns!$A$2:$N$28,COLUMN(H40)-2,0)/
VLOOKUP(
VLOOKUP($A40,'IP1'!$A$37:$G$89,7,0),Patterns!$A$2:$N$28,2,0),
IF(LEFT($D40,7)="Payroll",
SUMPRODUCT(($B40='IP1'!$B$96:$B$114)*('IP1'!$D$96:$D$114))/12,
SUMPRODUCT(($B40='IP1'!$B$96:$B$114)*('IP1'!$D$96:$D$114))/12*
IF(YEAR(H$3)=2013,'IP1'!$F$154,'IP1'!$G$154)
))</f>
        <v>1562.4999999999998</v>
      </c>
      <c r="I40" s="85">
        <f>IF(LEFT($D40,5)="Other",
VLOOKUP($A40,'IP1'!$A$37:$G$89,4,0)*
VLOOKUP(
VLOOKUP($A40,'IP1'!$A$37:$G$89,7,0),Patterns!$A$2:$N$28,COLUMN(I40)-2,0)/
VLOOKUP(
VLOOKUP($A40,'IP1'!$A$37:$G$89,7,0),Patterns!$A$2:$N$28,2,0),
IF(LEFT($D40,7)="Payroll",
SUMPRODUCT(($B40='IP1'!$B$96:$B$114)*('IP1'!$D$96:$D$114))/12,
SUMPRODUCT(($B40='IP1'!$B$96:$B$114)*('IP1'!$D$96:$D$114))/12*
IF(YEAR(I$3)=2013,'IP1'!$F$154,'IP1'!$G$154)
))</f>
        <v>1562.4999999999998</v>
      </c>
      <c r="J40" s="85">
        <f>IF(LEFT($D40,5)="Other",
VLOOKUP($A40,'IP1'!$A$37:$G$89,4,0)*
VLOOKUP(
VLOOKUP($A40,'IP1'!$A$37:$G$89,7,0),Patterns!$A$2:$N$28,COLUMN(J40)-2,0)/
VLOOKUP(
VLOOKUP($A40,'IP1'!$A$37:$G$89,7,0),Patterns!$A$2:$N$28,2,0),
IF(LEFT($D40,7)="Payroll",
SUMPRODUCT(($B40='IP1'!$B$96:$B$114)*('IP1'!$D$96:$D$114))/12,
SUMPRODUCT(($B40='IP1'!$B$96:$B$114)*('IP1'!$D$96:$D$114))/12*
IF(YEAR(J$3)=2013,'IP1'!$F$154,'IP1'!$G$154)
))</f>
        <v>1562.4999999999998</v>
      </c>
      <c r="K40" s="85">
        <f>IF(LEFT($D40,5)="Other",
VLOOKUP($A40,'IP1'!$A$37:$G$89,4,0)*
VLOOKUP(
VLOOKUP($A40,'IP1'!$A$37:$G$89,7,0),Patterns!$A$2:$N$28,COLUMN(K40)-2,0)/
VLOOKUP(
VLOOKUP($A40,'IP1'!$A$37:$G$89,7,0),Patterns!$A$2:$N$28,2,0),
IF(LEFT($D40,7)="Payroll",
SUMPRODUCT(($B40='IP1'!$B$96:$B$114)*('IP1'!$D$96:$D$114))/12,
SUMPRODUCT(($B40='IP1'!$B$96:$B$114)*('IP1'!$D$96:$D$114))/12*
IF(YEAR(K$3)=2013,'IP1'!$F$154,'IP1'!$G$154)
))</f>
        <v>1562.4999999999998</v>
      </c>
      <c r="L40" s="85">
        <f>IF(LEFT($D40,5)="Other",
VLOOKUP($A40,'IP1'!$A$37:$G$89,4,0)*
VLOOKUP(
VLOOKUP($A40,'IP1'!$A$37:$G$89,7,0),Patterns!$A$2:$N$28,COLUMN(L40)-2,0)/
VLOOKUP(
VLOOKUP($A40,'IP1'!$A$37:$G$89,7,0),Patterns!$A$2:$N$28,2,0),
IF(LEFT($D40,7)="Payroll",
SUMPRODUCT(($B40='IP1'!$B$96:$B$114)*('IP1'!$D$96:$D$114))/12,
SUMPRODUCT(($B40='IP1'!$B$96:$B$114)*('IP1'!$D$96:$D$114))/12*
IF(YEAR(L$3)=2013,'IP1'!$F$154,'IP1'!$G$154)
))</f>
        <v>1562.4999999999998</v>
      </c>
      <c r="M40" s="85">
        <f>IF(LEFT($D40,5)="Other",
VLOOKUP($A40,'IP1'!$A$37:$G$89,4,0)*
VLOOKUP(
VLOOKUP($A40,'IP1'!$A$37:$G$89,7,0),Patterns!$A$2:$N$28,COLUMN(M40)-2,0)/
VLOOKUP(
VLOOKUP($A40,'IP1'!$A$37:$G$89,7,0),Patterns!$A$2:$N$28,2,0),
IF(LEFT($D40,7)="Payroll",
SUMPRODUCT(($B40='IP1'!$B$96:$B$114)*('IP1'!$D$96:$D$114))/12,
SUMPRODUCT(($B40='IP1'!$B$96:$B$114)*('IP1'!$D$96:$D$114))/12*
IF(YEAR(M$3)=2013,'IP1'!$F$154,'IP1'!$G$154)
))</f>
        <v>1562.4999999999998</v>
      </c>
      <c r="N40" s="85">
        <f>IF(LEFT($D40,5)="Other",
VLOOKUP($A40,'IP1'!$A$37:$G$89,4,0)*
VLOOKUP(
VLOOKUP($A40,'IP1'!$A$37:$G$89,7,0),Patterns!$A$2:$N$28,COLUMN(N40)-2,0)/
VLOOKUP(
VLOOKUP($A40,'IP1'!$A$37:$G$89,7,0),Patterns!$A$2:$N$28,2,0),
IF(LEFT($D40,7)="Payroll",
SUMPRODUCT(($B40='IP1'!$B$96:$B$114)*('IP1'!$D$96:$D$114))/12,
SUMPRODUCT(($B40='IP1'!$B$96:$B$114)*('IP1'!$D$96:$D$114))/12*
IF(YEAR(N$3)=2013,'IP1'!$F$154,'IP1'!$G$154)
))</f>
        <v>1562.4999999999998</v>
      </c>
      <c r="O40" s="85">
        <f>IF(LEFT($D40,5)="Other",
VLOOKUP($A40,'IP1'!$A$37:$G$89,4,0)*
VLOOKUP(
VLOOKUP($A40,'IP1'!$A$37:$G$89,7,0),Patterns!$A$2:$N$28,COLUMN(O40)-2,0)/
VLOOKUP(
VLOOKUP($A40,'IP1'!$A$37:$G$89,7,0),Patterns!$A$2:$N$28,2,0),
IF(LEFT($D40,7)="Payroll",
SUMPRODUCT(($B40='IP1'!$B$96:$B$114)*('IP1'!$D$96:$D$114))/12,
SUMPRODUCT(($B40='IP1'!$B$96:$B$114)*('IP1'!$D$96:$D$114))/12*
IF(YEAR(O$3)=2013,'IP1'!$F$154,'IP1'!$G$154)
))</f>
        <v>1562.4999999999998</v>
      </c>
      <c r="P40" s="85">
        <f>IF(LEFT($D40,5)="Other",
VLOOKUP($A40,'IP1'!$A$37:$G$89,4,0)*
VLOOKUP(
VLOOKUP($A40,'IP1'!$A$37:$G$89,7,0),Patterns!$A$2:$N$28,COLUMN(P40)-2,0)/
VLOOKUP(
VLOOKUP($A40,'IP1'!$A$37:$G$89,7,0),Patterns!$A$2:$N$28,2,0),
IF(LEFT($D40,7)="Payroll",
SUMPRODUCT(($B40='IP1'!$B$96:$B$114)*('IP1'!$D$96:$D$114))/12,
SUMPRODUCT(($B40='IP1'!$B$96:$B$114)*('IP1'!$D$96:$D$114))/12*
IF(YEAR(P$3)=2013,'IP1'!$F$154,'IP1'!$G$154)
))</f>
        <v>1562.4999999999998</v>
      </c>
      <c r="Q40" s="85">
        <f>IF(LEFT($D40,5)="Other",
VLOOKUP($A40,'IP1'!$A$37:$G$89,5,0)*
VLOOKUP(
VLOOKUP($A40,'IP1'!$A$37:$G$89,7,0),Patterns!$A$2:$N$28,COLUMN(Q40)-14,0)/
VLOOKUP(
VLOOKUP($A40,'IP1'!$A$37:$G$89,7,0),Patterns!$A$2:$N$28,2,0),
IF(LEFT($D40,7)="Payroll",
SUMPRODUCT(($B40='IP1'!$B$96:$B$114)*('IP1'!$E$96:$E$114))/12,
SUMPRODUCT(($B40='IP1'!$B$96:$B$114)*('IP1'!$E$96:$E$114))/12*
IF(YEAR(Q$3)=2013,'IP1'!$F$154,'IP1'!$G$154)
))</f>
        <v>1625</v>
      </c>
      <c r="R40" s="85">
        <f>IF(LEFT($D40,5)="Other",
VLOOKUP($A40,'IP1'!$A$37:$G$89,5,0)*
VLOOKUP(
VLOOKUP($A40,'IP1'!$A$37:$G$89,7,0),Patterns!$A$2:$N$28,COLUMN(R40)-14,0)/
VLOOKUP(
VLOOKUP($A40,'IP1'!$A$37:$G$89,7,0),Patterns!$A$2:$N$28,2,0),
IF(LEFT($D40,7)="Payroll",
SUMPRODUCT(($B40='IP1'!$B$96:$B$114)*('IP1'!$E$96:$E$114))/12,
SUMPRODUCT(($B40='IP1'!$B$96:$B$114)*('IP1'!$E$96:$E$114))/12*
IF(YEAR(R$3)=2013,'IP1'!$F$154,'IP1'!$G$154)
))</f>
        <v>1625</v>
      </c>
      <c r="S40" s="85">
        <f>IF(LEFT($D40,5)="Other",
VLOOKUP($A40,'IP1'!$A$37:$G$89,5,0)*
VLOOKUP(
VLOOKUP($A40,'IP1'!$A$37:$G$89,7,0),Patterns!$A$2:$N$28,COLUMN(S40)-14,0)/
VLOOKUP(
VLOOKUP($A40,'IP1'!$A$37:$G$89,7,0),Patterns!$A$2:$N$28,2,0),
IF(LEFT($D40,7)="Payroll",
SUMPRODUCT(($B40='IP1'!$B$96:$B$114)*('IP1'!$E$96:$E$114))/12,
SUMPRODUCT(($B40='IP1'!$B$96:$B$114)*('IP1'!$E$96:$E$114))/12*
IF(YEAR(S$3)=2013,'IP1'!$F$154,'IP1'!$G$154)
))</f>
        <v>1625</v>
      </c>
      <c r="T40" s="85">
        <f>IF(LEFT($D40,5)="Other",
VLOOKUP($A40,'IP1'!$A$37:$G$89,5,0)*
VLOOKUP(
VLOOKUP($A40,'IP1'!$A$37:$G$89,7,0),Patterns!$A$2:$N$28,COLUMN(T40)-14,0)/
VLOOKUP(
VLOOKUP($A40,'IP1'!$A$37:$G$89,7,0),Patterns!$A$2:$N$28,2,0),
IF(LEFT($D40,7)="Payroll",
SUMPRODUCT(($B40='IP1'!$B$96:$B$114)*('IP1'!$E$96:$E$114))/12,
SUMPRODUCT(($B40='IP1'!$B$96:$B$114)*('IP1'!$E$96:$E$114))/12*
IF(YEAR(T$3)=2013,'IP1'!$F$154,'IP1'!$G$154)
))</f>
        <v>1625</v>
      </c>
      <c r="U40" s="85">
        <f>IF(LEFT($D40,5)="Other",
VLOOKUP($A40,'IP1'!$A$37:$G$89,5,0)*
VLOOKUP(
VLOOKUP($A40,'IP1'!$A$37:$G$89,7,0),Patterns!$A$2:$N$28,COLUMN(U40)-14,0)/
VLOOKUP(
VLOOKUP($A40,'IP1'!$A$37:$G$89,7,0),Patterns!$A$2:$N$28,2,0),
IF(LEFT($D40,7)="Payroll",
SUMPRODUCT(($B40='IP1'!$B$96:$B$114)*('IP1'!$E$96:$E$114))/12,
SUMPRODUCT(($B40='IP1'!$B$96:$B$114)*('IP1'!$E$96:$E$114))/12*
IF(YEAR(U$3)=2013,'IP1'!$F$154,'IP1'!$G$154)
))</f>
        <v>1625</v>
      </c>
      <c r="V40" s="85">
        <f>IF(LEFT($D40,5)="Other",
VLOOKUP($A40,'IP1'!$A$37:$G$89,5,0)*
VLOOKUP(
VLOOKUP($A40,'IP1'!$A$37:$G$89,7,0),Patterns!$A$2:$N$28,COLUMN(V40)-14,0)/
VLOOKUP(
VLOOKUP($A40,'IP1'!$A$37:$G$89,7,0),Patterns!$A$2:$N$28,2,0),
IF(LEFT($D40,7)="Payroll",
SUMPRODUCT(($B40='IP1'!$B$96:$B$114)*('IP1'!$E$96:$E$114))/12,
SUMPRODUCT(($B40='IP1'!$B$96:$B$114)*('IP1'!$E$96:$E$114))/12*
IF(YEAR(V$3)=2013,'IP1'!$F$154,'IP1'!$G$154)
))</f>
        <v>1625</v>
      </c>
      <c r="W40" s="85">
        <f>IF(LEFT($D40,5)="Other",
VLOOKUP($A40,'IP1'!$A$37:$G$89,5,0)*
VLOOKUP(
VLOOKUP($A40,'IP1'!$A$37:$G$89,7,0),Patterns!$A$2:$N$28,COLUMN(W40)-14,0)/
VLOOKUP(
VLOOKUP($A40,'IP1'!$A$37:$G$89,7,0),Patterns!$A$2:$N$28,2,0),
IF(LEFT($D40,7)="Payroll",
SUMPRODUCT(($B40='IP1'!$B$96:$B$114)*('IP1'!$E$96:$E$114))/12,
SUMPRODUCT(($B40='IP1'!$B$96:$B$114)*('IP1'!$E$96:$E$114))/12*
IF(YEAR(W$3)=2013,'IP1'!$F$154,'IP1'!$G$154)
))</f>
        <v>1625</v>
      </c>
      <c r="X40" s="85">
        <f>IF(LEFT($D40,5)="Other",
VLOOKUP($A40,'IP1'!$A$37:$G$89,5,0)*
VLOOKUP(
VLOOKUP($A40,'IP1'!$A$37:$G$89,7,0),Patterns!$A$2:$N$28,COLUMN(X40)-14,0)/
VLOOKUP(
VLOOKUP($A40,'IP1'!$A$37:$G$89,7,0),Patterns!$A$2:$N$28,2,0),
IF(LEFT($D40,7)="Payroll",
SUMPRODUCT(($B40='IP1'!$B$96:$B$114)*('IP1'!$E$96:$E$114))/12,
SUMPRODUCT(($B40='IP1'!$B$96:$B$114)*('IP1'!$E$96:$E$114))/12*
IF(YEAR(X$3)=2013,'IP1'!$F$154,'IP1'!$G$154)
))</f>
        <v>1625</v>
      </c>
      <c r="Y40" s="85">
        <f>IF(LEFT($D40,5)="Other",
VLOOKUP($A40,'IP1'!$A$37:$G$89,5,0)*
VLOOKUP(
VLOOKUP($A40,'IP1'!$A$37:$G$89,7,0),Patterns!$A$2:$N$28,COLUMN(Y40)-14,0)/
VLOOKUP(
VLOOKUP($A40,'IP1'!$A$37:$G$89,7,0),Patterns!$A$2:$N$28,2,0),
IF(LEFT($D40,7)="Payroll",
SUMPRODUCT(($B40='IP1'!$B$96:$B$114)*('IP1'!$E$96:$E$114))/12,
SUMPRODUCT(($B40='IP1'!$B$96:$B$114)*('IP1'!$E$96:$E$114))/12*
IF(YEAR(Y$3)=2013,'IP1'!$F$154,'IP1'!$G$154)
))</f>
        <v>1625</v>
      </c>
      <c r="Z40" s="85">
        <f>IF(LEFT($D40,5)="Other",
VLOOKUP($A40,'IP1'!$A$37:$G$89,5,0)*
VLOOKUP(
VLOOKUP($A40,'IP1'!$A$37:$G$89,7,0),Patterns!$A$2:$N$28,COLUMN(Z40)-14,0)/
VLOOKUP(
VLOOKUP($A40,'IP1'!$A$37:$G$89,7,0),Patterns!$A$2:$N$28,2,0),
IF(LEFT($D40,7)="Payroll",
SUMPRODUCT(($B40='IP1'!$B$96:$B$114)*('IP1'!$E$96:$E$114))/12,
SUMPRODUCT(($B40='IP1'!$B$96:$B$114)*('IP1'!$E$96:$E$114))/12*
IF(YEAR(Z$3)=2013,'IP1'!$F$154,'IP1'!$G$154)
))</f>
        <v>1625</v>
      </c>
      <c r="AA40" s="85">
        <f>IF(LEFT($D40,5)="Other",
VLOOKUP($A40,'IP1'!$A$37:$G$89,5,0)*
VLOOKUP(
VLOOKUP($A40,'IP1'!$A$37:$G$89,7,0),Patterns!$A$2:$N$28,COLUMN(AA40)-14,0)/
VLOOKUP(
VLOOKUP($A40,'IP1'!$A$37:$G$89,7,0),Patterns!$A$2:$N$28,2,0),
IF(LEFT($D40,7)="Payroll",
SUMPRODUCT(($B40='IP1'!$B$96:$B$114)*('IP1'!$E$96:$E$114))/12,
SUMPRODUCT(($B40='IP1'!$B$96:$B$114)*('IP1'!$E$96:$E$114))/12*
IF(YEAR(AA$3)=2013,'IP1'!$F$154,'IP1'!$G$154)
))</f>
        <v>1625</v>
      </c>
      <c r="AB40" s="85">
        <f>IF(LEFT($D40,5)="Other",
VLOOKUP($A40,'IP1'!$A$37:$G$89,5,0)*
VLOOKUP(
VLOOKUP($A40,'IP1'!$A$37:$G$89,7,0),Patterns!$A$2:$N$28,COLUMN(AB40)-14,0)/
VLOOKUP(
VLOOKUP($A40,'IP1'!$A$37:$G$89,7,0),Patterns!$A$2:$N$28,2,0),
IF(LEFT($D40,7)="Payroll",
SUMPRODUCT(($B40='IP1'!$B$96:$B$114)*('IP1'!$E$96:$E$114))/12,
SUMPRODUCT(($B40='IP1'!$B$96:$B$114)*('IP1'!$E$96:$E$114))/12*
IF(YEAR(AB$3)=2013,'IP1'!$F$154,'IP1'!$G$154)
))</f>
        <v>1625</v>
      </c>
    </row>
    <row r="41" spans="1:28">
      <c r="A41" s="1" t="str">
        <f t="shared" si="2"/>
        <v xml:space="preserve">OperationsBuilding supplies </v>
      </c>
      <c r="B41" s="1" t="s">
        <v>463</v>
      </c>
      <c r="C41" s="1" t="s">
        <v>464</v>
      </c>
      <c r="D41" s="11" t="s">
        <v>100</v>
      </c>
      <c r="E41" s="85">
        <f>IF(LEFT($D41,5)="Other",
VLOOKUP($A41,'IP1'!$A$37:$G$89,4,0)*
VLOOKUP(
VLOOKUP($A41,'IP1'!$A$37:$G$89,7,0),Patterns!$A$2:$N$28,COLUMN(E41)-2,0)/
VLOOKUP(
VLOOKUP($A41,'IP1'!$A$37:$G$89,7,0),Patterns!$A$2:$N$28,2,0),
IF(LEFT($D41,7)="Payroll",
SUMPRODUCT(($B41='IP1'!$B$96:$B$114)*('IP1'!$D$96:$D$114))/12,
SUMPRODUCT(($B41='IP1'!$B$96:$B$114)*('IP1'!$D$96:$D$114))/12*
IF(YEAR(E$3)=2013,'IP1'!$F$154,'IP1'!$G$154)
))</f>
        <v>200</v>
      </c>
      <c r="F41" s="85">
        <f>IF(LEFT($D41,5)="Other",
VLOOKUP($A41,'IP1'!$A$37:$G$89,4,0)*
VLOOKUP(
VLOOKUP($A41,'IP1'!$A$37:$G$89,7,0),Patterns!$A$2:$N$28,COLUMN(F41)-2,0)/
VLOOKUP(
VLOOKUP($A41,'IP1'!$A$37:$G$89,7,0),Patterns!$A$2:$N$28,2,0),
IF(LEFT($D41,7)="Payroll",
SUMPRODUCT(($B41='IP1'!$B$96:$B$114)*('IP1'!$D$96:$D$114))/12,
SUMPRODUCT(($B41='IP1'!$B$96:$B$114)*('IP1'!$D$96:$D$114))/12*
IF(YEAR(F$3)=2013,'IP1'!$F$154,'IP1'!$G$154)
))</f>
        <v>200</v>
      </c>
      <c r="G41" s="85">
        <f>IF(LEFT($D41,5)="Other",
VLOOKUP($A41,'IP1'!$A$37:$G$89,4,0)*
VLOOKUP(
VLOOKUP($A41,'IP1'!$A$37:$G$89,7,0),Patterns!$A$2:$N$28,COLUMN(G41)-2,0)/
VLOOKUP(
VLOOKUP($A41,'IP1'!$A$37:$G$89,7,0),Patterns!$A$2:$N$28,2,0),
IF(LEFT($D41,7)="Payroll",
SUMPRODUCT(($B41='IP1'!$B$96:$B$114)*('IP1'!$D$96:$D$114))/12,
SUMPRODUCT(($B41='IP1'!$B$96:$B$114)*('IP1'!$D$96:$D$114))/12*
IF(YEAR(G$3)=2013,'IP1'!$F$154,'IP1'!$G$154)
))</f>
        <v>200</v>
      </c>
      <c r="H41" s="85">
        <f>IF(LEFT($D41,5)="Other",
VLOOKUP($A41,'IP1'!$A$37:$G$89,4,0)*
VLOOKUP(
VLOOKUP($A41,'IP1'!$A$37:$G$89,7,0),Patterns!$A$2:$N$28,COLUMN(H41)-2,0)/
VLOOKUP(
VLOOKUP($A41,'IP1'!$A$37:$G$89,7,0),Patterns!$A$2:$N$28,2,0),
IF(LEFT($D41,7)="Payroll",
SUMPRODUCT(($B41='IP1'!$B$96:$B$114)*('IP1'!$D$96:$D$114))/12,
SUMPRODUCT(($B41='IP1'!$B$96:$B$114)*('IP1'!$D$96:$D$114))/12*
IF(YEAR(H$3)=2013,'IP1'!$F$154,'IP1'!$G$154)
))</f>
        <v>200</v>
      </c>
      <c r="I41" s="85">
        <f>IF(LEFT($D41,5)="Other",
VLOOKUP($A41,'IP1'!$A$37:$G$89,4,0)*
VLOOKUP(
VLOOKUP($A41,'IP1'!$A$37:$G$89,7,0),Patterns!$A$2:$N$28,COLUMN(I41)-2,0)/
VLOOKUP(
VLOOKUP($A41,'IP1'!$A$37:$G$89,7,0),Patterns!$A$2:$N$28,2,0),
IF(LEFT($D41,7)="Payroll",
SUMPRODUCT(($B41='IP1'!$B$96:$B$114)*('IP1'!$D$96:$D$114))/12,
SUMPRODUCT(($B41='IP1'!$B$96:$B$114)*('IP1'!$D$96:$D$114))/12*
IF(YEAR(I$3)=2013,'IP1'!$F$154,'IP1'!$G$154)
))</f>
        <v>200</v>
      </c>
      <c r="J41" s="85">
        <f>IF(LEFT($D41,5)="Other",
VLOOKUP($A41,'IP1'!$A$37:$G$89,4,0)*
VLOOKUP(
VLOOKUP($A41,'IP1'!$A$37:$G$89,7,0),Patterns!$A$2:$N$28,COLUMN(J41)-2,0)/
VLOOKUP(
VLOOKUP($A41,'IP1'!$A$37:$G$89,7,0),Patterns!$A$2:$N$28,2,0),
IF(LEFT($D41,7)="Payroll",
SUMPRODUCT(($B41='IP1'!$B$96:$B$114)*('IP1'!$D$96:$D$114))/12,
SUMPRODUCT(($B41='IP1'!$B$96:$B$114)*('IP1'!$D$96:$D$114))/12*
IF(YEAR(J$3)=2013,'IP1'!$F$154,'IP1'!$G$154)
))</f>
        <v>200</v>
      </c>
      <c r="K41" s="85">
        <f>IF(LEFT($D41,5)="Other",
VLOOKUP($A41,'IP1'!$A$37:$G$89,4,0)*
VLOOKUP(
VLOOKUP($A41,'IP1'!$A$37:$G$89,7,0),Patterns!$A$2:$N$28,COLUMN(K41)-2,0)/
VLOOKUP(
VLOOKUP($A41,'IP1'!$A$37:$G$89,7,0),Patterns!$A$2:$N$28,2,0),
IF(LEFT($D41,7)="Payroll",
SUMPRODUCT(($B41='IP1'!$B$96:$B$114)*('IP1'!$D$96:$D$114))/12,
SUMPRODUCT(($B41='IP1'!$B$96:$B$114)*('IP1'!$D$96:$D$114))/12*
IF(YEAR(K$3)=2013,'IP1'!$F$154,'IP1'!$G$154)
))</f>
        <v>200</v>
      </c>
      <c r="L41" s="85">
        <f>IF(LEFT($D41,5)="Other",
VLOOKUP($A41,'IP1'!$A$37:$G$89,4,0)*
VLOOKUP(
VLOOKUP($A41,'IP1'!$A$37:$G$89,7,0),Patterns!$A$2:$N$28,COLUMN(L41)-2,0)/
VLOOKUP(
VLOOKUP($A41,'IP1'!$A$37:$G$89,7,0),Patterns!$A$2:$N$28,2,0),
IF(LEFT($D41,7)="Payroll",
SUMPRODUCT(($B41='IP1'!$B$96:$B$114)*('IP1'!$D$96:$D$114))/12,
SUMPRODUCT(($B41='IP1'!$B$96:$B$114)*('IP1'!$D$96:$D$114))/12*
IF(YEAR(L$3)=2013,'IP1'!$F$154,'IP1'!$G$154)
))</f>
        <v>200</v>
      </c>
      <c r="M41" s="85">
        <f>IF(LEFT($D41,5)="Other",
VLOOKUP($A41,'IP1'!$A$37:$G$89,4,0)*
VLOOKUP(
VLOOKUP($A41,'IP1'!$A$37:$G$89,7,0),Patterns!$A$2:$N$28,COLUMN(M41)-2,0)/
VLOOKUP(
VLOOKUP($A41,'IP1'!$A$37:$G$89,7,0),Patterns!$A$2:$N$28,2,0),
IF(LEFT($D41,7)="Payroll",
SUMPRODUCT(($B41='IP1'!$B$96:$B$114)*('IP1'!$D$96:$D$114))/12,
SUMPRODUCT(($B41='IP1'!$B$96:$B$114)*('IP1'!$D$96:$D$114))/12*
IF(YEAR(M$3)=2013,'IP1'!$F$154,'IP1'!$G$154)
))</f>
        <v>200</v>
      </c>
      <c r="N41" s="85">
        <f>IF(LEFT($D41,5)="Other",
VLOOKUP($A41,'IP1'!$A$37:$G$89,4,0)*
VLOOKUP(
VLOOKUP($A41,'IP1'!$A$37:$G$89,7,0),Patterns!$A$2:$N$28,COLUMN(N41)-2,0)/
VLOOKUP(
VLOOKUP($A41,'IP1'!$A$37:$G$89,7,0),Patterns!$A$2:$N$28,2,0),
IF(LEFT($D41,7)="Payroll",
SUMPRODUCT(($B41='IP1'!$B$96:$B$114)*('IP1'!$D$96:$D$114))/12,
SUMPRODUCT(($B41='IP1'!$B$96:$B$114)*('IP1'!$D$96:$D$114))/12*
IF(YEAR(N$3)=2013,'IP1'!$F$154,'IP1'!$G$154)
))</f>
        <v>200</v>
      </c>
      <c r="O41" s="85">
        <f>IF(LEFT($D41,5)="Other",
VLOOKUP($A41,'IP1'!$A$37:$G$89,4,0)*
VLOOKUP(
VLOOKUP($A41,'IP1'!$A$37:$G$89,7,0),Patterns!$A$2:$N$28,COLUMN(O41)-2,0)/
VLOOKUP(
VLOOKUP($A41,'IP1'!$A$37:$G$89,7,0),Patterns!$A$2:$N$28,2,0),
IF(LEFT($D41,7)="Payroll",
SUMPRODUCT(($B41='IP1'!$B$96:$B$114)*('IP1'!$D$96:$D$114))/12,
SUMPRODUCT(($B41='IP1'!$B$96:$B$114)*('IP1'!$D$96:$D$114))/12*
IF(YEAR(O$3)=2013,'IP1'!$F$154,'IP1'!$G$154)
))</f>
        <v>200</v>
      </c>
      <c r="P41" s="85">
        <f>IF(LEFT($D41,5)="Other",
VLOOKUP($A41,'IP1'!$A$37:$G$89,4,0)*
VLOOKUP(
VLOOKUP($A41,'IP1'!$A$37:$G$89,7,0),Patterns!$A$2:$N$28,COLUMN(P41)-2,0)/
VLOOKUP(
VLOOKUP($A41,'IP1'!$A$37:$G$89,7,0),Patterns!$A$2:$N$28,2,0),
IF(LEFT($D41,7)="Payroll",
SUMPRODUCT(($B41='IP1'!$B$96:$B$114)*('IP1'!$D$96:$D$114))/12,
SUMPRODUCT(($B41='IP1'!$B$96:$B$114)*('IP1'!$D$96:$D$114))/12*
IF(YEAR(P$3)=2013,'IP1'!$F$154,'IP1'!$G$154)
))</f>
        <v>200</v>
      </c>
      <c r="Q41" s="85">
        <f>IF(LEFT($D41,5)="Other",
VLOOKUP($A41,'IP1'!$A$37:$G$89,5,0)*
VLOOKUP(
VLOOKUP($A41,'IP1'!$A$37:$G$89,7,0),Patterns!$A$2:$N$28,COLUMN(Q41)-14,0)/
VLOOKUP(
VLOOKUP($A41,'IP1'!$A$37:$G$89,7,0),Patterns!$A$2:$N$28,2,0),
IF(LEFT($D41,7)="Payroll",
SUMPRODUCT(($B41='IP1'!$B$96:$B$114)*('IP1'!$E$96:$E$114))/12,
SUMPRODUCT(($B41='IP1'!$B$96:$B$114)*('IP1'!$E$96:$E$114))/12*
IF(YEAR(Q$3)=2013,'IP1'!$F$154,'IP1'!$G$154)
))</f>
        <v>200</v>
      </c>
      <c r="R41" s="85">
        <f>IF(LEFT($D41,5)="Other",
VLOOKUP($A41,'IP1'!$A$37:$G$89,5,0)*
VLOOKUP(
VLOOKUP($A41,'IP1'!$A$37:$G$89,7,0),Patterns!$A$2:$N$28,COLUMN(R41)-14,0)/
VLOOKUP(
VLOOKUP($A41,'IP1'!$A$37:$G$89,7,0),Patterns!$A$2:$N$28,2,0),
IF(LEFT($D41,7)="Payroll",
SUMPRODUCT(($B41='IP1'!$B$96:$B$114)*('IP1'!$E$96:$E$114))/12,
SUMPRODUCT(($B41='IP1'!$B$96:$B$114)*('IP1'!$E$96:$E$114))/12*
IF(YEAR(R$3)=2013,'IP1'!$F$154,'IP1'!$G$154)
))</f>
        <v>200</v>
      </c>
      <c r="S41" s="85">
        <f>IF(LEFT($D41,5)="Other",
VLOOKUP($A41,'IP1'!$A$37:$G$89,5,0)*
VLOOKUP(
VLOOKUP($A41,'IP1'!$A$37:$G$89,7,0),Patterns!$A$2:$N$28,COLUMN(S41)-14,0)/
VLOOKUP(
VLOOKUP($A41,'IP1'!$A$37:$G$89,7,0),Patterns!$A$2:$N$28,2,0),
IF(LEFT($D41,7)="Payroll",
SUMPRODUCT(($B41='IP1'!$B$96:$B$114)*('IP1'!$E$96:$E$114))/12,
SUMPRODUCT(($B41='IP1'!$B$96:$B$114)*('IP1'!$E$96:$E$114))/12*
IF(YEAR(S$3)=2013,'IP1'!$F$154,'IP1'!$G$154)
))</f>
        <v>200</v>
      </c>
      <c r="T41" s="85">
        <f>IF(LEFT($D41,5)="Other",
VLOOKUP($A41,'IP1'!$A$37:$G$89,5,0)*
VLOOKUP(
VLOOKUP($A41,'IP1'!$A$37:$G$89,7,0),Patterns!$A$2:$N$28,COLUMN(T41)-14,0)/
VLOOKUP(
VLOOKUP($A41,'IP1'!$A$37:$G$89,7,0),Patterns!$A$2:$N$28,2,0),
IF(LEFT($D41,7)="Payroll",
SUMPRODUCT(($B41='IP1'!$B$96:$B$114)*('IP1'!$E$96:$E$114))/12,
SUMPRODUCT(($B41='IP1'!$B$96:$B$114)*('IP1'!$E$96:$E$114))/12*
IF(YEAR(T$3)=2013,'IP1'!$F$154,'IP1'!$G$154)
))</f>
        <v>200</v>
      </c>
      <c r="U41" s="85">
        <f>IF(LEFT($D41,5)="Other",
VLOOKUP($A41,'IP1'!$A$37:$G$89,5,0)*
VLOOKUP(
VLOOKUP($A41,'IP1'!$A$37:$G$89,7,0),Patterns!$A$2:$N$28,COLUMN(U41)-14,0)/
VLOOKUP(
VLOOKUP($A41,'IP1'!$A$37:$G$89,7,0),Patterns!$A$2:$N$28,2,0),
IF(LEFT($D41,7)="Payroll",
SUMPRODUCT(($B41='IP1'!$B$96:$B$114)*('IP1'!$E$96:$E$114))/12,
SUMPRODUCT(($B41='IP1'!$B$96:$B$114)*('IP1'!$E$96:$E$114))/12*
IF(YEAR(U$3)=2013,'IP1'!$F$154,'IP1'!$G$154)
))</f>
        <v>200</v>
      </c>
      <c r="V41" s="85">
        <f>IF(LEFT($D41,5)="Other",
VLOOKUP($A41,'IP1'!$A$37:$G$89,5,0)*
VLOOKUP(
VLOOKUP($A41,'IP1'!$A$37:$G$89,7,0),Patterns!$A$2:$N$28,COLUMN(V41)-14,0)/
VLOOKUP(
VLOOKUP($A41,'IP1'!$A$37:$G$89,7,0),Patterns!$A$2:$N$28,2,0),
IF(LEFT($D41,7)="Payroll",
SUMPRODUCT(($B41='IP1'!$B$96:$B$114)*('IP1'!$E$96:$E$114))/12,
SUMPRODUCT(($B41='IP1'!$B$96:$B$114)*('IP1'!$E$96:$E$114))/12*
IF(YEAR(V$3)=2013,'IP1'!$F$154,'IP1'!$G$154)
))</f>
        <v>200</v>
      </c>
      <c r="W41" s="85">
        <f>IF(LEFT($D41,5)="Other",
VLOOKUP($A41,'IP1'!$A$37:$G$89,5,0)*
VLOOKUP(
VLOOKUP($A41,'IP1'!$A$37:$G$89,7,0),Patterns!$A$2:$N$28,COLUMN(W41)-14,0)/
VLOOKUP(
VLOOKUP($A41,'IP1'!$A$37:$G$89,7,0),Patterns!$A$2:$N$28,2,0),
IF(LEFT($D41,7)="Payroll",
SUMPRODUCT(($B41='IP1'!$B$96:$B$114)*('IP1'!$E$96:$E$114))/12,
SUMPRODUCT(($B41='IP1'!$B$96:$B$114)*('IP1'!$E$96:$E$114))/12*
IF(YEAR(W$3)=2013,'IP1'!$F$154,'IP1'!$G$154)
))</f>
        <v>200</v>
      </c>
      <c r="X41" s="85">
        <f>IF(LEFT($D41,5)="Other",
VLOOKUP($A41,'IP1'!$A$37:$G$89,5,0)*
VLOOKUP(
VLOOKUP($A41,'IP1'!$A$37:$G$89,7,0),Patterns!$A$2:$N$28,COLUMN(X41)-14,0)/
VLOOKUP(
VLOOKUP($A41,'IP1'!$A$37:$G$89,7,0),Patterns!$A$2:$N$28,2,0),
IF(LEFT($D41,7)="Payroll",
SUMPRODUCT(($B41='IP1'!$B$96:$B$114)*('IP1'!$E$96:$E$114))/12,
SUMPRODUCT(($B41='IP1'!$B$96:$B$114)*('IP1'!$E$96:$E$114))/12*
IF(YEAR(X$3)=2013,'IP1'!$F$154,'IP1'!$G$154)
))</f>
        <v>200</v>
      </c>
      <c r="Y41" s="85">
        <f>IF(LEFT($D41,5)="Other",
VLOOKUP($A41,'IP1'!$A$37:$G$89,5,0)*
VLOOKUP(
VLOOKUP($A41,'IP1'!$A$37:$G$89,7,0),Patterns!$A$2:$N$28,COLUMN(Y41)-14,0)/
VLOOKUP(
VLOOKUP($A41,'IP1'!$A$37:$G$89,7,0),Patterns!$A$2:$N$28,2,0),
IF(LEFT($D41,7)="Payroll",
SUMPRODUCT(($B41='IP1'!$B$96:$B$114)*('IP1'!$E$96:$E$114))/12,
SUMPRODUCT(($B41='IP1'!$B$96:$B$114)*('IP1'!$E$96:$E$114))/12*
IF(YEAR(Y$3)=2013,'IP1'!$F$154,'IP1'!$G$154)
))</f>
        <v>200</v>
      </c>
      <c r="Z41" s="85">
        <f>IF(LEFT($D41,5)="Other",
VLOOKUP($A41,'IP1'!$A$37:$G$89,5,0)*
VLOOKUP(
VLOOKUP($A41,'IP1'!$A$37:$G$89,7,0),Patterns!$A$2:$N$28,COLUMN(Z41)-14,0)/
VLOOKUP(
VLOOKUP($A41,'IP1'!$A$37:$G$89,7,0),Patterns!$A$2:$N$28,2,0),
IF(LEFT($D41,7)="Payroll",
SUMPRODUCT(($B41='IP1'!$B$96:$B$114)*('IP1'!$E$96:$E$114))/12,
SUMPRODUCT(($B41='IP1'!$B$96:$B$114)*('IP1'!$E$96:$E$114))/12*
IF(YEAR(Z$3)=2013,'IP1'!$F$154,'IP1'!$G$154)
))</f>
        <v>200</v>
      </c>
      <c r="AA41" s="85">
        <f>IF(LEFT($D41,5)="Other",
VLOOKUP($A41,'IP1'!$A$37:$G$89,5,0)*
VLOOKUP(
VLOOKUP($A41,'IP1'!$A$37:$G$89,7,0),Patterns!$A$2:$N$28,COLUMN(AA41)-14,0)/
VLOOKUP(
VLOOKUP($A41,'IP1'!$A$37:$G$89,7,0),Patterns!$A$2:$N$28,2,0),
IF(LEFT($D41,7)="Payroll",
SUMPRODUCT(($B41='IP1'!$B$96:$B$114)*('IP1'!$E$96:$E$114))/12,
SUMPRODUCT(($B41='IP1'!$B$96:$B$114)*('IP1'!$E$96:$E$114))/12*
IF(YEAR(AA$3)=2013,'IP1'!$F$154,'IP1'!$G$154)
))</f>
        <v>200</v>
      </c>
      <c r="AB41" s="85">
        <f>IF(LEFT($D41,5)="Other",
VLOOKUP($A41,'IP1'!$A$37:$G$89,5,0)*
VLOOKUP(
VLOOKUP($A41,'IP1'!$A$37:$G$89,7,0),Patterns!$A$2:$N$28,COLUMN(AB41)-14,0)/
VLOOKUP(
VLOOKUP($A41,'IP1'!$A$37:$G$89,7,0),Patterns!$A$2:$N$28,2,0),
IF(LEFT($D41,7)="Payroll",
SUMPRODUCT(($B41='IP1'!$B$96:$B$114)*('IP1'!$E$96:$E$114))/12,
SUMPRODUCT(($B41='IP1'!$B$96:$B$114)*('IP1'!$E$96:$E$114))/12*
IF(YEAR(AB$3)=2013,'IP1'!$F$154,'IP1'!$G$154)
))</f>
        <v>200</v>
      </c>
    </row>
    <row r="42" spans="1:28">
      <c r="A42" s="1" t="str">
        <f t="shared" si="2"/>
        <v>OperationsElectrical &amp; mech. equip.</v>
      </c>
      <c r="B42" s="1" t="s">
        <v>463</v>
      </c>
      <c r="C42" s="1" t="s">
        <v>477</v>
      </c>
      <c r="D42" s="11" t="s">
        <v>100</v>
      </c>
      <c r="E42" s="85">
        <f>IF(LEFT($D42,5)="Other",
VLOOKUP($A42,'IP1'!$A$37:$G$89,4,0)*
VLOOKUP(
VLOOKUP($A42,'IP1'!$A$37:$G$89,7,0),Patterns!$A$2:$N$28,COLUMN(E42)-2,0)/
VLOOKUP(
VLOOKUP($A42,'IP1'!$A$37:$G$89,7,0),Patterns!$A$2:$N$28,2,0),
IF(LEFT($D42,7)="Payroll",
SUMPRODUCT(($B42='IP1'!$B$96:$B$114)*('IP1'!$D$96:$D$114))/12,
SUMPRODUCT(($B42='IP1'!$B$96:$B$114)*('IP1'!$D$96:$D$114))/12*
IF(YEAR(E$3)=2013,'IP1'!$F$154,'IP1'!$G$154)
))</f>
        <v>625</v>
      </c>
      <c r="F42" s="85">
        <f>IF(LEFT($D42,5)="Other",
VLOOKUP($A42,'IP1'!$A$37:$G$89,4,0)*
VLOOKUP(
VLOOKUP($A42,'IP1'!$A$37:$G$89,7,0),Patterns!$A$2:$N$28,COLUMN(F42)-2,0)/
VLOOKUP(
VLOOKUP($A42,'IP1'!$A$37:$G$89,7,0),Patterns!$A$2:$N$28,2,0),
IF(LEFT($D42,7)="Payroll",
SUMPRODUCT(($B42='IP1'!$B$96:$B$114)*('IP1'!$D$96:$D$114))/12,
SUMPRODUCT(($B42='IP1'!$B$96:$B$114)*('IP1'!$D$96:$D$114))/12*
IF(YEAR(F$3)=2013,'IP1'!$F$154,'IP1'!$G$154)
))</f>
        <v>625</v>
      </c>
      <c r="G42" s="85">
        <f>IF(LEFT($D42,5)="Other",
VLOOKUP($A42,'IP1'!$A$37:$G$89,4,0)*
VLOOKUP(
VLOOKUP($A42,'IP1'!$A$37:$G$89,7,0),Patterns!$A$2:$N$28,COLUMN(G42)-2,0)/
VLOOKUP(
VLOOKUP($A42,'IP1'!$A$37:$G$89,7,0),Patterns!$A$2:$N$28,2,0),
IF(LEFT($D42,7)="Payroll",
SUMPRODUCT(($B42='IP1'!$B$96:$B$114)*('IP1'!$D$96:$D$114))/12,
SUMPRODUCT(($B42='IP1'!$B$96:$B$114)*('IP1'!$D$96:$D$114))/12*
IF(YEAR(G$3)=2013,'IP1'!$F$154,'IP1'!$G$154)
))</f>
        <v>625</v>
      </c>
      <c r="H42" s="85">
        <f>IF(LEFT($D42,5)="Other",
VLOOKUP($A42,'IP1'!$A$37:$G$89,4,0)*
VLOOKUP(
VLOOKUP($A42,'IP1'!$A$37:$G$89,7,0),Patterns!$A$2:$N$28,COLUMN(H42)-2,0)/
VLOOKUP(
VLOOKUP($A42,'IP1'!$A$37:$G$89,7,0),Patterns!$A$2:$N$28,2,0),
IF(LEFT($D42,7)="Payroll",
SUMPRODUCT(($B42='IP1'!$B$96:$B$114)*('IP1'!$D$96:$D$114))/12,
SUMPRODUCT(($B42='IP1'!$B$96:$B$114)*('IP1'!$D$96:$D$114))/12*
IF(YEAR(H$3)=2013,'IP1'!$F$154,'IP1'!$G$154)
))</f>
        <v>625</v>
      </c>
      <c r="I42" s="85">
        <f>IF(LEFT($D42,5)="Other",
VLOOKUP($A42,'IP1'!$A$37:$G$89,4,0)*
VLOOKUP(
VLOOKUP($A42,'IP1'!$A$37:$G$89,7,0),Patterns!$A$2:$N$28,COLUMN(I42)-2,0)/
VLOOKUP(
VLOOKUP($A42,'IP1'!$A$37:$G$89,7,0),Patterns!$A$2:$N$28,2,0),
IF(LEFT($D42,7)="Payroll",
SUMPRODUCT(($B42='IP1'!$B$96:$B$114)*('IP1'!$D$96:$D$114))/12,
SUMPRODUCT(($B42='IP1'!$B$96:$B$114)*('IP1'!$D$96:$D$114))/12*
IF(YEAR(I$3)=2013,'IP1'!$F$154,'IP1'!$G$154)
))</f>
        <v>625</v>
      </c>
      <c r="J42" s="85">
        <f>IF(LEFT($D42,5)="Other",
VLOOKUP($A42,'IP1'!$A$37:$G$89,4,0)*
VLOOKUP(
VLOOKUP($A42,'IP1'!$A$37:$G$89,7,0),Patterns!$A$2:$N$28,COLUMN(J42)-2,0)/
VLOOKUP(
VLOOKUP($A42,'IP1'!$A$37:$G$89,7,0),Patterns!$A$2:$N$28,2,0),
IF(LEFT($D42,7)="Payroll",
SUMPRODUCT(($B42='IP1'!$B$96:$B$114)*('IP1'!$D$96:$D$114))/12,
SUMPRODUCT(($B42='IP1'!$B$96:$B$114)*('IP1'!$D$96:$D$114))/12*
IF(YEAR(J$3)=2013,'IP1'!$F$154,'IP1'!$G$154)
))</f>
        <v>625</v>
      </c>
      <c r="K42" s="85">
        <f>IF(LEFT($D42,5)="Other",
VLOOKUP($A42,'IP1'!$A$37:$G$89,4,0)*
VLOOKUP(
VLOOKUP($A42,'IP1'!$A$37:$G$89,7,0),Patterns!$A$2:$N$28,COLUMN(K42)-2,0)/
VLOOKUP(
VLOOKUP($A42,'IP1'!$A$37:$G$89,7,0),Patterns!$A$2:$N$28,2,0),
IF(LEFT($D42,7)="Payroll",
SUMPRODUCT(($B42='IP1'!$B$96:$B$114)*('IP1'!$D$96:$D$114))/12,
SUMPRODUCT(($B42='IP1'!$B$96:$B$114)*('IP1'!$D$96:$D$114))/12*
IF(YEAR(K$3)=2013,'IP1'!$F$154,'IP1'!$G$154)
))</f>
        <v>625</v>
      </c>
      <c r="L42" s="85">
        <f>IF(LEFT($D42,5)="Other",
VLOOKUP($A42,'IP1'!$A$37:$G$89,4,0)*
VLOOKUP(
VLOOKUP($A42,'IP1'!$A$37:$G$89,7,0),Patterns!$A$2:$N$28,COLUMN(L42)-2,0)/
VLOOKUP(
VLOOKUP($A42,'IP1'!$A$37:$G$89,7,0),Patterns!$A$2:$N$28,2,0),
IF(LEFT($D42,7)="Payroll",
SUMPRODUCT(($B42='IP1'!$B$96:$B$114)*('IP1'!$D$96:$D$114))/12,
SUMPRODUCT(($B42='IP1'!$B$96:$B$114)*('IP1'!$D$96:$D$114))/12*
IF(YEAR(L$3)=2013,'IP1'!$F$154,'IP1'!$G$154)
))</f>
        <v>625</v>
      </c>
      <c r="M42" s="85">
        <f>IF(LEFT($D42,5)="Other",
VLOOKUP($A42,'IP1'!$A$37:$G$89,4,0)*
VLOOKUP(
VLOOKUP($A42,'IP1'!$A$37:$G$89,7,0),Patterns!$A$2:$N$28,COLUMN(M42)-2,0)/
VLOOKUP(
VLOOKUP($A42,'IP1'!$A$37:$G$89,7,0),Patterns!$A$2:$N$28,2,0),
IF(LEFT($D42,7)="Payroll",
SUMPRODUCT(($B42='IP1'!$B$96:$B$114)*('IP1'!$D$96:$D$114))/12,
SUMPRODUCT(($B42='IP1'!$B$96:$B$114)*('IP1'!$D$96:$D$114))/12*
IF(YEAR(M$3)=2013,'IP1'!$F$154,'IP1'!$G$154)
))</f>
        <v>625</v>
      </c>
      <c r="N42" s="85">
        <f>IF(LEFT($D42,5)="Other",
VLOOKUP($A42,'IP1'!$A$37:$G$89,4,0)*
VLOOKUP(
VLOOKUP($A42,'IP1'!$A$37:$G$89,7,0),Patterns!$A$2:$N$28,COLUMN(N42)-2,0)/
VLOOKUP(
VLOOKUP($A42,'IP1'!$A$37:$G$89,7,0),Patterns!$A$2:$N$28,2,0),
IF(LEFT($D42,7)="Payroll",
SUMPRODUCT(($B42='IP1'!$B$96:$B$114)*('IP1'!$D$96:$D$114))/12,
SUMPRODUCT(($B42='IP1'!$B$96:$B$114)*('IP1'!$D$96:$D$114))/12*
IF(YEAR(N$3)=2013,'IP1'!$F$154,'IP1'!$G$154)
))</f>
        <v>625</v>
      </c>
      <c r="O42" s="85">
        <f>IF(LEFT($D42,5)="Other",
VLOOKUP($A42,'IP1'!$A$37:$G$89,4,0)*
VLOOKUP(
VLOOKUP($A42,'IP1'!$A$37:$G$89,7,0),Patterns!$A$2:$N$28,COLUMN(O42)-2,0)/
VLOOKUP(
VLOOKUP($A42,'IP1'!$A$37:$G$89,7,0),Patterns!$A$2:$N$28,2,0),
IF(LEFT($D42,7)="Payroll",
SUMPRODUCT(($B42='IP1'!$B$96:$B$114)*('IP1'!$D$96:$D$114))/12,
SUMPRODUCT(($B42='IP1'!$B$96:$B$114)*('IP1'!$D$96:$D$114))/12*
IF(YEAR(O$3)=2013,'IP1'!$F$154,'IP1'!$G$154)
))</f>
        <v>625</v>
      </c>
      <c r="P42" s="85">
        <f>IF(LEFT($D42,5)="Other",
VLOOKUP($A42,'IP1'!$A$37:$G$89,4,0)*
VLOOKUP(
VLOOKUP($A42,'IP1'!$A$37:$G$89,7,0),Patterns!$A$2:$N$28,COLUMN(P42)-2,0)/
VLOOKUP(
VLOOKUP($A42,'IP1'!$A$37:$G$89,7,0),Patterns!$A$2:$N$28,2,0),
IF(LEFT($D42,7)="Payroll",
SUMPRODUCT(($B42='IP1'!$B$96:$B$114)*('IP1'!$D$96:$D$114))/12,
SUMPRODUCT(($B42='IP1'!$B$96:$B$114)*('IP1'!$D$96:$D$114))/12*
IF(YEAR(P$3)=2013,'IP1'!$F$154,'IP1'!$G$154)
))</f>
        <v>625</v>
      </c>
      <c r="Q42" s="85">
        <f>IF(LEFT($D42,5)="Other",
VLOOKUP($A42,'IP1'!$A$37:$G$89,5,0)*
VLOOKUP(
VLOOKUP($A42,'IP1'!$A$37:$G$89,7,0),Patterns!$A$2:$N$28,COLUMN(Q42)-14,0)/
VLOOKUP(
VLOOKUP($A42,'IP1'!$A$37:$G$89,7,0),Patterns!$A$2:$N$28,2,0),
IF(LEFT($D42,7)="Payroll",
SUMPRODUCT(($B42='IP1'!$B$96:$B$114)*('IP1'!$E$96:$E$114))/12,
SUMPRODUCT(($B42='IP1'!$B$96:$B$114)*('IP1'!$E$96:$E$114))/12*
IF(YEAR(Q$3)=2013,'IP1'!$F$154,'IP1'!$G$154)
))</f>
        <v>625</v>
      </c>
      <c r="R42" s="85">
        <f>IF(LEFT($D42,5)="Other",
VLOOKUP($A42,'IP1'!$A$37:$G$89,5,0)*
VLOOKUP(
VLOOKUP($A42,'IP1'!$A$37:$G$89,7,0),Patterns!$A$2:$N$28,COLUMN(R42)-14,0)/
VLOOKUP(
VLOOKUP($A42,'IP1'!$A$37:$G$89,7,0),Patterns!$A$2:$N$28,2,0),
IF(LEFT($D42,7)="Payroll",
SUMPRODUCT(($B42='IP1'!$B$96:$B$114)*('IP1'!$E$96:$E$114))/12,
SUMPRODUCT(($B42='IP1'!$B$96:$B$114)*('IP1'!$E$96:$E$114))/12*
IF(YEAR(R$3)=2013,'IP1'!$F$154,'IP1'!$G$154)
))</f>
        <v>625</v>
      </c>
      <c r="S42" s="85">
        <f>IF(LEFT($D42,5)="Other",
VLOOKUP($A42,'IP1'!$A$37:$G$89,5,0)*
VLOOKUP(
VLOOKUP($A42,'IP1'!$A$37:$G$89,7,0),Patterns!$A$2:$N$28,COLUMN(S42)-14,0)/
VLOOKUP(
VLOOKUP($A42,'IP1'!$A$37:$G$89,7,0),Patterns!$A$2:$N$28,2,0),
IF(LEFT($D42,7)="Payroll",
SUMPRODUCT(($B42='IP1'!$B$96:$B$114)*('IP1'!$E$96:$E$114))/12,
SUMPRODUCT(($B42='IP1'!$B$96:$B$114)*('IP1'!$E$96:$E$114))/12*
IF(YEAR(S$3)=2013,'IP1'!$F$154,'IP1'!$G$154)
))</f>
        <v>625</v>
      </c>
      <c r="T42" s="85">
        <f>IF(LEFT($D42,5)="Other",
VLOOKUP($A42,'IP1'!$A$37:$G$89,5,0)*
VLOOKUP(
VLOOKUP($A42,'IP1'!$A$37:$G$89,7,0),Patterns!$A$2:$N$28,COLUMN(T42)-14,0)/
VLOOKUP(
VLOOKUP($A42,'IP1'!$A$37:$G$89,7,0),Patterns!$A$2:$N$28,2,0),
IF(LEFT($D42,7)="Payroll",
SUMPRODUCT(($B42='IP1'!$B$96:$B$114)*('IP1'!$E$96:$E$114))/12,
SUMPRODUCT(($B42='IP1'!$B$96:$B$114)*('IP1'!$E$96:$E$114))/12*
IF(YEAR(T$3)=2013,'IP1'!$F$154,'IP1'!$G$154)
))</f>
        <v>625</v>
      </c>
      <c r="U42" s="85">
        <f>IF(LEFT($D42,5)="Other",
VLOOKUP($A42,'IP1'!$A$37:$G$89,5,0)*
VLOOKUP(
VLOOKUP($A42,'IP1'!$A$37:$G$89,7,0),Patterns!$A$2:$N$28,COLUMN(U42)-14,0)/
VLOOKUP(
VLOOKUP($A42,'IP1'!$A$37:$G$89,7,0),Patterns!$A$2:$N$28,2,0),
IF(LEFT($D42,7)="Payroll",
SUMPRODUCT(($B42='IP1'!$B$96:$B$114)*('IP1'!$E$96:$E$114))/12,
SUMPRODUCT(($B42='IP1'!$B$96:$B$114)*('IP1'!$E$96:$E$114))/12*
IF(YEAR(U$3)=2013,'IP1'!$F$154,'IP1'!$G$154)
))</f>
        <v>625</v>
      </c>
      <c r="V42" s="85">
        <f>IF(LEFT($D42,5)="Other",
VLOOKUP($A42,'IP1'!$A$37:$G$89,5,0)*
VLOOKUP(
VLOOKUP($A42,'IP1'!$A$37:$G$89,7,0),Patterns!$A$2:$N$28,COLUMN(V42)-14,0)/
VLOOKUP(
VLOOKUP($A42,'IP1'!$A$37:$G$89,7,0),Patterns!$A$2:$N$28,2,0),
IF(LEFT($D42,7)="Payroll",
SUMPRODUCT(($B42='IP1'!$B$96:$B$114)*('IP1'!$E$96:$E$114))/12,
SUMPRODUCT(($B42='IP1'!$B$96:$B$114)*('IP1'!$E$96:$E$114))/12*
IF(YEAR(V$3)=2013,'IP1'!$F$154,'IP1'!$G$154)
))</f>
        <v>625</v>
      </c>
      <c r="W42" s="85">
        <f>IF(LEFT($D42,5)="Other",
VLOOKUP($A42,'IP1'!$A$37:$G$89,5,0)*
VLOOKUP(
VLOOKUP($A42,'IP1'!$A$37:$G$89,7,0),Patterns!$A$2:$N$28,COLUMN(W42)-14,0)/
VLOOKUP(
VLOOKUP($A42,'IP1'!$A$37:$G$89,7,0),Patterns!$A$2:$N$28,2,0),
IF(LEFT($D42,7)="Payroll",
SUMPRODUCT(($B42='IP1'!$B$96:$B$114)*('IP1'!$E$96:$E$114))/12,
SUMPRODUCT(($B42='IP1'!$B$96:$B$114)*('IP1'!$E$96:$E$114))/12*
IF(YEAR(W$3)=2013,'IP1'!$F$154,'IP1'!$G$154)
))</f>
        <v>625</v>
      </c>
      <c r="X42" s="85">
        <f>IF(LEFT($D42,5)="Other",
VLOOKUP($A42,'IP1'!$A$37:$G$89,5,0)*
VLOOKUP(
VLOOKUP($A42,'IP1'!$A$37:$G$89,7,0),Patterns!$A$2:$N$28,COLUMN(X42)-14,0)/
VLOOKUP(
VLOOKUP($A42,'IP1'!$A$37:$G$89,7,0),Patterns!$A$2:$N$28,2,0),
IF(LEFT($D42,7)="Payroll",
SUMPRODUCT(($B42='IP1'!$B$96:$B$114)*('IP1'!$E$96:$E$114))/12,
SUMPRODUCT(($B42='IP1'!$B$96:$B$114)*('IP1'!$E$96:$E$114))/12*
IF(YEAR(X$3)=2013,'IP1'!$F$154,'IP1'!$G$154)
))</f>
        <v>625</v>
      </c>
      <c r="Y42" s="85">
        <f>IF(LEFT($D42,5)="Other",
VLOOKUP($A42,'IP1'!$A$37:$G$89,5,0)*
VLOOKUP(
VLOOKUP($A42,'IP1'!$A$37:$G$89,7,0),Patterns!$A$2:$N$28,COLUMN(Y42)-14,0)/
VLOOKUP(
VLOOKUP($A42,'IP1'!$A$37:$G$89,7,0),Patterns!$A$2:$N$28,2,0),
IF(LEFT($D42,7)="Payroll",
SUMPRODUCT(($B42='IP1'!$B$96:$B$114)*('IP1'!$E$96:$E$114))/12,
SUMPRODUCT(($B42='IP1'!$B$96:$B$114)*('IP1'!$E$96:$E$114))/12*
IF(YEAR(Y$3)=2013,'IP1'!$F$154,'IP1'!$G$154)
))</f>
        <v>625</v>
      </c>
      <c r="Z42" s="85">
        <f>IF(LEFT($D42,5)="Other",
VLOOKUP($A42,'IP1'!$A$37:$G$89,5,0)*
VLOOKUP(
VLOOKUP($A42,'IP1'!$A$37:$G$89,7,0),Patterns!$A$2:$N$28,COLUMN(Z42)-14,0)/
VLOOKUP(
VLOOKUP($A42,'IP1'!$A$37:$G$89,7,0),Patterns!$A$2:$N$28,2,0),
IF(LEFT($D42,7)="Payroll",
SUMPRODUCT(($B42='IP1'!$B$96:$B$114)*('IP1'!$E$96:$E$114))/12,
SUMPRODUCT(($B42='IP1'!$B$96:$B$114)*('IP1'!$E$96:$E$114))/12*
IF(YEAR(Z$3)=2013,'IP1'!$F$154,'IP1'!$G$154)
))</f>
        <v>625</v>
      </c>
      <c r="AA42" s="85">
        <f>IF(LEFT($D42,5)="Other",
VLOOKUP($A42,'IP1'!$A$37:$G$89,5,0)*
VLOOKUP(
VLOOKUP($A42,'IP1'!$A$37:$G$89,7,0),Patterns!$A$2:$N$28,COLUMN(AA42)-14,0)/
VLOOKUP(
VLOOKUP($A42,'IP1'!$A$37:$G$89,7,0),Patterns!$A$2:$N$28,2,0),
IF(LEFT($D42,7)="Payroll",
SUMPRODUCT(($B42='IP1'!$B$96:$B$114)*('IP1'!$E$96:$E$114))/12,
SUMPRODUCT(($B42='IP1'!$B$96:$B$114)*('IP1'!$E$96:$E$114))/12*
IF(YEAR(AA$3)=2013,'IP1'!$F$154,'IP1'!$G$154)
))</f>
        <v>625</v>
      </c>
      <c r="AB42" s="85">
        <f>IF(LEFT($D42,5)="Other",
VLOOKUP($A42,'IP1'!$A$37:$G$89,5,0)*
VLOOKUP(
VLOOKUP($A42,'IP1'!$A$37:$G$89,7,0),Patterns!$A$2:$N$28,COLUMN(AB42)-14,0)/
VLOOKUP(
VLOOKUP($A42,'IP1'!$A$37:$G$89,7,0),Patterns!$A$2:$N$28,2,0),
IF(LEFT($D42,7)="Payroll",
SUMPRODUCT(($B42='IP1'!$B$96:$B$114)*('IP1'!$E$96:$E$114))/12,
SUMPRODUCT(($B42='IP1'!$B$96:$B$114)*('IP1'!$E$96:$E$114))/12*
IF(YEAR(AB$3)=2013,'IP1'!$F$154,'IP1'!$G$154)
))</f>
        <v>625</v>
      </c>
    </row>
    <row r="43" spans="1:28">
      <c r="A43" s="1" t="str">
        <f t="shared" si="2"/>
        <v xml:space="preserve">OperationsEngineering supplies </v>
      </c>
      <c r="B43" s="1" t="s">
        <v>463</v>
      </c>
      <c r="C43" s="11" t="s">
        <v>465</v>
      </c>
      <c r="D43" s="11" t="s">
        <v>100</v>
      </c>
      <c r="E43" s="85">
        <f>IF(LEFT($D43,5)="Other",
VLOOKUP($A43,'IP1'!$A$37:$G$89,4,0)*
VLOOKUP(
VLOOKUP($A43,'IP1'!$A$37:$G$89,7,0),Patterns!$A$2:$N$28,COLUMN(E43)-2,0)/
VLOOKUP(
VLOOKUP($A43,'IP1'!$A$37:$G$89,7,0),Patterns!$A$2:$N$28,2,0),
IF(LEFT($D43,7)="Payroll",
SUMPRODUCT(($B43='IP1'!$B$96:$B$114)*('IP1'!$D$96:$D$114))/12,
SUMPRODUCT(($B43='IP1'!$B$96:$B$114)*('IP1'!$D$96:$D$114))/12*
IF(YEAR(E$3)=2013,'IP1'!$F$154,'IP1'!$G$154)
))</f>
        <v>541.66666666666663</v>
      </c>
      <c r="F43" s="85">
        <f>IF(LEFT($D43,5)="Other",
VLOOKUP($A43,'IP1'!$A$37:$G$89,4,0)*
VLOOKUP(
VLOOKUP($A43,'IP1'!$A$37:$G$89,7,0),Patterns!$A$2:$N$28,COLUMN(F43)-2,0)/
VLOOKUP(
VLOOKUP($A43,'IP1'!$A$37:$G$89,7,0),Patterns!$A$2:$N$28,2,0),
IF(LEFT($D43,7)="Payroll",
SUMPRODUCT(($B43='IP1'!$B$96:$B$114)*('IP1'!$D$96:$D$114))/12,
SUMPRODUCT(($B43='IP1'!$B$96:$B$114)*('IP1'!$D$96:$D$114))/12*
IF(YEAR(F$3)=2013,'IP1'!$F$154,'IP1'!$G$154)
))</f>
        <v>541.66666666666663</v>
      </c>
      <c r="G43" s="85">
        <f>IF(LEFT($D43,5)="Other",
VLOOKUP($A43,'IP1'!$A$37:$G$89,4,0)*
VLOOKUP(
VLOOKUP($A43,'IP1'!$A$37:$G$89,7,0),Patterns!$A$2:$N$28,COLUMN(G43)-2,0)/
VLOOKUP(
VLOOKUP($A43,'IP1'!$A$37:$G$89,7,0),Patterns!$A$2:$N$28,2,0),
IF(LEFT($D43,7)="Payroll",
SUMPRODUCT(($B43='IP1'!$B$96:$B$114)*('IP1'!$D$96:$D$114))/12,
SUMPRODUCT(($B43='IP1'!$B$96:$B$114)*('IP1'!$D$96:$D$114))/12*
IF(YEAR(G$3)=2013,'IP1'!$F$154,'IP1'!$G$154)
))</f>
        <v>541.66666666666663</v>
      </c>
      <c r="H43" s="85">
        <f>IF(LEFT($D43,5)="Other",
VLOOKUP($A43,'IP1'!$A$37:$G$89,4,0)*
VLOOKUP(
VLOOKUP($A43,'IP1'!$A$37:$G$89,7,0),Patterns!$A$2:$N$28,COLUMN(H43)-2,0)/
VLOOKUP(
VLOOKUP($A43,'IP1'!$A$37:$G$89,7,0),Patterns!$A$2:$N$28,2,0),
IF(LEFT($D43,7)="Payroll",
SUMPRODUCT(($B43='IP1'!$B$96:$B$114)*('IP1'!$D$96:$D$114))/12,
SUMPRODUCT(($B43='IP1'!$B$96:$B$114)*('IP1'!$D$96:$D$114))/12*
IF(YEAR(H$3)=2013,'IP1'!$F$154,'IP1'!$G$154)
))</f>
        <v>541.66666666666663</v>
      </c>
      <c r="I43" s="85">
        <f>IF(LEFT($D43,5)="Other",
VLOOKUP($A43,'IP1'!$A$37:$G$89,4,0)*
VLOOKUP(
VLOOKUP($A43,'IP1'!$A$37:$G$89,7,0),Patterns!$A$2:$N$28,COLUMN(I43)-2,0)/
VLOOKUP(
VLOOKUP($A43,'IP1'!$A$37:$G$89,7,0),Patterns!$A$2:$N$28,2,0),
IF(LEFT($D43,7)="Payroll",
SUMPRODUCT(($B43='IP1'!$B$96:$B$114)*('IP1'!$D$96:$D$114))/12,
SUMPRODUCT(($B43='IP1'!$B$96:$B$114)*('IP1'!$D$96:$D$114))/12*
IF(YEAR(I$3)=2013,'IP1'!$F$154,'IP1'!$G$154)
))</f>
        <v>541.66666666666663</v>
      </c>
      <c r="J43" s="85">
        <f>IF(LEFT($D43,5)="Other",
VLOOKUP($A43,'IP1'!$A$37:$G$89,4,0)*
VLOOKUP(
VLOOKUP($A43,'IP1'!$A$37:$G$89,7,0),Patterns!$A$2:$N$28,COLUMN(J43)-2,0)/
VLOOKUP(
VLOOKUP($A43,'IP1'!$A$37:$G$89,7,0),Patterns!$A$2:$N$28,2,0),
IF(LEFT($D43,7)="Payroll",
SUMPRODUCT(($B43='IP1'!$B$96:$B$114)*('IP1'!$D$96:$D$114))/12,
SUMPRODUCT(($B43='IP1'!$B$96:$B$114)*('IP1'!$D$96:$D$114))/12*
IF(YEAR(J$3)=2013,'IP1'!$F$154,'IP1'!$G$154)
))</f>
        <v>541.66666666666663</v>
      </c>
      <c r="K43" s="85">
        <f>IF(LEFT($D43,5)="Other",
VLOOKUP($A43,'IP1'!$A$37:$G$89,4,0)*
VLOOKUP(
VLOOKUP($A43,'IP1'!$A$37:$G$89,7,0),Patterns!$A$2:$N$28,COLUMN(K43)-2,0)/
VLOOKUP(
VLOOKUP($A43,'IP1'!$A$37:$G$89,7,0),Patterns!$A$2:$N$28,2,0),
IF(LEFT($D43,7)="Payroll",
SUMPRODUCT(($B43='IP1'!$B$96:$B$114)*('IP1'!$D$96:$D$114))/12,
SUMPRODUCT(($B43='IP1'!$B$96:$B$114)*('IP1'!$D$96:$D$114))/12*
IF(YEAR(K$3)=2013,'IP1'!$F$154,'IP1'!$G$154)
))</f>
        <v>541.66666666666663</v>
      </c>
      <c r="L43" s="85">
        <f>IF(LEFT($D43,5)="Other",
VLOOKUP($A43,'IP1'!$A$37:$G$89,4,0)*
VLOOKUP(
VLOOKUP($A43,'IP1'!$A$37:$G$89,7,0),Patterns!$A$2:$N$28,COLUMN(L43)-2,0)/
VLOOKUP(
VLOOKUP($A43,'IP1'!$A$37:$G$89,7,0),Patterns!$A$2:$N$28,2,0),
IF(LEFT($D43,7)="Payroll",
SUMPRODUCT(($B43='IP1'!$B$96:$B$114)*('IP1'!$D$96:$D$114))/12,
SUMPRODUCT(($B43='IP1'!$B$96:$B$114)*('IP1'!$D$96:$D$114))/12*
IF(YEAR(L$3)=2013,'IP1'!$F$154,'IP1'!$G$154)
))</f>
        <v>541.66666666666663</v>
      </c>
      <c r="M43" s="85">
        <f>IF(LEFT($D43,5)="Other",
VLOOKUP($A43,'IP1'!$A$37:$G$89,4,0)*
VLOOKUP(
VLOOKUP($A43,'IP1'!$A$37:$G$89,7,0),Patterns!$A$2:$N$28,COLUMN(M43)-2,0)/
VLOOKUP(
VLOOKUP($A43,'IP1'!$A$37:$G$89,7,0),Patterns!$A$2:$N$28,2,0),
IF(LEFT($D43,7)="Payroll",
SUMPRODUCT(($B43='IP1'!$B$96:$B$114)*('IP1'!$D$96:$D$114))/12,
SUMPRODUCT(($B43='IP1'!$B$96:$B$114)*('IP1'!$D$96:$D$114))/12*
IF(YEAR(M$3)=2013,'IP1'!$F$154,'IP1'!$G$154)
))</f>
        <v>541.66666666666663</v>
      </c>
      <c r="N43" s="85">
        <f>IF(LEFT($D43,5)="Other",
VLOOKUP($A43,'IP1'!$A$37:$G$89,4,0)*
VLOOKUP(
VLOOKUP($A43,'IP1'!$A$37:$G$89,7,0),Patterns!$A$2:$N$28,COLUMN(N43)-2,0)/
VLOOKUP(
VLOOKUP($A43,'IP1'!$A$37:$G$89,7,0),Patterns!$A$2:$N$28,2,0),
IF(LEFT($D43,7)="Payroll",
SUMPRODUCT(($B43='IP1'!$B$96:$B$114)*('IP1'!$D$96:$D$114))/12,
SUMPRODUCT(($B43='IP1'!$B$96:$B$114)*('IP1'!$D$96:$D$114))/12*
IF(YEAR(N$3)=2013,'IP1'!$F$154,'IP1'!$G$154)
))</f>
        <v>541.66666666666663</v>
      </c>
      <c r="O43" s="85">
        <f>IF(LEFT($D43,5)="Other",
VLOOKUP($A43,'IP1'!$A$37:$G$89,4,0)*
VLOOKUP(
VLOOKUP($A43,'IP1'!$A$37:$G$89,7,0),Patterns!$A$2:$N$28,COLUMN(O43)-2,0)/
VLOOKUP(
VLOOKUP($A43,'IP1'!$A$37:$G$89,7,0),Patterns!$A$2:$N$28,2,0),
IF(LEFT($D43,7)="Payroll",
SUMPRODUCT(($B43='IP1'!$B$96:$B$114)*('IP1'!$D$96:$D$114))/12,
SUMPRODUCT(($B43='IP1'!$B$96:$B$114)*('IP1'!$D$96:$D$114))/12*
IF(YEAR(O$3)=2013,'IP1'!$F$154,'IP1'!$G$154)
))</f>
        <v>541.66666666666663</v>
      </c>
      <c r="P43" s="85">
        <f>IF(LEFT($D43,5)="Other",
VLOOKUP($A43,'IP1'!$A$37:$G$89,4,0)*
VLOOKUP(
VLOOKUP($A43,'IP1'!$A$37:$G$89,7,0),Patterns!$A$2:$N$28,COLUMN(P43)-2,0)/
VLOOKUP(
VLOOKUP($A43,'IP1'!$A$37:$G$89,7,0),Patterns!$A$2:$N$28,2,0),
IF(LEFT($D43,7)="Payroll",
SUMPRODUCT(($B43='IP1'!$B$96:$B$114)*('IP1'!$D$96:$D$114))/12,
SUMPRODUCT(($B43='IP1'!$B$96:$B$114)*('IP1'!$D$96:$D$114))/12*
IF(YEAR(P$3)=2013,'IP1'!$F$154,'IP1'!$G$154)
))</f>
        <v>541.66666666666663</v>
      </c>
      <c r="Q43" s="85">
        <f>IF(LEFT($D43,5)="Other",
VLOOKUP($A43,'IP1'!$A$37:$G$89,5,0)*
VLOOKUP(
VLOOKUP($A43,'IP1'!$A$37:$G$89,7,0),Patterns!$A$2:$N$28,COLUMN(Q43)-14,0)/
VLOOKUP(
VLOOKUP($A43,'IP1'!$A$37:$G$89,7,0),Patterns!$A$2:$N$28,2,0),
IF(LEFT($D43,7)="Payroll",
SUMPRODUCT(($B43='IP1'!$B$96:$B$114)*('IP1'!$E$96:$E$114))/12,
SUMPRODUCT(($B43='IP1'!$B$96:$B$114)*('IP1'!$E$96:$E$114))/12*
IF(YEAR(Q$3)=2013,'IP1'!$F$154,'IP1'!$G$154)
))</f>
        <v>541.66666666666663</v>
      </c>
      <c r="R43" s="85">
        <f>IF(LEFT($D43,5)="Other",
VLOOKUP($A43,'IP1'!$A$37:$G$89,5,0)*
VLOOKUP(
VLOOKUP($A43,'IP1'!$A$37:$G$89,7,0),Patterns!$A$2:$N$28,COLUMN(R43)-14,0)/
VLOOKUP(
VLOOKUP($A43,'IP1'!$A$37:$G$89,7,0),Patterns!$A$2:$N$28,2,0),
IF(LEFT($D43,7)="Payroll",
SUMPRODUCT(($B43='IP1'!$B$96:$B$114)*('IP1'!$E$96:$E$114))/12,
SUMPRODUCT(($B43='IP1'!$B$96:$B$114)*('IP1'!$E$96:$E$114))/12*
IF(YEAR(R$3)=2013,'IP1'!$F$154,'IP1'!$G$154)
))</f>
        <v>541.66666666666663</v>
      </c>
      <c r="S43" s="85">
        <f>IF(LEFT($D43,5)="Other",
VLOOKUP($A43,'IP1'!$A$37:$G$89,5,0)*
VLOOKUP(
VLOOKUP($A43,'IP1'!$A$37:$G$89,7,0),Patterns!$A$2:$N$28,COLUMN(S43)-14,0)/
VLOOKUP(
VLOOKUP($A43,'IP1'!$A$37:$G$89,7,0),Patterns!$A$2:$N$28,2,0),
IF(LEFT($D43,7)="Payroll",
SUMPRODUCT(($B43='IP1'!$B$96:$B$114)*('IP1'!$E$96:$E$114))/12,
SUMPRODUCT(($B43='IP1'!$B$96:$B$114)*('IP1'!$E$96:$E$114))/12*
IF(YEAR(S$3)=2013,'IP1'!$F$154,'IP1'!$G$154)
))</f>
        <v>541.66666666666663</v>
      </c>
      <c r="T43" s="85">
        <f>IF(LEFT($D43,5)="Other",
VLOOKUP($A43,'IP1'!$A$37:$G$89,5,0)*
VLOOKUP(
VLOOKUP($A43,'IP1'!$A$37:$G$89,7,0),Patterns!$A$2:$N$28,COLUMN(T43)-14,0)/
VLOOKUP(
VLOOKUP($A43,'IP1'!$A$37:$G$89,7,0),Patterns!$A$2:$N$28,2,0),
IF(LEFT($D43,7)="Payroll",
SUMPRODUCT(($B43='IP1'!$B$96:$B$114)*('IP1'!$E$96:$E$114))/12,
SUMPRODUCT(($B43='IP1'!$B$96:$B$114)*('IP1'!$E$96:$E$114))/12*
IF(YEAR(T$3)=2013,'IP1'!$F$154,'IP1'!$G$154)
))</f>
        <v>541.66666666666663</v>
      </c>
      <c r="U43" s="85">
        <f>IF(LEFT($D43,5)="Other",
VLOOKUP($A43,'IP1'!$A$37:$G$89,5,0)*
VLOOKUP(
VLOOKUP($A43,'IP1'!$A$37:$G$89,7,0),Patterns!$A$2:$N$28,COLUMN(U43)-14,0)/
VLOOKUP(
VLOOKUP($A43,'IP1'!$A$37:$G$89,7,0),Patterns!$A$2:$N$28,2,0),
IF(LEFT($D43,7)="Payroll",
SUMPRODUCT(($B43='IP1'!$B$96:$B$114)*('IP1'!$E$96:$E$114))/12,
SUMPRODUCT(($B43='IP1'!$B$96:$B$114)*('IP1'!$E$96:$E$114))/12*
IF(YEAR(U$3)=2013,'IP1'!$F$154,'IP1'!$G$154)
))</f>
        <v>541.66666666666663</v>
      </c>
      <c r="V43" s="85">
        <f>IF(LEFT($D43,5)="Other",
VLOOKUP($A43,'IP1'!$A$37:$G$89,5,0)*
VLOOKUP(
VLOOKUP($A43,'IP1'!$A$37:$G$89,7,0),Patterns!$A$2:$N$28,COLUMN(V43)-14,0)/
VLOOKUP(
VLOOKUP($A43,'IP1'!$A$37:$G$89,7,0),Patterns!$A$2:$N$28,2,0),
IF(LEFT($D43,7)="Payroll",
SUMPRODUCT(($B43='IP1'!$B$96:$B$114)*('IP1'!$E$96:$E$114))/12,
SUMPRODUCT(($B43='IP1'!$B$96:$B$114)*('IP1'!$E$96:$E$114))/12*
IF(YEAR(V$3)=2013,'IP1'!$F$154,'IP1'!$G$154)
))</f>
        <v>541.66666666666663</v>
      </c>
      <c r="W43" s="85">
        <f>IF(LEFT($D43,5)="Other",
VLOOKUP($A43,'IP1'!$A$37:$G$89,5,0)*
VLOOKUP(
VLOOKUP($A43,'IP1'!$A$37:$G$89,7,0),Patterns!$A$2:$N$28,COLUMN(W43)-14,0)/
VLOOKUP(
VLOOKUP($A43,'IP1'!$A$37:$G$89,7,0),Patterns!$A$2:$N$28,2,0),
IF(LEFT($D43,7)="Payroll",
SUMPRODUCT(($B43='IP1'!$B$96:$B$114)*('IP1'!$E$96:$E$114))/12,
SUMPRODUCT(($B43='IP1'!$B$96:$B$114)*('IP1'!$E$96:$E$114))/12*
IF(YEAR(W$3)=2013,'IP1'!$F$154,'IP1'!$G$154)
))</f>
        <v>541.66666666666663</v>
      </c>
      <c r="X43" s="85">
        <f>IF(LEFT($D43,5)="Other",
VLOOKUP($A43,'IP1'!$A$37:$G$89,5,0)*
VLOOKUP(
VLOOKUP($A43,'IP1'!$A$37:$G$89,7,0),Patterns!$A$2:$N$28,COLUMN(X43)-14,0)/
VLOOKUP(
VLOOKUP($A43,'IP1'!$A$37:$G$89,7,0),Patterns!$A$2:$N$28,2,0),
IF(LEFT($D43,7)="Payroll",
SUMPRODUCT(($B43='IP1'!$B$96:$B$114)*('IP1'!$E$96:$E$114))/12,
SUMPRODUCT(($B43='IP1'!$B$96:$B$114)*('IP1'!$E$96:$E$114))/12*
IF(YEAR(X$3)=2013,'IP1'!$F$154,'IP1'!$G$154)
))</f>
        <v>541.66666666666663</v>
      </c>
      <c r="Y43" s="85">
        <f>IF(LEFT($D43,5)="Other",
VLOOKUP($A43,'IP1'!$A$37:$G$89,5,0)*
VLOOKUP(
VLOOKUP($A43,'IP1'!$A$37:$G$89,7,0),Patterns!$A$2:$N$28,COLUMN(Y43)-14,0)/
VLOOKUP(
VLOOKUP($A43,'IP1'!$A$37:$G$89,7,0),Patterns!$A$2:$N$28,2,0),
IF(LEFT($D43,7)="Payroll",
SUMPRODUCT(($B43='IP1'!$B$96:$B$114)*('IP1'!$E$96:$E$114))/12,
SUMPRODUCT(($B43='IP1'!$B$96:$B$114)*('IP1'!$E$96:$E$114))/12*
IF(YEAR(Y$3)=2013,'IP1'!$F$154,'IP1'!$G$154)
))</f>
        <v>541.66666666666663</v>
      </c>
      <c r="Z43" s="85">
        <f>IF(LEFT($D43,5)="Other",
VLOOKUP($A43,'IP1'!$A$37:$G$89,5,0)*
VLOOKUP(
VLOOKUP($A43,'IP1'!$A$37:$G$89,7,0),Patterns!$A$2:$N$28,COLUMN(Z43)-14,0)/
VLOOKUP(
VLOOKUP($A43,'IP1'!$A$37:$G$89,7,0),Patterns!$A$2:$N$28,2,0),
IF(LEFT($D43,7)="Payroll",
SUMPRODUCT(($B43='IP1'!$B$96:$B$114)*('IP1'!$E$96:$E$114))/12,
SUMPRODUCT(($B43='IP1'!$B$96:$B$114)*('IP1'!$E$96:$E$114))/12*
IF(YEAR(Z$3)=2013,'IP1'!$F$154,'IP1'!$G$154)
))</f>
        <v>541.66666666666663</v>
      </c>
      <c r="AA43" s="85">
        <f>IF(LEFT($D43,5)="Other",
VLOOKUP($A43,'IP1'!$A$37:$G$89,5,0)*
VLOOKUP(
VLOOKUP($A43,'IP1'!$A$37:$G$89,7,0),Patterns!$A$2:$N$28,COLUMN(AA43)-14,0)/
VLOOKUP(
VLOOKUP($A43,'IP1'!$A$37:$G$89,7,0),Patterns!$A$2:$N$28,2,0),
IF(LEFT($D43,7)="Payroll",
SUMPRODUCT(($B43='IP1'!$B$96:$B$114)*('IP1'!$E$96:$E$114))/12,
SUMPRODUCT(($B43='IP1'!$B$96:$B$114)*('IP1'!$E$96:$E$114))/12*
IF(YEAR(AA$3)=2013,'IP1'!$F$154,'IP1'!$G$154)
))</f>
        <v>541.66666666666663</v>
      </c>
      <c r="AB43" s="85">
        <f>IF(LEFT($D43,5)="Other",
VLOOKUP($A43,'IP1'!$A$37:$G$89,5,0)*
VLOOKUP(
VLOOKUP($A43,'IP1'!$A$37:$G$89,7,0),Patterns!$A$2:$N$28,COLUMN(AB43)-14,0)/
VLOOKUP(
VLOOKUP($A43,'IP1'!$A$37:$G$89,7,0),Patterns!$A$2:$N$28,2,0),
IF(LEFT($D43,7)="Payroll",
SUMPRODUCT(($B43='IP1'!$B$96:$B$114)*('IP1'!$E$96:$E$114))/12,
SUMPRODUCT(($B43='IP1'!$B$96:$B$114)*('IP1'!$E$96:$E$114))/12*
IF(YEAR(AB$3)=2013,'IP1'!$F$154,'IP1'!$G$154)
))</f>
        <v>541.66666666666663</v>
      </c>
    </row>
    <row r="44" spans="1:28">
      <c r="A44" s="1" t="str">
        <f t="shared" si="2"/>
        <v xml:space="preserve">OperationsFurniture </v>
      </c>
      <c r="B44" s="1" t="s">
        <v>463</v>
      </c>
      <c r="C44" s="1" t="s">
        <v>466</v>
      </c>
      <c r="D44" s="11" t="s">
        <v>100</v>
      </c>
      <c r="E44" s="85">
        <f>IF(LEFT($D44,5)="Other",
VLOOKUP($A44,'IP1'!$A$37:$G$89,4,0)*
VLOOKUP(
VLOOKUP($A44,'IP1'!$A$37:$G$89,7,0),Patterns!$A$2:$N$28,COLUMN(E44)-2,0)/
VLOOKUP(
VLOOKUP($A44,'IP1'!$A$37:$G$89,7,0),Patterns!$A$2:$N$28,2,0),
IF(LEFT($D44,7)="Payroll",
SUMPRODUCT(($B44='IP1'!$B$96:$B$114)*('IP1'!$D$96:$D$114))/12,
SUMPRODUCT(($B44='IP1'!$B$96:$B$114)*('IP1'!$D$96:$D$114))/12*
IF(YEAR(E$3)=2013,'IP1'!$F$154,'IP1'!$G$154)
))</f>
        <v>0</v>
      </c>
      <c r="F44" s="85">
        <f>IF(LEFT($D44,5)="Other",
VLOOKUP($A44,'IP1'!$A$37:$G$89,4,0)*
VLOOKUP(
VLOOKUP($A44,'IP1'!$A$37:$G$89,7,0),Patterns!$A$2:$N$28,COLUMN(F44)-2,0)/
VLOOKUP(
VLOOKUP($A44,'IP1'!$A$37:$G$89,7,0),Patterns!$A$2:$N$28,2,0),
IF(LEFT($D44,7)="Payroll",
SUMPRODUCT(($B44='IP1'!$B$96:$B$114)*('IP1'!$D$96:$D$114))/12,
SUMPRODUCT(($B44='IP1'!$B$96:$B$114)*('IP1'!$D$96:$D$114))/12*
IF(YEAR(F$3)=2013,'IP1'!$F$154,'IP1'!$G$154)
))</f>
        <v>2500</v>
      </c>
      <c r="G44" s="85">
        <f>IF(LEFT($D44,5)="Other",
VLOOKUP($A44,'IP1'!$A$37:$G$89,4,0)*
VLOOKUP(
VLOOKUP($A44,'IP1'!$A$37:$G$89,7,0),Patterns!$A$2:$N$28,COLUMN(G44)-2,0)/
VLOOKUP(
VLOOKUP($A44,'IP1'!$A$37:$G$89,7,0),Patterns!$A$2:$N$28,2,0),
IF(LEFT($D44,7)="Payroll",
SUMPRODUCT(($B44='IP1'!$B$96:$B$114)*('IP1'!$D$96:$D$114))/12,
SUMPRODUCT(($B44='IP1'!$B$96:$B$114)*('IP1'!$D$96:$D$114))/12*
IF(YEAR(G$3)=2013,'IP1'!$F$154,'IP1'!$G$154)
))</f>
        <v>0</v>
      </c>
      <c r="H44" s="85">
        <f>IF(LEFT($D44,5)="Other",
VLOOKUP($A44,'IP1'!$A$37:$G$89,4,0)*
VLOOKUP(
VLOOKUP($A44,'IP1'!$A$37:$G$89,7,0),Patterns!$A$2:$N$28,COLUMN(H44)-2,0)/
VLOOKUP(
VLOOKUP($A44,'IP1'!$A$37:$G$89,7,0),Patterns!$A$2:$N$28,2,0),
IF(LEFT($D44,7)="Payroll",
SUMPRODUCT(($B44='IP1'!$B$96:$B$114)*('IP1'!$D$96:$D$114))/12,
SUMPRODUCT(($B44='IP1'!$B$96:$B$114)*('IP1'!$D$96:$D$114))/12*
IF(YEAR(H$3)=2013,'IP1'!$F$154,'IP1'!$G$154)
))</f>
        <v>0</v>
      </c>
      <c r="I44" s="85">
        <f>IF(LEFT($D44,5)="Other",
VLOOKUP($A44,'IP1'!$A$37:$G$89,4,0)*
VLOOKUP(
VLOOKUP($A44,'IP1'!$A$37:$G$89,7,0),Patterns!$A$2:$N$28,COLUMN(I44)-2,0)/
VLOOKUP(
VLOOKUP($A44,'IP1'!$A$37:$G$89,7,0),Patterns!$A$2:$N$28,2,0),
IF(LEFT($D44,7)="Payroll",
SUMPRODUCT(($B44='IP1'!$B$96:$B$114)*('IP1'!$D$96:$D$114))/12,
SUMPRODUCT(($B44='IP1'!$B$96:$B$114)*('IP1'!$D$96:$D$114))/12*
IF(YEAR(I$3)=2013,'IP1'!$F$154,'IP1'!$G$154)
))</f>
        <v>0</v>
      </c>
      <c r="J44" s="85">
        <f>IF(LEFT($D44,5)="Other",
VLOOKUP($A44,'IP1'!$A$37:$G$89,4,0)*
VLOOKUP(
VLOOKUP($A44,'IP1'!$A$37:$G$89,7,0),Patterns!$A$2:$N$28,COLUMN(J44)-2,0)/
VLOOKUP(
VLOOKUP($A44,'IP1'!$A$37:$G$89,7,0),Patterns!$A$2:$N$28,2,0),
IF(LEFT($D44,7)="Payroll",
SUMPRODUCT(($B44='IP1'!$B$96:$B$114)*('IP1'!$D$96:$D$114))/12,
SUMPRODUCT(($B44='IP1'!$B$96:$B$114)*('IP1'!$D$96:$D$114))/12*
IF(YEAR(J$3)=2013,'IP1'!$F$154,'IP1'!$G$154)
))</f>
        <v>0</v>
      </c>
      <c r="K44" s="85">
        <f>IF(LEFT($D44,5)="Other",
VLOOKUP($A44,'IP1'!$A$37:$G$89,4,0)*
VLOOKUP(
VLOOKUP($A44,'IP1'!$A$37:$G$89,7,0),Patterns!$A$2:$N$28,COLUMN(K44)-2,0)/
VLOOKUP(
VLOOKUP($A44,'IP1'!$A$37:$G$89,7,0),Patterns!$A$2:$N$28,2,0),
IF(LEFT($D44,7)="Payroll",
SUMPRODUCT(($B44='IP1'!$B$96:$B$114)*('IP1'!$D$96:$D$114))/12,
SUMPRODUCT(($B44='IP1'!$B$96:$B$114)*('IP1'!$D$96:$D$114))/12*
IF(YEAR(K$3)=2013,'IP1'!$F$154,'IP1'!$G$154)
))</f>
        <v>0</v>
      </c>
      <c r="L44" s="85">
        <f>IF(LEFT($D44,5)="Other",
VLOOKUP($A44,'IP1'!$A$37:$G$89,4,0)*
VLOOKUP(
VLOOKUP($A44,'IP1'!$A$37:$G$89,7,0),Patterns!$A$2:$N$28,COLUMN(L44)-2,0)/
VLOOKUP(
VLOOKUP($A44,'IP1'!$A$37:$G$89,7,0),Patterns!$A$2:$N$28,2,0),
IF(LEFT($D44,7)="Payroll",
SUMPRODUCT(($B44='IP1'!$B$96:$B$114)*('IP1'!$D$96:$D$114))/12,
SUMPRODUCT(($B44='IP1'!$B$96:$B$114)*('IP1'!$D$96:$D$114))/12*
IF(YEAR(L$3)=2013,'IP1'!$F$154,'IP1'!$G$154)
))</f>
        <v>0</v>
      </c>
      <c r="M44" s="85">
        <f>IF(LEFT($D44,5)="Other",
VLOOKUP($A44,'IP1'!$A$37:$G$89,4,0)*
VLOOKUP(
VLOOKUP($A44,'IP1'!$A$37:$G$89,7,0),Patterns!$A$2:$N$28,COLUMN(M44)-2,0)/
VLOOKUP(
VLOOKUP($A44,'IP1'!$A$37:$G$89,7,0),Patterns!$A$2:$N$28,2,0),
IF(LEFT($D44,7)="Payroll",
SUMPRODUCT(($B44='IP1'!$B$96:$B$114)*('IP1'!$D$96:$D$114))/12,
SUMPRODUCT(($B44='IP1'!$B$96:$B$114)*('IP1'!$D$96:$D$114))/12*
IF(YEAR(M$3)=2013,'IP1'!$F$154,'IP1'!$G$154)
))</f>
        <v>0</v>
      </c>
      <c r="N44" s="85">
        <f>IF(LEFT($D44,5)="Other",
VLOOKUP($A44,'IP1'!$A$37:$G$89,4,0)*
VLOOKUP(
VLOOKUP($A44,'IP1'!$A$37:$G$89,7,0),Patterns!$A$2:$N$28,COLUMN(N44)-2,0)/
VLOOKUP(
VLOOKUP($A44,'IP1'!$A$37:$G$89,7,0),Patterns!$A$2:$N$28,2,0),
IF(LEFT($D44,7)="Payroll",
SUMPRODUCT(($B44='IP1'!$B$96:$B$114)*('IP1'!$D$96:$D$114))/12,
SUMPRODUCT(($B44='IP1'!$B$96:$B$114)*('IP1'!$D$96:$D$114))/12*
IF(YEAR(N$3)=2013,'IP1'!$F$154,'IP1'!$G$154)
))</f>
        <v>0</v>
      </c>
      <c r="O44" s="85">
        <f>IF(LEFT($D44,5)="Other",
VLOOKUP($A44,'IP1'!$A$37:$G$89,4,0)*
VLOOKUP(
VLOOKUP($A44,'IP1'!$A$37:$G$89,7,0),Patterns!$A$2:$N$28,COLUMN(O44)-2,0)/
VLOOKUP(
VLOOKUP($A44,'IP1'!$A$37:$G$89,7,0),Patterns!$A$2:$N$28,2,0),
IF(LEFT($D44,7)="Payroll",
SUMPRODUCT(($B44='IP1'!$B$96:$B$114)*('IP1'!$D$96:$D$114))/12,
SUMPRODUCT(($B44='IP1'!$B$96:$B$114)*('IP1'!$D$96:$D$114))/12*
IF(YEAR(O$3)=2013,'IP1'!$F$154,'IP1'!$G$154)
))</f>
        <v>0</v>
      </c>
      <c r="P44" s="85">
        <f>IF(LEFT($D44,5)="Other",
VLOOKUP($A44,'IP1'!$A$37:$G$89,4,0)*
VLOOKUP(
VLOOKUP($A44,'IP1'!$A$37:$G$89,7,0),Patterns!$A$2:$N$28,COLUMN(P44)-2,0)/
VLOOKUP(
VLOOKUP($A44,'IP1'!$A$37:$G$89,7,0),Patterns!$A$2:$N$28,2,0),
IF(LEFT($D44,7)="Payroll",
SUMPRODUCT(($B44='IP1'!$B$96:$B$114)*('IP1'!$D$96:$D$114))/12,
SUMPRODUCT(($B44='IP1'!$B$96:$B$114)*('IP1'!$D$96:$D$114))/12*
IF(YEAR(P$3)=2013,'IP1'!$F$154,'IP1'!$G$154)
))</f>
        <v>0</v>
      </c>
      <c r="Q44" s="85">
        <f>IF(LEFT($D44,5)="Other",
VLOOKUP($A44,'IP1'!$A$37:$G$89,5,0)*
VLOOKUP(
VLOOKUP($A44,'IP1'!$A$37:$G$89,7,0),Patterns!$A$2:$N$28,COLUMN(Q44)-14,0)/
VLOOKUP(
VLOOKUP($A44,'IP1'!$A$37:$G$89,7,0),Patterns!$A$2:$N$28,2,0),
IF(LEFT($D44,7)="Payroll",
SUMPRODUCT(($B44='IP1'!$B$96:$B$114)*('IP1'!$E$96:$E$114))/12,
SUMPRODUCT(($B44='IP1'!$B$96:$B$114)*('IP1'!$E$96:$E$114))/12*
IF(YEAR(Q$3)=2013,'IP1'!$F$154,'IP1'!$G$154)
))</f>
        <v>0</v>
      </c>
      <c r="R44" s="85">
        <f>IF(LEFT($D44,5)="Other",
VLOOKUP($A44,'IP1'!$A$37:$G$89,5,0)*
VLOOKUP(
VLOOKUP($A44,'IP1'!$A$37:$G$89,7,0),Patterns!$A$2:$N$28,COLUMN(R44)-14,0)/
VLOOKUP(
VLOOKUP($A44,'IP1'!$A$37:$G$89,7,0),Patterns!$A$2:$N$28,2,0),
IF(LEFT($D44,7)="Payroll",
SUMPRODUCT(($B44='IP1'!$B$96:$B$114)*('IP1'!$E$96:$E$114))/12,
SUMPRODUCT(($B44='IP1'!$B$96:$B$114)*('IP1'!$E$96:$E$114))/12*
IF(YEAR(R$3)=2013,'IP1'!$F$154,'IP1'!$G$154)
))</f>
        <v>2500</v>
      </c>
      <c r="S44" s="85">
        <f>IF(LEFT($D44,5)="Other",
VLOOKUP($A44,'IP1'!$A$37:$G$89,5,0)*
VLOOKUP(
VLOOKUP($A44,'IP1'!$A$37:$G$89,7,0),Patterns!$A$2:$N$28,COLUMN(S44)-14,0)/
VLOOKUP(
VLOOKUP($A44,'IP1'!$A$37:$G$89,7,0),Patterns!$A$2:$N$28,2,0),
IF(LEFT($D44,7)="Payroll",
SUMPRODUCT(($B44='IP1'!$B$96:$B$114)*('IP1'!$E$96:$E$114))/12,
SUMPRODUCT(($B44='IP1'!$B$96:$B$114)*('IP1'!$E$96:$E$114))/12*
IF(YEAR(S$3)=2013,'IP1'!$F$154,'IP1'!$G$154)
))</f>
        <v>0</v>
      </c>
      <c r="T44" s="85">
        <f>IF(LEFT($D44,5)="Other",
VLOOKUP($A44,'IP1'!$A$37:$G$89,5,0)*
VLOOKUP(
VLOOKUP($A44,'IP1'!$A$37:$G$89,7,0),Patterns!$A$2:$N$28,COLUMN(T44)-14,0)/
VLOOKUP(
VLOOKUP($A44,'IP1'!$A$37:$G$89,7,0),Patterns!$A$2:$N$28,2,0),
IF(LEFT($D44,7)="Payroll",
SUMPRODUCT(($B44='IP1'!$B$96:$B$114)*('IP1'!$E$96:$E$114))/12,
SUMPRODUCT(($B44='IP1'!$B$96:$B$114)*('IP1'!$E$96:$E$114))/12*
IF(YEAR(T$3)=2013,'IP1'!$F$154,'IP1'!$G$154)
))</f>
        <v>0</v>
      </c>
      <c r="U44" s="85">
        <f>IF(LEFT($D44,5)="Other",
VLOOKUP($A44,'IP1'!$A$37:$G$89,5,0)*
VLOOKUP(
VLOOKUP($A44,'IP1'!$A$37:$G$89,7,0),Patterns!$A$2:$N$28,COLUMN(U44)-14,0)/
VLOOKUP(
VLOOKUP($A44,'IP1'!$A$37:$G$89,7,0),Patterns!$A$2:$N$28,2,0),
IF(LEFT($D44,7)="Payroll",
SUMPRODUCT(($B44='IP1'!$B$96:$B$114)*('IP1'!$E$96:$E$114))/12,
SUMPRODUCT(($B44='IP1'!$B$96:$B$114)*('IP1'!$E$96:$E$114))/12*
IF(YEAR(U$3)=2013,'IP1'!$F$154,'IP1'!$G$154)
))</f>
        <v>0</v>
      </c>
      <c r="V44" s="85">
        <f>IF(LEFT($D44,5)="Other",
VLOOKUP($A44,'IP1'!$A$37:$G$89,5,0)*
VLOOKUP(
VLOOKUP($A44,'IP1'!$A$37:$G$89,7,0),Patterns!$A$2:$N$28,COLUMN(V44)-14,0)/
VLOOKUP(
VLOOKUP($A44,'IP1'!$A$37:$G$89,7,0),Patterns!$A$2:$N$28,2,0),
IF(LEFT($D44,7)="Payroll",
SUMPRODUCT(($B44='IP1'!$B$96:$B$114)*('IP1'!$E$96:$E$114))/12,
SUMPRODUCT(($B44='IP1'!$B$96:$B$114)*('IP1'!$E$96:$E$114))/12*
IF(YEAR(V$3)=2013,'IP1'!$F$154,'IP1'!$G$154)
))</f>
        <v>0</v>
      </c>
      <c r="W44" s="85">
        <f>IF(LEFT($D44,5)="Other",
VLOOKUP($A44,'IP1'!$A$37:$G$89,5,0)*
VLOOKUP(
VLOOKUP($A44,'IP1'!$A$37:$G$89,7,0),Patterns!$A$2:$N$28,COLUMN(W44)-14,0)/
VLOOKUP(
VLOOKUP($A44,'IP1'!$A$37:$G$89,7,0),Patterns!$A$2:$N$28,2,0),
IF(LEFT($D44,7)="Payroll",
SUMPRODUCT(($B44='IP1'!$B$96:$B$114)*('IP1'!$E$96:$E$114))/12,
SUMPRODUCT(($B44='IP1'!$B$96:$B$114)*('IP1'!$E$96:$E$114))/12*
IF(YEAR(W$3)=2013,'IP1'!$F$154,'IP1'!$G$154)
))</f>
        <v>0</v>
      </c>
      <c r="X44" s="85">
        <f>IF(LEFT($D44,5)="Other",
VLOOKUP($A44,'IP1'!$A$37:$G$89,5,0)*
VLOOKUP(
VLOOKUP($A44,'IP1'!$A$37:$G$89,7,0),Patterns!$A$2:$N$28,COLUMN(X44)-14,0)/
VLOOKUP(
VLOOKUP($A44,'IP1'!$A$37:$G$89,7,0),Patterns!$A$2:$N$28,2,0),
IF(LEFT($D44,7)="Payroll",
SUMPRODUCT(($B44='IP1'!$B$96:$B$114)*('IP1'!$E$96:$E$114))/12,
SUMPRODUCT(($B44='IP1'!$B$96:$B$114)*('IP1'!$E$96:$E$114))/12*
IF(YEAR(X$3)=2013,'IP1'!$F$154,'IP1'!$G$154)
))</f>
        <v>0</v>
      </c>
      <c r="Y44" s="85">
        <f>IF(LEFT($D44,5)="Other",
VLOOKUP($A44,'IP1'!$A$37:$G$89,5,0)*
VLOOKUP(
VLOOKUP($A44,'IP1'!$A$37:$G$89,7,0),Patterns!$A$2:$N$28,COLUMN(Y44)-14,0)/
VLOOKUP(
VLOOKUP($A44,'IP1'!$A$37:$G$89,7,0),Patterns!$A$2:$N$28,2,0),
IF(LEFT($D44,7)="Payroll",
SUMPRODUCT(($B44='IP1'!$B$96:$B$114)*('IP1'!$E$96:$E$114))/12,
SUMPRODUCT(($B44='IP1'!$B$96:$B$114)*('IP1'!$E$96:$E$114))/12*
IF(YEAR(Y$3)=2013,'IP1'!$F$154,'IP1'!$G$154)
))</f>
        <v>0</v>
      </c>
      <c r="Z44" s="85">
        <f>IF(LEFT($D44,5)="Other",
VLOOKUP($A44,'IP1'!$A$37:$G$89,5,0)*
VLOOKUP(
VLOOKUP($A44,'IP1'!$A$37:$G$89,7,0),Patterns!$A$2:$N$28,COLUMN(Z44)-14,0)/
VLOOKUP(
VLOOKUP($A44,'IP1'!$A$37:$G$89,7,0),Patterns!$A$2:$N$28,2,0),
IF(LEFT($D44,7)="Payroll",
SUMPRODUCT(($B44='IP1'!$B$96:$B$114)*('IP1'!$E$96:$E$114))/12,
SUMPRODUCT(($B44='IP1'!$B$96:$B$114)*('IP1'!$E$96:$E$114))/12*
IF(YEAR(Z$3)=2013,'IP1'!$F$154,'IP1'!$G$154)
))</f>
        <v>0</v>
      </c>
      <c r="AA44" s="85">
        <f>IF(LEFT($D44,5)="Other",
VLOOKUP($A44,'IP1'!$A$37:$G$89,5,0)*
VLOOKUP(
VLOOKUP($A44,'IP1'!$A$37:$G$89,7,0),Patterns!$A$2:$N$28,COLUMN(AA44)-14,0)/
VLOOKUP(
VLOOKUP($A44,'IP1'!$A$37:$G$89,7,0),Patterns!$A$2:$N$28,2,0),
IF(LEFT($D44,7)="Payroll",
SUMPRODUCT(($B44='IP1'!$B$96:$B$114)*('IP1'!$E$96:$E$114))/12,
SUMPRODUCT(($B44='IP1'!$B$96:$B$114)*('IP1'!$E$96:$E$114))/12*
IF(YEAR(AA$3)=2013,'IP1'!$F$154,'IP1'!$G$154)
))</f>
        <v>0</v>
      </c>
      <c r="AB44" s="85">
        <f>IF(LEFT($D44,5)="Other",
VLOOKUP($A44,'IP1'!$A$37:$G$89,5,0)*
VLOOKUP(
VLOOKUP($A44,'IP1'!$A$37:$G$89,7,0),Patterns!$A$2:$N$28,COLUMN(AB44)-14,0)/
VLOOKUP(
VLOOKUP($A44,'IP1'!$A$37:$G$89,7,0),Patterns!$A$2:$N$28,2,0),
IF(LEFT($D44,7)="Payroll",
SUMPRODUCT(($B44='IP1'!$B$96:$B$114)*('IP1'!$E$96:$E$114))/12,
SUMPRODUCT(($B44='IP1'!$B$96:$B$114)*('IP1'!$E$96:$E$114))/12*
IF(YEAR(AB$3)=2013,'IP1'!$F$154,'IP1'!$G$154)
))</f>
        <v>0</v>
      </c>
    </row>
    <row r="45" spans="1:28">
      <c r="A45" s="1" t="str">
        <f t="shared" si="2"/>
        <v xml:space="preserve">OperationsGrounds and landscaping </v>
      </c>
      <c r="B45" s="1" t="s">
        <v>463</v>
      </c>
      <c r="C45" s="1" t="s">
        <v>467</v>
      </c>
      <c r="D45" s="11" t="s">
        <v>100</v>
      </c>
      <c r="E45" s="85">
        <f>IF(LEFT($D45,5)="Other",
VLOOKUP($A45,'IP1'!$A$37:$G$89,4,0)*
VLOOKUP(
VLOOKUP($A45,'IP1'!$A$37:$G$89,7,0),Patterns!$A$2:$N$28,COLUMN(E45)-2,0)/
VLOOKUP(
VLOOKUP($A45,'IP1'!$A$37:$G$89,7,0),Patterns!$A$2:$N$28,2,0),
IF(LEFT($D45,7)="Payroll",
SUMPRODUCT(($B45='IP1'!$B$96:$B$114)*('IP1'!$D$96:$D$114))/12,
SUMPRODUCT(($B45='IP1'!$B$96:$B$114)*('IP1'!$D$96:$D$114))/12*
IF(YEAR(E$3)=2013,'IP1'!$F$154,'IP1'!$G$154)
))</f>
        <v>1458.3333333333333</v>
      </c>
      <c r="F45" s="85">
        <f>IF(LEFT($D45,5)="Other",
VLOOKUP($A45,'IP1'!$A$37:$G$89,4,0)*
VLOOKUP(
VLOOKUP($A45,'IP1'!$A$37:$G$89,7,0),Patterns!$A$2:$N$28,COLUMN(F45)-2,0)/
VLOOKUP(
VLOOKUP($A45,'IP1'!$A$37:$G$89,7,0),Patterns!$A$2:$N$28,2,0),
IF(LEFT($D45,7)="Payroll",
SUMPRODUCT(($B45='IP1'!$B$96:$B$114)*('IP1'!$D$96:$D$114))/12,
SUMPRODUCT(($B45='IP1'!$B$96:$B$114)*('IP1'!$D$96:$D$114))/12*
IF(YEAR(F$3)=2013,'IP1'!$F$154,'IP1'!$G$154)
))</f>
        <v>1458.3333333333333</v>
      </c>
      <c r="G45" s="85">
        <f>IF(LEFT($D45,5)="Other",
VLOOKUP($A45,'IP1'!$A$37:$G$89,4,0)*
VLOOKUP(
VLOOKUP($A45,'IP1'!$A$37:$G$89,7,0),Patterns!$A$2:$N$28,COLUMN(G45)-2,0)/
VLOOKUP(
VLOOKUP($A45,'IP1'!$A$37:$G$89,7,0),Patterns!$A$2:$N$28,2,0),
IF(LEFT($D45,7)="Payroll",
SUMPRODUCT(($B45='IP1'!$B$96:$B$114)*('IP1'!$D$96:$D$114))/12,
SUMPRODUCT(($B45='IP1'!$B$96:$B$114)*('IP1'!$D$96:$D$114))/12*
IF(YEAR(G$3)=2013,'IP1'!$F$154,'IP1'!$G$154)
))</f>
        <v>1458.3333333333333</v>
      </c>
      <c r="H45" s="85">
        <f>IF(LEFT($D45,5)="Other",
VLOOKUP($A45,'IP1'!$A$37:$G$89,4,0)*
VLOOKUP(
VLOOKUP($A45,'IP1'!$A$37:$G$89,7,0),Patterns!$A$2:$N$28,COLUMN(H45)-2,0)/
VLOOKUP(
VLOOKUP($A45,'IP1'!$A$37:$G$89,7,0),Patterns!$A$2:$N$28,2,0),
IF(LEFT($D45,7)="Payroll",
SUMPRODUCT(($B45='IP1'!$B$96:$B$114)*('IP1'!$D$96:$D$114))/12,
SUMPRODUCT(($B45='IP1'!$B$96:$B$114)*('IP1'!$D$96:$D$114))/12*
IF(YEAR(H$3)=2013,'IP1'!$F$154,'IP1'!$G$154)
))</f>
        <v>1458.3333333333333</v>
      </c>
      <c r="I45" s="85">
        <f>IF(LEFT($D45,5)="Other",
VLOOKUP($A45,'IP1'!$A$37:$G$89,4,0)*
VLOOKUP(
VLOOKUP($A45,'IP1'!$A$37:$G$89,7,0),Patterns!$A$2:$N$28,COLUMN(I45)-2,0)/
VLOOKUP(
VLOOKUP($A45,'IP1'!$A$37:$G$89,7,0),Patterns!$A$2:$N$28,2,0),
IF(LEFT($D45,7)="Payroll",
SUMPRODUCT(($B45='IP1'!$B$96:$B$114)*('IP1'!$D$96:$D$114))/12,
SUMPRODUCT(($B45='IP1'!$B$96:$B$114)*('IP1'!$D$96:$D$114))/12*
IF(YEAR(I$3)=2013,'IP1'!$F$154,'IP1'!$G$154)
))</f>
        <v>1458.3333333333333</v>
      </c>
      <c r="J45" s="85">
        <f>IF(LEFT($D45,5)="Other",
VLOOKUP($A45,'IP1'!$A$37:$G$89,4,0)*
VLOOKUP(
VLOOKUP($A45,'IP1'!$A$37:$G$89,7,0),Patterns!$A$2:$N$28,COLUMN(J45)-2,0)/
VLOOKUP(
VLOOKUP($A45,'IP1'!$A$37:$G$89,7,0),Patterns!$A$2:$N$28,2,0),
IF(LEFT($D45,7)="Payroll",
SUMPRODUCT(($B45='IP1'!$B$96:$B$114)*('IP1'!$D$96:$D$114))/12,
SUMPRODUCT(($B45='IP1'!$B$96:$B$114)*('IP1'!$D$96:$D$114))/12*
IF(YEAR(J$3)=2013,'IP1'!$F$154,'IP1'!$G$154)
))</f>
        <v>1458.3333333333333</v>
      </c>
      <c r="K45" s="85">
        <f>IF(LEFT($D45,5)="Other",
VLOOKUP($A45,'IP1'!$A$37:$G$89,4,0)*
VLOOKUP(
VLOOKUP($A45,'IP1'!$A$37:$G$89,7,0),Patterns!$A$2:$N$28,COLUMN(K45)-2,0)/
VLOOKUP(
VLOOKUP($A45,'IP1'!$A$37:$G$89,7,0),Patterns!$A$2:$N$28,2,0),
IF(LEFT($D45,7)="Payroll",
SUMPRODUCT(($B45='IP1'!$B$96:$B$114)*('IP1'!$D$96:$D$114))/12,
SUMPRODUCT(($B45='IP1'!$B$96:$B$114)*('IP1'!$D$96:$D$114))/12*
IF(YEAR(K$3)=2013,'IP1'!$F$154,'IP1'!$G$154)
))</f>
        <v>1458.3333333333333</v>
      </c>
      <c r="L45" s="85">
        <f>IF(LEFT($D45,5)="Other",
VLOOKUP($A45,'IP1'!$A$37:$G$89,4,0)*
VLOOKUP(
VLOOKUP($A45,'IP1'!$A$37:$G$89,7,0),Patterns!$A$2:$N$28,COLUMN(L45)-2,0)/
VLOOKUP(
VLOOKUP($A45,'IP1'!$A$37:$G$89,7,0),Patterns!$A$2:$N$28,2,0),
IF(LEFT($D45,7)="Payroll",
SUMPRODUCT(($B45='IP1'!$B$96:$B$114)*('IP1'!$D$96:$D$114))/12,
SUMPRODUCT(($B45='IP1'!$B$96:$B$114)*('IP1'!$D$96:$D$114))/12*
IF(YEAR(L$3)=2013,'IP1'!$F$154,'IP1'!$G$154)
))</f>
        <v>1458.3333333333333</v>
      </c>
      <c r="M45" s="85">
        <f>IF(LEFT($D45,5)="Other",
VLOOKUP($A45,'IP1'!$A$37:$G$89,4,0)*
VLOOKUP(
VLOOKUP($A45,'IP1'!$A$37:$G$89,7,0),Patterns!$A$2:$N$28,COLUMN(M45)-2,0)/
VLOOKUP(
VLOOKUP($A45,'IP1'!$A$37:$G$89,7,0),Patterns!$A$2:$N$28,2,0),
IF(LEFT($D45,7)="Payroll",
SUMPRODUCT(($B45='IP1'!$B$96:$B$114)*('IP1'!$D$96:$D$114))/12,
SUMPRODUCT(($B45='IP1'!$B$96:$B$114)*('IP1'!$D$96:$D$114))/12*
IF(YEAR(M$3)=2013,'IP1'!$F$154,'IP1'!$G$154)
))</f>
        <v>1458.3333333333333</v>
      </c>
      <c r="N45" s="85">
        <f>IF(LEFT($D45,5)="Other",
VLOOKUP($A45,'IP1'!$A$37:$G$89,4,0)*
VLOOKUP(
VLOOKUP($A45,'IP1'!$A$37:$G$89,7,0),Patterns!$A$2:$N$28,COLUMN(N45)-2,0)/
VLOOKUP(
VLOOKUP($A45,'IP1'!$A$37:$G$89,7,0),Patterns!$A$2:$N$28,2,0),
IF(LEFT($D45,7)="Payroll",
SUMPRODUCT(($B45='IP1'!$B$96:$B$114)*('IP1'!$D$96:$D$114))/12,
SUMPRODUCT(($B45='IP1'!$B$96:$B$114)*('IP1'!$D$96:$D$114))/12*
IF(YEAR(N$3)=2013,'IP1'!$F$154,'IP1'!$G$154)
))</f>
        <v>1458.3333333333333</v>
      </c>
      <c r="O45" s="85">
        <f>IF(LEFT($D45,5)="Other",
VLOOKUP($A45,'IP1'!$A$37:$G$89,4,0)*
VLOOKUP(
VLOOKUP($A45,'IP1'!$A$37:$G$89,7,0),Patterns!$A$2:$N$28,COLUMN(O45)-2,0)/
VLOOKUP(
VLOOKUP($A45,'IP1'!$A$37:$G$89,7,0),Patterns!$A$2:$N$28,2,0),
IF(LEFT($D45,7)="Payroll",
SUMPRODUCT(($B45='IP1'!$B$96:$B$114)*('IP1'!$D$96:$D$114))/12,
SUMPRODUCT(($B45='IP1'!$B$96:$B$114)*('IP1'!$D$96:$D$114))/12*
IF(YEAR(O$3)=2013,'IP1'!$F$154,'IP1'!$G$154)
))</f>
        <v>1458.3333333333333</v>
      </c>
      <c r="P45" s="85">
        <f>IF(LEFT($D45,5)="Other",
VLOOKUP($A45,'IP1'!$A$37:$G$89,4,0)*
VLOOKUP(
VLOOKUP($A45,'IP1'!$A$37:$G$89,7,0),Patterns!$A$2:$N$28,COLUMN(P45)-2,0)/
VLOOKUP(
VLOOKUP($A45,'IP1'!$A$37:$G$89,7,0),Patterns!$A$2:$N$28,2,0),
IF(LEFT($D45,7)="Payroll",
SUMPRODUCT(($B45='IP1'!$B$96:$B$114)*('IP1'!$D$96:$D$114))/12,
SUMPRODUCT(($B45='IP1'!$B$96:$B$114)*('IP1'!$D$96:$D$114))/12*
IF(YEAR(P$3)=2013,'IP1'!$F$154,'IP1'!$G$154)
))</f>
        <v>1458.3333333333333</v>
      </c>
      <c r="Q45" s="85">
        <f>IF(LEFT($D45,5)="Other",
VLOOKUP($A45,'IP1'!$A$37:$G$89,5,0)*
VLOOKUP(
VLOOKUP($A45,'IP1'!$A$37:$G$89,7,0),Patterns!$A$2:$N$28,COLUMN(Q45)-14,0)/
VLOOKUP(
VLOOKUP($A45,'IP1'!$A$37:$G$89,7,0),Patterns!$A$2:$N$28,2,0),
IF(LEFT($D45,7)="Payroll",
SUMPRODUCT(($B45='IP1'!$B$96:$B$114)*('IP1'!$E$96:$E$114))/12,
SUMPRODUCT(($B45='IP1'!$B$96:$B$114)*('IP1'!$E$96:$E$114))/12*
IF(YEAR(Q$3)=2013,'IP1'!$F$154,'IP1'!$G$154)
))</f>
        <v>4166.666666666667</v>
      </c>
      <c r="R45" s="85">
        <f>IF(LEFT($D45,5)="Other",
VLOOKUP($A45,'IP1'!$A$37:$G$89,5,0)*
VLOOKUP(
VLOOKUP($A45,'IP1'!$A$37:$G$89,7,0),Patterns!$A$2:$N$28,COLUMN(R45)-14,0)/
VLOOKUP(
VLOOKUP($A45,'IP1'!$A$37:$G$89,7,0),Patterns!$A$2:$N$28,2,0),
IF(LEFT($D45,7)="Payroll",
SUMPRODUCT(($B45='IP1'!$B$96:$B$114)*('IP1'!$E$96:$E$114))/12,
SUMPRODUCT(($B45='IP1'!$B$96:$B$114)*('IP1'!$E$96:$E$114))/12*
IF(YEAR(R$3)=2013,'IP1'!$F$154,'IP1'!$G$154)
))</f>
        <v>4166.666666666667</v>
      </c>
      <c r="S45" s="85">
        <f>IF(LEFT($D45,5)="Other",
VLOOKUP($A45,'IP1'!$A$37:$G$89,5,0)*
VLOOKUP(
VLOOKUP($A45,'IP1'!$A$37:$G$89,7,0),Patterns!$A$2:$N$28,COLUMN(S45)-14,0)/
VLOOKUP(
VLOOKUP($A45,'IP1'!$A$37:$G$89,7,0),Patterns!$A$2:$N$28,2,0),
IF(LEFT($D45,7)="Payroll",
SUMPRODUCT(($B45='IP1'!$B$96:$B$114)*('IP1'!$E$96:$E$114))/12,
SUMPRODUCT(($B45='IP1'!$B$96:$B$114)*('IP1'!$E$96:$E$114))/12*
IF(YEAR(S$3)=2013,'IP1'!$F$154,'IP1'!$G$154)
))</f>
        <v>4166.666666666667</v>
      </c>
      <c r="T45" s="85">
        <f>IF(LEFT($D45,5)="Other",
VLOOKUP($A45,'IP1'!$A$37:$G$89,5,0)*
VLOOKUP(
VLOOKUP($A45,'IP1'!$A$37:$G$89,7,0),Patterns!$A$2:$N$28,COLUMN(T45)-14,0)/
VLOOKUP(
VLOOKUP($A45,'IP1'!$A$37:$G$89,7,0),Patterns!$A$2:$N$28,2,0),
IF(LEFT($D45,7)="Payroll",
SUMPRODUCT(($B45='IP1'!$B$96:$B$114)*('IP1'!$E$96:$E$114))/12,
SUMPRODUCT(($B45='IP1'!$B$96:$B$114)*('IP1'!$E$96:$E$114))/12*
IF(YEAR(T$3)=2013,'IP1'!$F$154,'IP1'!$G$154)
))</f>
        <v>4166.666666666667</v>
      </c>
      <c r="U45" s="85">
        <f>IF(LEFT($D45,5)="Other",
VLOOKUP($A45,'IP1'!$A$37:$G$89,5,0)*
VLOOKUP(
VLOOKUP($A45,'IP1'!$A$37:$G$89,7,0),Patterns!$A$2:$N$28,COLUMN(U45)-14,0)/
VLOOKUP(
VLOOKUP($A45,'IP1'!$A$37:$G$89,7,0),Patterns!$A$2:$N$28,2,0),
IF(LEFT($D45,7)="Payroll",
SUMPRODUCT(($B45='IP1'!$B$96:$B$114)*('IP1'!$E$96:$E$114))/12,
SUMPRODUCT(($B45='IP1'!$B$96:$B$114)*('IP1'!$E$96:$E$114))/12*
IF(YEAR(U$3)=2013,'IP1'!$F$154,'IP1'!$G$154)
))</f>
        <v>4166.666666666667</v>
      </c>
      <c r="V45" s="85">
        <f>IF(LEFT($D45,5)="Other",
VLOOKUP($A45,'IP1'!$A$37:$G$89,5,0)*
VLOOKUP(
VLOOKUP($A45,'IP1'!$A$37:$G$89,7,0),Patterns!$A$2:$N$28,COLUMN(V45)-14,0)/
VLOOKUP(
VLOOKUP($A45,'IP1'!$A$37:$G$89,7,0),Patterns!$A$2:$N$28,2,0),
IF(LEFT($D45,7)="Payroll",
SUMPRODUCT(($B45='IP1'!$B$96:$B$114)*('IP1'!$E$96:$E$114))/12,
SUMPRODUCT(($B45='IP1'!$B$96:$B$114)*('IP1'!$E$96:$E$114))/12*
IF(YEAR(V$3)=2013,'IP1'!$F$154,'IP1'!$G$154)
))</f>
        <v>4166.666666666667</v>
      </c>
      <c r="W45" s="85">
        <f>IF(LEFT($D45,5)="Other",
VLOOKUP($A45,'IP1'!$A$37:$G$89,5,0)*
VLOOKUP(
VLOOKUP($A45,'IP1'!$A$37:$G$89,7,0),Patterns!$A$2:$N$28,COLUMN(W45)-14,0)/
VLOOKUP(
VLOOKUP($A45,'IP1'!$A$37:$G$89,7,0),Patterns!$A$2:$N$28,2,0),
IF(LEFT($D45,7)="Payroll",
SUMPRODUCT(($B45='IP1'!$B$96:$B$114)*('IP1'!$E$96:$E$114))/12,
SUMPRODUCT(($B45='IP1'!$B$96:$B$114)*('IP1'!$E$96:$E$114))/12*
IF(YEAR(W$3)=2013,'IP1'!$F$154,'IP1'!$G$154)
))</f>
        <v>4166.666666666667</v>
      </c>
      <c r="X45" s="85">
        <f>IF(LEFT($D45,5)="Other",
VLOOKUP($A45,'IP1'!$A$37:$G$89,5,0)*
VLOOKUP(
VLOOKUP($A45,'IP1'!$A$37:$G$89,7,0),Patterns!$A$2:$N$28,COLUMN(X45)-14,0)/
VLOOKUP(
VLOOKUP($A45,'IP1'!$A$37:$G$89,7,0),Patterns!$A$2:$N$28,2,0),
IF(LEFT($D45,7)="Payroll",
SUMPRODUCT(($B45='IP1'!$B$96:$B$114)*('IP1'!$E$96:$E$114))/12,
SUMPRODUCT(($B45='IP1'!$B$96:$B$114)*('IP1'!$E$96:$E$114))/12*
IF(YEAR(X$3)=2013,'IP1'!$F$154,'IP1'!$G$154)
))</f>
        <v>4166.666666666667</v>
      </c>
      <c r="Y45" s="85">
        <f>IF(LEFT($D45,5)="Other",
VLOOKUP($A45,'IP1'!$A$37:$G$89,5,0)*
VLOOKUP(
VLOOKUP($A45,'IP1'!$A$37:$G$89,7,0),Patterns!$A$2:$N$28,COLUMN(Y45)-14,0)/
VLOOKUP(
VLOOKUP($A45,'IP1'!$A$37:$G$89,7,0),Patterns!$A$2:$N$28,2,0),
IF(LEFT($D45,7)="Payroll",
SUMPRODUCT(($B45='IP1'!$B$96:$B$114)*('IP1'!$E$96:$E$114))/12,
SUMPRODUCT(($B45='IP1'!$B$96:$B$114)*('IP1'!$E$96:$E$114))/12*
IF(YEAR(Y$3)=2013,'IP1'!$F$154,'IP1'!$G$154)
))</f>
        <v>4166.666666666667</v>
      </c>
      <c r="Z45" s="85">
        <f>IF(LEFT($D45,5)="Other",
VLOOKUP($A45,'IP1'!$A$37:$G$89,5,0)*
VLOOKUP(
VLOOKUP($A45,'IP1'!$A$37:$G$89,7,0),Patterns!$A$2:$N$28,COLUMN(Z45)-14,0)/
VLOOKUP(
VLOOKUP($A45,'IP1'!$A$37:$G$89,7,0),Patterns!$A$2:$N$28,2,0),
IF(LEFT($D45,7)="Payroll",
SUMPRODUCT(($B45='IP1'!$B$96:$B$114)*('IP1'!$E$96:$E$114))/12,
SUMPRODUCT(($B45='IP1'!$B$96:$B$114)*('IP1'!$E$96:$E$114))/12*
IF(YEAR(Z$3)=2013,'IP1'!$F$154,'IP1'!$G$154)
))</f>
        <v>4166.666666666667</v>
      </c>
      <c r="AA45" s="85">
        <f>IF(LEFT($D45,5)="Other",
VLOOKUP($A45,'IP1'!$A$37:$G$89,5,0)*
VLOOKUP(
VLOOKUP($A45,'IP1'!$A$37:$G$89,7,0),Patterns!$A$2:$N$28,COLUMN(AA45)-14,0)/
VLOOKUP(
VLOOKUP($A45,'IP1'!$A$37:$G$89,7,0),Patterns!$A$2:$N$28,2,0),
IF(LEFT($D45,7)="Payroll",
SUMPRODUCT(($B45='IP1'!$B$96:$B$114)*('IP1'!$E$96:$E$114))/12,
SUMPRODUCT(($B45='IP1'!$B$96:$B$114)*('IP1'!$E$96:$E$114))/12*
IF(YEAR(AA$3)=2013,'IP1'!$F$154,'IP1'!$G$154)
))</f>
        <v>4166.666666666667</v>
      </c>
      <c r="AB45" s="85">
        <f>IF(LEFT($D45,5)="Other",
VLOOKUP($A45,'IP1'!$A$37:$G$89,5,0)*
VLOOKUP(
VLOOKUP($A45,'IP1'!$A$37:$G$89,7,0),Patterns!$A$2:$N$28,COLUMN(AB45)-14,0)/
VLOOKUP(
VLOOKUP($A45,'IP1'!$A$37:$G$89,7,0),Patterns!$A$2:$N$28,2,0),
IF(LEFT($D45,7)="Payroll",
SUMPRODUCT(($B45='IP1'!$B$96:$B$114)*('IP1'!$E$96:$E$114))/12,
SUMPRODUCT(($B45='IP1'!$B$96:$B$114)*('IP1'!$E$96:$E$114))/12*
IF(YEAR(AB$3)=2013,'IP1'!$F$154,'IP1'!$G$154)
))</f>
        <v>4166.666666666667</v>
      </c>
    </row>
    <row r="46" spans="1:28">
      <c r="A46" s="1" t="str">
        <f t="shared" si="2"/>
        <v xml:space="preserve">OperationsHeating, vent &amp; a/c equip </v>
      </c>
      <c r="B46" s="1" t="s">
        <v>463</v>
      </c>
      <c r="C46" s="1" t="s">
        <v>478</v>
      </c>
      <c r="D46" s="11" t="s">
        <v>100</v>
      </c>
      <c r="E46" s="85">
        <f>IF(LEFT($D46,5)="Other",
VLOOKUP($A46,'IP1'!$A$37:$G$89,4,0)*
VLOOKUP(
VLOOKUP($A46,'IP1'!$A$37:$G$89,7,0),Patterns!$A$2:$N$28,COLUMN(E46)-2,0)/
VLOOKUP(
VLOOKUP($A46,'IP1'!$A$37:$G$89,7,0),Patterns!$A$2:$N$28,2,0),
IF(LEFT($D46,7)="Payroll",
SUMPRODUCT(($B46='IP1'!$B$96:$B$114)*('IP1'!$D$96:$D$114))/12,
SUMPRODUCT(($B46='IP1'!$B$96:$B$114)*('IP1'!$D$96:$D$114))/12*
IF(YEAR(E$3)=2013,'IP1'!$F$154,'IP1'!$G$154)
))</f>
        <v>2083.3333333333335</v>
      </c>
      <c r="F46" s="85">
        <f>IF(LEFT($D46,5)="Other",
VLOOKUP($A46,'IP1'!$A$37:$G$89,4,0)*
VLOOKUP(
VLOOKUP($A46,'IP1'!$A$37:$G$89,7,0),Patterns!$A$2:$N$28,COLUMN(F46)-2,0)/
VLOOKUP(
VLOOKUP($A46,'IP1'!$A$37:$G$89,7,0),Patterns!$A$2:$N$28,2,0),
IF(LEFT($D46,7)="Payroll",
SUMPRODUCT(($B46='IP1'!$B$96:$B$114)*('IP1'!$D$96:$D$114))/12,
SUMPRODUCT(($B46='IP1'!$B$96:$B$114)*('IP1'!$D$96:$D$114))/12*
IF(YEAR(F$3)=2013,'IP1'!$F$154,'IP1'!$G$154)
))</f>
        <v>2083.3333333333335</v>
      </c>
      <c r="G46" s="85">
        <f>IF(LEFT($D46,5)="Other",
VLOOKUP($A46,'IP1'!$A$37:$G$89,4,0)*
VLOOKUP(
VLOOKUP($A46,'IP1'!$A$37:$G$89,7,0),Patterns!$A$2:$N$28,COLUMN(G46)-2,0)/
VLOOKUP(
VLOOKUP($A46,'IP1'!$A$37:$G$89,7,0),Patterns!$A$2:$N$28,2,0),
IF(LEFT($D46,7)="Payroll",
SUMPRODUCT(($B46='IP1'!$B$96:$B$114)*('IP1'!$D$96:$D$114))/12,
SUMPRODUCT(($B46='IP1'!$B$96:$B$114)*('IP1'!$D$96:$D$114))/12*
IF(YEAR(G$3)=2013,'IP1'!$F$154,'IP1'!$G$154)
))</f>
        <v>2083.3333333333335</v>
      </c>
      <c r="H46" s="85">
        <f>IF(LEFT($D46,5)="Other",
VLOOKUP($A46,'IP1'!$A$37:$G$89,4,0)*
VLOOKUP(
VLOOKUP($A46,'IP1'!$A$37:$G$89,7,0),Patterns!$A$2:$N$28,COLUMN(H46)-2,0)/
VLOOKUP(
VLOOKUP($A46,'IP1'!$A$37:$G$89,7,0),Patterns!$A$2:$N$28,2,0),
IF(LEFT($D46,7)="Payroll",
SUMPRODUCT(($B46='IP1'!$B$96:$B$114)*('IP1'!$D$96:$D$114))/12,
SUMPRODUCT(($B46='IP1'!$B$96:$B$114)*('IP1'!$D$96:$D$114))/12*
IF(YEAR(H$3)=2013,'IP1'!$F$154,'IP1'!$G$154)
))</f>
        <v>2083.3333333333335</v>
      </c>
      <c r="I46" s="85">
        <f>IF(LEFT($D46,5)="Other",
VLOOKUP($A46,'IP1'!$A$37:$G$89,4,0)*
VLOOKUP(
VLOOKUP($A46,'IP1'!$A$37:$G$89,7,0),Patterns!$A$2:$N$28,COLUMN(I46)-2,0)/
VLOOKUP(
VLOOKUP($A46,'IP1'!$A$37:$G$89,7,0),Patterns!$A$2:$N$28,2,0),
IF(LEFT($D46,7)="Payroll",
SUMPRODUCT(($B46='IP1'!$B$96:$B$114)*('IP1'!$D$96:$D$114))/12,
SUMPRODUCT(($B46='IP1'!$B$96:$B$114)*('IP1'!$D$96:$D$114))/12*
IF(YEAR(I$3)=2013,'IP1'!$F$154,'IP1'!$G$154)
))</f>
        <v>2083.3333333333335</v>
      </c>
      <c r="J46" s="85">
        <f>IF(LEFT($D46,5)="Other",
VLOOKUP($A46,'IP1'!$A$37:$G$89,4,0)*
VLOOKUP(
VLOOKUP($A46,'IP1'!$A$37:$G$89,7,0),Patterns!$A$2:$N$28,COLUMN(J46)-2,0)/
VLOOKUP(
VLOOKUP($A46,'IP1'!$A$37:$G$89,7,0),Patterns!$A$2:$N$28,2,0),
IF(LEFT($D46,7)="Payroll",
SUMPRODUCT(($B46='IP1'!$B$96:$B$114)*('IP1'!$D$96:$D$114))/12,
SUMPRODUCT(($B46='IP1'!$B$96:$B$114)*('IP1'!$D$96:$D$114))/12*
IF(YEAR(J$3)=2013,'IP1'!$F$154,'IP1'!$G$154)
))</f>
        <v>2083.3333333333335</v>
      </c>
      <c r="K46" s="85">
        <f>IF(LEFT($D46,5)="Other",
VLOOKUP($A46,'IP1'!$A$37:$G$89,4,0)*
VLOOKUP(
VLOOKUP($A46,'IP1'!$A$37:$G$89,7,0),Patterns!$A$2:$N$28,COLUMN(K46)-2,0)/
VLOOKUP(
VLOOKUP($A46,'IP1'!$A$37:$G$89,7,0),Patterns!$A$2:$N$28,2,0),
IF(LEFT($D46,7)="Payroll",
SUMPRODUCT(($B46='IP1'!$B$96:$B$114)*('IP1'!$D$96:$D$114))/12,
SUMPRODUCT(($B46='IP1'!$B$96:$B$114)*('IP1'!$D$96:$D$114))/12*
IF(YEAR(K$3)=2013,'IP1'!$F$154,'IP1'!$G$154)
))</f>
        <v>2083.3333333333335</v>
      </c>
      <c r="L46" s="85">
        <f>IF(LEFT($D46,5)="Other",
VLOOKUP($A46,'IP1'!$A$37:$G$89,4,0)*
VLOOKUP(
VLOOKUP($A46,'IP1'!$A$37:$G$89,7,0),Patterns!$A$2:$N$28,COLUMN(L46)-2,0)/
VLOOKUP(
VLOOKUP($A46,'IP1'!$A$37:$G$89,7,0),Patterns!$A$2:$N$28,2,0),
IF(LEFT($D46,7)="Payroll",
SUMPRODUCT(($B46='IP1'!$B$96:$B$114)*('IP1'!$D$96:$D$114))/12,
SUMPRODUCT(($B46='IP1'!$B$96:$B$114)*('IP1'!$D$96:$D$114))/12*
IF(YEAR(L$3)=2013,'IP1'!$F$154,'IP1'!$G$154)
))</f>
        <v>2083.3333333333335</v>
      </c>
      <c r="M46" s="85">
        <f>IF(LEFT($D46,5)="Other",
VLOOKUP($A46,'IP1'!$A$37:$G$89,4,0)*
VLOOKUP(
VLOOKUP($A46,'IP1'!$A$37:$G$89,7,0),Patterns!$A$2:$N$28,COLUMN(M46)-2,0)/
VLOOKUP(
VLOOKUP($A46,'IP1'!$A$37:$G$89,7,0),Patterns!$A$2:$N$28,2,0),
IF(LEFT($D46,7)="Payroll",
SUMPRODUCT(($B46='IP1'!$B$96:$B$114)*('IP1'!$D$96:$D$114))/12,
SUMPRODUCT(($B46='IP1'!$B$96:$B$114)*('IP1'!$D$96:$D$114))/12*
IF(YEAR(M$3)=2013,'IP1'!$F$154,'IP1'!$G$154)
))</f>
        <v>2083.3333333333335</v>
      </c>
      <c r="N46" s="85">
        <f>IF(LEFT($D46,5)="Other",
VLOOKUP($A46,'IP1'!$A$37:$G$89,4,0)*
VLOOKUP(
VLOOKUP($A46,'IP1'!$A$37:$G$89,7,0),Patterns!$A$2:$N$28,COLUMN(N46)-2,0)/
VLOOKUP(
VLOOKUP($A46,'IP1'!$A$37:$G$89,7,0),Patterns!$A$2:$N$28,2,0),
IF(LEFT($D46,7)="Payroll",
SUMPRODUCT(($B46='IP1'!$B$96:$B$114)*('IP1'!$D$96:$D$114))/12,
SUMPRODUCT(($B46='IP1'!$B$96:$B$114)*('IP1'!$D$96:$D$114))/12*
IF(YEAR(N$3)=2013,'IP1'!$F$154,'IP1'!$G$154)
))</f>
        <v>2083.3333333333335</v>
      </c>
      <c r="O46" s="85">
        <f>IF(LEFT($D46,5)="Other",
VLOOKUP($A46,'IP1'!$A$37:$G$89,4,0)*
VLOOKUP(
VLOOKUP($A46,'IP1'!$A$37:$G$89,7,0),Patterns!$A$2:$N$28,COLUMN(O46)-2,0)/
VLOOKUP(
VLOOKUP($A46,'IP1'!$A$37:$G$89,7,0),Patterns!$A$2:$N$28,2,0),
IF(LEFT($D46,7)="Payroll",
SUMPRODUCT(($B46='IP1'!$B$96:$B$114)*('IP1'!$D$96:$D$114))/12,
SUMPRODUCT(($B46='IP1'!$B$96:$B$114)*('IP1'!$D$96:$D$114))/12*
IF(YEAR(O$3)=2013,'IP1'!$F$154,'IP1'!$G$154)
))</f>
        <v>2083.3333333333335</v>
      </c>
      <c r="P46" s="85">
        <f>IF(LEFT($D46,5)="Other",
VLOOKUP($A46,'IP1'!$A$37:$G$89,4,0)*
VLOOKUP(
VLOOKUP($A46,'IP1'!$A$37:$G$89,7,0),Patterns!$A$2:$N$28,COLUMN(P46)-2,0)/
VLOOKUP(
VLOOKUP($A46,'IP1'!$A$37:$G$89,7,0),Patterns!$A$2:$N$28,2,0),
IF(LEFT($D46,7)="Payroll",
SUMPRODUCT(($B46='IP1'!$B$96:$B$114)*('IP1'!$D$96:$D$114))/12,
SUMPRODUCT(($B46='IP1'!$B$96:$B$114)*('IP1'!$D$96:$D$114))/12*
IF(YEAR(P$3)=2013,'IP1'!$F$154,'IP1'!$G$154)
))</f>
        <v>2083.3333333333335</v>
      </c>
      <c r="Q46" s="85">
        <f>IF(LEFT($D46,5)="Other",
VLOOKUP($A46,'IP1'!$A$37:$G$89,5,0)*
VLOOKUP(
VLOOKUP($A46,'IP1'!$A$37:$G$89,7,0),Patterns!$A$2:$N$28,COLUMN(Q46)-14,0)/
VLOOKUP(
VLOOKUP($A46,'IP1'!$A$37:$G$89,7,0),Patterns!$A$2:$N$28,2,0),
IF(LEFT($D46,7)="Payroll",
SUMPRODUCT(($B46='IP1'!$B$96:$B$114)*('IP1'!$E$96:$E$114))/12,
SUMPRODUCT(($B46='IP1'!$B$96:$B$114)*('IP1'!$E$96:$E$114))/12*
IF(YEAR(Q$3)=2013,'IP1'!$F$154,'IP1'!$G$154)
))</f>
        <v>4166.666666666667</v>
      </c>
      <c r="R46" s="85">
        <f>IF(LEFT($D46,5)="Other",
VLOOKUP($A46,'IP1'!$A$37:$G$89,5,0)*
VLOOKUP(
VLOOKUP($A46,'IP1'!$A$37:$G$89,7,0),Patterns!$A$2:$N$28,COLUMN(R46)-14,0)/
VLOOKUP(
VLOOKUP($A46,'IP1'!$A$37:$G$89,7,0),Patterns!$A$2:$N$28,2,0),
IF(LEFT($D46,7)="Payroll",
SUMPRODUCT(($B46='IP1'!$B$96:$B$114)*('IP1'!$E$96:$E$114))/12,
SUMPRODUCT(($B46='IP1'!$B$96:$B$114)*('IP1'!$E$96:$E$114))/12*
IF(YEAR(R$3)=2013,'IP1'!$F$154,'IP1'!$G$154)
))</f>
        <v>4166.666666666667</v>
      </c>
      <c r="S46" s="85">
        <f>IF(LEFT($D46,5)="Other",
VLOOKUP($A46,'IP1'!$A$37:$G$89,5,0)*
VLOOKUP(
VLOOKUP($A46,'IP1'!$A$37:$G$89,7,0),Patterns!$A$2:$N$28,COLUMN(S46)-14,0)/
VLOOKUP(
VLOOKUP($A46,'IP1'!$A$37:$G$89,7,0),Patterns!$A$2:$N$28,2,0),
IF(LEFT($D46,7)="Payroll",
SUMPRODUCT(($B46='IP1'!$B$96:$B$114)*('IP1'!$E$96:$E$114))/12,
SUMPRODUCT(($B46='IP1'!$B$96:$B$114)*('IP1'!$E$96:$E$114))/12*
IF(YEAR(S$3)=2013,'IP1'!$F$154,'IP1'!$G$154)
))</f>
        <v>4166.666666666667</v>
      </c>
      <c r="T46" s="85">
        <f>IF(LEFT($D46,5)="Other",
VLOOKUP($A46,'IP1'!$A$37:$G$89,5,0)*
VLOOKUP(
VLOOKUP($A46,'IP1'!$A$37:$G$89,7,0),Patterns!$A$2:$N$28,COLUMN(T46)-14,0)/
VLOOKUP(
VLOOKUP($A46,'IP1'!$A$37:$G$89,7,0),Patterns!$A$2:$N$28,2,0),
IF(LEFT($D46,7)="Payroll",
SUMPRODUCT(($B46='IP1'!$B$96:$B$114)*('IP1'!$E$96:$E$114))/12,
SUMPRODUCT(($B46='IP1'!$B$96:$B$114)*('IP1'!$E$96:$E$114))/12*
IF(YEAR(T$3)=2013,'IP1'!$F$154,'IP1'!$G$154)
))</f>
        <v>4166.666666666667</v>
      </c>
      <c r="U46" s="85">
        <f>IF(LEFT($D46,5)="Other",
VLOOKUP($A46,'IP1'!$A$37:$G$89,5,0)*
VLOOKUP(
VLOOKUP($A46,'IP1'!$A$37:$G$89,7,0),Patterns!$A$2:$N$28,COLUMN(U46)-14,0)/
VLOOKUP(
VLOOKUP($A46,'IP1'!$A$37:$G$89,7,0),Patterns!$A$2:$N$28,2,0),
IF(LEFT($D46,7)="Payroll",
SUMPRODUCT(($B46='IP1'!$B$96:$B$114)*('IP1'!$E$96:$E$114))/12,
SUMPRODUCT(($B46='IP1'!$B$96:$B$114)*('IP1'!$E$96:$E$114))/12*
IF(YEAR(U$3)=2013,'IP1'!$F$154,'IP1'!$G$154)
))</f>
        <v>4166.666666666667</v>
      </c>
      <c r="V46" s="85">
        <f>IF(LEFT($D46,5)="Other",
VLOOKUP($A46,'IP1'!$A$37:$G$89,5,0)*
VLOOKUP(
VLOOKUP($A46,'IP1'!$A$37:$G$89,7,0),Patterns!$A$2:$N$28,COLUMN(V46)-14,0)/
VLOOKUP(
VLOOKUP($A46,'IP1'!$A$37:$G$89,7,0),Patterns!$A$2:$N$28,2,0),
IF(LEFT($D46,7)="Payroll",
SUMPRODUCT(($B46='IP1'!$B$96:$B$114)*('IP1'!$E$96:$E$114))/12,
SUMPRODUCT(($B46='IP1'!$B$96:$B$114)*('IP1'!$E$96:$E$114))/12*
IF(YEAR(V$3)=2013,'IP1'!$F$154,'IP1'!$G$154)
))</f>
        <v>4166.666666666667</v>
      </c>
      <c r="W46" s="85">
        <f>IF(LEFT($D46,5)="Other",
VLOOKUP($A46,'IP1'!$A$37:$G$89,5,0)*
VLOOKUP(
VLOOKUP($A46,'IP1'!$A$37:$G$89,7,0),Patterns!$A$2:$N$28,COLUMN(W46)-14,0)/
VLOOKUP(
VLOOKUP($A46,'IP1'!$A$37:$G$89,7,0),Patterns!$A$2:$N$28,2,0),
IF(LEFT($D46,7)="Payroll",
SUMPRODUCT(($B46='IP1'!$B$96:$B$114)*('IP1'!$E$96:$E$114))/12,
SUMPRODUCT(($B46='IP1'!$B$96:$B$114)*('IP1'!$E$96:$E$114))/12*
IF(YEAR(W$3)=2013,'IP1'!$F$154,'IP1'!$G$154)
))</f>
        <v>4166.666666666667</v>
      </c>
      <c r="X46" s="85">
        <f>IF(LEFT($D46,5)="Other",
VLOOKUP($A46,'IP1'!$A$37:$G$89,5,0)*
VLOOKUP(
VLOOKUP($A46,'IP1'!$A$37:$G$89,7,0),Patterns!$A$2:$N$28,COLUMN(X46)-14,0)/
VLOOKUP(
VLOOKUP($A46,'IP1'!$A$37:$G$89,7,0),Patterns!$A$2:$N$28,2,0),
IF(LEFT($D46,7)="Payroll",
SUMPRODUCT(($B46='IP1'!$B$96:$B$114)*('IP1'!$E$96:$E$114))/12,
SUMPRODUCT(($B46='IP1'!$B$96:$B$114)*('IP1'!$E$96:$E$114))/12*
IF(YEAR(X$3)=2013,'IP1'!$F$154,'IP1'!$G$154)
))</f>
        <v>4166.666666666667</v>
      </c>
      <c r="Y46" s="85">
        <f>IF(LEFT($D46,5)="Other",
VLOOKUP($A46,'IP1'!$A$37:$G$89,5,0)*
VLOOKUP(
VLOOKUP($A46,'IP1'!$A$37:$G$89,7,0),Patterns!$A$2:$N$28,COLUMN(Y46)-14,0)/
VLOOKUP(
VLOOKUP($A46,'IP1'!$A$37:$G$89,7,0),Patterns!$A$2:$N$28,2,0),
IF(LEFT($D46,7)="Payroll",
SUMPRODUCT(($B46='IP1'!$B$96:$B$114)*('IP1'!$E$96:$E$114))/12,
SUMPRODUCT(($B46='IP1'!$B$96:$B$114)*('IP1'!$E$96:$E$114))/12*
IF(YEAR(Y$3)=2013,'IP1'!$F$154,'IP1'!$G$154)
))</f>
        <v>4166.666666666667</v>
      </c>
      <c r="Z46" s="85">
        <f>IF(LEFT($D46,5)="Other",
VLOOKUP($A46,'IP1'!$A$37:$G$89,5,0)*
VLOOKUP(
VLOOKUP($A46,'IP1'!$A$37:$G$89,7,0),Patterns!$A$2:$N$28,COLUMN(Z46)-14,0)/
VLOOKUP(
VLOOKUP($A46,'IP1'!$A$37:$G$89,7,0),Patterns!$A$2:$N$28,2,0),
IF(LEFT($D46,7)="Payroll",
SUMPRODUCT(($B46='IP1'!$B$96:$B$114)*('IP1'!$E$96:$E$114))/12,
SUMPRODUCT(($B46='IP1'!$B$96:$B$114)*('IP1'!$E$96:$E$114))/12*
IF(YEAR(Z$3)=2013,'IP1'!$F$154,'IP1'!$G$154)
))</f>
        <v>4166.666666666667</v>
      </c>
      <c r="AA46" s="85">
        <f>IF(LEFT($D46,5)="Other",
VLOOKUP($A46,'IP1'!$A$37:$G$89,5,0)*
VLOOKUP(
VLOOKUP($A46,'IP1'!$A$37:$G$89,7,0),Patterns!$A$2:$N$28,COLUMN(AA46)-14,0)/
VLOOKUP(
VLOOKUP($A46,'IP1'!$A$37:$G$89,7,0),Patterns!$A$2:$N$28,2,0),
IF(LEFT($D46,7)="Payroll",
SUMPRODUCT(($B46='IP1'!$B$96:$B$114)*('IP1'!$E$96:$E$114))/12,
SUMPRODUCT(($B46='IP1'!$B$96:$B$114)*('IP1'!$E$96:$E$114))/12*
IF(YEAR(AA$3)=2013,'IP1'!$F$154,'IP1'!$G$154)
))</f>
        <v>4166.666666666667</v>
      </c>
      <c r="AB46" s="85">
        <f>IF(LEFT($D46,5)="Other",
VLOOKUP($A46,'IP1'!$A$37:$G$89,5,0)*
VLOOKUP(
VLOOKUP($A46,'IP1'!$A$37:$G$89,7,0),Patterns!$A$2:$N$28,COLUMN(AB46)-14,0)/
VLOOKUP(
VLOOKUP($A46,'IP1'!$A$37:$G$89,7,0),Patterns!$A$2:$N$28,2,0),
IF(LEFT($D46,7)="Payroll",
SUMPRODUCT(($B46='IP1'!$B$96:$B$114)*('IP1'!$E$96:$E$114))/12,
SUMPRODUCT(($B46='IP1'!$B$96:$B$114)*('IP1'!$E$96:$E$114))/12*
IF(YEAR(AB$3)=2013,'IP1'!$F$154,'IP1'!$G$154)
))</f>
        <v>4166.666666666667</v>
      </c>
    </row>
    <row r="47" spans="1:28">
      <c r="A47" s="1" t="str">
        <f t="shared" si="2"/>
        <v xml:space="preserve">OperationsKitchen equipment </v>
      </c>
      <c r="B47" s="1" t="s">
        <v>463</v>
      </c>
      <c r="C47" s="1" t="s">
        <v>468</v>
      </c>
      <c r="D47" s="11" t="s">
        <v>100</v>
      </c>
      <c r="E47" s="85">
        <f>IF(LEFT($D47,5)="Other",
VLOOKUP($A47,'IP1'!$A$37:$G$89,4,0)*
VLOOKUP(
VLOOKUP($A47,'IP1'!$A$37:$G$89,7,0),Patterns!$A$2:$N$28,COLUMN(E47)-2,0)/
VLOOKUP(
VLOOKUP($A47,'IP1'!$A$37:$G$89,7,0),Patterns!$A$2:$N$28,2,0),
IF(LEFT($D47,7)="Payroll",
SUMPRODUCT(($B47='IP1'!$B$96:$B$114)*('IP1'!$D$96:$D$114))/12,
SUMPRODUCT(($B47='IP1'!$B$96:$B$114)*('IP1'!$D$96:$D$114))/12*
IF(YEAR(E$3)=2013,'IP1'!$F$154,'IP1'!$G$154)
))</f>
        <v>416.66666666666669</v>
      </c>
      <c r="F47" s="85">
        <f>IF(LEFT($D47,5)="Other",
VLOOKUP($A47,'IP1'!$A$37:$G$89,4,0)*
VLOOKUP(
VLOOKUP($A47,'IP1'!$A$37:$G$89,7,0),Patterns!$A$2:$N$28,COLUMN(F47)-2,0)/
VLOOKUP(
VLOOKUP($A47,'IP1'!$A$37:$G$89,7,0),Patterns!$A$2:$N$28,2,0),
IF(LEFT($D47,7)="Payroll",
SUMPRODUCT(($B47='IP1'!$B$96:$B$114)*('IP1'!$D$96:$D$114))/12,
SUMPRODUCT(($B47='IP1'!$B$96:$B$114)*('IP1'!$D$96:$D$114))/12*
IF(YEAR(F$3)=2013,'IP1'!$F$154,'IP1'!$G$154)
))</f>
        <v>416.66666666666669</v>
      </c>
      <c r="G47" s="85">
        <f>IF(LEFT($D47,5)="Other",
VLOOKUP($A47,'IP1'!$A$37:$G$89,4,0)*
VLOOKUP(
VLOOKUP($A47,'IP1'!$A$37:$G$89,7,0),Patterns!$A$2:$N$28,COLUMN(G47)-2,0)/
VLOOKUP(
VLOOKUP($A47,'IP1'!$A$37:$G$89,7,0),Patterns!$A$2:$N$28,2,0),
IF(LEFT($D47,7)="Payroll",
SUMPRODUCT(($B47='IP1'!$B$96:$B$114)*('IP1'!$D$96:$D$114))/12,
SUMPRODUCT(($B47='IP1'!$B$96:$B$114)*('IP1'!$D$96:$D$114))/12*
IF(YEAR(G$3)=2013,'IP1'!$F$154,'IP1'!$G$154)
))</f>
        <v>416.66666666666669</v>
      </c>
      <c r="H47" s="85">
        <f>IF(LEFT($D47,5)="Other",
VLOOKUP($A47,'IP1'!$A$37:$G$89,4,0)*
VLOOKUP(
VLOOKUP($A47,'IP1'!$A$37:$G$89,7,0),Patterns!$A$2:$N$28,COLUMN(H47)-2,0)/
VLOOKUP(
VLOOKUP($A47,'IP1'!$A$37:$G$89,7,0),Patterns!$A$2:$N$28,2,0),
IF(LEFT($D47,7)="Payroll",
SUMPRODUCT(($B47='IP1'!$B$96:$B$114)*('IP1'!$D$96:$D$114))/12,
SUMPRODUCT(($B47='IP1'!$B$96:$B$114)*('IP1'!$D$96:$D$114))/12*
IF(YEAR(H$3)=2013,'IP1'!$F$154,'IP1'!$G$154)
))</f>
        <v>416.66666666666669</v>
      </c>
      <c r="I47" s="85">
        <f>IF(LEFT($D47,5)="Other",
VLOOKUP($A47,'IP1'!$A$37:$G$89,4,0)*
VLOOKUP(
VLOOKUP($A47,'IP1'!$A$37:$G$89,7,0),Patterns!$A$2:$N$28,COLUMN(I47)-2,0)/
VLOOKUP(
VLOOKUP($A47,'IP1'!$A$37:$G$89,7,0),Patterns!$A$2:$N$28,2,0),
IF(LEFT($D47,7)="Payroll",
SUMPRODUCT(($B47='IP1'!$B$96:$B$114)*('IP1'!$D$96:$D$114))/12,
SUMPRODUCT(($B47='IP1'!$B$96:$B$114)*('IP1'!$D$96:$D$114))/12*
IF(YEAR(I$3)=2013,'IP1'!$F$154,'IP1'!$G$154)
))</f>
        <v>416.66666666666669</v>
      </c>
      <c r="J47" s="85">
        <f>IF(LEFT($D47,5)="Other",
VLOOKUP($A47,'IP1'!$A$37:$G$89,4,0)*
VLOOKUP(
VLOOKUP($A47,'IP1'!$A$37:$G$89,7,0),Patterns!$A$2:$N$28,COLUMN(J47)-2,0)/
VLOOKUP(
VLOOKUP($A47,'IP1'!$A$37:$G$89,7,0),Patterns!$A$2:$N$28,2,0),
IF(LEFT($D47,7)="Payroll",
SUMPRODUCT(($B47='IP1'!$B$96:$B$114)*('IP1'!$D$96:$D$114))/12,
SUMPRODUCT(($B47='IP1'!$B$96:$B$114)*('IP1'!$D$96:$D$114))/12*
IF(YEAR(J$3)=2013,'IP1'!$F$154,'IP1'!$G$154)
))</f>
        <v>416.66666666666669</v>
      </c>
      <c r="K47" s="85">
        <f>IF(LEFT($D47,5)="Other",
VLOOKUP($A47,'IP1'!$A$37:$G$89,4,0)*
VLOOKUP(
VLOOKUP($A47,'IP1'!$A$37:$G$89,7,0),Patterns!$A$2:$N$28,COLUMN(K47)-2,0)/
VLOOKUP(
VLOOKUP($A47,'IP1'!$A$37:$G$89,7,0),Patterns!$A$2:$N$28,2,0),
IF(LEFT($D47,7)="Payroll",
SUMPRODUCT(($B47='IP1'!$B$96:$B$114)*('IP1'!$D$96:$D$114))/12,
SUMPRODUCT(($B47='IP1'!$B$96:$B$114)*('IP1'!$D$96:$D$114))/12*
IF(YEAR(K$3)=2013,'IP1'!$F$154,'IP1'!$G$154)
))</f>
        <v>416.66666666666669</v>
      </c>
      <c r="L47" s="85">
        <f>IF(LEFT($D47,5)="Other",
VLOOKUP($A47,'IP1'!$A$37:$G$89,4,0)*
VLOOKUP(
VLOOKUP($A47,'IP1'!$A$37:$G$89,7,0),Patterns!$A$2:$N$28,COLUMN(L47)-2,0)/
VLOOKUP(
VLOOKUP($A47,'IP1'!$A$37:$G$89,7,0),Patterns!$A$2:$N$28,2,0),
IF(LEFT($D47,7)="Payroll",
SUMPRODUCT(($B47='IP1'!$B$96:$B$114)*('IP1'!$D$96:$D$114))/12,
SUMPRODUCT(($B47='IP1'!$B$96:$B$114)*('IP1'!$D$96:$D$114))/12*
IF(YEAR(L$3)=2013,'IP1'!$F$154,'IP1'!$G$154)
))</f>
        <v>416.66666666666669</v>
      </c>
      <c r="M47" s="85">
        <f>IF(LEFT($D47,5)="Other",
VLOOKUP($A47,'IP1'!$A$37:$G$89,4,0)*
VLOOKUP(
VLOOKUP($A47,'IP1'!$A$37:$G$89,7,0),Patterns!$A$2:$N$28,COLUMN(M47)-2,0)/
VLOOKUP(
VLOOKUP($A47,'IP1'!$A$37:$G$89,7,0),Patterns!$A$2:$N$28,2,0),
IF(LEFT($D47,7)="Payroll",
SUMPRODUCT(($B47='IP1'!$B$96:$B$114)*('IP1'!$D$96:$D$114))/12,
SUMPRODUCT(($B47='IP1'!$B$96:$B$114)*('IP1'!$D$96:$D$114))/12*
IF(YEAR(M$3)=2013,'IP1'!$F$154,'IP1'!$G$154)
))</f>
        <v>416.66666666666669</v>
      </c>
      <c r="N47" s="85">
        <f>IF(LEFT($D47,5)="Other",
VLOOKUP($A47,'IP1'!$A$37:$G$89,4,0)*
VLOOKUP(
VLOOKUP($A47,'IP1'!$A$37:$G$89,7,0),Patterns!$A$2:$N$28,COLUMN(N47)-2,0)/
VLOOKUP(
VLOOKUP($A47,'IP1'!$A$37:$G$89,7,0),Patterns!$A$2:$N$28,2,0),
IF(LEFT($D47,7)="Payroll",
SUMPRODUCT(($B47='IP1'!$B$96:$B$114)*('IP1'!$D$96:$D$114))/12,
SUMPRODUCT(($B47='IP1'!$B$96:$B$114)*('IP1'!$D$96:$D$114))/12*
IF(YEAR(N$3)=2013,'IP1'!$F$154,'IP1'!$G$154)
))</f>
        <v>416.66666666666669</v>
      </c>
      <c r="O47" s="85">
        <f>IF(LEFT($D47,5)="Other",
VLOOKUP($A47,'IP1'!$A$37:$G$89,4,0)*
VLOOKUP(
VLOOKUP($A47,'IP1'!$A$37:$G$89,7,0),Patterns!$A$2:$N$28,COLUMN(O47)-2,0)/
VLOOKUP(
VLOOKUP($A47,'IP1'!$A$37:$G$89,7,0),Patterns!$A$2:$N$28,2,0),
IF(LEFT($D47,7)="Payroll",
SUMPRODUCT(($B47='IP1'!$B$96:$B$114)*('IP1'!$D$96:$D$114))/12,
SUMPRODUCT(($B47='IP1'!$B$96:$B$114)*('IP1'!$D$96:$D$114))/12*
IF(YEAR(O$3)=2013,'IP1'!$F$154,'IP1'!$G$154)
))</f>
        <v>416.66666666666669</v>
      </c>
      <c r="P47" s="85">
        <f>IF(LEFT($D47,5)="Other",
VLOOKUP($A47,'IP1'!$A$37:$G$89,4,0)*
VLOOKUP(
VLOOKUP($A47,'IP1'!$A$37:$G$89,7,0),Patterns!$A$2:$N$28,COLUMN(P47)-2,0)/
VLOOKUP(
VLOOKUP($A47,'IP1'!$A$37:$G$89,7,0),Patterns!$A$2:$N$28,2,0),
IF(LEFT($D47,7)="Payroll",
SUMPRODUCT(($B47='IP1'!$B$96:$B$114)*('IP1'!$D$96:$D$114))/12,
SUMPRODUCT(($B47='IP1'!$B$96:$B$114)*('IP1'!$D$96:$D$114))/12*
IF(YEAR(P$3)=2013,'IP1'!$F$154,'IP1'!$G$154)
))</f>
        <v>416.66666666666669</v>
      </c>
      <c r="Q47" s="85">
        <f>IF(LEFT($D47,5)="Other",
VLOOKUP($A47,'IP1'!$A$37:$G$89,5,0)*
VLOOKUP(
VLOOKUP($A47,'IP1'!$A$37:$G$89,7,0),Patterns!$A$2:$N$28,COLUMN(Q47)-14,0)/
VLOOKUP(
VLOOKUP($A47,'IP1'!$A$37:$G$89,7,0),Patterns!$A$2:$N$28,2,0),
IF(LEFT($D47,7)="Payroll",
SUMPRODUCT(($B47='IP1'!$B$96:$B$114)*('IP1'!$E$96:$E$114))/12,
SUMPRODUCT(($B47='IP1'!$B$96:$B$114)*('IP1'!$E$96:$E$114))/12*
IF(YEAR(Q$3)=2013,'IP1'!$F$154,'IP1'!$G$154)
))</f>
        <v>416.66666666666669</v>
      </c>
      <c r="R47" s="85">
        <f>IF(LEFT($D47,5)="Other",
VLOOKUP($A47,'IP1'!$A$37:$G$89,5,0)*
VLOOKUP(
VLOOKUP($A47,'IP1'!$A$37:$G$89,7,0),Patterns!$A$2:$N$28,COLUMN(R47)-14,0)/
VLOOKUP(
VLOOKUP($A47,'IP1'!$A$37:$G$89,7,0),Patterns!$A$2:$N$28,2,0),
IF(LEFT($D47,7)="Payroll",
SUMPRODUCT(($B47='IP1'!$B$96:$B$114)*('IP1'!$E$96:$E$114))/12,
SUMPRODUCT(($B47='IP1'!$B$96:$B$114)*('IP1'!$E$96:$E$114))/12*
IF(YEAR(R$3)=2013,'IP1'!$F$154,'IP1'!$G$154)
))</f>
        <v>416.66666666666669</v>
      </c>
      <c r="S47" s="85">
        <f>IF(LEFT($D47,5)="Other",
VLOOKUP($A47,'IP1'!$A$37:$G$89,5,0)*
VLOOKUP(
VLOOKUP($A47,'IP1'!$A$37:$G$89,7,0),Patterns!$A$2:$N$28,COLUMN(S47)-14,0)/
VLOOKUP(
VLOOKUP($A47,'IP1'!$A$37:$G$89,7,0),Patterns!$A$2:$N$28,2,0),
IF(LEFT($D47,7)="Payroll",
SUMPRODUCT(($B47='IP1'!$B$96:$B$114)*('IP1'!$E$96:$E$114))/12,
SUMPRODUCT(($B47='IP1'!$B$96:$B$114)*('IP1'!$E$96:$E$114))/12*
IF(YEAR(S$3)=2013,'IP1'!$F$154,'IP1'!$G$154)
))</f>
        <v>416.66666666666669</v>
      </c>
      <c r="T47" s="85">
        <f>IF(LEFT($D47,5)="Other",
VLOOKUP($A47,'IP1'!$A$37:$G$89,5,0)*
VLOOKUP(
VLOOKUP($A47,'IP1'!$A$37:$G$89,7,0),Patterns!$A$2:$N$28,COLUMN(T47)-14,0)/
VLOOKUP(
VLOOKUP($A47,'IP1'!$A$37:$G$89,7,0),Patterns!$A$2:$N$28,2,0),
IF(LEFT($D47,7)="Payroll",
SUMPRODUCT(($B47='IP1'!$B$96:$B$114)*('IP1'!$E$96:$E$114))/12,
SUMPRODUCT(($B47='IP1'!$B$96:$B$114)*('IP1'!$E$96:$E$114))/12*
IF(YEAR(T$3)=2013,'IP1'!$F$154,'IP1'!$G$154)
))</f>
        <v>416.66666666666669</v>
      </c>
      <c r="U47" s="85">
        <f>IF(LEFT($D47,5)="Other",
VLOOKUP($A47,'IP1'!$A$37:$G$89,5,0)*
VLOOKUP(
VLOOKUP($A47,'IP1'!$A$37:$G$89,7,0),Patterns!$A$2:$N$28,COLUMN(U47)-14,0)/
VLOOKUP(
VLOOKUP($A47,'IP1'!$A$37:$G$89,7,0),Patterns!$A$2:$N$28,2,0),
IF(LEFT($D47,7)="Payroll",
SUMPRODUCT(($B47='IP1'!$B$96:$B$114)*('IP1'!$E$96:$E$114))/12,
SUMPRODUCT(($B47='IP1'!$B$96:$B$114)*('IP1'!$E$96:$E$114))/12*
IF(YEAR(U$3)=2013,'IP1'!$F$154,'IP1'!$G$154)
))</f>
        <v>416.66666666666669</v>
      </c>
      <c r="V47" s="85">
        <f>IF(LEFT($D47,5)="Other",
VLOOKUP($A47,'IP1'!$A$37:$G$89,5,0)*
VLOOKUP(
VLOOKUP($A47,'IP1'!$A$37:$G$89,7,0),Patterns!$A$2:$N$28,COLUMN(V47)-14,0)/
VLOOKUP(
VLOOKUP($A47,'IP1'!$A$37:$G$89,7,0),Patterns!$A$2:$N$28,2,0),
IF(LEFT($D47,7)="Payroll",
SUMPRODUCT(($B47='IP1'!$B$96:$B$114)*('IP1'!$E$96:$E$114))/12,
SUMPRODUCT(($B47='IP1'!$B$96:$B$114)*('IP1'!$E$96:$E$114))/12*
IF(YEAR(V$3)=2013,'IP1'!$F$154,'IP1'!$G$154)
))</f>
        <v>416.66666666666669</v>
      </c>
      <c r="W47" s="85">
        <f>IF(LEFT($D47,5)="Other",
VLOOKUP($A47,'IP1'!$A$37:$G$89,5,0)*
VLOOKUP(
VLOOKUP($A47,'IP1'!$A$37:$G$89,7,0),Patterns!$A$2:$N$28,COLUMN(W47)-14,0)/
VLOOKUP(
VLOOKUP($A47,'IP1'!$A$37:$G$89,7,0),Patterns!$A$2:$N$28,2,0),
IF(LEFT($D47,7)="Payroll",
SUMPRODUCT(($B47='IP1'!$B$96:$B$114)*('IP1'!$E$96:$E$114))/12,
SUMPRODUCT(($B47='IP1'!$B$96:$B$114)*('IP1'!$E$96:$E$114))/12*
IF(YEAR(W$3)=2013,'IP1'!$F$154,'IP1'!$G$154)
))</f>
        <v>416.66666666666669</v>
      </c>
      <c r="X47" s="85">
        <f>IF(LEFT($D47,5)="Other",
VLOOKUP($A47,'IP1'!$A$37:$G$89,5,0)*
VLOOKUP(
VLOOKUP($A47,'IP1'!$A$37:$G$89,7,0),Patterns!$A$2:$N$28,COLUMN(X47)-14,0)/
VLOOKUP(
VLOOKUP($A47,'IP1'!$A$37:$G$89,7,0),Patterns!$A$2:$N$28,2,0),
IF(LEFT($D47,7)="Payroll",
SUMPRODUCT(($B47='IP1'!$B$96:$B$114)*('IP1'!$E$96:$E$114))/12,
SUMPRODUCT(($B47='IP1'!$B$96:$B$114)*('IP1'!$E$96:$E$114))/12*
IF(YEAR(X$3)=2013,'IP1'!$F$154,'IP1'!$G$154)
))</f>
        <v>416.66666666666669</v>
      </c>
      <c r="Y47" s="85">
        <f>IF(LEFT($D47,5)="Other",
VLOOKUP($A47,'IP1'!$A$37:$G$89,5,0)*
VLOOKUP(
VLOOKUP($A47,'IP1'!$A$37:$G$89,7,0),Patterns!$A$2:$N$28,COLUMN(Y47)-14,0)/
VLOOKUP(
VLOOKUP($A47,'IP1'!$A$37:$G$89,7,0),Patterns!$A$2:$N$28,2,0),
IF(LEFT($D47,7)="Payroll",
SUMPRODUCT(($B47='IP1'!$B$96:$B$114)*('IP1'!$E$96:$E$114))/12,
SUMPRODUCT(($B47='IP1'!$B$96:$B$114)*('IP1'!$E$96:$E$114))/12*
IF(YEAR(Y$3)=2013,'IP1'!$F$154,'IP1'!$G$154)
))</f>
        <v>416.66666666666669</v>
      </c>
      <c r="Z47" s="85">
        <f>IF(LEFT($D47,5)="Other",
VLOOKUP($A47,'IP1'!$A$37:$G$89,5,0)*
VLOOKUP(
VLOOKUP($A47,'IP1'!$A$37:$G$89,7,0),Patterns!$A$2:$N$28,COLUMN(Z47)-14,0)/
VLOOKUP(
VLOOKUP($A47,'IP1'!$A$37:$G$89,7,0),Patterns!$A$2:$N$28,2,0),
IF(LEFT($D47,7)="Payroll",
SUMPRODUCT(($B47='IP1'!$B$96:$B$114)*('IP1'!$E$96:$E$114))/12,
SUMPRODUCT(($B47='IP1'!$B$96:$B$114)*('IP1'!$E$96:$E$114))/12*
IF(YEAR(Z$3)=2013,'IP1'!$F$154,'IP1'!$G$154)
))</f>
        <v>416.66666666666669</v>
      </c>
      <c r="AA47" s="85">
        <f>IF(LEFT($D47,5)="Other",
VLOOKUP($A47,'IP1'!$A$37:$G$89,5,0)*
VLOOKUP(
VLOOKUP($A47,'IP1'!$A$37:$G$89,7,0),Patterns!$A$2:$N$28,COLUMN(AA47)-14,0)/
VLOOKUP(
VLOOKUP($A47,'IP1'!$A$37:$G$89,7,0),Patterns!$A$2:$N$28,2,0),
IF(LEFT($D47,7)="Payroll",
SUMPRODUCT(($B47='IP1'!$B$96:$B$114)*('IP1'!$E$96:$E$114))/12,
SUMPRODUCT(($B47='IP1'!$B$96:$B$114)*('IP1'!$E$96:$E$114))/12*
IF(YEAR(AA$3)=2013,'IP1'!$F$154,'IP1'!$G$154)
))</f>
        <v>416.66666666666669</v>
      </c>
      <c r="AB47" s="85">
        <f>IF(LEFT($D47,5)="Other",
VLOOKUP($A47,'IP1'!$A$37:$G$89,5,0)*
VLOOKUP(
VLOOKUP($A47,'IP1'!$A$37:$G$89,7,0),Patterns!$A$2:$N$28,COLUMN(AB47)-14,0)/
VLOOKUP(
VLOOKUP($A47,'IP1'!$A$37:$G$89,7,0),Patterns!$A$2:$N$28,2,0),
IF(LEFT($D47,7)="Payroll",
SUMPRODUCT(($B47='IP1'!$B$96:$B$114)*('IP1'!$E$96:$E$114))/12,
SUMPRODUCT(($B47='IP1'!$B$96:$B$114)*('IP1'!$E$96:$E$114))/12*
IF(YEAR(AB$3)=2013,'IP1'!$F$154,'IP1'!$G$154)
))</f>
        <v>416.66666666666669</v>
      </c>
    </row>
    <row r="48" spans="1:28">
      <c r="A48" s="1" t="str">
        <f t="shared" si="2"/>
        <v xml:space="preserve">OperationsLaundry equipment </v>
      </c>
      <c r="B48" s="1" t="s">
        <v>463</v>
      </c>
      <c r="C48" s="1" t="s">
        <v>469</v>
      </c>
      <c r="D48" s="11" t="s">
        <v>100</v>
      </c>
      <c r="E48" s="85">
        <f>IF(LEFT($D48,5)="Other",
VLOOKUP($A48,'IP1'!$A$37:$G$89,4,0)*
VLOOKUP(
VLOOKUP($A48,'IP1'!$A$37:$G$89,7,0),Patterns!$A$2:$N$28,COLUMN(E48)-2,0)/
VLOOKUP(
VLOOKUP($A48,'IP1'!$A$37:$G$89,7,0),Patterns!$A$2:$N$28,2,0),
IF(LEFT($D48,7)="Payroll",
SUMPRODUCT(($B48='IP1'!$B$96:$B$114)*('IP1'!$D$96:$D$114))/12,
SUMPRODUCT(($B48='IP1'!$B$96:$B$114)*('IP1'!$D$96:$D$114))/12*
IF(YEAR(E$3)=2013,'IP1'!$F$154,'IP1'!$G$154)
))</f>
        <v>416.66666666666669</v>
      </c>
      <c r="F48" s="85">
        <f>IF(LEFT($D48,5)="Other",
VLOOKUP($A48,'IP1'!$A$37:$G$89,4,0)*
VLOOKUP(
VLOOKUP($A48,'IP1'!$A$37:$G$89,7,0),Patterns!$A$2:$N$28,COLUMN(F48)-2,0)/
VLOOKUP(
VLOOKUP($A48,'IP1'!$A$37:$G$89,7,0),Patterns!$A$2:$N$28,2,0),
IF(LEFT($D48,7)="Payroll",
SUMPRODUCT(($B48='IP1'!$B$96:$B$114)*('IP1'!$D$96:$D$114))/12,
SUMPRODUCT(($B48='IP1'!$B$96:$B$114)*('IP1'!$D$96:$D$114))/12*
IF(YEAR(F$3)=2013,'IP1'!$F$154,'IP1'!$G$154)
))</f>
        <v>416.66666666666669</v>
      </c>
      <c r="G48" s="85">
        <f>IF(LEFT($D48,5)="Other",
VLOOKUP($A48,'IP1'!$A$37:$G$89,4,0)*
VLOOKUP(
VLOOKUP($A48,'IP1'!$A$37:$G$89,7,0),Patterns!$A$2:$N$28,COLUMN(G48)-2,0)/
VLOOKUP(
VLOOKUP($A48,'IP1'!$A$37:$G$89,7,0),Patterns!$A$2:$N$28,2,0),
IF(LEFT($D48,7)="Payroll",
SUMPRODUCT(($B48='IP1'!$B$96:$B$114)*('IP1'!$D$96:$D$114))/12,
SUMPRODUCT(($B48='IP1'!$B$96:$B$114)*('IP1'!$D$96:$D$114))/12*
IF(YEAR(G$3)=2013,'IP1'!$F$154,'IP1'!$G$154)
))</f>
        <v>416.66666666666669</v>
      </c>
      <c r="H48" s="85">
        <f>IF(LEFT($D48,5)="Other",
VLOOKUP($A48,'IP1'!$A$37:$G$89,4,0)*
VLOOKUP(
VLOOKUP($A48,'IP1'!$A$37:$G$89,7,0),Patterns!$A$2:$N$28,COLUMN(H48)-2,0)/
VLOOKUP(
VLOOKUP($A48,'IP1'!$A$37:$G$89,7,0),Patterns!$A$2:$N$28,2,0),
IF(LEFT($D48,7)="Payroll",
SUMPRODUCT(($B48='IP1'!$B$96:$B$114)*('IP1'!$D$96:$D$114))/12,
SUMPRODUCT(($B48='IP1'!$B$96:$B$114)*('IP1'!$D$96:$D$114))/12*
IF(YEAR(H$3)=2013,'IP1'!$F$154,'IP1'!$G$154)
))</f>
        <v>416.66666666666669</v>
      </c>
      <c r="I48" s="85">
        <f>IF(LEFT($D48,5)="Other",
VLOOKUP($A48,'IP1'!$A$37:$G$89,4,0)*
VLOOKUP(
VLOOKUP($A48,'IP1'!$A$37:$G$89,7,0),Patterns!$A$2:$N$28,COLUMN(I48)-2,0)/
VLOOKUP(
VLOOKUP($A48,'IP1'!$A$37:$G$89,7,0),Patterns!$A$2:$N$28,2,0),
IF(LEFT($D48,7)="Payroll",
SUMPRODUCT(($B48='IP1'!$B$96:$B$114)*('IP1'!$D$96:$D$114))/12,
SUMPRODUCT(($B48='IP1'!$B$96:$B$114)*('IP1'!$D$96:$D$114))/12*
IF(YEAR(I$3)=2013,'IP1'!$F$154,'IP1'!$G$154)
))</f>
        <v>416.66666666666669</v>
      </c>
      <c r="J48" s="85">
        <f>IF(LEFT($D48,5)="Other",
VLOOKUP($A48,'IP1'!$A$37:$G$89,4,0)*
VLOOKUP(
VLOOKUP($A48,'IP1'!$A$37:$G$89,7,0),Patterns!$A$2:$N$28,COLUMN(J48)-2,0)/
VLOOKUP(
VLOOKUP($A48,'IP1'!$A$37:$G$89,7,0),Patterns!$A$2:$N$28,2,0),
IF(LEFT($D48,7)="Payroll",
SUMPRODUCT(($B48='IP1'!$B$96:$B$114)*('IP1'!$D$96:$D$114))/12,
SUMPRODUCT(($B48='IP1'!$B$96:$B$114)*('IP1'!$D$96:$D$114))/12*
IF(YEAR(J$3)=2013,'IP1'!$F$154,'IP1'!$G$154)
))</f>
        <v>416.66666666666669</v>
      </c>
      <c r="K48" s="85">
        <f>IF(LEFT($D48,5)="Other",
VLOOKUP($A48,'IP1'!$A$37:$G$89,4,0)*
VLOOKUP(
VLOOKUP($A48,'IP1'!$A$37:$G$89,7,0),Patterns!$A$2:$N$28,COLUMN(K48)-2,0)/
VLOOKUP(
VLOOKUP($A48,'IP1'!$A$37:$G$89,7,0),Patterns!$A$2:$N$28,2,0),
IF(LEFT($D48,7)="Payroll",
SUMPRODUCT(($B48='IP1'!$B$96:$B$114)*('IP1'!$D$96:$D$114))/12,
SUMPRODUCT(($B48='IP1'!$B$96:$B$114)*('IP1'!$D$96:$D$114))/12*
IF(YEAR(K$3)=2013,'IP1'!$F$154,'IP1'!$G$154)
))</f>
        <v>416.66666666666669</v>
      </c>
      <c r="L48" s="85">
        <f>IF(LEFT($D48,5)="Other",
VLOOKUP($A48,'IP1'!$A$37:$G$89,4,0)*
VLOOKUP(
VLOOKUP($A48,'IP1'!$A$37:$G$89,7,0),Patterns!$A$2:$N$28,COLUMN(L48)-2,0)/
VLOOKUP(
VLOOKUP($A48,'IP1'!$A$37:$G$89,7,0),Patterns!$A$2:$N$28,2,0),
IF(LEFT($D48,7)="Payroll",
SUMPRODUCT(($B48='IP1'!$B$96:$B$114)*('IP1'!$D$96:$D$114))/12,
SUMPRODUCT(($B48='IP1'!$B$96:$B$114)*('IP1'!$D$96:$D$114))/12*
IF(YEAR(L$3)=2013,'IP1'!$F$154,'IP1'!$G$154)
))</f>
        <v>416.66666666666669</v>
      </c>
      <c r="M48" s="85">
        <f>IF(LEFT($D48,5)="Other",
VLOOKUP($A48,'IP1'!$A$37:$G$89,4,0)*
VLOOKUP(
VLOOKUP($A48,'IP1'!$A$37:$G$89,7,0),Patterns!$A$2:$N$28,COLUMN(M48)-2,0)/
VLOOKUP(
VLOOKUP($A48,'IP1'!$A$37:$G$89,7,0),Patterns!$A$2:$N$28,2,0),
IF(LEFT($D48,7)="Payroll",
SUMPRODUCT(($B48='IP1'!$B$96:$B$114)*('IP1'!$D$96:$D$114))/12,
SUMPRODUCT(($B48='IP1'!$B$96:$B$114)*('IP1'!$D$96:$D$114))/12*
IF(YEAR(M$3)=2013,'IP1'!$F$154,'IP1'!$G$154)
))</f>
        <v>416.66666666666669</v>
      </c>
      <c r="N48" s="85">
        <f>IF(LEFT($D48,5)="Other",
VLOOKUP($A48,'IP1'!$A$37:$G$89,4,0)*
VLOOKUP(
VLOOKUP($A48,'IP1'!$A$37:$G$89,7,0),Patterns!$A$2:$N$28,COLUMN(N48)-2,0)/
VLOOKUP(
VLOOKUP($A48,'IP1'!$A$37:$G$89,7,0),Patterns!$A$2:$N$28,2,0),
IF(LEFT($D48,7)="Payroll",
SUMPRODUCT(($B48='IP1'!$B$96:$B$114)*('IP1'!$D$96:$D$114))/12,
SUMPRODUCT(($B48='IP1'!$B$96:$B$114)*('IP1'!$D$96:$D$114))/12*
IF(YEAR(N$3)=2013,'IP1'!$F$154,'IP1'!$G$154)
))</f>
        <v>416.66666666666669</v>
      </c>
      <c r="O48" s="85">
        <f>IF(LEFT($D48,5)="Other",
VLOOKUP($A48,'IP1'!$A$37:$G$89,4,0)*
VLOOKUP(
VLOOKUP($A48,'IP1'!$A$37:$G$89,7,0),Patterns!$A$2:$N$28,COLUMN(O48)-2,0)/
VLOOKUP(
VLOOKUP($A48,'IP1'!$A$37:$G$89,7,0),Patterns!$A$2:$N$28,2,0),
IF(LEFT($D48,7)="Payroll",
SUMPRODUCT(($B48='IP1'!$B$96:$B$114)*('IP1'!$D$96:$D$114))/12,
SUMPRODUCT(($B48='IP1'!$B$96:$B$114)*('IP1'!$D$96:$D$114))/12*
IF(YEAR(O$3)=2013,'IP1'!$F$154,'IP1'!$G$154)
))</f>
        <v>416.66666666666669</v>
      </c>
      <c r="P48" s="85">
        <f>IF(LEFT($D48,5)="Other",
VLOOKUP($A48,'IP1'!$A$37:$G$89,4,0)*
VLOOKUP(
VLOOKUP($A48,'IP1'!$A$37:$G$89,7,0),Patterns!$A$2:$N$28,COLUMN(P48)-2,0)/
VLOOKUP(
VLOOKUP($A48,'IP1'!$A$37:$G$89,7,0),Patterns!$A$2:$N$28,2,0),
IF(LEFT($D48,7)="Payroll",
SUMPRODUCT(($B48='IP1'!$B$96:$B$114)*('IP1'!$D$96:$D$114))/12,
SUMPRODUCT(($B48='IP1'!$B$96:$B$114)*('IP1'!$D$96:$D$114))/12*
IF(YEAR(P$3)=2013,'IP1'!$F$154,'IP1'!$G$154)
))</f>
        <v>416.66666666666669</v>
      </c>
      <c r="Q48" s="85">
        <f>IF(LEFT($D48,5)="Other",
VLOOKUP($A48,'IP1'!$A$37:$G$89,5,0)*
VLOOKUP(
VLOOKUP($A48,'IP1'!$A$37:$G$89,7,0),Patterns!$A$2:$N$28,COLUMN(Q48)-14,0)/
VLOOKUP(
VLOOKUP($A48,'IP1'!$A$37:$G$89,7,0),Patterns!$A$2:$N$28,2,0),
IF(LEFT($D48,7)="Payroll",
SUMPRODUCT(($B48='IP1'!$B$96:$B$114)*('IP1'!$E$96:$E$114))/12,
SUMPRODUCT(($B48='IP1'!$B$96:$B$114)*('IP1'!$E$96:$E$114))/12*
IF(YEAR(Q$3)=2013,'IP1'!$F$154,'IP1'!$G$154)
))</f>
        <v>416.66666666666669</v>
      </c>
      <c r="R48" s="85">
        <f>IF(LEFT($D48,5)="Other",
VLOOKUP($A48,'IP1'!$A$37:$G$89,5,0)*
VLOOKUP(
VLOOKUP($A48,'IP1'!$A$37:$G$89,7,0),Patterns!$A$2:$N$28,COLUMN(R48)-14,0)/
VLOOKUP(
VLOOKUP($A48,'IP1'!$A$37:$G$89,7,0),Patterns!$A$2:$N$28,2,0),
IF(LEFT($D48,7)="Payroll",
SUMPRODUCT(($B48='IP1'!$B$96:$B$114)*('IP1'!$E$96:$E$114))/12,
SUMPRODUCT(($B48='IP1'!$B$96:$B$114)*('IP1'!$E$96:$E$114))/12*
IF(YEAR(R$3)=2013,'IP1'!$F$154,'IP1'!$G$154)
))</f>
        <v>416.66666666666669</v>
      </c>
      <c r="S48" s="85">
        <f>IF(LEFT($D48,5)="Other",
VLOOKUP($A48,'IP1'!$A$37:$G$89,5,0)*
VLOOKUP(
VLOOKUP($A48,'IP1'!$A$37:$G$89,7,0),Patterns!$A$2:$N$28,COLUMN(S48)-14,0)/
VLOOKUP(
VLOOKUP($A48,'IP1'!$A$37:$G$89,7,0),Patterns!$A$2:$N$28,2,0),
IF(LEFT($D48,7)="Payroll",
SUMPRODUCT(($B48='IP1'!$B$96:$B$114)*('IP1'!$E$96:$E$114))/12,
SUMPRODUCT(($B48='IP1'!$B$96:$B$114)*('IP1'!$E$96:$E$114))/12*
IF(YEAR(S$3)=2013,'IP1'!$F$154,'IP1'!$G$154)
))</f>
        <v>416.66666666666669</v>
      </c>
      <c r="T48" s="85">
        <f>IF(LEFT($D48,5)="Other",
VLOOKUP($A48,'IP1'!$A$37:$G$89,5,0)*
VLOOKUP(
VLOOKUP($A48,'IP1'!$A$37:$G$89,7,0),Patterns!$A$2:$N$28,COLUMN(T48)-14,0)/
VLOOKUP(
VLOOKUP($A48,'IP1'!$A$37:$G$89,7,0),Patterns!$A$2:$N$28,2,0),
IF(LEFT($D48,7)="Payroll",
SUMPRODUCT(($B48='IP1'!$B$96:$B$114)*('IP1'!$E$96:$E$114))/12,
SUMPRODUCT(($B48='IP1'!$B$96:$B$114)*('IP1'!$E$96:$E$114))/12*
IF(YEAR(T$3)=2013,'IP1'!$F$154,'IP1'!$G$154)
))</f>
        <v>416.66666666666669</v>
      </c>
      <c r="U48" s="85">
        <f>IF(LEFT($D48,5)="Other",
VLOOKUP($A48,'IP1'!$A$37:$G$89,5,0)*
VLOOKUP(
VLOOKUP($A48,'IP1'!$A$37:$G$89,7,0),Patterns!$A$2:$N$28,COLUMN(U48)-14,0)/
VLOOKUP(
VLOOKUP($A48,'IP1'!$A$37:$G$89,7,0),Patterns!$A$2:$N$28,2,0),
IF(LEFT($D48,7)="Payroll",
SUMPRODUCT(($B48='IP1'!$B$96:$B$114)*('IP1'!$E$96:$E$114))/12,
SUMPRODUCT(($B48='IP1'!$B$96:$B$114)*('IP1'!$E$96:$E$114))/12*
IF(YEAR(U$3)=2013,'IP1'!$F$154,'IP1'!$G$154)
))</f>
        <v>416.66666666666669</v>
      </c>
      <c r="V48" s="85">
        <f>IF(LEFT($D48,5)="Other",
VLOOKUP($A48,'IP1'!$A$37:$G$89,5,0)*
VLOOKUP(
VLOOKUP($A48,'IP1'!$A$37:$G$89,7,0),Patterns!$A$2:$N$28,COLUMN(V48)-14,0)/
VLOOKUP(
VLOOKUP($A48,'IP1'!$A$37:$G$89,7,0),Patterns!$A$2:$N$28,2,0),
IF(LEFT($D48,7)="Payroll",
SUMPRODUCT(($B48='IP1'!$B$96:$B$114)*('IP1'!$E$96:$E$114))/12,
SUMPRODUCT(($B48='IP1'!$B$96:$B$114)*('IP1'!$E$96:$E$114))/12*
IF(YEAR(V$3)=2013,'IP1'!$F$154,'IP1'!$G$154)
))</f>
        <v>416.66666666666669</v>
      </c>
      <c r="W48" s="85">
        <f>IF(LEFT($D48,5)="Other",
VLOOKUP($A48,'IP1'!$A$37:$G$89,5,0)*
VLOOKUP(
VLOOKUP($A48,'IP1'!$A$37:$G$89,7,0),Patterns!$A$2:$N$28,COLUMN(W48)-14,0)/
VLOOKUP(
VLOOKUP($A48,'IP1'!$A$37:$G$89,7,0),Patterns!$A$2:$N$28,2,0),
IF(LEFT($D48,7)="Payroll",
SUMPRODUCT(($B48='IP1'!$B$96:$B$114)*('IP1'!$E$96:$E$114))/12,
SUMPRODUCT(($B48='IP1'!$B$96:$B$114)*('IP1'!$E$96:$E$114))/12*
IF(YEAR(W$3)=2013,'IP1'!$F$154,'IP1'!$G$154)
))</f>
        <v>416.66666666666669</v>
      </c>
      <c r="X48" s="85">
        <f>IF(LEFT($D48,5)="Other",
VLOOKUP($A48,'IP1'!$A$37:$G$89,5,0)*
VLOOKUP(
VLOOKUP($A48,'IP1'!$A$37:$G$89,7,0),Patterns!$A$2:$N$28,COLUMN(X48)-14,0)/
VLOOKUP(
VLOOKUP($A48,'IP1'!$A$37:$G$89,7,0),Patterns!$A$2:$N$28,2,0),
IF(LEFT($D48,7)="Payroll",
SUMPRODUCT(($B48='IP1'!$B$96:$B$114)*('IP1'!$E$96:$E$114))/12,
SUMPRODUCT(($B48='IP1'!$B$96:$B$114)*('IP1'!$E$96:$E$114))/12*
IF(YEAR(X$3)=2013,'IP1'!$F$154,'IP1'!$G$154)
))</f>
        <v>416.66666666666669</v>
      </c>
      <c r="Y48" s="85">
        <f>IF(LEFT($D48,5)="Other",
VLOOKUP($A48,'IP1'!$A$37:$G$89,5,0)*
VLOOKUP(
VLOOKUP($A48,'IP1'!$A$37:$G$89,7,0),Patterns!$A$2:$N$28,COLUMN(Y48)-14,0)/
VLOOKUP(
VLOOKUP($A48,'IP1'!$A$37:$G$89,7,0),Patterns!$A$2:$N$28,2,0),
IF(LEFT($D48,7)="Payroll",
SUMPRODUCT(($B48='IP1'!$B$96:$B$114)*('IP1'!$E$96:$E$114))/12,
SUMPRODUCT(($B48='IP1'!$B$96:$B$114)*('IP1'!$E$96:$E$114))/12*
IF(YEAR(Y$3)=2013,'IP1'!$F$154,'IP1'!$G$154)
))</f>
        <v>416.66666666666669</v>
      </c>
      <c r="Z48" s="85">
        <f>IF(LEFT($D48,5)="Other",
VLOOKUP($A48,'IP1'!$A$37:$G$89,5,0)*
VLOOKUP(
VLOOKUP($A48,'IP1'!$A$37:$G$89,7,0),Patterns!$A$2:$N$28,COLUMN(Z48)-14,0)/
VLOOKUP(
VLOOKUP($A48,'IP1'!$A$37:$G$89,7,0),Patterns!$A$2:$N$28,2,0),
IF(LEFT($D48,7)="Payroll",
SUMPRODUCT(($B48='IP1'!$B$96:$B$114)*('IP1'!$E$96:$E$114))/12,
SUMPRODUCT(($B48='IP1'!$B$96:$B$114)*('IP1'!$E$96:$E$114))/12*
IF(YEAR(Z$3)=2013,'IP1'!$F$154,'IP1'!$G$154)
))</f>
        <v>416.66666666666669</v>
      </c>
      <c r="AA48" s="85">
        <f>IF(LEFT($D48,5)="Other",
VLOOKUP($A48,'IP1'!$A$37:$G$89,5,0)*
VLOOKUP(
VLOOKUP($A48,'IP1'!$A$37:$G$89,7,0),Patterns!$A$2:$N$28,COLUMN(AA48)-14,0)/
VLOOKUP(
VLOOKUP($A48,'IP1'!$A$37:$G$89,7,0),Patterns!$A$2:$N$28,2,0),
IF(LEFT($D48,7)="Payroll",
SUMPRODUCT(($B48='IP1'!$B$96:$B$114)*('IP1'!$E$96:$E$114))/12,
SUMPRODUCT(($B48='IP1'!$B$96:$B$114)*('IP1'!$E$96:$E$114))/12*
IF(YEAR(AA$3)=2013,'IP1'!$F$154,'IP1'!$G$154)
))</f>
        <v>416.66666666666669</v>
      </c>
      <c r="AB48" s="85">
        <f>IF(LEFT($D48,5)="Other",
VLOOKUP($A48,'IP1'!$A$37:$G$89,5,0)*
VLOOKUP(
VLOOKUP($A48,'IP1'!$A$37:$G$89,7,0),Patterns!$A$2:$N$28,COLUMN(AB48)-14,0)/
VLOOKUP(
VLOOKUP($A48,'IP1'!$A$37:$G$89,7,0),Patterns!$A$2:$N$28,2,0),
IF(LEFT($D48,7)="Payroll",
SUMPRODUCT(($B48='IP1'!$B$96:$B$114)*('IP1'!$E$96:$E$114))/12,
SUMPRODUCT(($B48='IP1'!$B$96:$B$114)*('IP1'!$E$96:$E$114))/12*
IF(YEAR(AB$3)=2013,'IP1'!$F$154,'IP1'!$G$154)
))</f>
        <v>416.66666666666669</v>
      </c>
    </row>
    <row r="49" spans="1:28">
      <c r="A49" s="1" t="str">
        <f t="shared" si="2"/>
        <v xml:space="preserve">OperationsLife/safety </v>
      </c>
      <c r="B49" s="1" t="s">
        <v>463</v>
      </c>
      <c r="C49" s="1" t="s">
        <v>470</v>
      </c>
      <c r="D49" s="11" t="s">
        <v>100</v>
      </c>
      <c r="E49" s="85">
        <f>IF(LEFT($D49,5)="Other",
VLOOKUP($A49,'IP1'!$A$37:$G$89,4,0)*
VLOOKUP(
VLOOKUP($A49,'IP1'!$A$37:$G$89,7,0),Patterns!$A$2:$N$28,COLUMN(E49)-2,0)/
VLOOKUP(
VLOOKUP($A49,'IP1'!$A$37:$G$89,7,0),Patterns!$A$2:$N$28,2,0),
IF(LEFT($D49,7)="Payroll",
SUMPRODUCT(($B49='IP1'!$B$96:$B$114)*('IP1'!$D$96:$D$114))/12,
SUMPRODUCT(($B49='IP1'!$B$96:$B$114)*('IP1'!$D$96:$D$114))/12*
IF(YEAR(E$3)=2013,'IP1'!$F$154,'IP1'!$G$154)
))</f>
        <v>625</v>
      </c>
      <c r="F49" s="85">
        <f>IF(LEFT($D49,5)="Other",
VLOOKUP($A49,'IP1'!$A$37:$G$89,4,0)*
VLOOKUP(
VLOOKUP($A49,'IP1'!$A$37:$G$89,7,0),Patterns!$A$2:$N$28,COLUMN(F49)-2,0)/
VLOOKUP(
VLOOKUP($A49,'IP1'!$A$37:$G$89,7,0),Patterns!$A$2:$N$28,2,0),
IF(LEFT($D49,7)="Payroll",
SUMPRODUCT(($B49='IP1'!$B$96:$B$114)*('IP1'!$D$96:$D$114))/12,
SUMPRODUCT(($B49='IP1'!$B$96:$B$114)*('IP1'!$D$96:$D$114))/12*
IF(YEAR(F$3)=2013,'IP1'!$F$154,'IP1'!$G$154)
))</f>
        <v>625</v>
      </c>
      <c r="G49" s="85">
        <f>IF(LEFT($D49,5)="Other",
VLOOKUP($A49,'IP1'!$A$37:$G$89,4,0)*
VLOOKUP(
VLOOKUP($A49,'IP1'!$A$37:$G$89,7,0),Patterns!$A$2:$N$28,COLUMN(G49)-2,0)/
VLOOKUP(
VLOOKUP($A49,'IP1'!$A$37:$G$89,7,0),Patterns!$A$2:$N$28,2,0),
IF(LEFT($D49,7)="Payroll",
SUMPRODUCT(($B49='IP1'!$B$96:$B$114)*('IP1'!$D$96:$D$114))/12,
SUMPRODUCT(($B49='IP1'!$B$96:$B$114)*('IP1'!$D$96:$D$114))/12*
IF(YEAR(G$3)=2013,'IP1'!$F$154,'IP1'!$G$154)
))</f>
        <v>625</v>
      </c>
      <c r="H49" s="85">
        <f>IF(LEFT($D49,5)="Other",
VLOOKUP($A49,'IP1'!$A$37:$G$89,4,0)*
VLOOKUP(
VLOOKUP($A49,'IP1'!$A$37:$G$89,7,0),Patterns!$A$2:$N$28,COLUMN(H49)-2,0)/
VLOOKUP(
VLOOKUP($A49,'IP1'!$A$37:$G$89,7,0),Patterns!$A$2:$N$28,2,0),
IF(LEFT($D49,7)="Payroll",
SUMPRODUCT(($B49='IP1'!$B$96:$B$114)*('IP1'!$D$96:$D$114))/12,
SUMPRODUCT(($B49='IP1'!$B$96:$B$114)*('IP1'!$D$96:$D$114))/12*
IF(YEAR(H$3)=2013,'IP1'!$F$154,'IP1'!$G$154)
))</f>
        <v>625</v>
      </c>
      <c r="I49" s="85">
        <f>IF(LEFT($D49,5)="Other",
VLOOKUP($A49,'IP1'!$A$37:$G$89,4,0)*
VLOOKUP(
VLOOKUP($A49,'IP1'!$A$37:$G$89,7,0),Patterns!$A$2:$N$28,COLUMN(I49)-2,0)/
VLOOKUP(
VLOOKUP($A49,'IP1'!$A$37:$G$89,7,0),Patterns!$A$2:$N$28,2,0),
IF(LEFT($D49,7)="Payroll",
SUMPRODUCT(($B49='IP1'!$B$96:$B$114)*('IP1'!$D$96:$D$114))/12,
SUMPRODUCT(($B49='IP1'!$B$96:$B$114)*('IP1'!$D$96:$D$114))/12*
IF(YEAR(I$3)=2013,'IP1'!$F$154,'IP1'!$G$154)
))</f>
        <v>625</v>
      </c>
      <c r="J49" s="85">
        <f>IF(LEFT($D49,5)="Other",
VLOOKUP($A49,'IP1'!$A$37:$G$89,4,0)*
VLOOKUP(
VLOOKUP($A49,'IP1'!$A$37:$G$89,7,0),Patterns!$A$2:$N$28,COLUMN(J49)-2,0)/
VLOOKUP(
VLOOKUP($A49,'IP1'!$A$37:$G$89,7,0),Patterns!$A$2:$N$28,2,0),
IF(LEFT($D49,7)="Payroll",
SUMPRODUCT(($B49='IP1'!$B$96:$B$114)*('IP1'!$D$96:$D$114))/12,
SUMPRODUCT(($B49='IP1'!$B$96:$B$114)*('IP1'!$D$96:$D$114))/12*
IF(YEAR(J$3)=2013,'IP1'!$F$154,'IP1'!$G$154)
))</f>
        <v>625</v>
      </c>
      <c r="K49" s="85">
        <f>IF(LEFT($D49,5)="Other",
VLOOKUP($A49,'IP1'!$A$37:$G$89,4,0)*
VLOOKUP(
VLOOKUP($A49,'IP1'!$A$37:$G$89,7,0),Patterns!$A$2:$N$28,COLUMN(K49)-2,0)/
VLOOKUP(
VLOOKUP($A49,'IP1'!$A$37:$G$89,7,0),Patterns!$A$2:$N$28,2,0),
IF(LEFT($D49,7)="Payroll",
SUMPRODUCT(($B49='IP1'!$B$96:$B$114)*('IP1'!$D$96:$D$114))/12,
SUMPRODUCT(($B49='IP1'!$B$96:$B$114)*('IP1'!$D$96:$D$114))/12*
IF(YEAR(K$3)=2013,'IP1'!$F$154,'IP1'!$G$154)
))</f>
        <v>625</v>
      </c>
      <c r="L49" s="85">
        <f>IF(LEFT($D49,5)="Other",
VLOOKUP($A49,'IP1'!$A$37:$G$89,4,0)*
VLOOKUP(
VLOOKUP($A49,'IP1'!$A$37:$G$89,7,0),Patterns!$A$2:$N$28,COLUMN(L49)-2,0)/
VLOOKUP(
VLOOKUP($A49,'IP1'!$A$37:$G$89,7,0),Patterns!$A$2:$N$28,2,0),
IF(LEFT($D49,7)="Payroll",
SUMPRODUCT(($B49='IP1'!$B$96:$B$114)*('IP1'!$D$96:$D$114))/12,
SUMPRODUCT(($B49='IP1'!$B$96:$B$114)*('IP1'!$D$96:$D$114))/12*
IF(YEAR(L$3)=2013,'IP1'!$F$154,'IP1'!$G$154)
))</f>
        <v>625</v>
      </c>
      <c r="M49" s="85">
        <f>IF(LEFT($D49,5)="Other",
VLOOKUP($A49,'IP1'!$A$37:$G$89,4,0)*
VLOOKUP(
VLOOKUP($A49,'IP1'!$A$37:$G$89,7,0),Patterns!$A$2:$N$28,COLUMN(M49)-2,0)/
VLOOKUP(
VLOOKUP($A49,'IP1'!$A$37:$G$89,7,0),Patterns!$A$2:$N$28,2,0),
IF(LEFT($D49,7)="Payroll",
SUMPRODUCT(($B49='IP1'!$B$96:$B$114)*('IP1'!$D$96:$D$114))/12,
SUMPRODUCT(($B49='IP1'!$B$96:$B$114)*('IP1'!$D$96:$D$114))/12*
IF(YEAR(M$3)=2013,'IP1'!$F$154,'IP1'!$G$154)
))</f>
        <v>625</v>
      </c>
      <c r="N49" s="85">
        <f>IF(LEFT($D49,5)="Other",
VLOOKUP($A49,'IP1'!$A$37:$G$89,4,0)*
VLOOKUP(
VLOOKUP($A49,'IP1'!$A$37:$G$89,7,0),Patterns!$A$2:$N$28,COLUMN(N49)-2,0)/
VLOOKUP(
VLOOKUP($A49,'IP1'!$A$37:$G$89,7,0),Patterns!$A$2:$N$28,2,0),
IF(LEFT($D49,7)="Payroll",
SUMPRODUCT(($B49='IP1'!$B$96:$B$114)*('IP1'!$D$96:$D$114))/12,
SUMPRODUCT(($B49='IP1'!$B$96:$B$114)*('IP1'!$D$96:$D$114))/12*
IF(YEAR(N$3)=2013,'IP1'!$F$154,'IP1'!$G$154)
))</f>
        <v>625</v>
      </c>
      <c r="O49" s="85">
        <f>IF(LEFT($D49,5)="Other",
VLOOKUP($A49,'IP1'!$A$37:$G$89,4,0)*
VLOOKUP(
VLOOKUP($A49,'IP1'!$A$37:$G$89,7,0),Patterns!$A$2:$N$28,COLUMN(O49)-2,0)/
VLOOKUP(
VLOOKUP($A49,'IP1'!$A$37:$G$89,7,0),Patterns!$A$2:$N$28,2,0),
IF(LEFT($D49,7)="Payroll",
SUMPRODUCT(($B49='IP1'!$B$96:$B$114)*('IP1'!$D$96:$D$114))/12,
SUMPRODUCT(($B49='IP1'!$B$96:$B$114)*('IP1'!$D$96:$D$114))/12*
IF(YEAR(O$3)=2013,'IP1'!$F$154,'IP1'!$G$154)
))</f>
        <v>625</v>
      </c>
      <c r="P49" s="85">
        <f>IF(LEFT($D49,5)="Other",
VLOOKUP($A49,'IP1'!$A$37:$G$89,4,0)*
VLOOKUP(
VLOOKUP($A49,'IP1'!$A$37:$G$89,7,0),Patterns!$A$2:$N$28,COLUMN(P49)-2,0)/
VLOOKUP(
VLOOKUP($A49,'IP1'!$A$37:$G$89,7,0),Patterns!$A$2:$N$28,2,0),
IF(LEFT($D49,7)="Payroll",
SUMPRODUCT(($B49='IP1'!$B$96:$B$114)*('IP1'!$D$96:$D$114))/12,
SUMPRODUCT(($B49='IP1'!$B$96:$B$114)*('IP1'!$D$96:$D$114))/12*
IF(YEAR(P$3)=2013,'IP1'!$F$154,'IP1'!$G$154)
))</f>
        <v>625</v>
      </c>
      <c r="Q49" s="85">
        <f>IF(LEFT($D49,5)="Other",
VLOOKUP($A49,'IP1'!$A$37:$G$89,5,0)*
VLOOKUP(
VLOOKUP($A49,'IP1'!$A$37:$G$89,7,0),Patterns!$A$2:$N$28,COLUMN(Q49)-14,0)/
VLOOKUP(
VLOOKUP($A49,'IP1'!$A$37:$G$89,7,0),Patterns!$A$2:$N$28,2,0),
IF(LEFT($D49,7)="Payroll",
SUMPRODUCT(($B49='IP1'!$B$96:$B$114)*('IP1'!$E$96:$E$114))/12,
SUMPRODUCT(($B49='IP1'!$B$96:$B$114)*('IP1'!$E$96:$E$114))/12*
IF(YEAR(Q$3)=2013,'IP1'!$F$154,'IP1'!$G$154)
))</f>
        <v>625</v>
      </c>
      <c r="R49" s="85">
        <f>IF(LEFT($D49,5)="Other",
VLOOKUP($A49,'IP1'!$A$37:$G$89,5,0)*
VLOOKUP(
VLOOKUP($A49,'IP1'!$A$37:$G$89,7,0),Patterns!$A$2:$N$28,COLUMN(R49)-14,0)/
VLOOKUP(
VLOOKUP($A49,'IP1'!$A$37:$G$89,7,0),Patterns!$A$2:$N$28,2,0),
IF(LEFT($D49,7)="Payroll",
SUMPRODUCT(($B49='IP1'!$B$96:$B$114)*('IP1'!$E$96:$E$114))/12,
SUMPRODUCT(($B49='IP1'!$B$96:$B$114)*('IP1'!$E$96:$E$114))/12*
IF(YEAR(R$3)=2013,'IP1'!$F$154,'IP1'!$G$154)
))</f>
        <v>625</v>
      </c>
      <c r="S49" s="85">
        <f>IF(LEFT($D49,5)="Other",
VLOOKUP($A49,'IP1'!$A$37:$G$89,5,0)*
VLOOKUP(
VLOOKUP($A49,'IP1'!$A$37:$G$89,7,0),Patterns!$A$2:$N$28,COLUMN(S49)-14,0)/
VLOOKUP(
VLOOKUP($A49,'IP1'!$A$37:$G$89,7,0),Patterns!$A$2:$N$28,2,0),
IF(LEFT($D49,7)="Payroll",
SUMPRODUCT(($B49='IP1'!$B$96:$B$114)*('IP1'!$E$96:$E$114))/12,
SUMPRODUCT(($B49='IP1'!$B$96:$B$114)*('IP1'!$E$96:$E$114))/12*
IF(YEAR(S$3)=2013,'IP1'!$F$154,'IP1'!$G$154)
))</f>
        <v>625</v>
      </c>
      <c r="T49" s="85">
        <f>IF(LEFT($D49,5)="Other",
VLOOKUP($A49,'IP1'!$A$37:$G$89,5,0)*
VLOOKUP(
VLOOKUP($A49,'IP1'!$A$37:$G$89,7,0),Patterns!$A$2:$N$28,COLUMN(T49)-14,0)/
VLOOKUP(
VLOOKUP($A49,'IP1'!$A$37:$G$89,7,0),Patterns!$A$2:$N$28,2,0),
IF(LEFT($D49,7)="Payroll",
SUMPRODUCT(($B49='IP1'!$B$96:$B$114)*('IP1'!$E$96:$E$114))/12,
SUMPRODUCT(($B49='IP1'!$B$96:$B$114)*('IP1'!$E$96:$E$114))/12*
IF(YEAR(T$3)=2013,'IP1'!$F$154,'IP1'!$G$154)
))</f>
        <v>625</v>
      </c>
      <c r="U49" s="85">
        <f>IF(LEFT($D49,5)="Other",
VLOOKUP($A49,'IP1'!$A$37:$G$89,5,0)*
VLOOKUP(
VLOOKUP($A49,'IP1'!$A$37:$G$89,7,0),Patterns!$A$2:$N$28,COLUMN(U49)-14,0)/
VLOOKUP(
VLOOKUP($A49,'IP1'!$A$37:$G$89,7,0),Patterns!$A$2:$N$28,2,0),
IF(LEFT($D49,7)="Payroll",
SUMPRODUCT(($B49='IP1'!$B$96:$B$114)*('IP1'!$E$96:$E$114))/12,
SUMPRODUCT(($B49='IP1'!$B$96:$B$114)*('IP1'!$E$96:$E$114))/12*
IF(YEAR(U$3)=2013,'IP1'!$F$154,'IP1'!$G$154)
))</f>
        <v>625</v>
      </c>
      <c r="V49" s="85">
        <f>IF(LEFT($D49,5)="Other",
VLOOKUP($A49,'IP1'!$A$37:$G$89,5,0)*
VLOOKUP(
VLOOKUP($A49,'IP1'!$A$37:$G$89,7,0),Patterns!$A$2:$N$28,COLUMN(V49)-14,0)/
VLOOKUP(
VLOOKUP($A49,'IP1'!$A$37:$G$89,7,0),Patterns!$A$2:$N$28,2,0),
IF(LEFT($D49,7)="Payroll",
SUMPRODUCT(($B49='IP1'!$B$96:$B$114)*('IP1'!$E$96:$E$114))/12,
SUMPRODUCT(($B49='IP1'!$B$96:$B$114)*('IP1'!$E$96:$E$114))/12*
IF(YEAR(V$3)=2013,'IP1'!$F$154,'IP1'!$G$154)
))</f>
        <v>625</v>
      </c>
      <c r="W49" s="85">
        <f>IF(LEFT($D49,5)="Other",
VLOOKUP($A49,'IP1'!$A$37:$G$89,5,0)*
VLOOKUP(
VLOOKUP($A49,'IP1'!$A$37:$G$89,7,0),Patterns!$A$2:$N$28,COLUMN(W49)-14,0)/
VLOOKUP(
VLOOKUP($A49,'IP1'!$A$37:$G$89,7,0),Patterns!$A$2:$N$28,2,0),
IF(LEFT($D49,7)="Payroll",
SUMPRODUCT(($B49='IP1'!$B$96:$B$114)*('IP1'!$E$96:$E$114))/12,
SUMPRODUCT(($B49='IP1'!$B$96:$B$114)*('IP1'!$E$96:$E$114))/12*
IF(YEAR(W$3)=2013,'IP1'!$F$154,'IP1'!$G$154)
))</f>
        <v>625</v>
      </c>
      <c r="X49" s="85">
        <f>IF(LEFT($D49,5)="Other",
VLOOKUP($A49,'IP1'!$A$37:$G$89,5,0)*
VLOOKUP(
VLOOKUP($A49,'IP1'!$A$37:$G$89,7,0),Patterns!$A$2:$N$28,COLUMN(X49)-14,0)/
VLOOKUP(
VLOOKUP($A49,'IP1'!$A$37:$G$89,7,0),Patterns!$A$2:$N$28,2,0),
IF(LEFT($D49,7)="Payroll",
SUMPRODUCT(($B49='IP1'!$B$96:$B$114)*('IP1'!$E$96:$E$114))/12,
SUMPRODUCT(($B49='IP1'!$B$96:$B$114)*('IP1'!$E$96:$E$114))/12*
IF(YEAR(X$3)=2013,'IP1'!$F$154,'IP1'!$G$154)
))</f>
        <v>625</v>
      </c>
      <c r="Y49" s="85">
        <f>IF(LEFT($D49,5)="Other",
VLOOKUP($A49,'IP1'!$A$37:$G$89,5,0)*
VLOOKUP(
VLOOKUP($A49,'IP1'!$A$37:$G$89,7,0),Patterns!$A$2:$N$28,COLUMN(Y49)-14,0)/
VLOOKUP(
VLOOKUP($A49,'IP1'!$A$37:$G$89,7,0),Patterns!$A$2:$N$28,2,0),
IF(LEFT($D49,7)="Payroll",
SUMPRODUCT(($B49='IP1'!$B$96:$B$114)*('IP1'!$E$96:$E$114))/12,
SUMPRODUCT(($B49='IP1'!$B$96:$B$114)*('IP1'!$E$96:$E$114))/12*
IF(YEAR(Y$3)=2013,'IP1'!$F$154,'IP1'!$G$154)
))</f>
        <v>625</v>
      </c>
      <c r="Z49" s="85">
        <f>IF(LEFT($D49,5)="Other",
VLOOKUP($A49,'IP1'!$A$37:$G$89,5,0)*
VLOOKUP(
VLOOKUP($A49,'IP1'!$A$37:$G$89,7,0),Patterns!$A$2:$N$28,COLUMN(Z49)-14,0)/
VLOOKUP(
VLOOKUP($A49,'IP1'!$A$37:$G$89,7,0),Patterns!$A$2:$N$28,2,0),
IF(LEFT($D49,7)="Payroll",
SUMPRODUCT(($B49='IP1'!$B$96:$B$114)*('IP1'!$E$96:$E$114))/12,
SUMPRODUCT(($B49='IP1'!$B$96:$B$114)*('IP1'!$E$96:$E$114))/12*
IF(YEAR(Z$3)=2013,'IP1'!$F$154,'IP1'!$G$154)
))</f>
        <v>625</v>
      </c>
      <c r="AA49" s="85">
        <f>IF(LEFT($D49,5)="Other",
VLOOKUP($A49,'IP1'!$A$37:$G$89,5,0)*
VLOOKUP(
VLOOKUP($A49,'IP1'!$A$37:$G$89,7,0),Patterns!$A$2:$N$28,COLUMN(AA49)-14,0)/
VLOOKUP(
VLOOKUP($A49,'IP1'!$A$37:$G$89,7,0),Patterns!$A$2:$N$28,2,0),
IF(LEFT($D49,7)="Payroll",
SUMPRODUCT(($B49='IP1'!$B$96:$B$114)*('IP1'!$E$96:$E$114))/12,
SUMPRODUCT(($B49='IP1'!$B$96:$B$114)*('IP1'!$E$96:$E$114))/12*
IF(YEAR(AA$3)=2013,'IP1'!$F$154,'IP1'!$G$154)
))</f>
        <v>625</v>
      </c>
      <c r="AB49" s="85">
        <f>IF(LEFT($D49,5)="Other",
VLOOKUP($A49,'IP1'!$A$37:$G$89,5,0)*
VLOOKUP(
VLOOKUP($A49,'IP1'!$A$37:$G$89,7,0),Patterns!$A$2:$N$28,COLUMN(AB49)-14,0)/
VLOOKUP(
VLOOKUP($A49,'IP1'!$A$37:$G$89,7,0),Patterns!$A$2:$N$28,2,0),
IF(LEFT($D49,7)="Payroll",
SUMPRODUCT(($B49='IP1'!$B$96:$B$114)*('IP1'!$E$96:$E$114))/12,
SUMPRODUCT(($B49='IP1'!$B$96:$B$114)*('IP1'!$E$96:$E$114))/12*
IF(YEAR(AB$3)=2013,'IP1'!$F$154,'IP1'!$G$154)
))</f>
        <v>625</v>
      </c>
    </row>
    <row r="50" spans="1:28">
      <c r="A50" s="1" t="str">
        <f t="shared" si="2"/>
        <v xml:space="preserve">OperationsOperating supplies </v>
      </c>
      <c r="B50" s="1" t="s">
        <v>463</v>
      </c>
      <c r="C50" s="1" t="s">
        <v>471</v>
      </c>
      <c r="D50" s="11" t="s">
        <v>100</v>
      </c>
      <c r="E50" s="85">
        <f>IF(LEFT($D50,5)="Other",
VLOOKUP($A50,'IP1'!$A$37:$G$89,4,0)*
VLOOKUP(
VLOOKUP($A50,'IP1'!$A$37:$G$89,7,0),Patterns!$A$2:$N$28,COLUMN(E50)-2,0)/
VLOOKUP(
VLOOKUP($A50,'IP1'!$A$37:$G$89,7,0),Patterns!$A$2:$N$28,2,0),
IF(LEFT($D50,7)="Payroll",
SUMPRODUCT(($B50='IP1'!$B$96:$B$114)*('IP1'!$D$96:$D$114))/12,
SUMPRODUCT(($B50='IP1'!$B$96:$B$114)*('IP1'!$D$96:$D$114))/12*
IF(YEAR(E$3)=2013,'IP1'!$F$154,'IP1'!$G$154)
))</f>
        <v>833.33333333333337</v>
      </c>
      <c r="F50" s="85">
        <f>IF(LEFT($D50,5)="Other",
VLOOKUP($A50,'IP1'!$A$37:$G$89,4,0)*
VLOOKUP(
VLOOKUP($A50,'IP1'!$A$37:$G$89,7,0),Patterns!$A$2:$N$28,COLUMN(F50)-2,0)/
VLOOKUP(
VLOOKUP($A50,'IP1'!$A$37:$G$89,7,0),Patterns!$A$2:$N$28,2,0),
IF(LEFT($D50,7)="Payroll",
SUMPRODUCT(($B50='IP1'!$B$96:$B$114)*('IP1'!$D$96:$D$114))/12,
SUMPRODUCT(($B50='IP1'!$B$96:$B$114)*('IP1'!$D$96:$D$114))/12*
IF(YEAR(F$3)=2013,'IP1'!$F$154,'IP1'!$G$154)
))</f>
        <v>833.33333333333337</v>
      </c>
      <c r="G50" s="85">
        <f>IF(LEFT($D50,5)="Other",
VLOOKUP($A50,'IP1'!$A$37:$G$89,4,0)*
VLOOKUP(
VLOOKUP($A50,'IP1'!$A$37:$G$89,7,0),Patterns!$A$2:$N$28,COLUMN(G50)-2,0)/
VLOOKUP(
VLOOKUP($A50,'IP1'!$A$37:$G$89,7,0),Patterns!$A$2:$N$28,2,0),
IF(LEFT($D50,7)="Payroll",
SUMPRODUCT(($B50='IP1'!$B$96:$B$114)*('IP1'!$D$96:$D$114))/12,
SUMPRODUCT(($B50='IP1'!$B$96:$B$114)*('IP1'!$D$96:$D$114))/12*
IF(YEAR(G$3)=2013,'IP1'!$F$154,'IP1'!$G$154)
))</f>
        <v>833.33333333333337</v>
      </c>
      <c r="H50" s="85">
        <f>IF(LEFT($D50,5)="Other",
VLOOKUP($A50,'IP1'!$A$37:$G$89,4,0)*
VLOOKUP(
VLOOKUP($A50,'IP1'!$A$37:$G$89,7,0),Patterns!$A$2:$N$28,COLUMN(H50)-2,0)/
VLOOKUP(
VLOOKUP($A50,'IP1'!$A$37:$G$89,7,0),Patterns!$A$2:$N$28,2,0),
IF(LEFT($D50,7)="Payroll",
SUMPRODUCT(($B50='IP1'!$B$96:$B$114)*('IP1'!$D$96:$D$114))/12,
SUMPRODUCT(($B50='IP1'!$B$96:$B$114)*('IP1'!$D$96:$D$114))/12*
IF(YEAR(H$3)=2013,'IP1'!$F$154,'IP1'!$G$154)
))</f>
        <v>833.33333333333337</v>
      </c>
      <c r="I50" s="85">
        <f>IF(LEFT($D50,5)="Other",
VLOOKUP($A50,'IP1'!$A$37:$G$89,4,0)*
VLOOKUP(
VLOOKUP($A50,'IP1'!$A$37:$G$89,7,0),Patterns!$A$2:$N$28,COLUMN(I50)-2,0)/
VLOOKUP(
VLOOKUP($A50,'IP1'!$A$37:$G$89,7,0),Patterns!$A$2:$N$28,2,0),
IF(LEFT($D50,7)="Payroll",
SUMPRODUCT(($B50='IP1'!$B$96:$B$114)*('IP1'!$D$96:$D$114))/12,
SUMPRODUCT(($B50='IP1'!$B$96:$B$114)*('IP1'!$D$96:$D$114))/12*
IF(YEAR(I$3)=2013,'IP1'!$F$154,'IP1'!$G$154)
))</f>
        <v>833.33333333333337</v>
      </c>
      <c r="J50" s="85">
        <f>IF(LEFT($D50,5)="Other",
VLOOKUP($A50,'IP1'!$A$37:$G$89,4,0)*
VLOOKUP(
VLOOKUP($A50,'IP1'!$A$37:$G$89,7,0),Patterns!$A$2:$N$28,COLUMN(J50)-2,0)/
VLOOKUP(
VLOOKUP($A50,'IP1'!$A$37:$G$89,7,0),Patterns!$A$2:$N$28,2,0),
IF(LEFT($D50,7)="Payroll",
SUMPRODUCT(($B50='IP1'!$B$96:$B$114)*('IP1'!$D$96:$D$114))/12,
SUMPRODUCT(($B50='IP1'!$B$96:$B$114)*('IP1'!$D$96:$D$114))/12*
IF(YEAR(J$3)=2013,'IP1'!$F$154,'IP1'!$G$154)
))</f>
        <v>833.33333333333337</v>
      </c>
      <c r="K50" s="85">
        <f>IF(LEFT($D50,5)="Other",
VLOOKUP($A50,'IP1'!$A$37:$G$89,4,0)*
VLOOKUP(
VLOOKUP($A50,'IP1'!$A$37:$G$89,7,0),Patterns!$A$2:$N$28,COLUMN(K50)-2,0)/
VLOOKUP(
VLOOKUP($A50,'IP1'!$A$37:$G$89,7,0),Patterns!$A$2:$N$28,2,0),
IF(LEFT($D50,7)="Payroll",
SUMPRODUCT(($B50='IP1'!$B$96:$B$114)*('IP1'!$D$96:$D$114))/12,
SUMPRODUCT(($B50='IP1'!$B$96:$B$114)*('IP1'!$D$96:$D$114))/12*
IF(YEAR(K$3)=2013,'IP1'!$F$154,'IP1'!$G$154)
))</f>
        <v>833.33333333333337</v>
      </c>
      <c r="L50" s="85">
        <f>IF(LEFT($D50,5)="Other",
VLOOKUP($A50,'IP1'!$A$37:$G$89,4,0)*
VLOOKUP(
VLOOKUP($A50,'IP1'!$A$37:$G$89,7,0),Patterns!$A$2:$N$28,COLUMN(L50)-2,0)/
VLOOKUP(
VLOOKUP($A50,'IP1'!$A$37:$G$89,7,0),Patterns!$A$2:$N$28,2,0),
IF(LEFT($D50,7)="Payroll",
SUMPRODUCT(($B50='IP1'!$B$96:$B$114)*('IP1'!$D$96:$D$114))/12,
SUMPRODUCT(($B50='IP1'!$B$96:$B$114)*('IP1'!$D$96:$D$114))/12*
IF(YEAR(L$3)=2013,'IP1'!$F$154,'IP1'!$G$154)
))</f>
        <v>833.33333333333337</v>
      </c>
      <c r="M50" s="85">
        <f>IF(LEFT($D50,5)="Other",
VLOOKUP($A50,'IP1'!$A$37:$G$89,4,0)*
VLOOKUP(
VLOOKUP($A50,'IP1'!$A$37:$G$89,7,0),Patterns!$A$2:$N$28,COLUMN(M50)-2,0)/
VLOOKUP(
VLOOKUP($A50,'IP1'!$A$37:$G$89,7,0),Patterns!$A$2:$N$28,2,0),
IF(LEFT($D50,7)="Payroll",
SUMPRODUCT(($B50='IP1'!$B$96:$B$114)*('IP1'!$D$96:$D$114))/12,
SUMPRODUCT(($B50='IP1'!$B$96:$B$114)*('IP1'!$D$96:$D$114))/12*
IF(YEAR(M$3)=2013,'IP1'!$F$154,'IP1'!$G$154)
))</f>
        <v>833.33333333333337</v>
      </c>
      <c r="N50" s="85">
        <f>IF(LEFT($D50,5)="Other",
VLOOKUP($A50,'IP1'!$A$37:$G$89,4,0)*
VLOOKUP(
VLOOKUP($A50,'IP1'!$A$37:$G$89,7,0),Patterns!$A$2:$N$28,COLUMN(N50)-2,0)/
VLOOKUP(
VLOOKUP($A50,'IP1'!$A$37:$G$89,7,0),Patterns!$A$2:$N$28,2,0),
IF(LEFT($D50,7)="Payroll",
SUMPRODUCT(($B50='IP1'!$B$96:$B$114)*('IP1'!$D$96:$D$114))/12,
SUMPRODUCT(($B50='IP1'!$B$96:$B$114)*('IP1'!$D$96:$D$114))/12*
IF(YEAR(N$3)=2013,'IP1'!$F$154,'IP1'!$G$154)
))</f>
        <v>833.33333333333337</v>
      </c>
      <c r="O50" s="85">
        <f>IF(LEFT($D50,5)="Other",
VLOOKUP($A50,'IP1'!$A$37:$G$89,4,0)*
VLOOKUP(
VLOOKUP($A50,'IP1'!$A$37:$G$89,7,0),Patterns!$A$2:$N$28,COLUMN(O50)-2,0)/
VLOOKUP(
VLOOKUP($A50,'IP1'!$A$37:$G$89,7,0),Patterns!$A$2:$N$28,2,0),
IF(LEFT($D50,7)="Payroll",
SUMPRODUCT(($B50='IP1'!$B$96:$B$114)*('IP1'!$D$96:$D$114))/12,
SUMPRODUCT(($B50='IP1'!$B$96:$B$114)*('IP1'!$D$96:$D$114))/12*
IF(YEAR(O$3)=2013,'IP1'!$F$154,'IP1'!$G$154)
))</f>
        <v>833.33333333333337</v>
      </c>
      <c r="P50" s="85">
        <f>IF(LEFT($D50,5)="Other",
VLOOKUP($A50,'IP1'!$A$37:$G$89,4,0)*
VLOOKUP(
VLOOKUP($A50,'IP1'!$A$37:$G$89,7,0),Patterns!$A$2:$N$28,COLUMN(P50)-2,0)/
VLOOKUP(
VLOOKUP($A50,'IP1'!$A$37:$G$89,7,0),Patterns!$A$2:$N$28,2,0),
IF(LEFT($D50,7)="Payroll",
SUMPRODUCT(($B50='IP1'!$B$96:$B$114)*('IP1'!$D$96:$D$114))/12,
SUMPRODUCT(($B50='IP1'!$B$96:$B$114)*('IP1'!$D$96:$D$114))/12*
IF(YEAR(P$3)=2013,'IP1'!$F$154,'IP1'!$G$154)
))</f>
        <v>833.33333333333337</v>
      </c>
      <c r="Q50" s="85">
        <f>IF(LEFT($D50,5)="Other",
VLOOKUP($A50,'IP1'!$A$37:$G$89,5,0)*
VLOOKUP(
VLOOKUP($A50,'IP1'!$A$37:$G$89,7,0),Patterns!$A$2:$N$28,COLUMN(Q50)-14,0)/
VLOOKUP(
VLOOKUP($A50,'IP1'!$A$37:$G$89,7,0),Patterns!$A$2:$N$28,2,0),
IF(LEFT($D50,7)="Payroll",
SUMPRODUCT(($B50='IP1'!$B$96:$B$114)*('IP1'!$E$96:$E$114))/12,
SUMPRODUCT(($B50='IP1'!$B$96:$B$114)*('IP1'!$E$96:$E$114))/12*
IF(YEAR(Q$3)=2013,'IP1'!$F$154,'IP1'!$G$154)
))</f>
        <v>833.33333333333337</v>
      </c>
      <c r="R50" s="85">
        <f>IF(LEFT($D50,5)="Other",
VLOOKUP($A50,'IP1'!$A$37:$G$89,5,0)*
VLOOKUP(
VLOOKUP($A50,'IP1'!$A$37:$G$89,7,0),Patterns!$A$2:$N$28,COLUMN(R50)-14,0)/
VLOOKUP(
VLOOKUP($A50,'IP1'!$A$37:$G$89,7,0),Patterns!$A$2:$N$28,2,0),
IF(LEFT($D50,7)="Payroll",
SUMPRODUCT(($B50='IP1'!$B$96:$B$114)*('IP1'!$E$96:$E$114))/12,
SUMPRODUCT(($B50='IP1'!$B$96:$B$114)*('IP1'!$E$96:$E$114))/12*
IF(YEAR(R$3)=2013,'IP1'!$F$154,'IP1'!$G$154)
))</f>
        <v>833.33333333333337</v>
      </c>
      <c r="S50" s="85">
        <f>IF(LEFT($D50,5)="Other",
VLOOKUP($A50,'IP1'!$A$37:$G$89,5,0)*
VLOOKUP(
VLOOKUP($A50,'IP1'!$A$37:$G$89,7,0),Patterns!$A$2:$N$28,COLUMN(S50)-14,0)/
VLOOKUP(
VLOOKUP($A50,'IP1'!$A$37:$G$89,7,0),Patterns!$A$2:$N$28,2,0),
IF(LEFT($D50,7)="Payroll",
SUMPRODUCT(($B50='IP1'!$B$96:$B$114)*('IP1'!$E$96:$E$114))/12,
SUMPRODUCT(($B50='IP1'!$B$96:$B$114)*('IP1'!$E$96:$E$114))/12*
IF(YEAR(S$3)=2013,'IP1'!$F$154,'IP1'!$G$154)
))</f>
        <v>833.33333333333337</v>
      </c>
      <c r="T50" s="85">
        <f>IF(LEFT($D50,5)="Other",
VLOOKUP($A50,'IP1'!$A$37:$G$89,5,0)*
VLOOKUP(
VLOOKUP($A50,'IP1'!$A$37:$G$89,7,0),Patterns!$A$2:$N$28,COLUMN(T50)-14,0)/
VLOOKUP(
VLOOKUP($A50,'IP1'!$A$37:$G$89,7,0),Patterns!$A$2:$N$28,2,0),
IF(LEFT($D50,7)="Payroll",
SUMPRODUCT(($B50='IP1'!$B$96:$B$114)*('IP1'!$E$96:$E$114))/12,
SUMPRODUCT(($B50='IP1'!$B$96:$B$114)*('IP1'!$E$96:$E$114))/12*
IF(YEAR(T$3)=2013,'IP1'!$F$154,'IP1'!$G$154)
))</f>
        <v>833.33333333333337</v>
      </c>
      <c r="U50" s="85">
        <f>IF(LEFT($D50,5)="Other",
VLOOKUP($A50,'IP1'!$A$37:$G$89,5,0)*
VLOOKUP(
VLOOKUP($A50,'IP1'!$A$37:$G$89,7,0),Patterns!$A$2:$N$28,COLUMN(U50)-14,0)/
VLOOKUP(
VLOOKUP($A50,'IP1'!$A$37:$G$89,7,0),Patterns!$A$2:$N$28,2,0),
IF(LEFT($D50,7)="Payroll",
SUMPRODUCT(($B50='IP1'!$B$96:$B$114)*('IP1'!$E$96:$E$114))/12,
SUMPRODUCT(($B50='IP1'!$B$96:$B$114)*('IP1'!$E$96:$E$114))/12*
IF(YEAR(U$3)=2013,'IP1'!$F$154,'IP1'!$G$154)
))</f>
        <v>833.33333333333337</v>
      </c>
      <c r="V50" s="85">
        <f>IF(LEFT($D50,5)="Other",
VLOOKUP($A50,'IP1'!$A$37:$G$89,5,0)*
VLOOKUP(
VLOOKUP($A50,'IP1'!$A$37:$G$89,7,0),Patterns!$A$2:$N$28,COLUMN(V50)-14,0)/
VLOOKUP(
VLOOKUP($A50,'IP1'!$A$37:$G$89,7,0),Patterns!$A$2:$N$28,2,0),
IF(LEFT($D50,7)="Payroll",
SUMPRODUCT(($B50='IP1'!$B$96:$B$114)*('IP1'!$E$96:$E$114))/12,
SUMPRODUCT(($B50='IP1'!$B$96:$B$114)*('IP1'!$E$96:$E$114))/12*
IF(YEAR(V$3)=2013,'IP1'!$F$154,'IP1'!$G$154)
))</f>
        <v>833.33333333333337</v>
      </c>
      <c r="W50" s="85">
        <f>IF(LEFT($D50,5)="Other",
VLOOKUP($A50,'IP1'!$A$37:$G$89,5,0)*
VLOOKUP(
VLOOKUP($A50,'IP1'!$A$37:$G$89,7,0),Patterns!$A$2:$N$28,COLUMN(W50)-14,0)/
VLOOKUP(
VLOOKUP($A50,'IP1'!$A$37:$G$89,7,0),Patterns!$A$2:$N$28,2,0),
IF(LEFT($D50,7)="Payroll",
SUMPRODUCT(($B50='IP1'!$B$96:$B$114)*('IP1'!$E$96:$E$114))/12,
SUMPRODUCT(($B50='IP1'!$B$96:$B$114)*('IP1'!$E$96:$E$114))/12*
IF(YEAR(W$3)=2013,'IP1'!$F$154,'IP1'!$G$154)
))</f>
        <v>833.33333333333337</v>
      </c>
      <c r="X50" s="85">
        <f>IF(LEFT($D50,5)="Other",
VLOOKUP($A50,'IP1'!$A$37:$G$89,5,0)*
VLOOKUP(
VLOOKUP($A50,'IP1'!$A$37:$G$89,7,0),Patterns!$A$2:$N$28,COLUMN(X50)-14,0)/
VLOOKUP(
VLOOKUP($A50,'IP1'!$A$37:$G$89,7,0),Patterns!$A$2:$N$28,2,0),
IF(LEFT($D50,7)="Payroll",
SUMPRODUCT(($B50='IP1'!$B$96:$B$114)*('IP1'!$E$96:$E$114))/12,
SUMPRODUCT(($B50='IP1'!$B$96:$B$114)*('IP1'!$E$96:$E$114))/12*
IF(YEAR(X$3)=2013,'IP1'!$F$154,'IP1'!$G$154)
))</f>
        <v>833.33333333333337</v>
      </c>
      <c r="Y50" s="85">
        <f>IF(LEFT($D50,5)="Other",
VLOOKUP($A50,'IP1'!$A$37:$G$89,5,0)*
VLOOKUP(
VLOOKUP($A50,'IP1'!$A$37:$G$89,7,0),Patterns!$A$2:$N$28,COLUMN(Y50)-14,0)/
VLOOKUP(
VLOOKUP($A50,'IP1'!$A$37:$G$89,7,0),Patterns!$A$2:$N$28,2,0),
IF(LEFT($D50,7)="Payroll",
SUMPRODUCT(($B50='IP1'!$B$96:$B$114)*('IP1'!$E$96:$E$114))/12,
SUMPRODUCT(($B50='IP1'!$B$96:$B$114)*('IP1'!$E$96:$E$114))/12*
IF(YEAR(Y$3)=2013,'IP1'!$F$154,'IP1'!$G$154)
))</f>
        <v>833.33333333333337</v>
      </c>
      <c r="Z50" s="85">
        <f>IF(LEFT($D50,5)="Other",
VLOOKUP($A50,'IP1'!$A$37:$G$89,5,0)*
VLOOKUP(
VLOOKUP($A50,'IP1'!$A$37:$G$89,7,0),Patterns!$A$2:$N$28,COLUMN(Z50)-14,0)/
VLOOKUP(
VLOOKUP($A50,'IP1'!$A$37:$G$89,7,0),Patterns!$A$2:$N$28,2,0),
IF(LEFT($D50,7)="Payroll",
SUMPRODUCT(($B50='IP1'!$B$96:$B$114)*('IP1'!$E$96:$E$114))/12,
SUMPRODUCT(($B50='IP1'!$B$96:$B$114)*('IP1'!$E$96:$E$114))/12*
IF(YEAR(Z$3)=2013,'IP1'!$F$154,'IP1'!$G$154)
))</f>
        <v>833.33333333333337</v>
      </c>
      <c r="AA50" s="85">
        <f>IF(LEFT($D50,5)="Other",
VLOOKUP($A50,'IP1'!$A$37:$G$89,5,0)*
VLOOKUP(
VLOOKUP($A50,'IP1'!$A$37:$G$89,7,0),Patterns!$A$2:$N$28,COLUMN(AA50)-14,0)/
VLOOKUP(
VLOOKUP($A50,'IP1'!$A$37:$G$89,7,0),Patterns!$A$2:$N$28,2,0),
IF(LEFT($D50,7)="Payroll",
SUMPRODUCT(($B50='IP1'!$B$96:$B$114)*('IP1'!$E$96:$E$114))/12,
SUMPRODUCT(($B50='IP1'!$B$96:$B$114)*('IP1'!$E$96:$E$114))/12*
IF(YEAR(AA$3)=2013,'IP1'!$F$154,'IP1'!$G$154)
))</f>
        <v>833.33333333333337</v>
      </c>
      <c r="AB50" s="85">
        <f>IF(LEFT($D50,5)="Other",
VLOOKUP($A50,'IP1'!$A$37:$G$89,5,0)*
VLOOKUP(
VLOOKUP($A50,'IP1'!$A$37:$G$89,7,0),Patterns!$A$2:$N$28,COLUMN(AB50)-14,0)/
VLOOKUP(
VLOOKUP($A50,'IP1'!$A$37:$G$89,7,0),Patterns!$A$2:$N$28,2,0),
IF(LEFT($D50,7)="Payroll",
SUMPRODUCT(($B50='IP1'!$B$96:$B$114)*('IP1'!$E$96:$E$114))/12,
SUMPRODUCT(($B50='IP1'!$B$96:$B$114)*('IP1'!$E$96:$E$114))/12*
IF(YEAR(AB$3)=2013,'IP1'!$F$154,'IP1'!$G$154)
))</f>
        <v>833.33333333333337</v>
      </c>
    </row>
    <row r="51" spans="1:28">
      <c r="A51" s="1" t="str">
        <f t="shared" si="2"/>
        <v xml:space="preserve">OperationsPainting and decorating </v>
      </c>
      <c r="B51" s="1" t="s">
        <v>463</v>
      </c>
      <c r="C51" s="1" t="s">
        <v>472</v>
      </c>
      <c r="D51" s="11" t="s">
        <v>100</v>
      </c>
      <c r="E51" s="85">
        <f>IF(LEFT($D51,5)="Other",
VLOOKUP($A51,'IP1'!$A$37:$G$89,4,0)*
VLOOKUP(
VLOOKUP($A51,'IP1'!$A$37:$G$89,7,0),Patterns!$A$2:$N$28,COLUMN(E51)-2,0)/
VLOOKUP(
VLOOKUP($A51,'IP1'!$A$37:$G$89,7,0),Patterns!$A$2:$N$28,2,0),
IF(LEFT($D51,7)="Payroll",
SUMPRODUCT(($B51='IP1'!$B$96:$B$114)*('IP1'!$D$96:$D$114))/12,
SUMPRODUCT(($B51='IP1'!$B$96:$B$114)*('IP1'!$D$96:$D$114))/12*
IF(YEAR(E$3)=2013,'IP1'!$F$154,'IP1'!$G$154)
))</f>
        <v>208.33333333333334</v>
      </c>
      <c r="F51" s="85">
        <f>IF(LEFT($D51,5)="Other",
VLOOKUP($A51,'IP1'!$A$37:$G$89,4,0)*
VLOOKUP(
VLOOKUP($A51,'IP1'!$A$37:$G$89,7,0),Patterns!$A$2:$N$28,COLUMN(F51)-2,0)/
VLOOKUP(
VLOOKUP($A51,'IP1'!$A$37:$G$89,7,0),Patterns!$A$2:$N$28,2,0),
IF(LEFT($D51,7)="Payroll",
SUMPRODUCT(($B51='IP1'!$B$96:$B$114)*('IP1'!$D$96:$D$114))/12,
SUMPRODUCT(($B51='IP1'!$B$96:$B$114)*('IP1'!$D$96:$D$114))/12*
IF(YEAR(F$3)=2013,'IP1'!$F$154,'IP1'!$G$154)
))</f>
        <v>208.33333333333334</v>
      </c>
      <c r="G51" s="85">
        <f>IF(LEFT($D51,5)="Other",
VLOOKUP($A51,'IP1'!$A$37:$G$89,4,0)*
VLOOKUP(
VLOOKUP($A51,'IP1'!$A$37:$G$89,7,0),Patterns!$A$2:$N$28,COLUMN(G51)-2,0)/
VLOOKUP(
VLOOKUP($A51,'IP1'!$A$37:$G$89,7,0),Patterns!$A$2:$N$28,2,0),
IF(LEFT($D51,7)="Payroll",
SUMPRODUCT(($B51='IP1'!$B$96:$B$114)*('IP1'!$D$96:$D$114))/12,
SUMPRODUCT(($B51='IP1'!$B$96:$B$114)*('IP1'!$D$96:$D$114))/12*
IF(YEAR(G$3)=2013,'IP1'!$F$154,'IP1'!$G$154)
))</f>
        <v>208.33333333333334</v>
      </c>
      <c r="H51" s="85">
        <f>IF(LEFT($D51,5)="Other",
VLOOKUP($A51,'IP1'!$A$37:$G$89,4,0)*
VLOOKUP(
VLOOKUP($A51,'IP1'!$A$37:$G$89,7,0),Patterns!$A$2:$N$28,COLUMN(H51)-2,0)/
VLOOKUP(
VLOOKUP($A51,'IP1'!$A$37:$G$89,7,0),Patterns!$A$2:$N$28,2,0),
IF(LEFT($D51,7)="Payroll",
SUMPRODUCT(($B51='IP1'!$B$96:$B$114)*('IP1'!$D$96:$D$114))/12,
SUMPRODUCT(($B51='IP1'!$B$96:$B$114)*('IP1'!$D$96:$D$114))/12*
IF(YEAR(H$3)=2013,'IP1'!$F$154,'IP1'!$G$154)
))</f>
        <v>208.33333333333334</v>
      </c>
      <c r="I51" s="85">
        <f>IF(LEFT($D51,5)="Other",
VLOOKUP($A51,'IP1'!$A$37:$G$89,4,0)*
VLOOKUP(
VLOOKUP($A51,'IP1'!$A$37:$G$89,7,0),Patterns!$A$2:$N$28,COLUMN(I51)-2,0)/
VLOOKUP(
VLOOKUP($A51,'IP1'!$A$37:$G$89,7,0),Patterns!$A$2:$N$28,2,0),
IF(LEFT($D51,7)="Payroll",
SUMPRODUCT(($B51='IP1'!$B$96:$B$114)*('IP1'!$D$96:$D$114))/12,
SUMPRODUCT(($B51='IP1'!$B$96:$B$114)*('IP1'!$D$96:$D$114))/12*
IF(YEAR(I$3)=2013,'IP1'!$F$154,'IP1'!$G$154)
))</f>
        <v>208.33333333333334</v>
      </c>
      <c r="J51" s="85">
        <f>IF(LEFT($D51,5)="Other",
VLOOKUP($A51,'IP1'!$A$37:$G$89,4,0)*
VLOOKUP(
VLOOKUP($A51,'IP1'!$A$37:$G$89,7,0),Patterns!$A$2:$N$28,COLUMN(J51)-2,0)/
VLOOKUP(
VLOOKUP($A51,'IP1'!$A$37:$G$89,7,0),Patterns!$A$2:$N$28,2,0),
IF(LEFT($D51,7)="Payroll",
SUMPRODUCT(($B51='IP1'!$B$96:$B$114)*('IP1'!$D$96:$D$114))/12,
SUMPRODUCT(($B51='IP1'!$B$96:$B$114)*('IP1'!$D$96:$D$114))/12*
IF(YEAR(J$3)=2013,'IP1'!$F$154,'IP1'!$G$154)
))</f>
        <v>208.33333333333334</v>
      </c>
      <c r="K51" s="85">
        <f>IF(LEFT($D51,5)="Other",
VLOOKUP($A51,'IP1'!$A$37:$G$89,4,0)*
VLOOKUP(
VLOOKUP($A51,'IP1'!$A$37:$G$89,7,0),Patterns!$A$2:$N$28,COLUMN(K51)-2,0)/
VLOOKUP(
VLOOKUP($A51,'IP1'!$A$37:$G$89,7,0),Patterns!$A$2:$N$28,2,0),
IF(LEFT($D51,7)="Payroll",
SUMPRODUCT(($B51='IP1'!$B$96:$B$114)*('IP1'!$D$96:$D$114))/12,
SUMPRODUCT(($B51='IP1'!$B$96:$B$114)*('IP1'!$D$96:$D$114))/12*
IF(YEAR(K$3)=2013,'IP1'!$F$154,'IP1'!$G$154)
))</f>
        <v>208.33333333333334</v>
      </c>
      <c r="L51" s="85">
        <f>IF(LEFT($D51,5)="Other",
VLOOKUP($A51,'IP1'!$A$37:$G$89,4,0)*
VLOOKUP(
VLOOKUP($A51,'IP1'!$A$37:$G$89,7,0),Patterns!$A$2:$N$28,COLUMN(L51)-2,0)/
VLOOKUP(
VLOOKUP($A51,'IP1'!$A$37:$G$89,7,0),Patterns!$A$2:$N$28,2,0),
IF(LEFT($D51,7)="Payroll",
SUMPRODUCT(($B51='IP1'!$B$96:$B$114)*('IP1'!$D$96:$D$114))/12,
SUMPRODUCT(($B51='IP1'!$B$96:$B$114)*('IP1'!$D$96:$D$114))/12*
IF(YEAR(L$3)=2013,'IP1'!$F$154,'IP1'!$G$154)
))</f>
        <v>208.33333333333334</v>
      </c>
      <c r="M51" s="85">
        <f>IF(LEFT($D51,5)="Other",
VLOOKUP($A51,'IP1'!$A$37:$G$89,4,0)*
VLOOKUP(
VLOOKUP($A51,'IP1'!$A$37:$G$89,7,0),Patterns!$A$2:$N$28,COLUMN(M51)-2,0)/
VLOOKUP(
VLOOKUP($A51,'IP1'!$A$37:$G$89,7,0),Patterns!$A$2:$N$28,2,0),
IF(LEFT($D51,7)="Payroll",
SUMPRODUCT(($B51='IP1'!$B$96:$B$114)*('IP1'!$D$96:$D$114))/12,
SUMPRODUCT(($B51='IP1'!$B$96:$B$114)*('IP1'!$D$96:$D$114))/12*
IF(YEAR(M$3)=2013,'IP1'!$F$154,'IP1'!$G$154)
))</f>
        <v>208.33333333333334</v>
      </c>
      <c r="N51" s="85">
        <f>IF(LEFT($D51,5)="Other",
VLOOKUP($A51,'IP1'!$A$37:$G$89,4,0)*
VLOOKUP(
VLOOKUP($A51,'IP1'!$A$37:$G$89,7,0),Patterns!$A$2:$N$28,COLUMN(N51)-2,0)/
VLOOKUP(
VLOOKUP($A51,'IP1'!$A$37:$G$89,7,0),Patterns!$A$2:$N$28,2,0),
IF(LEFT($D51,7)="Payroll",
SUMPRODUCT(($B51='IP1'!$B$96:$B$114)*('IP1'!$D$96:$D$114))/12,
SUMPRODUCT(($B51='IP1'!$B$96:$B$114)*('IP1'!$D$96:$D$114))/12*
IF(YEAR(N$3)=2013,'IP1'!$F$154,'IP1'!$G$154)
))</f>
        <v>208.33333333333334</v>
      </c>
      <c r="O51" s="85">
        <f>IF(LEFT($D51,5)="Other",
VLOOKUP($A51,'IP1'!$A$37:$G$89,4,0)*
VLOOKUP(
VLOOKUP($A51,'IP1'!$A$37:$G$89,7,0),Patterns!$A$2:$N$28,COLUMN(O51)-2,0)/
VLOOKUP(
VLOOKUP($A51,'IP1'!$A$37:$G$89,7,0),Patterns!$A$2:$N$28,2,0),
IF(LEFT($D51,7)="Payroll",
SUMPRODUCT(($B51='IP1'!$B$96:$B$114)*('IP1'!$D$96:$D$114))/12,
SUMPRODUCT(($B51='IP1'!$B$96:$B$114)*('IP1'!$D$96:$D$114))/12*
IF(YEAR(O$3)=2013,'IP1'!$F$154,'IP1'!$G$154)
))</f>
        <v>208.33333333333334</v>
      </c>
      <c r="P51" s="85">
        <f>IF(LEFT($D51,5)="Other",
VLOOKUP($A51,'IP1'!$A$37:$G$89,4,0)*
VLOOKUP(
VLOOKUP($A51,'IP1'!$A$37:$G$89,7,0),Patterns!$A$2:$N$28,COLUMN(P51)-2,0)/
VLOOKUP(
VLOOKUP($A51,'IP1'!$A$37:$G$89,7,0),Patterns!$A$2:$N$28,2,0),
IF(LEFT($D51,7)="Payroll",
SUMPRODUCT(($B51='IP1'!$B$96:$B$114)*('IP1'!$D$96:$D$114))/12,
SUMPRODUCT(($B51='IP1'!$B$96:$B$114)*('IP1'!$D$96:$D$114))/12*
IF(YEAR(P$3)=2013,'IP1'!$F$154,'IP1'!$G$154)
))</f>
        <v>208.33333333333334</v>
      </c>
      <c r="Q51" s="85">
        <f>IF(LEFT($D51,5)="Other",
VLOOKUP($A51,'IP1'!$A$37:$G$89,5,0)*
VLOOKUP(
VLOOKUP($A51,'IP1'!$A$37:$G$89,7,0),Patterns!$A$2:$N$28,COLUMN(Q51)-14,0)/
VLOOKUP(
VLOOKUP($A51,'IP1'!$A$37:$G$89,7,0),Patterns!$A$2:$N$28,2,0),
IF(LEFT($D51,7)="Payroll",
SUMPRODUCT(($B51='IP1'!$B$96:$B$114)*('IP1'!$E$96:$E$114))/12,
SUMPRODUCT(($B51='IP1'!$B$96:$B$114)*('IP1'!$E$96:$E$114))/12*
IF(YEAR(Q$3)=2013,'IP1'!$F$154,'IP1'!$G$154)
))</f>
        <v>208.33333333333334</v>
      </c>
      <c r="R51" s="85">
        <f>IF(LEFT($D51,5)="Other",
VLOOKUP($A51,'IP1'!$A$37:$G$89,5,0)*
VLOOKUP(
VLOOKUP($A51,'IP1'!$A$37:$G$89,7,0),Patterns!$A$2:$N$28,COLUMN(R51)-14,0)/
VLOOKUP(
VLOOKUP($A51,'IP1'!$A$37:$G$89,7,0),Patterns!$A$2:$N$28,2,0),
IF(LEFT($D51,7)="Payroll",
SUMPRODUCT(($B51='IP1'!$B$96:$B$114)*('IP1'!$E$96:$E$114))/12,
SUMPRODUCT(($B51='IP1'!$B$96:$B$114)*('IP1'!$E$96:$E$114))/12*
IF(YEAR(R$3)=2013,'IP1'!$F$154,'IP1'!$G$154)
))</f>
        <v>208.33333333333334</v>
      </c>
      <c r="S51" s="85">
        <f>IF(LEFT($D51,5)="Other",
VLOOKUP($A51,'IP1'!$A$37:$G$89,5,0)*
VLOOKUP(
VLOOKUP($A51,'IP1'!$A$37:$G$89,7,0),Patterns!$A$2:$N$28,COLUMN(S51)-14,0)/
VLOOKUP(
VLOOKUP($A51,'IP1'!$A$37:$G$89,7,0),Patterns!$A$2:$N$28,2,0),
IF(LEFT($D51,7)="Payroll",
SUMPRODUCT(($B51='IP1'!$B$96:$B$114)*('IP1'!$E$96:$E$114))/12,
SUMPRODUCT(($B51='IP1'!$B$96:$B$114)*('IP1'!$E$96:$E$114))/12*
IF(YEAR(S$3)=2013,'IP1'!$F$154,'IP1'!$G$154)
))</f>
        <v>208.33333333333334</v>
      </c>
      <c r="T51" s="85">
        <f>IF(LEFT($D51,5)="Other",
VLOOKUP($A51,'IP1'!$A$37:$G$89,5,0)*
VLOOKUP(
VLOOKUP($A51,'IP1'!$A$37:$G$89,7,0),Patterns!$A$2:$N$28,COLUMN(T51)-14,0)/
VLOOKUP(
VLOOKUP($A51,'IP1'!$A$37:$G$89,7,0),Patterns!$A$2:$N$28,2,0),
IF(LEFT($D51,7)="Payroll",
SUMPRODUCT(($B51='IP1'!$B$96:$B$114)*('IP1'!$E$96:$E$114))/12,
SUMPRODUCT(($B51='IP1'!$B$96:$B$114)*('IP1'!$E$96:$E$114))/12*
IF(YEAR(T$3)=2013,'IP1'!$F$154,'IP1'!$G$154)
))</f>
        <v>208.33333333333334</v>
      </c>
      <c r="U51" s="85">
        <f>IF(LEFT($D51,5)="Other",
VLOOKUP($A51,'IP1'!$A$37:$G$89,5,0)*
VLOOKUP(
VLOOKUP($A51,'IP1'!$A$37:$G$89,7,0),Patterns!$A$2:$N$28,COLUMN(U51)-14,0)/
VLOOKUP(
VLOOKUP($A51,'IP1'!$A$37:$G$89,7,0),Patterns!$A$2:$N$28,2,0),
IF(LEFT($D51,7)="Payroll",
SUMPRODUCT(($B51='IP1'!$B$96:$B$114)*('IP1'!$E$96:$E$114))/12,
SUMPRODUCT(($B51='IP1'!$B$96:$B$114)*('IP1'!$E$96:$E$114))/12*
IF(YEAR(U$3)=2013,'IP1'!$F$154,'IP1'!$G$154)
))</f>
        <v>208.33333333333334</v>
      </c>
      <c r="V51" s="85">
        <f>IF(LEFT($D51,5)="Other",
VLOOKUP($A51,'IP1'!$A$37:$G$89,5,0)*
VLOOKUP(
VLOOKUP($A51,'IP1'!$A$37:$G$89,7,0),Patterns!$A$2:$N$28,COLUMN(V51)-14,0)/
VLOOKUP(
VLOOKUP($A51,'IP1'!$A$37:$G$89,7,0),Patterns!$A$2:$N$28,2,0),
IF(LEFT($D51,7)="Payroll",
SUMPRODUCT(($B51='IP1'!$B$96:$B$114)*('IP1'!$E$96:$E$114))/12,
SUMPRODUCT(($B51='IP1'!$B$96:$B$114)*('IP1'!$E$96:$E$114))/12*
IF(YEAR(V$3)=2013,'IP1'!$F$154,'IP1'!$G$154)
))</f>
        <v>208.33333333333334</v>
      </c>
      <c r="W51" s="85">
        <f>IF(LEFT($D51,5)="Other",
VLOOKUP($A51,'IP1'!$A$37:$G$89,5,0)*
VLOOKUP(
VLOOKUP($A51,'IP1'!$A$37:$G$89,7,0),Patterns!$A$2:$N$28,COLUMN(W51)-14,0)/
VLOOKUP(
VLOOKUP($A51,'IP1'!$A$37:$G$89,7,0),Patterns!$A$2:$N$28,2,0),
IF(LEFT($D51,7)="Payroll",
SUMPRODUCT(($B51='IP1'!$B$96:$B$114)*('IP1'!$E$96:$E$114))/12,
SUMPRODUCT(($B51='IP1'!$B$96:$B$114)*('IP1'!$E$96:$E$114))/12*
IF(YEAR(W$3)=2013,'IP1'!$F$154,'IP1'!$G$154)
))</f>
        <v>208.33333333333334</v>
      </c>
      <c r="X51" s="85">
        <f>IF(LEFT($D51,5)="Other",
VLOOKUP($A51,'IP1'!$A$37:$G$89,5,0)*
VLOOKUP(
VLOOKUP($A51,'IP1'!$A$37:$G$89,7,0),Patterns!$A$2:$N$28,COLUMN(X51)-14,0)/
VLOOKUP(
VLOOKUP($A51,'IP1'!$A$37:$G$89,7,0),Patterns!$A$2:$N$28,2,0),
IF(LEFT($D51,7)="Payroll",
SUMPRODUCT(($B51='IP1'!$B$96:$B$114)*('IP1'!$E$96:$E$114))/12,
SUMPRODUCT(($B51='IP1'!$B$96:$B$114)*('IP1'!$E$96:$E$114))/12*
IF(YEAR(X$3)=2013,'IP1'!$F$154,'IP1'!$G$154)
))</f>
        <v>208.33333333333334</v>
      </c>
      <c r="Y51" s="85">
        <f>IF(LEFT($D51,5)="Other",
VLOOKUP($A51,'IP1'!$A$37:$G$89,5,0)*
VLOOKUP(
VLOOKUP($A51,'IP1'!$A$37:$G$89,7,0),Patterns!$A$2:$N$28,COLUMN(Y51)-14,0)/
VLOOKUP(
VLOOKUP($A51,'IP1'!$A$37:$G$89,7,0),Patterns!$A$2:$N$28,2,0),
IF(LEFT($D51,7)="Payroll",
SUMPRODUCT(($B51='IP1'!$B$96:$B$114)*('IP1'!$E$96:$E$114))/12,
SUMPRODUCT(($B51='IP1'!$B$96:$B$114)*('IP1'!$E$96:$E$114))/12*
IF(YEAR(Y$3)=2013,'IP1'!$F$154,'IP1'!$G$154)
))</f>
        <v>208.33333333333334</v>
      </c>
      <c r="Z51" s="85">
        <f>IF(LEFT($D51,5)="Other",
VLOOKUP($A51,'IP1'!$A$37:$G$89,5,0)*
VLOOKUP(
VLOOKUP($A51,'IP1'!$A$37:$G$89,7,0),Patterns!$A$2:$N$28,COLUMN(Z51)-14,0)/
VLOOKUP(
VLOOKUP($A51,'IP1'!$A$37:$G$89,7,0),Patterns!$A$2:$N$28,2,0),
IF(LEFT($D51,7)="Payroll",
SUMPRODUCT(($B51='IP1'!$B$96:$B$114)*('IP1'!$E$96:$E$114))/12,
SUMPRODUCT(($B51='IP1'!$B$96:$B$114)*('IP1'!$E$96:$E$114))/12*
IF(YEAR(Z$3)=2013,'IP1'!$F$154,'IP1'!$G$154)
))</f>
        <v>208.33333333333334</v>
      </c>
      <c r="AA51" s="85">
        <f>IF(LEFT($D51,5)="Other",
VLOOKUP($A51,'IP1'!$A$37:$G$89,5,0)*
VLOOKUP(
VLOOKUP($A51,'IP1'!$A$37:$G$89,7,0),Patterns!$A$2:$N$28,COLUMN(AA51)-14,0)/
VLOOKUP(
VLOOKUP($A51,'IP1'!$A$37:$G$89,7,0),Patterns!$A$2:$N$28,2,0),
IF(LEFT($D51,7)="Payroll",
SUMPRODUCT(($B51='IP1'!$B$96:$B$114)*('IP1'!$E$96:$E$114))/12,
SUMPRODUCT(($B51='IP1'!$B$96:$B$114)*('IP1'!$E$96:$E$114))/12*
IF(YEAR(AA$3)=2013,'IP1'!$F$154,'IP1'!$G$154)
))</f>
        <v>208.33333333333334</v>
      </c>
      <c r="AB51" s="85">
        <f>IF(LEFT($D51,5)="Other",
VLOOKUP($A51,'IP1'!$A$37:$G$89,5,0)*
VLOOKUP(
VLOOKUP($A51,'IP1'!$A$37:$G$89,7,0),Patterns!$A$2:$N$28,COLUMN(AB51)-14,0)/
VLOOKUP(
VLOOKUP($A51,'IP1'!$A$37:$G$89,7,0),Patterns!$A$2:$N$28,2,0),
IF(LEFT($D51,7)="Payroll",
SUMPRODUCT(($B51='IP1'!$B$96:$B$114)*('IP1'!$E$96:$E$114))/12,
SUMPRODUCT(($B51='IP1'!$B$96:$B$114)*('IP1'!$E$96:$E$114))/12*
IF(YEAR(AB$3)=2013,'IP1'!$F$154,'IP1'!$G$154)
))</f>
        <v>208.33333333333334</v>
      </c>
    </row>
    <row r="52" spans="1:28">
      <c r="A52" s="1" t="str">
        <f t="shared" si="2"/>
        <v xml:space="preserve">OperationsRemoval of waste matter </v>
      </c>
      <c r="B52" s="1" t="s">
        <v>463</v>
      </c>
      <c r="C52" s="1" t="s">
        <v>473</v>
      </c>
      <c r="D52" s="11" t="s">
        <v>100</v>
      </c>
      <c r="E52" s="85">
        <f>IF(LEFT($D52,5)="Other",
VLOOKUP($A52,'IP1'!$A$37:$G$89,4,0)*
VLOOKUP(
VLOOKUP($A52,'IP1'!$A$37:$G$89,7,0),Patterns!$A$2:$N$28,COLUMN(E52)-2,0)/
VLOOKUP(
VLOOKUP($A52,'IP1'!$A$37:$G$89,7,0),Patterns!$A$2:$N$28,2,0),
IF(LEFT($D52,7)="Payroll",
SUMPRODUCT(($B52='IP1'!$B$96:$B$114)*('IP1'!$D$96:$D$114))/12,
SUMPRODUCT(($B52='IP1'!$B$96:$B$114)*('IP1'!$D$96:$D$114))/12*
IF(YEAR(E$3)=2013,'IP1'!$F$154,'IP1'!$G$154)
))</f>
        <v>416.66666666666669</v>
      </c>
      <c r="F52" s="85">
        <f>IF(LEFT($D52,5)="Other",
VLOOKUP($A52,'IP1'!$A$37:$G$89,4,0)*
VLOOKUP(
VLOOKUP($A52,'IP1'!$A$37:$G$89,7,0),Patterns!$A$2:$N$28,COLUMN(F52)-2,0)/
VLOOKUP(
VLOOKUP($A52,'IP1'!$A$37:$G$89,7,0),Patterns!$A$2:$N$28,2,0),
IF(LEFT($D52,7)="Payroll",
SUMPRODUCT(($B52='IP1'!$B$96:$B$114)*('IP1'!$D$96:$D$114))/12,
SUMPRODUCT(($B52='IP1'!$B$96:$B$114)*('IP1'!$D$96:$D$114))/12*
IF(YEAR(F$3)=2013,'IP1'!$F$154,'IP1'!$G$154)
))</f>
        <v>416.66666666666669</v>
      </c>
      <c r="G52" s="85">
        <f>IF(LEFT($D52,5)="Other",
VLOOKUP($A52,'IP1'!$A$37:$G$89,4,0)*
VLOOKUP(
VLOOKUP($A52,'IP1'!$A$37:$G$89,7,0),Patterns!$A$2:$N$28,COLUMN(G52)-2,0)/
VLOOKUP(
VLOOKUP($A52,'IP1'!$A$37:$G$89,7,0),Patterns!$A$2:$N$28,2,0),
IF(LEFT($D52,7)="Payroll",
SUMPRODUCT(($B52='IP1'!$B$96:$B$114)*('IP1'!$D$96:$D$114))/12,
SUMPRODUCT(($B52='IP1'!$B$96:$B$114)*('IP1'!$D$96:$D$114))/12*
IF(YEAR(G$3)=2013,'IP1'!$F$154,'IP1'!$G$154)
))</f>
        <v>416.66666666666669</v>
      </c>
      <c r="H52" s="85">
        <f>IF(LEFT($D52,5)="Other",
VLOOKUP($A52,'IP1'!$A$37:$G$89,4,0)*
VLOOKUP(
VLOOKUP($A52,'IP1'!$A$37:$G$89,7,0),Patterns!$A$2:$N$28,COLUMN(H52)-2,0)/
VLOOKUP(
VLOOKUP($A52,'IP1'!$A$37:$G$89,7,0),Patterns!$A$2:$N$28,2,0),
IF(LEFT($D52,7)="Payroll",
SUMPRODUCT(($B52='IP1'!$B$96:$B$114)*('IP1'!$D$96:$D$114))/12,
SUMPRODUCT(($B52='IP1'!$B$96:$B$114)*('IP1'!$D$96:$D$114))/12*
IF(YEAR(H$3)=2013,'IP1'!$F$154,'IP1'!$G$154)
))</f>
        <v>416.66666666666669</v>
      </c>
      <c r="I52" s="85">
        <f>IF(LEFT($D52,5)="Other",
VLOOKUP($A52,'IP1'!$A$37:$G$89,4,0)*
VLOOKUP(
VLOOKUP($A52,'IP1'!$A$37:$G$89,7,0),Patterns!$A$2:$N$28,COLUMN(I52)-2,0)/
VLOOKUP(
VLOOKUP($A52,'IP1'!$A$37:$G$89,7,0),Patterns!$A$2:$N$28,2,0),
IF(LEFT($D52,7)="Payroll",
SUMPRODUCT(($B52='IP1'!$B$96:$B$114)*('IP1'!$D$96:$D$114))/12,
SUMPRODUCT(($B52='IP1'!$B$96:$B$114)*('IP1'!$D$96:$D$114))/12*
IF(YEAR(I$3)=2013,'IP1'!$F$154,'IP1'!$G$154)
))</f>
        <v>416.66666666666669</v>
      </c>
      <c r="J52" s="85">
        <f>IF(LEFT($D52,5)="Other",
VLOOKUP($A52,'IP1'!$A$37:$G$89,4,0)*
VLOOKUP(
VLOOKUP($A52,'IP1'!$A$37:$G$89,7,0),Patterns!$A$2:$N$28,COLUMN(J52)-2,0)/
VLOOKUP(
VLOOKUP($A52,'IP1'!$A$37:$G$89,7,0),Patterns!$A$2:$N$28,2,0),
IF(LEFT($D52,7)="Payroll",
SUMPRODUCT(($B52='IP1'!$B$96:$B$114)*('IP1'!$D$96:$D$114))/12,
SUMPRODUCT(($B52='IP1'!$B$96:$B$114)*('IP1'!$D$96:$D$114))/12*
IF(YEAR(J$3)=2013,'IP1'!$F$154,'IP1'!$G$154)
))</f>
        <v>416.66666666666669</v>
      </c>
      <c r="K52" s="85">
        <f>IF(LEFT($D52,5)="Other",
VLOOKUP($A52,'IP1'!$A$37:$G$89,4,0)*
VLOOKUP(
VLOOKUP($A52,'IP1'!$A$37:$G$89,7,0),Patterns!$A$2:$N$28,COLUMN(K52)-2,0)/
VLOOKUP(
VLOOKUP($A52,'IP1'!$A$37:$G$89,7,0),Patterns!$A$2:$N$28,2,0),
IF(LEFT($D52,7)="Payroll",
SUMPRODUCT(($B52='IP1'!$B$96:$B$114)*('IP1'!$D$96:$D$114))/12,
SUMPRODUCT(($B52='IP1'!$B$96:$B$114)*('IP1'!$D$96:$D$114))/12*
IF(YEAR(K$3)=2013,'IP1'!$F$154,'IP1'!$G$154)
))</f>
        <v>416.66666666666669</v>
      </c>
      <c r="L52" s="85">
        <f>IF(LEFT($D52,5)="Other",
VLOOKUP($A52,'IP1'!$A$37:$G$89,4,0)*
VLOOKUP(
VLOOKUP($A52,'IP1'!$A$37:$G$89,7,0),Patterns!$A$2:$N$28,COLUMN(L52)-2,0)/
VLOOKUP(
VLOOKUP($A52,'IP1'!$A$37:$G$89,7,0),Patterns!$A$2:$N$28,2,0),
IF(LEFT($D52,7)="Payroll",
SUMPRODUCT(($B52='IP1'!$B$96:$B$114)*('IP1'!$D$96:$D$114))/12,
SUMPRODUCT(($B52='IP1'!$B$96:$B$114)*('IP1'!$D$96:$D$114))/12*
IF(YEAR(L$3)=2013,'IP1'!$F$154,'IP1'!$G$154)
))</f>
        <v>416.66666666666669</v>
      </c>
      <c r="M52" s="85">
        <f>IF(LEFT($D52,5)="Other",
VLOOKUP($A52,'IP1'!$A$37:$G$89,4,0)*
VLOOKUP(
VLOOKUP($A52,'IP1'!$A$37:$G$89,7,0),Patterns!$A$2:$N$28,COLUMN(M52)-2,0)/
VLOOKUP(
VLOOKUP($A52,'IP1'!$A$37:$G$89,7,0),Patterns!$A$2:$N$28,2,0),
IF(LEFT($D52,7)="Payroll",
SUMPRODUCT(($B52='IP1'!$B$96:$B$114)*('IP1'!$D$96:$D$114))/12,
SUMPRODUCT(($B52='IP1'!$B$96:$B$114)*('IP1'!$D$96:$D$114))/12*
IF(YEAR(M$3)=2013,'IP1'!$F$154,'IP1'!$G$154)
))</f>
        <v>416.66666666666669</v>
      </c>
      <c r="N52" s="85">
        <f>IF(LEFT($D52,5)="Other",
VLOOKUP($A52,'IP1'!$A$37:$G$89,4,0)*
VLOOKUP(
VLOOKUP($A52,'IP1'!$A$37:$G$89,7,0),Patterns!$A$2:$N$28,COLUMN(N52)-2,0)/
VLOOKUP(
VLOOKUP($A52,'IP1'!$A$37:$G$89,7,0),Patterns!$A$2:$N$28,2,0),
IF(LEFT($D52,7)="Payroll",
SUMPRODUCT(($B52='IP1'!$B$96:$B$114)*('IP1'!$D$96:$D$114))/12,
SUMPRODUCT(($B52='IP1'!$B$96:$B$114)*('IP1'!$D$96:$D$114))/12*
IF(YEAR(N$3)=2013,'IP1'!$F$154,'IP1'!$G$154)
))</f>
        <v>416.66666666666669</v>
      </c>
      <c r="O52" s="85">
        <f>IF(LEFT($D52,5)="Other",
VLOOKUP($A52,'IP1'!$A$37:$G$89,4,0)*
VLOOKUP(
VLOOKUP($A52,'IP1'!$A$37:$G$89,7,0),Patterns!$A$2:$N$28,COLUMN(O52)-2,0)/
VLOOKUP(
VLOOKUP($A52,'IP1'!$A$37:$G$89,7,0),Patterns!$A$2:$N$28,2,0),
IF(LEFT($D52,7)="Payroll",
SUMPRODUCT(($B52='IP1'!$B$96:$B$114)*('IP1'!$D$96:$D$114))/12,
SUMPRODUCT(($B52='IP1'!$B$96:$B$114)*('IP1'!$D$96:$D$114))/12*
IF(YEAR(O$3)=2013,'IP1'!$F$154,'IP1'!$G$154)
))</f>
        <v>416.66666666666669</v>
      </c>
      <c r="P52" s="85">
        <f>IF(LEFT($D52,5)="Other",
VLOOKUP($A52,'IP1'!$A$37:$G$89,4,0)*
VLOOKUP(
VLOOKUP($A52,'IP1'!$A$37:$G$89,7,0),Patterns!$A$2:$N$28,COLUMN(P52)-2,0)/
VLOOKUP(
VLOOKUP($A52,'IP1'!$A$37:$G$89,7,0),Patterns!$A$2:$N$28,2,0),
IF(LEFT($D52,7)="Payroll",
SUMPRODUCT(($B52='IP1'!$B$96:$B$114)*('IP1'!$D$96:$D$114))/12,
SUMPRODUCT(($B52='IP1'!$B$96:$B$114)*('IP1'!$D$96:$D$114))/12*
IF(YEAR(P$3)=2013,'IP1'!$F$154,'IP1'!$G$154)
))</f>
        <v>416.66666666666669</v>
      </c>
      <c r="Q52" s="85">
        <f>IF(LEFT($D52,5)="Other",
VLOOKUP($A52,'IP1'!$A$37:$G$89,5,0)*
VLOOKUP(
VLOOKUP($A52,'IP1'!$A$37:$G$89,7,0),Patterns!$A$2:$N$28,COLUMN(Q52)-14,0)/
VLOOKUP(
VLOOKUP($A52,'IP1'!$A$37:$G$89,7,0),Patterns!$A$2:$N$28,2,0),
IF(LEFT($D52,7)="Payroll",
SUMPRODUCT(($B52='IP1'!$B$96:$B$114)*('IP1'!$E$96:$E$114))/12,
SUMPRODUCT(($B52='IP1'!$B$96:$B$114)*('IP1'!$E$96:$E$114))/12*
IF(YEAR(Q$3)=2013,'IP1'!$F$154,'IP1'!$G$154)
))</f>
        <v>416.66666666666669</v>
      </c>
      <c r="R52" s="85">
        <f>IF(LEFT($D52,5)="Other",
VLOOKUP($A52,'IP1'!$A$37:$G$89,5,0)*
VLOOKUP(
VLOOKUP($A52,'IP1'!$A$37:$G$89,7,0),Patterns!$A$2:$N$28,COLUMN(R52)-14,0)/
VLOOKUP(
VLOOKUP($A52,'IP1'!$A$37:$G$89,7,0),Patterns!$A$2:$N$28,2,0),
IF(LEFT($D52,7)="Payroll",
SUMPRODUCT(($B52='IP1'!$B$96:$B$114)*('IP1'!$E$96:$E$114))/12,
SUMPRODUCT(($B52='IP1'!$B$96:$B$114)*('IP1'!$E$96:$E$114))/12*
IF(YEAR(R$3)=2013,'IP1'!$F$154,'IP1'!$G$154)
))</f>
        <v>416.66666666666669</v>
      </c>
      <c r="S52" s="85">
        <f>IF(LEFT($D52,5)="Other",
VLOOKUP($A52,'IP1'!$A$37:$G$89,5,0)*
VLOOKUP(
VLOOKUP($A52,'IP1'!$A$37:$G$89,7,0),Patterns!$A$2:$N$28,COLUMN(S52)-14,0)/
VLOOKUP(
VLOOKUP($A52,'IP1'!$A$37:$G$89,7,0),Patterns!$A$2:$N$28,2,0),
IF(LEFT($D52,7)="Payroll",
SUMPRODUCT(($B52='IP1'!$B$96:$B$114)*('IP1'!$E$96:$E$114))/12,
SUMPRODUCT(($B52='IP1'!$B$96:$B$114)*('IP1'!$E$96:$E$114))/12*
IF(YEAR(S$3)=2013,'IP1'!$F$154,'IP1'!$G$154)
))</f>
        <v>416.66666666666669</v>
      </c>
      <c r="T52" s="85">
        <f>IF(LEFT($D52,5)="Other",
VLOOKUP($A52,'IP1'!$A$37:$G$89,5,0)*
VLOOKUP(
VLOOKUP($A52,'IP1'!$A$37:$G$89,7,0),Patterns!$A$2:$N$28,COLUMN(T52)-14,0)/
VLOOKUP(
VLOOKUP($A52,'IP1'!$A$37:$G$89,7,0),Patterns!$A$2:$N$28,2,0),
IF(LEFT($D52,7)="Payroll",
SUMPRODUCT(($B52='IP1'!$B$96:$B$114)*('IP1'!$E$96:$E$114))/12,
SUMPRODUCT(($B52='IP1'!$B$96:$B$114)*('IP1'!$E$96:$E$114))/12*
IF(YEAR(T$3)=2013,'IP1'!$F$154,'IP1'!$G$154)
))</f>
        <v>416.66666666666669</v>
      </c>
      <c r="U52" s="85">
        <f>IF(LEFT($D52,5)="Other",
VLOOKUP($A52,'IP1'!$A$37:$G$89,5,0)*
VLOOKUP(
VLOOKUP($A52,'IP1'!$A$37:$G$89,7,0),Patterns!$A$2:$N$28,COLUMN(U52)-14,0)/
VLOOKUP(
VLOOKUP($A52,'IP1'!$A$37:$G$89,7,0),Patterns!$A$2:$N$28,2,0),
IF(LEFT($D52,7)="Payroll",
SUMPRODUCT(($B52='IP1'!$B$96:$B$114)*('IP1'!$E$96:$E$114))/12,
SUMPRODUCT(($B52='IP1'!$B$96:$B$114)*('IP1'!$E$96:$E$114))/12*
IF(YEAR(U$3)=2013,'IP1'!$F$154,'IP1'!$G$154)
))</f>
        <v>416.66666666666669</v>
      </c>
      <c r="V52" s="85">
        <f>IF(LEFT($D52,5)="Other",
VLOOKUP($A52,'IP1'!$A$37:$G$89,5,0)*
VLOOKUP(
VLOOKUP($A52,'IP1'!$A$37:$G$89,7,0),Patterns!$A$2:$N$28,COLUMN(V52)-14,0)/
VLOOKUP(
VLOOKUP($A52,'IP1'!$A$37:$G$89,7,0),Patterns!$A$2:$N$28,2,0),
IF(LEFT($D52,7)="Payroll",
SUMPRODUCT(($B52='IP1'!$B$96:$B$114)*('IP1'!$E$96:$E$114))/12,
SUMPRODUCT(($B52='IP1'!$B$96:$B$114)*('IP1'!$E$96:$E$114))/12*
IF(YEAR(V$3)=2013,'IP1'!$F$154,'IP1'!$G$154)
))</f>
        <v>416.66666666666669</v>
      </c>
      <c r="W52" s="85">
        <f>IF(LEFT($D52,5)="Other",
VLOOKUP($A52,'IP1'!$A$37:$G$89,5,0)*
VLOOKUP(
VLOOKUP($A52,'IP1'!$A$37:$G$89,7,0),Patterns!$A$2:$N$28,COLUMN(W52)-14,0)/
VLOOKUP(
VLOOKUP($A52,'IP1'!$A$37:$G$89,7,0),Patterns!$A$2:$N$28,2,0),
IF(LEFT($D52,7)="Payroll",
SUMPRODUCT(($B52='IP1'!$B$96:$B$114)*('IP1'!$E$96:$E$114))/12,
SUMPRODUCT(($B52='IP1'!$B$96:$B$114)*('IP1'!$E$96:$E$114))/12*
IF(YEAR(W$3)=2013,'IP1'!$F$154,'IP1'!$G$154)
))</f>
        <v>416.66666666666669</v>
      </c>
      <c r="X52" s="85">
        <f>IF(LEFT($D52,5)="Other",
VLOOKUP($A52,'IP1'!$A$37:$G$89,5,0)*
VLOOKUP(
VLOOKUP($A52,'IP1'!$A$37:$G$89,7,0),Patterns!$A$2:$N$28,COLUMN(X52)-14,0)/
VLOOKUP(
VLOOKUP($A52,'IP1'!$A$37:$G$89,7,0),Patterns!$A$2:$N$28,2,0),
IF(LEFT($D52,7)="Payroll",
SUMPRODUCT(($B52='IP1'!$B$96:$B$114)*('IP1'!$E$96:$E$114))/12,
SUMPRODUCT(($B52='IP1'!$B$96:$B$114)*('IP1'!$E$96:$E$114))/12*
IF(YEAR(X$3)=2013,'IP1'!$F$154,'IP1'!$G$154)
))</f>
        <v>416.66666666666669</v>
      </c>
      <c r="Y52" s="85">
        <f>IF(LEFT($D52,5)="Other",
VLOOKUP($A52,'IP1'!$A$37:$G$89,5,0)*
VLOOKUP(
VLOOKUP($A52,'IP1'!$A$37:$G$89,7,0),Patterns!$A$2:$N$28,COLUMN(Y52)-14,0)/
VLOOKUP(
VLOOKUP($A52,'IP1'!$A$37:$G$89,7,0),Patterns!$A$2:$N$28,2,0),
IF(LEFT($D52,7)="Payroll",
SUMPRODUCT(($B52='IP1'!$B$96:$B$114)*('IP1'!$E$96:$E$114))/12,
SUMPRODUCT(($B52='IP1'!$B$96:$B$114)*('IP1'!$E$96:$E$114))/12*
IF(YEAR(Y$3)=2013,'IP1'!$F$154,'IP1'!$G$154)
))</f>
        <v>416.66666666666669</v>
      </c>
      <c r="Z52" s="85">
        <f>IF(LEFT($D52,5)="Other",
VLOOKUP($A52,'IP1'!$A$37:$G$89,5,0)*
VLOOKUP(
VLOOKUP($A52,'IP1'!$A$37:$G$89,7,0),Patterns!$A$2:$N$28,COLUMN(Z52)-14,0)/
VLOOKUP(
VLOOKUP($A52,'IP1'!$A$37:$G$89,7,0),Patterns!$A$2:$N$28,2,0),
IF(LEFT($D52,7)="Payroll",
SUMPRODUCT(($B52='IP1'!$B$96:$B$114)*('IP1'!$E$96:$E$114))/12,
SUMPRODUCT(($B52='IP1'!$B$96:$B$114)*('IP1'!$E$96:$E$114))/12*
IF(YEAR(Z$3)=2013,'IP1'!$F$154,'IP1'!$G$154)
))</f>
        <v>416.66666666666669</v>
      </c>
      <c r="AA52" s="85">
        <f>IF(LEFT($D52,5)="Other",
VLOOKUP($A52,'IP1'!$A$37:$G$89,5,0)*
VLOOKUP(
VLOOKUP($A52,'IP1'!$A$37:$G$89,7,0),Patterns!$A$2:$N$28,COLUMN(AA52)-14,0)/
VLOOKUP(
VLOOKUP($A52,'IP1'!$A$37:$G$89,7,0),Patterns!$A$2:$N$28,2,0),
IF(LEFT($D52,7)="Payroll",
SUMPRODUCT(($B52='IP1'!$B$96:$B$114)*('IP1'!$E$96:$E$114))/12,
SUMPRODUCT(($B52='IP1'!$B$96:$B$114)*('IP1'!$E$96:$E$114))/12*
IF(YEAR(AA$3)=2013,'IP1'!$F$154,'IP1'!$G$154)
))</f>
        <v>416.66666666666669</v>
      </c>
      <c r="AB52" s="85">
        <f>IF(LEFT($D52,5)="Other",
VLOOKUP($A52,'IP1'!$A$37:$G$89,5,0)*
VLOOKUP(
VLOOKUP($A52,'IP1'!$A$37:$G$89,7,0),Patterns!$A$2:$N$28,COLUMN(AB52)-14,0)/
VLOOKUP(
VLOOKUP($A52,'IP1'!$A$37:$G$89,7,0),Patterns!$A$2:$N$28,2,0),
IF(LEFT($D52,7)="Payroll",
SUMPRODUCT(($B52='IP1'!$B$96:$B$114)*('IP1'!$E$96:$E$114))/12,
SUMPRODUCT(($B52='IP1'!$B$96:$B$114)*('IP1'!$E$96:$E$114))/12*
IF(YEAR(AB$3)=2013,'IP1'!$F$154,'IP1'!$G$154)
))</f>
        <v>416.66666666666669</v>
      </c>
    </row>
    <row r="53" spans="1:28">
      <c r="A53" s="1" t="str">
        <f t="shared" si="2"/>
        <v>OperationsSpa / Wellness</v>
      </c>
      <c r="B53" s="1" t="s">
        <v>463</v>
      </c>
      <c r="C53" s="1" t="s">
        <v>479</v>
      </c>
      <c r="D53" s="11" t="s">
        <v>100</v>
      </c>
      <c r="E53" s="85">
        <f>IF(LEFT($D53,5)="Other",
VLOOKUP($A53,'IP1'!$A$37:$G$89,4,0)*
VLOOKUP(
VLOOKUP($A53,'IP1'!$A$37:$G$89,7,0),Patterns!$A$2:$N$28,COLUMN(E53)-2,0)/
VLOOKUP(
VLOOKUP($A53,'IP1'!$A$37:$G$89,7,0),Patterns!$A$2:$N$28,2,0),
IF(LEFT($D53,7)="Payroll",
SUMPRODUCT(($B53='IP1'!$B$96:$B$114)*('IP1'!$D$96:$D$114))/12,
SUMPRODUCT(($B53='IP1'!$B$96:$B$114)*('IP1'!$D$96:$D$114))/12*
IF(YEAR(E$3)=2013,'IP1'!$F$154,'IP1'!$G$154)
))</f>
        <v>541.66666666666663</v>
      </c>
      <c r="F53" s="85">
        <f>IF(LEFT($D53,5)="Other",
VLOOKUP($A53,'IP1'!$A$37:$G$89,4,0)*
VLOOKUP(
VLOOKUP($A53,'IP1'!$A$37:$G$89,7,0),Patterns!$A$2:$N$28,COLUMN(F53)-2,0)/
VLOOKUP(
VLOOKUP($A53,'IP1'!$A$37:$G$89,7,0),Patterns!$A$2:$N$28,2,0),
IF(LEFT($D53,7)="Payroll",
SUMPRODUCT(($B53='IP1'!$B$96:$B$114)*('IP1'!$D$96:$D$114))/12,
SUMPRODUCT(($B53='IP1'!$B$96:$B$114)*('IP1'!$D$96:$D$114))/12*
IF(YEAR(F$3)=2013,'IP1'!$F$154,'IP1'!$G$154)
))</f>
        <v>541.66666666666663</v>
      </c>
      <c r="G53" s="85">
        <f>IF(LEFT($D53,5)="Other",
VLOOKUP($A53,'IP1'!$A$37:$G$89,4,0)*
VLOOKUP(
VLOOKUP($A53,'IP1'!$A$37:$G$89,7,0),Patterns!$A$2:$N$28,COLUMN(G53)-2,0)/
VLOOKUP(
VLOOKUP($A53,'IP1'!$A$37:$G$89,7,0),Patterns!$A$2:$N$28,2,0),
IF(LEFT($D53,7)="Payroll",
SUMPRODUCT(($B53='IP1'!$B$96:$B$114)*('IP1'!$D$96:$D$114))/12,
SUMPRODUCT(($B53='IP1'!$B$96:$B$114)*('IP1'!$D$96:$D$114))/12*
IF(YEAR(G$3)=2013,'IP1'!$F$154,'IP1'!$G$154)
))</f>
        <v>541.66666666666663</v>
      </c>
      <c r="H53" s="85">
        <f>IF(LEFT($D53,5)="Other",
VLOOKUP($A53,'IP1'!$A$37:$G$89,4,0)*
VLOOKUP(
VLOOKUP($A53,'IP1'!$A$37:$G$89,7,0),Patterns!$A$2:$N$28,COLUMN(H53)-2,0)/
VLOOKUP(
VLOOKUP($A53,'IP1'!$A$37:$G$89,7,0),Patterns!$A$2:$N$28,2,0),
IF(LEFT($D53,7)="Payroll",
SUMPRODUCT(($B53='IP1'!$B$96:$B$114)*('IP1'!$D$96:$D$114))/12,
SUMPRODUCT(($B53='IP1'!$B$96:$B$114)*('IP1'!$D$96:$D$114))/12*
IF(YEAR(H$3)=2013,'IP1'!$F$154,'IP1'!$G$154)
))</f>
        <v>541.66666666666663</v>
      </c>
      <c r="I53" s="85">
        <f>IF(LEFT($D53,5)="Other",
VLOOKUP($A53,'IP1'!$A$37:$G$89,4,0)*
VLOOKUP(
VLOOKUP($A53,'IP1'!$A$37:$G$89,7,0),Patterns!$A$2:$N$28,COLUMN(I53)-2,0)/
VLOOKUP(
VLOOKUP($A53,'IP1'!$A$37:$G$89,7,0),Patterns!$A$2:$N$28,2,0),
IF(LEFT($D53,7)="Payroll",
SUMPRODUCT(($B53='IP1'!$B$96:$B$114)*('IP1'!$D$96:$D$114))/12,
SUMPRODUCT(($B53='IP1'!$B$96:$B$114)*('IP1'!$D$96:$D$114))/12*
IF(YEAR(I$3)=2013,'IP1'!$F$154,'IP1'!$G$154)
))</f>
        <v>541.66666666666663</v>
      </c>
      <c r="J53" s="85">
        <f>IF(LEFT($D53,5)="Other",
VLOOKUP($A53,'IP1'!$A$37:$G$89,4,0)*
VLOOKUP(
VLOOKUP($A53,'IP1'!$A$37:$G$89,7,0),Patterns!$A$2:$N$28,COLUMN(J53)-2,0)/
VLOOKUP(
VLOOKUP($A53,'IP1'!$A$37:$G$89,7,0),Patterns!$A$2:$N$28,2,0),
IF(LEFT($D53,7)="Payroll",
SUMPRODUCT(($B53='IP1'!$B$96:$B$114)*('IP1'!$D$96:$D$114))/12,
SUMPRODUCT(($B53='IP1'!$B$96:$B$114)*('IP1'!$D$96:$D$114))/12*
IF(YEAR(J$3)=2013,'IP1'!$F$154,'IP1'!$G$154)
))</f>
        <v>541.66666666666663</v>
      </c>
      <c r="K53" s="85">
        <f>IF(LEFT($D53,5)="Other",
VLOOKUP($A53,'IP1'!$A$37:$G$89,4,0)*
VLOOKUP(
VLOOKUP($A53,'IP1'!$A$37:$G$89,7,0),Patterns!$A$2:$N$28,COLUMN(K53)-2,0)/
VLOOKUP(
VLOOKUP($A53,'IP1'!$A$37:$G$89,7,0),Patterns!$A$2:$N$28,2,0),
IF(LEFT($D53,7)="Payroll",
SUMPRODUCT(($B53='IP1'!$B$96:$B$114)*('IP1'!$D$96:$D$114))/12,
SUMPRODUCT(($B53='IP1'!$B$96:$B$114)*('IP1'!$D$96:$D$114))/12*
IF(YEAR(K$3)=2013,'IP1'!$F$154,'IP1'!$G$154)
))</f>
        <v>541.66666666666663</v>
      </c>
      <c r="L53" s="85">
        <f>IF(LEFT($D53,5)="Other",
VLOOKUP($A53,'IP1'!$A$37:$G$89,4,0)*
VLOOKUP(
VLOOKUP($A53,'IP1'!$A$37:$G$89,7,0),Patterns!$A$2:$N$28,COLUMN(L53)-2,0)/
VLOOKUP(
VLOOKUP($A53,'IP1'!$A$37:$G$89,7,0),Patterns!$A$2:$N$28,2,0),
IF(LEFT($D53,7)="Payroll",
SUMPRODUCT(($B53='IP1'!$B$96:$B$114)*('IP1'!$D$96:$D$114))/12,
SUMPRODUCT(($B53='IP1'!$B$96:$B$114)*('IP1'!$D$96:$D$114))/12*
IF(YEAR(L$3)=2013,'IP1'!$F$154,'IP1'!$G$154)
))</f>
        <v>541.66666666666663</v>
      </c>
      <c r="M53" s="85">
        <f>IF(LEFT($D53,5)="Other",
VLOOKUP($A53,'IP1'!$A$37:$G$89,4,0)*
VLOOKUP(
VLOOKUP($A53,'IP1'!$A$37:$G$89,7,0),Patterns!$A$2:$N$28,COLUMN(M53)-2,0)/
VLOOKUP(
VLOOKUP($A53,'IP1'!$A$37:$G$89,7,0),Patterns!$A$2:$N$28,2,0),
IF(LEFT($D53,7)="Payroll",
SUMPRODUCT(($B53='IP1'!$B$96:$B$114)*('IP1'!$D$96:$D$114))/12,
SUMPRODUCT(($B53='IP1'!$B$96:$B$114)*('IP1'!$D$96:$D$114))/12*
IF(YEAR(M$3)=2013,'IP1'!$F$154,'IP1'!$G$154)
))</f>
        <v>541.66666666666663</v>
      </c>
      <c r="N53" s="85">
        <f>IF(LEFT($D53,5)="Other",
VLOOKUP($A53,'IP1'!$A$37:$G$89,4,0)*
VLOOKUP(
VLOOKUP($A53,'IP1'!$A$37:$G$89,7,0),Patterns!$A$2:$N$28,COLUMN(N53)-2,0)/
VLOOKUP(
VLOOKUP($A53,'IP1'!$A$37:$G$89,7,0),Patterns!$A$2:$N$28,2,0),
IF(LEFT($D53,7)="Payroll",
SUMPRODUCT(($B53='IP1'!$B$96:$B$114)*('IP1'!$D$96:$D$114))/12,
SUMPRODUCT(($B53='IP1'!$B$96:$B$114)*('IP1'!$D$96:$D$114))/12*
IF(YEAR(N$3)=2013,'IP1'!$F$154,'IP1'!$G$154)
))</f>
        <v>541.66666666666663</v>
      </c>
      <c r="O53" s="85">
        <f>IF(LEFT($D53,5)="Other",
VLOOKUP($A53,'IP1'!$A$37:$G$89,4,0)*
VLOOKUP(
VLOOKUP($A53,'IP1'!$A$37:$G$89,7,0),Patterns!$A$2:$N$28,COLUMN(O53)-2,0)/
VLOOKUP(
VLOOKUP($A53,'IP1'!$A$37:$G$89,7,0),Patterns!$A$2:$N$28,2,0),
IF(LEFT($D53,7)="Payroll",
SUMPRODUCT(($B53='IP1'!$B$96:$B$114)*('IP1'!$D$96:$D$114))/12,
SUMPRODUCT(($B53='IP1'!$B$96:$B$114)*('IP1'!$D$96:$D$114))/12*
IF(YEAR(O$3)=2013,'IP1'!$F$154,'IP1'!$G$154)
))</f>
        <v>541.66666666666663</v>
      </c>
      <c r="P53" s="85">
        <f>IF(LEFT($D53,5)="Other",
VLOOKUP($A53,'IP1'!$A$37:$G$89,4,0)*
VLOOKUP(
VLOOKUP($A53,'IP1'!$A$37:$G$89,7,0),Patterns!$A$2:$N$28,COLUMN(P53)-2,0)/
VLOOKUP(
VLOOKUP($A53,'IP1'!$A$37:$G$89,7,0),Patterns!$A$2:$N$28,2,0),
IF(LEFT($D53,7)="Payroll",
SUMPRODUCT(($B53='IP1'!$B$96:$B$114)*('IP1'!$D$96:$D$114))/12,
SUMPRODUCT(($B53='IP1'!$B$96:$B$114)*('IP1'!$D$96:$D$114))/12*
IF(YEAR(P$3)=2013,'IP1'!$F$154,'IP1'!$G$154)
))</f>
        <v>541.66666666666663</v>
      </c>
      <c r="Q53" s="85">
        <f>IF(LEFT($D53,5)="Other",
VLOOKUP($A53,'IP1'!$A$37:$G$89,5,0)*
VLOOKUP(
VLOOKUP($A53,'IP1'!$A$37:$G$89,7,0),Patterns!$A$2:$N$28,COLUMN(Q53)-14,0)/
VLOOKUP(
VLOOKUP($A53,'IP1'!$A$37:$G$89,7,0),Patterns!$A$2:$N$28,2,0),
IF(LEFT($D53,7)="Payroll",
SUMPRODUCT(($B53='IP1'!$B$96:$B$114)*('IP1'!$E$96:$E$114))/12,
SUMPRODUCT(($B53='IP1'!$B$96:$B$114)*('IP1'!$E$96:$E$114))/12*
IF(YEAR(Q$3)=2013,'IP1'!$F$154,'IP1'!$G$154)
))</f>
        <v>541.66666666666663</v>
      </c>
      <c r="R53" s="85">
        <f>IF(LEFT($D53,5)="Other",
VLOOKUP($A53,'IP1'!$A$37:$G$89,5,0)*
VLOOKUP(
VLOOKUP($A53,'IP1'!$A$37:$G$89,7,0),Patterns!$A$2:$N$28,COLUMN(R53)-14,0)/
VLOOKUP(
VLOOKUP($A53,'IP1'!$A$37:$G$89,7,0),Patterns!$A$2:$N$28,2,0),
IF(LEFT($D53,7)="Payroll",
SUMPRODUCT(($B53='IP1'!$B$96:$B$114)*('IP1'!$E$96:$E$114))/12,
SUMPRODUCT(($B53='IP1'!$B$96:$B$114)*('IP1'!$E$96:$E$114))/12*
IF(YEAR(R$3)=2013,'IP1'!$F$154,'IP1'!$G$154)
))</f>
        <v>541.66666666666663</v>
      </c>
      <c r="S53" s="85">
        <f>IF(LEFT($D53,5)="Other",
VLOOKUP($A53,'IP1'!$A$37:$G$89,5,0)*
VLOOKUP(
VLOOKUP($A53,'IP1'!$A$37:$G$89,7,0),Patterns!$A$2:$N$28,COLUMN(S53)-14,0)/
VLOOKUP(
VLOOKUP($A53,'IP1'!$A$37:$G$89,7,0),Patterns!$A$2:$N$28,2,0),
IF(LEFT($D53,7)="Payroll",
SUMPRODUCT(($B53='IP1'!$B$96:$B$114)*('IP1'!$E$96:$E$114))/12,
SUMPRODUCT(($B53='IP1'!$B$96:$B$114)*('IP1'!$E$96:$E$114))/12*
IF(YEAR(S$3)=2013,'IP1'!$F$154,'IP1'!$G$154)
))</f>
        <v>541.66666666666663</v>
      </c>
      <c r="T53" s="85">
        <f>IF(LEFT($D53,5)="Other",
VLOOKUP($A53,'IP1'!$A$37:$G$89,5,0)*
VLOOKUP(
VLOOKUP($A53,'IP1'!$A$37:$G$89,7,0),Patterns!$A$2:$N$28,COLUMN(T53)-14,0)/
VLOOKUP(
VLOOKUP($A53,'IP1'!$A$37:$G$89,7,0),Patterns!$A$2:$N$28,2,0),
IF(LEFT($D53,7)="Payroll",
SUMPRODUCT(($B53='IP1'!$B$96:$B$114)*('IP1'!$E$96:$E$114))/12,
SUMPRODUCT(($B53='IP1'!$B$96:$B$114)*('IP1'!$E$96:$E$114))/12*
IF(YEAR(T$3)=2013,'IP1'!$F$154,'IP1'!$G$154)
))</f>
        <v>541.66666666666663</v>
      </c>
      <c r="U53" s="85">
        <f>IF(LEFT($D53,5)="Other",
VLOOKUP($A53,'IP1'!$A$37:$G$89,5,0)*
VLOOKUP(
VLOOKUP($A53,'IP1'!$A$37:$G$89,7,0),Patterns!$A$2:$N$28,COLUMN(U53)-14,0)/
VLOOKUP(
VLOOKUP($A53,'IP1'!$A$37:$G$89,7,0),Patterns!$A$2:$N$28,2,0),
IF(LEFT($D53,7)="Payroll",
SUMPRODUCT(($B53='IP1'!$B$96:$B$114)*('IP1'!$E$96:$E$114))/12,
SUMPRODUCT(($B53='IP1'!$B$96:$B$114)*('IP1'!$E$96:$E$114))/12*
IF(YEAR(U$3)=2013,'IP1'!$F$154,'IP1'!$G$154)
))</f>
        <v>541.66666666666663</v>
      </c>
      <c r="V53" s="85">
        <f>IF(LEFT($D53,5)="Other",
VLOOKUP($A53,'IP1'!$A$37:$G$89,5,0)*
VLOOKUP(
VLOOKUP($A53,'IP1'!$A$37:$G$89,7,0),Patterns!$A$2:$N$28,COLUMN(V53)-14,0)/
VLOOKUP(
VLOOKUP($A53,'IP1'!$A$37:$G$89,7,0),Patterns!$A$2:$N$28,2,0),
IF(LEFT($D53,7)="Payroll",
SUMPRODUCT(($B53='IP1'!$B$96:$B$114)*('IP1'!$E$96:$E$114))/12,
SUMPRODUCT(($B53='IP1'!$B$96:$B$114)*('IP1'!$E$96:$E$114))/12*
IF(YEAR(V$3)=2013,'IP1'!$F$154,'IP1'!$G$154)
))</f>
        <v>541.66666666666663</v>
      </c>
      <c r="W53" s="85">
        <f>IF(LEFT($D53,5)="Other",
VLOOKUP($A53,'IP1'!$A$37:$G$89,5,0)*
VLOOKUP(
VLOOKUP($A53,'IP1'!$A$37:$G$89,7,0),Patterns!$A$2:$N$28,COLUMN(W53)-14,0)/
VLOOKUP(
VLOOKUP($A53,'IP1'!$A$37:$G$89,7,0),Patterns!$A$2:$N$28,2,0),
IF(LEFT($D53,7)="Payroll",
SUMPRODUCT(($B53='IP1'!$B$96:$B$114)*('IP1'!$E$96:$E$114))/12,
SUMPRODUCT(($B53='IP1'!$B$96:$B$114)*('IP1'!$E$96:$E$114))/12*
IF(YEAR(W$3)=2013,'IP1'!$F$154,'IP1'!$G$154)
))</f>
        <v>541.66666666666663</v>
      </c>
      <c r="X53" s="85">
        <f>IF(LEFT($D53,5)="Other",
VLOOKUP($A53,'IP1'!$A$37:$G$89,5,0)*
VLOOKUP(
VLOOKUP($A53,'IP1'!$A$37:$G$89,7,0),Patterns!$A$2:$N$28,COLUMN(X53)-14,0)/
VLOOKUP(
VLOOKUP($A53,'IP1'!$A$37:$G$89,7,0),Patterns!$A$2:$N$28,2,0),
IF(LEFT($D53,7)="Payroll",
SUMPRODUCT(($B53='IP1'!$B$96:$B$114)*('IP1'!$E$96:$E$114))/12,
SUMPRODUCT(($B53='IP1'!$B$96:$B$114)*('IP1'!$E$96:$E$114))/12*
IF(YEAR(X$3)=2013,'IP1'!$F$154,'IP1'!$G$154)
))</f>
        <v>541.66666666666663</v>
      </c>
      <c r="Y53" s="85">
        <f>IF(LEFT($D53,5)="Other",
VLOOKUP($A53,'IP1'!$A$37:$G$89,5,0)*
VLOOKUP(
VLOOKUP($A53,'IP1'!$A$37:$G$89,7,0),Patterns!$A$2:$N$28,COLUMN(Y53)-14,0)/
VLOOKUP(
VLOOKUP($A53,'IP1'!$A$37:$G$89,7,0),Patterns!$A$2:$N$28,2,0),
IF(LEFT($D53,7)="Payroll",
SUMPRODUCT(($B53='IP1'!$B$96:$B$114)*('IP1'!$E$96:$E$114))/12,
SUMPRODUCT(($B53='IP1'!$B$96:$B$114)*('IP1'!$E$96:$E$114))/12*
IF(YEAR(Y$3)=2013,'IP1'!$F$154,'IP1'!$G$154)
))</f>
        <v>541.66666666666663</v>
      </c>
      <c r="Z53" s="85">
        <f>IF(LEFT($D53,5)="Other",
VLOOKUP($A53,'IP1'!$A$37:$G$89,5,0)*
VLOOKUP(
VLOOKUP($A53,'IP1'!$A$37:$G$89,7,0),Patterns!$A$2:$N$28,COLUMN(Z53)-14,0)/
VLOOKUP(
VLOOKUP($A53,'IP1'!$A$37:$G$89,7,0),Patterns!$A$2:$N$28,2,0),
IF(LEFT($D53,7)="Payroll",
SUMPRODUCT(($B53='IP1'!$B$96:$B$114)*('IP1'!$E$96:$E$114))/12,
SUMPRODUCT(($B53='IP1'!$B$96:$B$114)*('IP1'!$E$96:$E$114))/12*
IF(YEAR(Z$3)=2013,'IP1'!$F$154,'IP1'!$G$154)
))</f>
        <v>541.66666666666663</v>
      </c>
      <c r="AA53" s="85">
        <f>IF(LEFT($D53,5)="Other",
VLOOKUP($A53,'IP1'!$A$37:$G$89,5,0)*
VLOOKUP(
VLOOKUP($A53,'IP1'!$A$37:$G$89,7,0),Patterns!$A$2:$N$28,COLUMN(AA53)-14,0)/
VLOOKUP(
VLOOKUP($A53,'IP1'!$A$37:$G$89,7,0),Patterns!$A$2:$N$28,2,0),
IF(LEFT($D53,7)="Payroll",
SUMPRODUCT(($B53='IP1'!$B$96:$B$114)*('IP1'!$E$96:$E$114))/12,
SUMPRODUCT(($B53='IP1'!$B$96:$B$114)*('IP1'!$E$96:$E$114))/12*
IF(YEAR(AA$3)=2013,'IP1'!$F$154,'IP1'!$G$154)
))</f>
        <v>541.66666666666663</v>
      </c>
      <c r="AB53" s="85">
        <f>IF(LEFT($D53,5)="Other",
VLOOKUP($A53,'IP1'!$A$37:$G$89,5,0)*
VLOOKUP(
VLOOKUP($A53,'IP1'!$A$37:$G$89,7,0),Patterns!$A$2:$N$28,COLUMN(AB53)-14,0)/
VLOOKUP(
VLOOKUP($A53,'IP1'!$A$37:$G$89,7,0),Patterns!$A$2:$N$28,2,0),
IF(LEFT($D53,7)="Payroll",
SUMPRODUCT(($B53='IP1'!$B$96:$B$114)*('IP1'!$E$96:$E$114))/12,
SUMPRODUCT(($B53='IP1'!$B$96:$B$114)*('IP1'!$E$96:$E$114))/12*
IF(YEAR(AB$3)=2013,'IP1'!$F$154,'IP1'!$G$154)
))</f>
        <v>541.66666666666663</v>
      </c>
    </row>
    <row r="54" spans="1:28">
      <c r="A54" s="1" t="str">
        <f t="shared" si="2"/>
        <v xml:space="preserve">OperationsSwimming pool </v>
      </c>
      <c r="B54" s="1" t="s">
        <v>463</v>
      </c>
      <c r="C54" s="1" t="s">
        <v>474</v>
      </c>
      <c r="D54" s="11" t="s">
        <v>100</v>
      </c>
      <c r="E54" s="85">
        <f>IF(LEFT($D54,5)="Other",
VLOOKUP($A54,'IP1'!$A$37:$G$89,4,0)*
VLOOKUP(
VLOOKUP($A54,'IP1'!$A$37:$G$89,7,0),Patterns!$A$2:$N$28,COLUMN(E54)-2,0)/
VLOOKUP(
VLOOKUP($A54,'IP1'!$A$37:$G$89,7,0),Patterns!$A$2:$N$28,2,0),
IF(LEFT($D54,7)="Payroll",
SUMPRODUCT(($B54='IP1'!$B$96:$B$114)*('IP1'!$D$96:$D$114))/12,
SUMPRODUCT(($B54='IP1'!$B$96:$B$114)*('IP1'!$D$96:$D$114))/12*
IF(YEAR(E$3)=2013,'IP1'!$F$154,'IP1'!$G$154)
))</f>
        <v>4166.666666666667</v>
      </c>
      <c r="F54" s="85">
        <f>IF(LEFT($D54,5)="Other",
VLOOKUP($A54,'IP1'!$A$37:$G$89,4,0)*
VLOOKUP(
VLOOKUP($A54,'IP1'!$A$37:$G$89,7,0),Patterns!$A$2:$N$28,COLUMN(F54)-2,0)/
VLOOKUP(
VLOOKUP($A54,'IP1'!$A$37:$G$89,7,0),Patterns!$A$2:$N$28,2,0),
IF(LEFT($D54,7)="Payroll",
SUMPRODUCT(($B54='IP1'!$B$96:$B$114)*('IP1'!$D$96:$D$114))/12,
SUMPRODUCT(($B54='IP1'!$B$96:$B$114)*('IP1'!$D$96:$D$114))/12*
IF(YEAR(F$3)=2013,'IP1'!$F$154,'IP1'!$G$154)
))</f>
        <v>4166.666666666667</v>
      </c>
      <c r="G54" s="85">
        <f>IF(LEFT($D54,5)="Other",
VLOOKUP($A54,'IP1'!$A$37:$G$89,4,0)*
VLOOKUP(
VLOOKUP($A54,'IP1'!$A$37:$G$89,7,0),Patterns!$A$2:$N$28,COLUMN(G54)-2,0)/
VLOOKUP(
VLOOKUP($A54,'IP1'!$A$37:$G$89,7,0),Patterns!$A$2:$N$28,2,0),
IF(LEFT($D54,7)="Payroll",
SUMPRODUCT(($B54='IP1'!$B$96:$B$114)*('IP1'!$D$96:$D$114))/12,
SUMPRODUCT(($B54='IP1'!$B$96:$B$114)*('IP1'!$D$96:$D$114))/12*
IF(YEAR(G$3)=2013,'IP1'!$F$154,'IP1'!$G$154)
))</f>
        <v>4166.666666666667</v>
      </c>
      <c r="H54" s="85">
        <f>IF(LEFT($D54,5)="Other",
VLOOKUP($A54,'IP1'!$A$37:$G$89,4,0)*
VLOOKUP(
VLOOKUP($A54,'IP1'!$A$37:$G$89,7,0),Patterns!$A$2:$N$28,COLUMN(H54)-2,0)/
VLOOKUP(
VLOOKUP($A54,'IP1'!$A$37:$G$89,7,0),Patterns!$A$2:$N$28,2,0),
IF(LEFT($D54,7)="Payroll",
SUMPRODUCT(($B54='IP1'!$B$96:$B$114)*('IP1'!$D$96:$D$114))/12,
SUMPRODUCT(($B54='IP1'!$B$96:$B$114)*('IP1'!$D$96:$D$114))/12*
IF(YEAR(H$3)=2013,'IP1'!$F$154,'IP1'!$G$154)
))</f>
        <v>4166.666666666667</v>
      </c>
      <c r="I54" s="85">
        <f>IF(LEFT($D54,5)="Other",
VLOOKUP($A54,'IP1'!$A$37:$G$89,4,0)*
VLOOKUP(
VLOOKUP($A54,'IP1'!$A$37:$G$89,7,0),Patterns!$A$2:$N$28,COLUMN(I54)-2,0)/
VLOOKUP(
VLOOKUP($A54,'IP1'!$A$37:$G$89,7,0),Patterns!$A$2:$N$28,2,0),
IF(LEFT($D54,7)="Payroll",
SUMPRODUCT(($B54='IP1'!$B$96:$B$114)*('IP1'!$D$96:$D$114))/12,
SUMPRODUCT(($B54='IP1'!$B$96:$B$114)*('IP1'!$D$96:$D$114))/12*
IF(YEAR(I$3)=2013,'IP1'!$F$154,'IP1'!$G$154)
))</f>
        <v>4166.666666666667</v>
      </c>
      <c r="J54" s="85">
        <f>IF(LEFT($D54,5)="Other",
VLOOKUP($A54,'IP1'!$A$37:$G$89,4,0)*
VLOOKUP(
VLOOKUP($A54,'IP1'!$A$37:$G$89,7,0),Patterns!$A$2:$N$28,COLUMN(J54)-2,0)/
VLOOKUP(
VLOOKUP($A54,'IP1'!$A$37:$G$89,7,0),Patterns!$A$2:$N$28,2,0),
IF(LEFT($D54,7)="Payroll",
SUMPRODUCT(($B54='IP1'!$B$96:$B$114)*('IP1'!$D$96:$D$114))/12,
SUMPRODUCT(($B54='IP1'!$B$96:$B$114)*('IP1'!$D$96:$D$114))/12*
IF(YEAR(J$3)=2013,'IP1'!$F$154,'IP1'!$G$154)
))</f>
        <v>4166.666666666667</v>
      </c>
      <c r="K54" s="85">
        <f>IF(LEFT($D54,5)="Other",
VLOOKUP($A54,'IP1'!$A$37:$G$89,4,0)*
VLOOKUP(
VLOOKUP($A54,'IP1'!$A$37:$G$89,7,0),Patterns!$A$2:$N$28,COLUMN(K54)-2,0)/
VLOOKUP(
VLOOKUP($A54,'IP1'!$A$37:$G$89,7,0),Patterns!$A$2:$N$28,2,0),
IF(LEFT($D54,7)="Payroll",
SUMPRODUCT(($B54='IP1'!$B$96:$B$114)*('IP1'!$D$96:$D$114))/12,
SUMPRODUCT(($B54='IP1'!$B$96:$B$114)*('IP1'!$D$96:$D$114))/12*
IF(YEAR(K$3)=2013,'IP1'!$F$154,'IP1'!$G$154)
))</f>
        <v>4166.666666666667</v>
      </c>
      <c r="L54" s="85">
        <f>IF(LEFT($D54,5)="Other",
VLOOKUP($A54,'IP1'!$A$37:$G$89,4,0)*
VLOOKUP(
VLOOKUP($A54,'IP1'!$A$37:$G$89,7,0),Patterns!$A$2:$N$28,COLUMN(L54)-2,0)/
VLOOKUP(
VLOOKUP($A54,'IP1'!$A$37:$G$89,7,0),Patterns!$A$2:$N$28,2,0),
IF(LEFT($D54,7)="Payroll",
SUMPRODUCT(($B54='IP1'!$B$96:$B$114)*('IP1'!$D$96:$D$114))/12,
SUMPRODUCT(($B54='IP1'!$B$96:$B$114)*('IP1'!$D$96:$D$114))/12*
IF(YEAR(L$3)=2013,'IP1'!$F$154,'IP1'!$G$154)
))</f>
        <v>4166.666666666667</v>
      </c>
      <c r="M54" s="85">
        <f>IF(LEFT($D54,5)="Other",
VLOOKUP($A54,'IP1'!$A$37:$G$89,4,0)*
VLOOKUP(
VLOOKUP($A54,'IP1'!$A$37:$G$89,7,0),Patterns!$A$2:$N$28,COLUMN(M54)-2,0)/
VLOOKUP(
VLOOKUP($A54,'IP1'!$A$37:$G$89,7,0),Patterns!$A$2:$N$28,2,0),
IF(LEFT($D54,7)="Payroll",
SUMPRODUCT(($B54='IP1'!$B$96:$B$114)*('IP1'!$D$96:$D$114))/12,
SUMPRODUCT(($B54='IP1'!$B$96:$B$114)*('IP1'!$D$96:$D$114))/12*
IF(YEAR(M$3)=2013,'IP1'!$F$154,'IP1'!$G$154)
))</f>
        <v>4166.666666666667</v>
      </c>
      <c r="N54" s="85">
        <f>IF(LEFT($D54,5)="Other",
VLOOKUP($A54,'IP1'!$A$37:$G$89,4,0)*
VLOOKUP(
VLOOKUP($A54,'IP1'!$A$37:$G$89,7,0),Patterns!$A$2:$N$28,COLUMN(N54)-2,0)/
VLOOKUP(
VLOOKUP($A54,'IP1'!$A$37:$G$89,7,0),Patterns!$A$2:$N$28,2,0),
IF(LEFT($D54,7)="Payroll",
SUMPRODUCT(($B54='IP1'!$B$96:$B$114)*('IP1'!$D$96:$D$114))/12,
SUMPRODUCT(($B54='IP1'!$B$96:$B$114)*('IP1'!$D$96:$D$114))/12*
IF(YEAR(N$3)=2013,'IP1'!$F$154,'IP1'!$G$154)
))</f>
        <v>4166.666666666667</v>
      </c>
      <c r="O54" s="85">
        <f>IF(LEFT($D54,5)="Other",
VLOOKUP($A54,'IP1'!$A$37:$G$89,4,0)*
VLOOKUP(
VLOOKUP($A54,'IP1'!$A$37:$G$89,7,0),Patterns!$A$2:$N$28,COLUMN(O54)-2,0)/
VLOOKUP(
VLOOKUP($A54,'IP1'!$A$37:$G$89,7,0),Patterns!$A$2:$N$28,2,0),
IF(LEFT($D54,7)="Payroll",
SUMPRODUCT(($B54='IP1'!$B$96:$B$114)*('IP1'!$D$96:$D$114))/12,
SUMPRODUCT(($B54='IP1'!$B$96:$B$114)*('IP1'!$D$96:$D$114))/12*
IF(YEAR(O$3)=2013,'IP1'!$F$154,'IP1'!$G$154)
))</f>
        <v>4166.666666666667</v>
      </c>
      <c r="P54" s="85">
        <f>IF(LEFT($D54,5)="Other",
VLOOKUP($A54,'IP1'!$A$37:$G$89,4,0)*
VLOOKUP(
VLOOKUP($A54,'IP1'!$A$37:$G$89,7,0),Patterns!$A$2:$N$28,COLUMN(P54)-2,0)/
VLOOKUP(
VLOOKUP($A54,'IP1'!$A$37:$G$89,7,0),Patterns!$A$2:$N$28,2,0),
IF(LEFT($D54,7)="Payroll",
SUMPRODUCT(($B54='IP1'!$B$96:$B$114)*('IP1'!$D$96:$D$114))/12,
SUMPRODUCT(($B54='IP1'!$B$96:$B$114)*('IP1'!$D$96:$D$114))/12*
IF(YEAR(P$3)=2013,'IP1'!$F$154,'IP1'!$G$154)
))</f>
        <v>4166.666666666667</v>
      </c>
      <c r="Q54" s="85">
        <f>IF(LEFT($D54,5)="Other",
VLOOKUP($A54,'IP1'!$A$37:$G$89,5,0)*
VLOOKUP(
VLOOKUP($A54,'IP1'!$A$37:$G$89,7,0),Patterns!$A$2:$N$28,COLUMN(Q54)-14,0)/
VLOOKUP(
VLOOKUP($A54,'IP1'!$A$37:$G$89,7,0),Patterns!$A$2:$N$28,2,0),
IF(LEFT($D54,7)="Payroll",
SUMPRODUCT(($B54='IP1'!$B$96:$B$114)*('IP1'!$E$96:$E$114))/12,
SUMPRODUCT(($B54='IP1'!$B$96:$B$114)*('IP1'!$E$96:$E$114))/12*
IF(YEAR(Q$3)=2013,'IP1'!$F$154,'IP1'!$G$154)
))</f>
        <v>4166.666666666667</v>
      </c>
      <c r="R54" s="85">
        <f>IF(LEFT($D54,5)="Other",
VLOOKUP($A54,'IP1'!$A$37:$G$89,5,0)*
VLOOKUP(
VLOOKUP($A54,'IP1'!$A$37:$G$89,7,0),Patterns!$A$2:$N$28,COLUMN(R54)-14,0)/
VLOOKUP(
VLOOKUP($A54,'IP1'!$A$37:$G$89,7,0),Patterns!$A$2:$N$28,2,0),
IF(LEFT($D54,7)="Payroll",
SUMPRODUCT(($B54='IP1'!$B$96:$B$114)*('IP1'!$E$96:$E$114))/12,
SUMPRODUCT(($B54='IP1'!$B$96:$B$114)*('IP1'!$E$96:$E$114))/12*
IF(YEAR(R$3)=2013,'IP1'!$F$154,'IP1'!$G$154)
))</f>
        <v>4166.666666666667</v>
      </c>
      <c r="S54" s="85">
        <f>IF(LEFT($D54,5)="Other",
VLOOKUP($A54,'IP1'!$A$37:$G$89,5,0)*
VLOOKUP(
VLOOKUP($A54,'IP1'!$A$37:$G$89,7,0),Patterns!$A$2:$N$28,COLUMN(S54)-14,0)/
VLOOKUP(
VLOOKUP($A54,'IP1'!$A$37:$G$89,7,0),Patterns!$A$2:$N$28,2,0),
IF(LEFT($D54,7)="Payroll",
SUMPRODUCT(($B54='IP1'!$B$96:$B$114)*('IP1'!$E$96:$E$114))/12,
SUMPRODUCT(($B54='IP1'!$B$96:$B$114)*('IP1'!$E$96:$E$114))/12*
IF(YEAR(S$3)=2013,'IP1'!$F$154,'IP1'!$G$154)
))</f>
        <v>4166.666666666667</v>
      </c>
      <c r="T54" s="85">
        <f>IF(LEFT($D54,5)="Other",
VLOOKUP($A54,'IP1'!$A$37:$G$89,5,0)*
VLOOKUP(
VLOOKUP($A54,'IP1'!$A$37:$G$89,7,0),Patterns!$A$2:$N$28,COLUMN(T54)-14,0)/
VLOOKUP(
VLOOKUP($A54,'IP1'!$A$37:$G$89,7,0),Patterns!$A$2:$N$28,2,0),
IF(LEFT($D54,7)="Payroll",
SUMPRODUCT(($B54='IP1'!$B$96:$B$114)*('IP1'!$E$96:$E$114))/12,
SUMPRODUCT(($B54='IP1'!$B$96:$B$114)*('IP1'!$E$96:$E$114))/12*
IF(YEAR(T$3)=2013,'IP1'!$F$154,'IP1'!$G$154)
))</f>
        <v>4166.666666666667</v>
      </c>
      <c r="U54" s="85">
        <f>IF(LEFT($D54,5)="Other",
VLOOKUP($A54,'IP1'!$A$37:$G$89,5,0)*
VLOOKUP(
VLOOKUP($A54,'IP1'!$A$37:$G$89,7,0),Patterns!$A$2:$N$28,COLUMN(U54)-14,0)/
VLOOKUP(
VLOOKUP($A54,'IP1'!$A$37:$G$89,7,0),Patterns!$A$2:$N$28,2,0),
IF(LEFT($D54,7)="Payroll",
SUMPRODUCT(($B54='IP1'!$B$96:$B$114)*('IP1'!$E$96:$E$114))/12,
SUMPRODUCT(($B54='IP1'!$B$96:$B$114)*('IP1'!$E$96:$E$114))/12*
IF(YEAR(U$3)=2013,'IP1'!$F$154,'IP1'!$G$154)
))</f>
        <v>4166.666666666667</v>
      </c>
      <c r="V54" s="85">
        <f>IF(LEFT($D54,5)="Other",
VLOOKUP($A54,'IP1'!$A$37:$G$89,5,0)*
VLOOKUP(
VLOOKUP($A54,'IP1'!$A$37:$G$89,7,0),Patterns!$A$2:$N$28,COLUMN(V54)-14,0)/
VLOOKUP(
VLOOKUP($A54,'IP1'!$A$37:$G$89,7,0),Patterns!$A$2:$N$28,2,0),
IF(LEFT($D54,7)="Payroll",
SUMPRODUCT(($B54='IP1'!$B$96:$B$114)*('IP1'!$E$96:$E$114))/12,
SUMPRODUCT(($B54='IP1'!$B$96:$B$114)*('IP1'!$E$96:$E$114))/12*
IF(YEAR(V$3)=2013,'IP1'!$F$154,'IP1'!$G$154)
))</f>
        <v>4166.666666666667</v>
      </c>
      <c r="W54" s="85">
        <f>IF(LEFT($D54,5)="Other",
VLOOKUP($A54,'IP1'!$A$37:$G$89,5,0)*
VLOOKUP(
VLOOKUP($A54,'IP1'!$A$37:$G$89,7,0),Patterns!$A$2:$N$28,COLUMN(W54)-14,0)/
VLOOKUP(
VLOOKUP($A54,'IP1'!$A$37:$G$89,7,0),Patterns!$A$2:$N$28,2,0),
IF(LEFT($D54,7)="Payroll",
SUMPRODUCT(($B54='IP1'!$B$96:$B$114)*('IP1'!$E$96:$E$114))/12,
SUMPRODUCT(($B54='IP1'!$B$96:$B$114)*('IP1'!$E$96:$E$114))/12*
IF(YEAR(W$3)=2013,'IP1'!$F$154,'IP1'!$G$154)
))</f>
        <v>4166.666666666667</v>
      </c>
      <c r="X54" s="85">
        <f>IF(LEFT($D54,5)="Other",
VLOOKUP($A54,'IP1'!$A$37:$G$89,5,0)*
VLOOKUP(
VLOOKUP($A54,'IP1'!$A$37:$G$89,7,0),Patterns!$A$2:$N$28,COLUMN(X54)-14,0)/
VLOOKUP(
VLOOKUP($A54,'IP1'!$A$37:$G$89,7,0),Patterns!$A$2:$N$28,2,0),
IF(LEFT($D54,7)="Payroll",
SUMPRODUCT(($B54='IP1'!$B$96:$B$114)*('IP1'!$E$96:$E$114))/12,
SUMPRODUCT(($B54='IP1'!$B$96:$B$114)*('IP1'!$E$96:$E$114))/12*
IF(YEAR(X$3)=2013,'IP1'!$F$154,'IP1'!$G$154)
))</f>
        <v>4166.666666666667</v>
      </c>
      <c r="Y54" s="85">
        <f>IF(LEFT($D54,5)="Other",
VLOOKUP($A54,'IP1'!$A$37:$G$89,5,0)*
VLOOKUP(
VLOOKUP($A54,'IP1'!$A$37:$G$89,7,0),Patterns!$A$2:$N$28,COLUMN(Y54)-14,0)/
VLOOKUP(
VLOOKUP($A54,'IP1'!$A$37:$G$89,7,0),Patterns!$A$2:$N$28,2,0),
IF(LEFT($D54,7)="Payroll",
SUMPRODUCT(($B54='IP1'!$B$96:$B$114)*('IP1'!$E$96:$E$114))/12,
SUMPRODUCT(($B54='IP1'!$B$96:$B$114)*('IP1'!$E$96:$E$114))/12*
IF(YEAR(Y$3)=2013,'IP1'!$F$154,'IP1'!$G$154)
))</f>
        <v>4166.666666666667</v>
      </c>
      <c r="Z54" s="85">
        <f>IF(LEFT($D54,5)="Other",
VLOOKUP($A54,'IP1'!$A$37:$G$89,5,0)*
VLOOKUP(
VLOOKUP($A54,'IP1'!$A$37:$G$89,7,0),Patterns!$A$2:$N$28,COLUMN(Z54)-14,0)/
VLOOKUP(
VLOOKUP($A54,'IP1'!$A$37:$G$89,7,0),Patterns!$A$2:$N$28,2,0),
IF(LEFT($D54,7)="Payroll",
SUMPRODUCT(($B54='IP1'!$B$96:$B$114)*('IP1'!$E$96:$E$114))/12,
SUMPRODUCT(($B54='IP1'!$B$96:$B$114)*('IP1'!$E$96:$E$114))/12*
IF(YEAR(Z$3)=2013,'IP1'!$F$154,'IP1'!$G$154)
))</f>
        <v>4166.666666666667</v>
      </c>
      <c r="AA54" s="85">
        <f>IF(LEFT($D54,5)="Other",
VLOOKUP($A54,'IP1'!$A$37:$G$89,5,0)*
VLOOKUP(
VLOOKUP($A54,'IP1'!$A$37:$G$89,7,0),Patterns!$A$2:$N$28,COLUMN(AA54)-14,0)/
VLOOKUP(
VLOOKUP($A54,'IP1'!$A$37:$G$89,7,0),Patterns!$A$2:$N$28,2,0),
IF(LEFT($D54,7)="Payroll",
SUMPRODUCT(($B54='IP1'!$B$96:$B$114)*('IP1'!$E$96:$E$114))/12,
SUMPRODUCT(($B54='IP1'!$B$96:$B$114)*('IP1'!$E$96:$E$114))/12*
IF(YEAR(AA$3)=2013,'IP1'!$F$154,'IP1'!$G$154)
))</f>
        <v>4166.666666666667</v>
      </c>
      <c r="AB54" s="85">
        <f>IF(LEFT($D54,5)="Other",
VLOOKUP($A54,'IP1'!$A$37:$G$89,5,0)*
VLOOKUP(
VLOOKUP($A54,'IP1'!$A$37:$G$89,7,0),Patterns!$A$2:$N$28,COLUMN(AB54)-14,0)/
VLOOKUP(
VLOOKUP($A54,'IP1'!$A$37:$G$89,7,0),Patterns!$A$2:$N$28,2,0),
IF(LEFT($D54,7)="Payroll",
SUMPRODUCT(($B54='IP1'!$B$96:$B$114)*('IP1'!$E$96:$E$114))/12,
SUMPRODUCT(($B54='IP1'!$B$96:$B$114)*('IP1'!$E$96:$E$114))/12*
IF(YEAR(AB$3)=2013,'IP1'!$F$154,'IP1'!$G$154)
))</f>
        <v>4166.666666666667</v>
      </c>
    </row>
    <row r="55" spans="1:28">
      <c r="A55" s="1" t="str">
        <f t="shared" si="2"/>
        <v xml:space="preserve">OperationsTraining </v>
      </c>
      <c r="B55" s="1" t="s">
        <v>463</v>
      </c>
      <c r="C55" s="1" t="s">
        <v>475</v>
      </c>
      <c r="D55" s="11" t="s">
        <v>100</v>
      </c>
      <c r="E55" s="85">
        <f>IF(LEFT($D55,5)="Other",
VLOOKUP($A55,'IP1'!$A$37:$G$89,4,0)*
VLOOKUP(
VLOOKUP($A55,'IP1'!$A$37:$G$89,7,0),Patterns!$A$2:$N$28,COLUMN(E55)-2,0)/
VLOOKUP(
VLOOKUP($A55,'IP1'!$A$37:$G$89,7,0),Patterns!$A$2:$N$28,2,0),
IF(LEFT($D55,7)="Payroll",
SUMPRODUCT(($B55='IP1'!$B$96:$B$114)*('IP1'!$D$96:$D$114))/12,
SUMPRODUCT(($B55='IP1'!$B$96:$B$114)*('IP1'!$D$96:$D$114))/12*
IF(YEAR(E$3)=2013,'IP1'!$F$154,'IP1'!$G$154)
))</f>
        <v>1041.6666666666667</v>
      </c>
      <c r="F55" s="85">
        <f>IF(LEFT($D55,5)="Other",
VLOOKUP($A55,'IP1'!$A$37:$G$89,4,0)*
VLOOKUP(
VLOOKUP($A55,'IP1'!$A$37:$G$89,7,0),Patterns!$A$2:$N$28,COLUMN(F55)-2,0)/
VLOOKUP(
VLOOKUP($A55,'IP1'!$A$37:$G$89,7,0),Patterns!$A$2:$N$28,2,0),
IF(LEFT($D55,7)="Payroll",
SUMPRODUCT(($B55='IP1'!$B$96:$B$114)*('IP1'!$D$96:$D$114))/12,
SUMPRODUCT(($B55='IP1'!$B$96:$B$114)*('IP1'!$D$96:$D$114))/12*
IF(YEAR(F$3)=2013,'IP1'!$F$154,'IP1'!$G$154)
))</f>
        <v>1041.6666666666667</v>
      </c>
      <c r="G55" s="85">
        <f>IF(LEFT($D55,5)="Other",
VLOOKUP($A55,'IP1'!$A$37:$G$89,4,0)*
VLOOKUP(
VLOOKUP($A55,'IP1'!$A$37:$G$89,7,0),Patterns!$A$2:$N$28,COLUMN(G55)-2,0)/
VLOOKUP(
VLOOKUP($A55,'IP1'!$A$37:$G$89,7,0),Patterns!$A$2:$N$28,2,0),
IF(LEFT($D55,7)="Payroll",
SUMPRODUCT(($B55='IP1'!$B$96:$B$114)*('IP1'!$D$96:$D$114))/12,
SUMPRODUCT(($B55='IP1'!$B$96:$B$114)*('IP1'!$D$96:$D$114))/12*
IF(YEAR(G$3)=2013,'IP1'!$F$154,'IP1'!$G$154)
))</f>
        <v>1041.6666666666667</v>
      </c>
      <c r="H55" s="85">
        <f>IF(LEFT($D55,5)="Other",
VLOOKUP($A55,'IP1'!$A$37:$G$89,4,0)*
VLOOKUP(
VLOOKUP($A55,'IP1'!$A$37:$G$89,7,0),Patterns!$A$2:$N$28,COLUMN(H55)-2,0)/
VLOOKUP(
VLOOKUP($A55,'IP1'!$A$37:$G$89,7,0),Patterns!$A$2:$N$28,2,0),
IF(LEFT($D55,7)="Payroll",
SUMPRODUCT(($B55='IP1'!$B$96:$B$114)*('IP1'!$D$96:$D$114))/12,
SUMPRODUCT(($B55='IP1'!$B$96:$B$114)*('IP1'!$D$96:$D$114))/12*
IF(YEAR(H$3)=2013,'IP1'!$F$154,'IP1'!$G$154)
))</f>
        <v>1041.6666666666667</v>
      </c>
      <c r="I55" s="85">
        <f>IF(LEFT($D55,5)="Other",
VLOOKUP($A55,'IP1'!$A$37:$G$89,4,0)*
VLOOKUP(
VLOOKUP($A55,'IP1'!$A$37:$G$89,7,0),Patterns!$A$2:$N$28,COLUMN(I55)-2,0)/
VLOOKUP(
VLOOKUP($A55,'IP1'!$A$37:$G$89,7,0),Patterns!$A$2:$N$28,2,0),
IF(LEFT($D55,7)="Payroll",
SUMPRODUCT(($B55='IP1'!$B$96:$B$114)*('IP1'!$D$96:$D$114))/12,
SUMPRODUCT(($B55='IP1'!$B$96:$B$114)*('IP1'!$D$96:$D$114))/12*
IF(YEAR(I$3)=2013,'IP1'!$F$154,'IP1'!$G$154)
))</f>
        <v>1041.6666666666667</v>
      </c>
      <c r="J55" s="85">
        <f>IF(LEFT($D55,5)="Other",
VLOOKUP($A55,'IP1'!$A$37:$G$89,4,0)*
VLOOKUP(
VLOOKUP($A55,'IP1'!$A$37:$G$89,7,0),Patterns!$A$2:$N$28,COLUMN(J55)-2,0)/
VLOOKUP(
VLOOKUP($A55,'IP1'!$A$37:$G$89,7,0),Patterns!$A$2:$N$28,2,0),
IF(LEFT($D55,7)="Payroll",
SUMPRODUCT(($B55='IP1'!$B$96:$B$114)*('IP1'!$D$96:$D$114))/12,
SUMPRODUCT(($B55='IP1'!$B$96:$B$114)*('IP1'!$D$96:$D$114))/12*
IF(YEAR(J$3)=2013,'IP1'!$F$154,'IP1'!$G$154)
))</f>
        <v>1041.6666666666667</v>
      </c>
      <c r="K55" s="85">
        <f>IF(LEFT($D55,5)="Other",
VLOOKUP($A55,'IP1'!$A$37:$G$89,4,0)*
VLOOKUP(
VLOOKUP($A55,'IP1'!$A$37:$G$89,7,0),Patterns!$A$2:$N$28,COLUMN(K55)-2,0)/
VLOOKUP(
VLOOKUP($A55,'IP1'!$A$37:$G$89,7,0),Patterns!$A$2:$N$28,2,0),
IF(LEFT($D55,7)="Payroll",
SUMPRODUCT(($B55='IP1'!$B$96:$B$114)*('IP1'!$D$96:$D$114))/12,
SUMPRODUCT(($B55='IP1'!$B$96:$B$114)*('IP1'!$D$96:$D$114))/12*
IF(YEAR(K$3)=2013,'IP1'!$F$154,'IP1'!$G$154)
))</f>
        <v>1041.6666666666667</v>
      </c>
      <c r="L55" s="85">
        <f>IF(LEFT($D55,5)="Other",
VLOOKUP($A55,'IP1'!$A$37:$G$89,4,0)*
VLOOKUP(
VLOOKUP($A55,'IP1'!$A$37:$G$89,7,0),Patterns!$A$2:$N$28,COLUMN(L55)-2,0)/
VLOOKUP(
VLOOKUP($A55,'IP1'!$A$37:$G$89,7,0),Patterns!$A$2:$N$28,2,0),
IF(LEFT($D55,7)="Payroll",
SUMPRODUCT(($B55='IP1'!$B$96:$B$114)*('IP1'!$D$96:$D$114))/12,
SUMPRODUCT(($B55='IP1'!$B$96:$B$114)*('IP1'!$D$96:$D$114))/12*
IF(YEAR(L$3)=2013,'IP1'!$F$154,'IP1'!$G$154)
))</f>
        <v>1041.6666666666667</v>
      </c>
      <c r="M55" s="85">
        <f>IF(LEFT($D55,5)="Other",
VLOOKUP($A55,'IP1'!$A$37:$G$89,4,0)*
VLOOKUP(
VLOOKUP($A55,'IP1'!$A$37:$G$89,7,0),Patterns!$A$2:$N$28,COLUMN(M55)-2,0)/
VLOOKUP(
VLOOKUP($A55,'IP1'!$A$37:$G$89,7,0),Patterns!$A$2:$N$28,2,0),
IF(LEFT($D55,7)="Payroll",
SUMPRODUCT(($B55='IP1'!$B$96:$B$114)*('IP1'!$D$96:$D$114))/12,
SUMPRODUCT(($B55='IP1'!$B$96:$B$114)*('IP1'!$D$96:$D$114))/12*
IF(YEAR(M$3)=2013,'IP1'!$F$154,'IP1'!$G$154)
))</f>
        <v>1041.6666666666667</v>
      </c>
      <c r="N55" s="85">
        <f>IF(LEFT($D55,5)="Other",
VLOOKUP($A55,'IP1'!$A$37:$G$89,4,0)*
VLOOKUP(
VLOOKUP($A55,'IP1'!$A$37:$G$89,7,0),Patterns!$A$2:$N$28,COLUMN(N55)-2,0)/
VLOOKUP(
VLOOKUP($A55,'IP1'!$A$37:$G$89,7,0),Patterns!$A$2:$N$28,2,0),
IF(LEFT($D55,7)="Payroll",
SUMPRODUCT(($B55='IP1'!$B$96:$B$114)*('IP1'!$D$96:$D$114))/12,
SUMPRODUCT(($B55='IP1'!$B$96:$B$114)*('IP1'!$D$96:$D$114))/12*
IF(YEAR(N$3)=2013,'IP1'!$F$154,'IP1'!$G$154)
))</f>
        <v>1041.6666666666667</v>
      </c>
      <c r="O55" s="85">
        <f>IF(LEFT($D55,5)="Other",
VLOOKUP($A55,'IP1'!$A$37:$G$89,4,0)*
VLOOKUP(
VLOOKUP($A55,'IP1'!$A$37:$G$89,7,0),Patterns!$A$2:$N$28,COLUMN(O55)-2,0)/
VLOOKUP(
VLOOKUP($A55,'IP1'!$A$37:$G$89,7,0),Patterns!$A$2:$N$28,2,0),
IF(LEFT($D55,7)="Payroll",
SUMPRODUCT(($B55='IP1'!$B$96:$B$114)*('IP1'!$D$96:$D$114))/12,
SUMPRODUCT(($B55='IP1'!$B$96:$B$114)*('IP1'!$D$96:$D$114))/12*
IF(YEAR(O$3)=2013,'IP1'!$F$154,'IP1'!$G$154)
))</f>
        <v>1041.6666666666667</v>
      </c>
      <c r="P55" s="85">
        <f>IF(LEFT($D55,5)="Other",
VLOOKUP($A55,'IP1'!$A$37:$G$89,4,0)*
VLOOKUP(
VLOOKUP($A55,'IP1'!$A$37:$G$89,7,0),Patterns!$A$2:$N$28,COLUMN(P55)-2,0)/
VLOOKUP(
VLOOKUP($A55,'IP1'!$A$37:$G$89,7,0),Patterns!$A$2:$N$28,2,0),
IF(LEFT($D55,7)="Payroll",
SUMPRODUCT(($B55='IP1'!$B$96:$B$114)*('IP1'!$D$96:$D$114))/12,
SUMPRODUCT(($B55='IP1'!$B$96:$B$114)*('IP1'!$D$96:$D$114))/12*
IF(YEAR(P$3)=2013,'IP1'!$F$154,'IP1'!$G$154)
))</f>
        <v>1041.6666666666667</v>
      </c>
      <c r="Q55" s="85">
        <f>IF(LEFT($D55,5)="Other",
VLOOKUP($A55,'IP1'!$A$37:$G$89,5,0)*
VLOOKUP(
VLOOKUP($A55,'IP1'!$A$37:$G$89,7,0),Patterns!$A$2:$N$28,COLUMN(Q55)-14,0)/
VLOOKUP(
VLOOKUP($A55,'IP1'!$A$37:$G$89,7,0),Patterns!$A$2:$N$28,2,0),
IF(LEFT($D55,7)="Payroll",
SUMPRODUCT(($B55='IP1'!$B$96:$B$114)*('IP1'!$E$96:$E$114))/12,
SUMPRODUCT(($B55='IP1'!$B$96:$B$114)*('IP1'!$E$96:$E$114))/12*
IF(YEAR(Q$3)=2013,'IP1'!$F$154,'IP1'!$G$154)
))</f>
        <v>1041.6666666666667</v>
      </c>
      <c r="R55" s="85">
        <f>IF(LEFT($D55,5)="Other",
VLOOKUP($A55,'IP1'!$A$37:$G$89,5,0)*
VLOOKUP(
VLOOKUP($A55,'IP1'!$A$37:$G$89,7,0),Patterns!$A$2:$N$28,COLUMN(R55)-14,0)/
VLOOKUP(
VLOOKUP($A55,'IP1'!$A$37:$G$89,7,0),Patterns!$A$2:$N$28,2,0),
IF(LEFT($D55,7)="Payroll",
SUMPRODUCT(($B55='IP1'!$B$96:$B$114)*('IP1'!$E$96:$E$114))/12,
SUMPRODUCT(($B55='IP1'!$B$96:$B$114)*('IP1'!$E$96:$E$114))/12*
IF(YEAR(R$3)=2013,'IP1'!$F$154,'IP1'!$G$154)
))</f>
        <v>1041.6666666666667</v>
      </c>
      <c r="S55" s="85">
        <f>IF(LEFT($D55,5)="Other",
VLOOKUP($A55,'IP1'!$A$37:$G$89,5,0)*
VLOOKUP(
VLOOKUP($A55,'IP1'!$A$37:$G$89,7,0),Patterns!$A$2:$N$28,COLUMN(S55)-14,0)/
VLOOKUP(
VLOOKUP($A55,'IP1'!$A$37:$G$89,7,0),Patterns!$A$2:$N$28,2,0),
IF(LEFT($D55,7)="Payroll",
SUMPRODUCT(($B55='IP1'!$B$96:$B$114)*('IP1'!$E$96:$E$114))/12,
SUMPRODUCT(($B55='IP1'!$B$96:$B$114)*('IP1'!$E$96:$E$114))/12*
IF(YEAR(S$3)=2013,'IP1'!$F$154,'IP1'!$G$154)
))</f>
        <v>1041.6666666666667</v>
      </c>
      <c r="T55" s="85">
        <f>IF(LEFT($D55,5)="Other",
VLOOKUP($A55,'IP1'!$A$37:$G$89,5,0)*
VLOOKUP(
VLOOKUP($A55,'IP1'!$A$37:$G$89,7,0),Patterns!$A$2:$N$28,COLUMN(T55)-14,0)/
VLOOKUP(
VLOOKUP($A55,'IP1'!$A$37:$G$89,7,0),Patterns!$A$2:$N$28,2,0),
IF(LEFT($D55,7)="Payroll",
SUMPRODUCT(($B55='IP1'!$B$96:$B$114)*('IP1'!$E$96:$E$114))/12,
SUMPRODUCT(($B55='IP1'!$B$96:$B$114)*('IP1'!$E$96:$E$114))/12*
IF(YEAR(T$3)=2013,'IP1'!$F$154,'IP1'!$G$154)
))</f>
        <v>1041.6666666666667</v>
      </c>
      <c r="U55" s="85">
        <f>IF(LEFT($D55,5)="Other",
VLOOKUP($A55,'IP1'!$A$37:$G$89,5,0)*
VLOOKUP(
VLOOKUP($A55,'IP1'!$A$37:$G$89,7,0),Patterns!$A$2:$N$28,COLUMN(U55)-14,0)/
VLOOKUP(
VLOOKUP($A55,'IP1'!$A$37:$G$89,7,0),Patterns!$A$2:$N$28,2,0),
IF(LEFT($D55,7)="Payroll",
SUMPRODUCT(($B55='IP1'!$B$96:$B$114)*('IP1'!$E$96:$E$114))/12,
SUMPRODUCT(($B55='IP1'!$B$96:$B$114)*('IP1'!$E$96:$E$114))/12*
IF(YEAR(U$3)=2013,'IP1'!$F$154,'IP1'!$G$154)
))</f>
        <v>1041.6666666666667</v>
      </c>
      <c r="V55" s="85">
        <f>IF(LEFT($D55,5)="Other",
VLOOKUP($A55,'IP1'!$A$37:$G$89,5,0)*
VLOOKUP(
VLOOKUP($A55,'IP1'!$A$37:$G$89,7,0),Patterns!$A$2:$N$28,COLUMN(V55)-14,0)/
VLOOKUP(
VLOOKUP($A55,'IP1'!$A$37:$G$89,7,0),Patterns!$A$2:$N$28,2,0),
IF(LEFT($D55,7)="Payroll",
SUMPRODUCT(($B55='IP1'!$B$96:$B$114)*('IP1'!$E$96:$E$114))/12,
SUMPRODUCT(($B55='IP1'!$B$96:$B$114)*('IP1'!$E$96:$E$114))/12*
IF(YEAR(V$3)=2013,'IP1'!$F$154,'IP1'!$G$154)
))</f>
        <v>1041.6666666666667</v>
      </c>
      <c r="W55" s="85">
        <f>IF(LEFT($D55,5)="Other",
VLOOKUP($A55,'IP1'!$A$37:$G$89,5,0)*
VLOOKUP(
VLOOKUP($A55,'IP1'!$A$37:$G$89,7,0),Patterns!$A$2:$N$28,COLUMN(W55)-14,0)/
VLOOKUP(
VLOOKUP($A55,'IP1'!$A$37:$G$89,7,0),Patterns!$A$2:$N$28,2,0),
IF(LEFT($D55,7)="Payroll",
SUMPRODUCT(($B55='IP1'!$B$96:$B$114)*('IP1'!$E$96:$E$114))/12,
SUMPRODUCT(($B55='IP1'!$B$96:$B$114)*('IP1'!$E$96:$E$114))/12*
IF(YEAR(W$3)=2013,'IP1'!$F$154,'IP1'!$G$154)
))</f>
        <v>1041.6666666666667</v>
      </c>
      <c r="X55" s="85">
        <f>IF(LEFT($D55,5)="Other",
VLOOKUP($A55,'IP1'!$A$37:$G$89,5,0)*
VLOOKUP(
VLOOKUP($A55,'IP1'!$A$37:$G$89,7,0),Patterns!$A$2:$N$28,COLUMN(X55)-14,0)/
VLOOKUP(
VLOOKUP($A55,'IP1'!$A$37:$G$89,7,0),Patterns!$A$2:$N$28,2,0),
IF(LEFT($D55,7)="Payroll",
SUMPRODUCT(($B55='IP1'!$B$96:$B$114)*('IP1'!$E$96:$E$114))/12,
SUMPRODUCT(($B55='IP1'!$B$96:$B$114)*('IP1'!$E$96:$E$114))/12*
IF(YEAR(X$3)=2013,'IP1'!$F$154,'IP1'!$G$154)
))</f>
        <v>1041.6666666666667</v>
      </c>
      <c r="Y55" s="85">
        <f>IF(LEFT($D55,5)="Other",
VLOOKUP($A55,'IP1'!$A$37:$G$89,5,0)*
VLOOKUP(
VLOOKUP($A55,'IP1'!$A$37:$G$89,7,0),Patterns!$A$2:$N$28,COLUMN(Y55)-14,0)/
VLOOKUP(
VLOOKUP($A55,'IP1'!$A$37:$G$89,7,0),Patterns!$A$2:$N$28,2,0),
IF(LEFT($D55,7)="Payroll",
SUMPRODUCT(($B55='IP1'!$B$96:$B$114)*('IP1'!$E$96:$E$114))/12,
SUMPRODUCT(($B55='IP1'!$B$96:$B$114)*('IP1'!$E$96:$E$114))/12*
IF(YEAR(Y$3)=2013,'IP1'!$F$154,'IP1'!$G$154)
))</f>
        <v>1041.6666666666667</v>
      </c>
      <c r="Z55" s="85">
        <f>IF(LEFT($D55,5)="Other",
VLOOKUP($A55,'IP1'!$A$37:$G$89,5,0)*
VLOOKUP(
VLOOKUP($A55,'IP1'!$A$37:$G$89,7,0),Patterns!$A$2:$N$28,COLUMN(Z55)-14,0)/
VLOOKUP(
VLOOKUP($A55,'IP1'!$A$37:$G$89,7,0),Patterns!$A$2:$N$28,2,0),
IF(LEFT($D55,7)="Payroll",
SUMPRODUCT(($B55='IP1'!$B$96:$B$114)*('IP1'!$E$96:$E$114))/12,
SUMPRODUCT(($B55='IP1'!$B$96:$B$114)*('IP1'!$E$96:$E$114))/12*
IF(YEAR(Z$3)=2013,'IP1'!$F$154,'IP1'!$G$154)
))</f>
        <v>1041.6666666666667</v>
      </c>
      <c r="AA55" s="85">
        <f>IF(LEFT($D55,5)="Other",
VLOOKUP($A55,'IP1'!$A$37:$G$89,5,0)*
VLOOKUP(
VLOOKUP($A55,'IP1'!$A$37:$G$89,7,0),Patterns!$A$2:$N$28,COLUMN(AA55)-14,0)/
VLOOKUP(
VLOOKUP($A55,'IP1'!$A$37:$G$89,7,0),Patterns!$A$2:$N$28,2,0),
IF(LEFT($D55,7)="Payroll",
SUMPRODUCT(($B55='IP1'!$B$96:$B$114)*('IP1'!$E$96:$E$114))/12,
SUMPRODUCT(($B55='IP1'!$B$96:$B$114)*('IP1'!$E$96:$E$114))/12*
IF(YEAR(AA$3)=2013,'IP1'!$F$154,'IP1'!$G$154)
))</f>
        <v>1041.6666666666667</v>
      </c>
      <c r="AB55" s="85">
        <f>IF(LEFT($D55,5)="Other",
VLOOKUP($A55,'IP1'!$A$37:$G$89,5,0)*
VLOOKUP(
VLOOKUP($A55,'IP1'!$A$37:$G$89,7,0),Patterns!$A$2:$N$28,COLUMN(AB55)-14,0)/
VLOOKUP(
VLOOKUP($A55,'IP1'!$A$37:$G$89,7,0),Patterns!$A$2:$N$28,2,0),
IF(LEFT($D55,7)="Payroll",
SUMPRODUCT(($B55='IP1'!$B$96:$B$114)*('IP1'!$E$96:$E$114))/12,
SUMPRODUCT(($B55='IP1'!$B$96:$B$114)*('IP1'!$E$96:$E$114))/12*
IF(YEAR(AB$3)=2013,'IP1'!$F$154,'IP1'!$G$154)
))</f>
        <v>1041.6666666666667</v>
      </c>
    </row>
    <row r="56" spans="1:28">
      <c r="A56" s="1" t="str">
        <f t="shared" si="2"/>
        <v xml:space="preserve">OperationsVehicle maintenance </v>
      </c>
      <c r="B56" s="1" t="s">
        <v>463</v>
      </c>
      <c r="C56" s="11" t="s">
        <v>476</v>
      </c>
      <c r="D56" s="11" t="s">
        <v>100</v>
      </c>
      <c r="E56" s="85">
        <f>IF(LEFT($D56,5)="Other",
VLOOKUP($A56,'IP1'!$A$37:$G$89,4,0)*
VLOOKUP(
VLOOKUP($A56,'IP1'!$A$37:$G$89,7,0),Patterns!$A$2:$N$28,COLUMN(E56)-2,0)/
VLOOKUP(
VLOOKUP($A56,'IP1'!$A$37:$G$89,7,0),Patterns!$A$2:$N$28,2,0),
IF(LEFT($D56,7)="Payroll",
SUMPRODUCT(($B56='IP1'!$B$96:$B$114)*('IP1'!$D$96:$D$114))/12,
SUMPRODUCT(($B56='IP1'!$B$96:$B$114)*('IP1'!$D$96:$D$114))/12*
IF(YEAR(E$3)=2013,'IP1'!$F$154,'IP1'!$G$154)
))</f>
        <v>250</v>
      </c>
      <c r="F56" s="85">
        <f>IF(LEFT($D56,5)="Other",
VLOOKUP($A56,'IP1'!$A$37:$G$89,4,0)*
VLOOKUP(
VLOOKUP($A56,'IP1'!$A$37:$G$89,7,0),Patterns!$A$2:$N$28,COLUMN(F56)-2,0)/
VLOOKUP(
VLOOKUP($A56,'IP1'!$A$37:$G$89,7,0),Patterns!$A$2:$N$28,2,0),
IF(LEFT($D56,7)="Payroll",
SUMPRODUCT(($B56='IP1'!$B$96:$B$114)*('IP1'!$D$96:$D$114))/12,
SUMPRODUCT(($B56='IP1'!$B$96:$B$114)*('IP1'!$D$96:$D$114))/12*
IF(YEAR(F$3)=2013,'IP1'!$F$154,'IP1'!$G$154)
))</f>
        <v>250</v>
      </c>
      <c r="G56" s="85">
        <f>IF(LEFT($D56,5)="Other",
VLOOKUP($A56,'IP1'!$A$37:$G$89,4,0)*
VLOOKUP(
VLOOKUP($A56,'IP1'!$A$37:$G$89,7,0),Patterns!$A$2:$N$28,COLUMN(G56)-2,0)/
VLOOKUP(
VLOOKUP($A56,'IP1'!$A$37:$G$89,7,0),Patterns!$A$2:$N$28,2,0),
IF(LEFT($D56,7)="Payroll",
SUMPRODUCT(($B56='IP1'!$B$96:$B$114)*('IP1'!$D$96:$D$114))/12,
SUMPRODUCT(($B56='IP1'!$B$96:$B$114)*('IP1'!$D$96:$D$114))/12*
IF(YEAR(G$3)=2013,'IP1'!$F$154,'IP1'!$G$154)
))</f>
        <v>250</v>
      </c>
      <c r="H56" s="85">
        <f>IF(LEFT($D56,5)="Other",
VLOOKUP($A56,'IP1'!$A$37:$G$89,4,0)*
VLOOKUP(
VLOOKUP($A56,'IP1'!$A$37:$G$89,7,0),Patterns!$A$2:$N$28,COLUMN(H56)-2,0)/
VLOOKUP(
VLOOKUP($A56,'IP1'!$A$37:$G$89,7,0),Patterns!$A$2:$N$28,2,0),
IF(LEFT($D56,7)="Payroll",
SUMPRODUCT(($B56='IP1'!$B$96:$B$114)*('IP1'!$D$96:$D$114))/12,
SUMPRODUCT(($B56='IP1'!$B$96:$B$114)*('IP1'!$D$96:$D$114))/12*
IF(YEAR(H$3)=2013,'IP1'!$F$154,'IP1'!$G$154)
))</f>
        <v>250</v>
      </c>
      <c r="I56" s="85">
        <f>IF(LEFT($D56,5)="Other",
VLOOKUP($A56,'IP1'!$A$37:$G$89,4,0)*
VLOOKUP(
VLOOKUP($A56,'IP1'!$A$37:$G$89,7,0),Patterns!$A$2:$N$28,COLUMN(I56)-2,0)/
VLOOKUP(
VLOOKUP($A56,'IP1'!$A$37:$G$89,7,0),Patterns!$A$2:$N$28,2,0),
IF(LEFT($D56,7)="Payroll",
SUMPRODUCT(($B56='IP1'!$B$96:$B$114)*('IP1'!$D$96:$D$114))/12,
SUMPRODUCT(($B56='IP1'!$B$96:$B$114)*('IP1'!$D$96:$D$114))/12*
IF(YEAR(I$3)=2013,'IP1'!$F$154,'IP1'!$G$154)
))</f>
        <v>250</v>
      </c>
      <c r="J56" s="85">
        <f>IF(LEFT($D56,5)="Other",
VLOOKUP($A56,'IP1'!$A$37:$G$89,4,0)*
VLOOKUP(
VLOOKUP($A56,'IP1'!$A$37:$G$89,7,0),Patterns!$A$2:$N$28,COLUMN(J56)-2,0)/
VLOOKUP(
VLOOKUP($A56,'IP1'!$A$37:$G$89,7,0),Patterns!$A$2:$N$28,2,0),
IF(LEFT($D56,7)="Payroll",
SUMPRODUCT(($B56='IP1'!$B$96:$B$114)*('IP1'!$D$96:$D$114))/12,
SUMPRODUCT(($B56='IP1'!$B$96:$B$114)*('IP1'!$D$96:$D$114))/12*
IF(YEAR(J$3)=2013,'IP1'!$F$154,'IP1'!$G$154)
))</f>
        <v>250</v>
      </c>
      <c r="K56" s="85">
        <f>IF(LEFT($D56,5)="Other",
VLOOKUP($A56,'IP1'!$A$37:$G$89,4,0)*
VLOOKUP(
VLOOKUP($A56,'IP1'!$A$37:$G$89,7,0),Patterns!$A$2:$N$28,COLUMN(K56)-2,0)/
VLOOKUP(
VLOOKUP($A56,'IP1'!$A$37:$G$89,7,0),Patterns!$A$2:$N$28,2,0),
IF(LEFT($D56,7)="Payroll",
SUMPRODUCT(($B56='IP1'!$B$96:$B$114)*('IP1'!$D$96:$D$114))/12,
SUMPRODUCT(($B56='IP1'!$B$96:$B$114)*('IP1'!$D$96:$D$114))/12*
IF(YEAR(K$3)=2013,'IP1'!$F$154,'IP1'!$G$154)
))</f>
        <v>250</v>
      </c>
      <c r="L56" s="85">
        <f>IF(LEFT($D56,5)="Other",
VLOOKUP($A56,'IP1'!$A$37:$G$89,4,0)*
VLOOKUP(
VLOOKUP($A56,'IP1'!$A$37:$G$89,7,0),Patterns!$A$2:$N$28,COLUMN(L56)-2,0)/
VLOOKUP(
VLOOKUP($A56,'IP1'!$A$37:$G$89,7,0),Patterns!$A$2:$N$28,2,0),
IF(LEFT($D56,7)="Payroll",
SUMPRODUCT(($B56='IP1'!$B$96:$B$114)*('IP1'!$D$96:$D$114))/12,
SUMPRODUCT(($B56='IP1'!$B$96:$B$114)*('IP1'!$D$96:$D$114))/12*
IF(YEAR(L$3)=2013,'IP1'!$F$154,'IP1'!$G$154)
))</f>
        <v>250</v>
      </c>
      <c r="M56" s="85">
        <f>IF(LEFT($D56,5)="Other",
VLOOKUP($A56,'IP1'!$A$37:$G$89,4,0)*
VLOOKUP(
VLOOKUP($A56,'IP1'!$A$37:$G$89,7,0),Patterns!$A$2:$N$28,COLUMN(M56)-2,0)/
VLOOKUP(
VLOOKUP($A56,'IP1'!$A$37:$G$89,7,0),Patterns!$A$2:$N$28,2,0),
IF(LEFT($D56,7)="Payroll",
SUMPRODUCT(($B56='IP1'!$B$96:$B$114)*('IP1'!$D$96:$D$114))/12,
SUMPRODUCT(($B56='IP1'!$B$96:$B$114)*('IP1'!$D$96:$D$114))/12*
IF(YEAR(M$3)=2013,'IP1'!$F$154,'IP1'!$G$154)
))</f>
        <v>250</v>
      </c>
      <c r="N56" s="85">
        <f>IF(LEFT($D56,5)="Other",
VLOOKUP($A56,'IP1'!$A$37:$G$89,4,0)*
VLOOKUP(
VLOOKUP($A56,'IP1'!$A$37:$G$89,7,0),Patterns!$A$2:$N$28,COLUMN(N56)-2,0)/
VLOOKUP(
VLOOKUP($A56,'IP1'!$A$37:$G$89,7,0),Patterns!$A$2:$N$28,2,0),
IF(LEFT($D56,7)="Payroll",
SUMPRODUCT(($B56='IP1'!$B$96:$B$114)*('IP1'!$D$96:$D$114))/12,
SUMPRODUCT(($B56='IP1'!$B$96:$B$114)*('IP1'!$D$96:$D$114))/12*
IF(YEAR(N$3)=2013,'IP1'!$F$154,'IP1'!$G$154)
))</f>
        <v>250</v>
      </c>
      <c r="O56" s="85">
        <f>IF(LEFT($D56,5)="Other",
VLOOKUP($A56,'IP1'!$A$37:$G$89,4,0)*
VLOOKUP(
VLOOKUP($A56,'IP1'!$A$37:$G$89,7,0),Patterns!$A$2:$N$28,COLUMN(O56)-2,0)/
VLOOKUP(
VLOOKUP($A56,'IP1'!$A$37:$G$89,7,0),Patterns!$A$2:$N$28,2,0),
IF(LEFT($D56,7)="Payroll",
SUMPRODUCT(($B56='IP1'!$B$96:$B$114)*('IP1'!$D$96:$D$114))/12,
SUMPRODUCT(($B56='IP1'!$B$96:$B$114)*('IP1'!$D$96:$D$114))/12*
IF(YEAR(O$3)=2013,'IP1'!$F$154,'IP1'!$G$154)
))</f>
        <v>250</v>
      </c>
      <c r="P56" s="85">
        <f>IF(LEFT($D56,5)="Other",
VLOOKUP($A56,'IP1'!$A$37:$G$89,4,0)*
VLOOKUP(
VLOOKUP($A56,'IP1'!$A$37:$G$89,7,0),Patterns!$A$2:$N$28,COLUMN(P56)-2,0)/
VLOOKUP(
VLOOKUP($A56,'IP1'!$A$37:$G$89,7,0),Patterns!$A$2:$N$28,2,0),
IF(LEFT($D56,7)="Payroll",
SUMPRODUCT(($B56='IP1'!$B$96:$B$114)*('IP1'!$D$96:$D$114))/12,
SUMPRODUCT(($B56='IP1'!$B$96:$B$114)*('IP1'!$D$96:$D$114))/12*
IF(YEAR(P$3)=2013,'IP1'!$F$154,'IP1'!$G$154)
))</f>
        <v>250</v>
      </c>
      <c r="Q56" s="85">
        <f>IF(LEFT($D56,5)="Other",
VLOOKUP($A56,'IP1'!$A$37:$G$89,5,0)*
VLOOKUP(
VLOOKUP($A56,'IP1'!$A$37:$G$89,7,0),Patterns!$A$2:$N$28,COLUMN(Q56)-14,0)/
VLOOKUP(
VLOOKUP($A56,'IP1'!$A$37:$G$89,7,0),Patterns!$A$2:$N$28,2,0),
IF(LEFT($D56,7)="Payroll",
SUMPRODUCT(($B56='IP1'!$B$96:$B$114)*('IP1'!$E$96:$E$114))/12,
SUMPRODUCT(($B56='IP1'!$B$96:$B$114)*('IP1'!$E$96:$E$114))/12*
IF(YEAR(Q$3)=2013,'IP1'!$F$154,'IP1'!$G$154)
))</f>
        <v>250</v>
      </c>
      <c r="R56" s="85">
        <f>IF(LEFT($D56,5)="Other",
VLOOKUP($A56,'IP1'!$A$37:$G$89,5,0)*
VLOOKUP(
VLOOKUP($A56,'IP1'!$A$37:$G$89,7,0),Patterns!$A$2:$N$28,COLUMN(R56)-14,0)/
VLOOKUP(
VLOOKUP($A56,'IP1'!$A$37:$G$89,7,0),Patterns!$A$2:$N$28,2,0),
IF(LEFT($D56,7)="Payroll",
SUMPRODUCT(($B56='IP1'!$B$96:$B$114)*('IP1'!$E$96:$E$114))/12,
SUMPRODUCT(($B56='IP1'!$B$96:$B$114)*('IP1'!$E$96:$E$114))/12*
IF(YEAR(R$3)=2013,'IP1'!$F$154,'IP1'!$G$154)
))</f>
        <v>250</v>
      </c>
      <c r="S56" s="85">
        <f>IF(LEFT($D56,5)="Other",
VLOOKUP($A56,'IP1'!$A$37:$G$89,5,0)*
VLOOKUP(
VLOOKUP($A56,'IP1'!$A$37:$G$89,7,0),Patterns!$A$2:$N$28,COLUMN(S56)-14,0)/
VLOOKUP(
VLOOKUP($A56,'IP1'!$A$37:$G$89,7,0),Patterns!$A$2:$N$28,2,0),
IF(LEFT($D56,7)="Payroll",
SUMPRODUCT(($B56='IP1'!$B$96:$B$114)*('IP1'!$E$96:$E$114))/12,
SUMPRODUCT(($B56='IP1'!$B$96:$B$114)*('IP1'!$E$96:$E$114))/12*
IF(YEAR(S$3)=2013,'IP1'!$F$154,'IP1'!$G$154)
))</f>
        <v>250</v>
      </c>
      <c r="T56" s="85">
        <f>IF(LEFT($D56,5)="Other",
VLOOKUP($A56,'IP1'!$A$37:$G$89,5,0)*
VLOOKUP(
VLOOKUP($A56,'IP1'!$A$37:$G$89,7,0),Patterns!$A$2:$N$28,COLUMN(T56)-14,0)/
VLOOKUP(
VLOOKUP($A56,'IP1'!$A$37:$G$89,7,0),Patterns!$A$2:$N$28,2,0),
IF(LEFT($D56,7)="Payroll",
SUMPRODUCT(($B56='IP1'!$B$96:$B$114)*('IP1'!$E$96:$E$114))/12,
SUMPRODUCT(($B56='IP1'!$B$96:$B$114)*('IP1'!$E$96:$E$114))/12*
IF(YEAR(T$3)=2013,'IP1'!$F$154,'IP1'!$G$154)
))</f>
        <v>250</v>
      </c>
      <c r="U56" s="85">
        <f>IF(LEFT($D56,5)="Other",
VLOOKUP($A56,'IP1'!$A$37:$G$89,5,0)*
VLOOKUP(
VLOOKUP($A56,'IP1'!$A$37:$G$89,7,0),Patterns!$A$2:$N$28,COLUMN(U56)-14,0)/
VLOOKUP(
VLOOKUP($A56,'IP1'!$A$37:$G$89,7,0),Patterns!$A$2:$N$28,2,0),
IF(LEFT($D56,7)="Payroll",
SUMPRODUCT(($B56='IP1'!$B$96:$B$114)*('IP1'!$E$96:$E$114))/12,
SUMPRODUCT(($B56='IP1'!$B$96:$B$114)*('IP1'!$E$96:$E$114))/12*
IF(YEAR(U$3)=2013,'IP1'!$F$154,'IP1'!$G$154)
))</f>
        <v>250</v>
      </c>
      <c r="V56" s="85">
        <f>IF(LEFT($D56,5)="Other",
VLOOKUP($A56,'IP1'!$A$37:$G$89,5,0)*
VLOOKUP(
VLOOKUP($A56,'IP1'!$A$37:$G$89,7,0),Patterns!$A$2:$N$28,COLUMN(V56)-14,0)/
VLOOKUP(
VLOOKUP($A56,'IP1'!$A$37:$G$89,7,0),Patterns!$A$2:$N$28,2,0),
IF(LEFT($D56,7)="Payroll",
SUMPRODUCT(($B56='IP1'!$B$96:$B$114)*('IP1'!$E$96:$E$114))/12,
SUMPRODUCT(($B56='IP1'!$B$96:$B$114)*('IP1'!$E$96:$E$114))/12*
IF(YEAR(V$3)=2013,'IP1'!$F$154,'IP1'!$G$154)
))</f>
        <v>250</v>
      </c>
      <c r="W56" s="85">
        <f>IF(LEFT($D56,5)="Other",
VLOOKUP($A56,'IP1'!$A$37:$G$89,5,0)*
VLOOKUP(
VLOOKUP($A56,'IP1'!$A$37:$G$89,7,0),Patterns!$A$2:$N$28,COLUMN(W56)-14,0)/
VLOOKUP(
VLOOKUP($A56,'IP1'!$A$37:$G$89,7,0),Patterns!$A$2:$N$28,2,0),
IF(LEFT($D56,7)="Payroll",
SUMPRODUCT(($B56='IP1'!$B$96:$B$114)*('IP1'!$E$96:$E$114))/12,
SUMPRODUCT(($B56='IP1'!$B$96:$B$114)*('IP1'!$E$96:$E$114))/12*
IF(YEAR(W$3)=2013,'IP1'!$F$154,'IP1'!$G$154)
))</f>
        <v>250</v>
      </c>
      <c r="X56" s="85">
        <f>IF(LEFT($D56,5)="Other",
VLOOKUP($A56,'IP1'!$A$37:$G$89,5,0)*
VLOOKUP(
VLOOKUP($A56,'IP1'!$A$37:$G$89,7,0),Patterns!$A$2:$N$28,COLUMN(X56)-14,0)/
VLOOKUP(
VLOOKUP($A56,'IP1'!$A$37:$G$89,7,0),Patterns!$A$2:$N$28,2,0),
IF(LEFT($D56,7)="Payroll",
SUMPRODUCT(($B56='IP1'!$B$96:$B$114)*('IP1'!$E$96:$E$114))/12,
SUMPRODUCT(($B56='IP1'!$B$96:$B$114)*('IP1'!$E$96:$E$114))/12*
IF(YEAR(X$3)=2013,'IP1'!$F$154,'IP1'!$G$154)
))</f>
        <v>250</v>
      </c>
      <c r="Y56" s="85">
        <f>IF(LEFT($D56,5)="Other",
VLOOKUP($A56,'IP1'!$A$37:$G$89,5,0)*
VLOOKUP(
VLOOKUP($A56,'IP1'!$A$37:$G$89,7,0),Patterns!$A$2:$N$28,COLUMN(Y56)-14,0)/
VLOOKUP(
VLOOKUP($A56,'IP1'!$A$37:$G$89,7,0),Patterns!$A$2:$N$28,2,0),
IF(LEFT($D56,7)="Payroll",
SUMPRODUCT(($B56='IP1'!$B$96:$B$114)*('IP1'!$E$96:$E$114))/12,
SUMPRODUCT(($B56='IP1'!$B$96:$B$114)*('IP1'!$E$96:$E$114))/12*
IF(YEAR(Y$3)=2013,'IP1'!$F$154,'IP1'!$G$154)
))</f>
        <v>250</v>
      </c>
      <c r="Z56" s="85">
        <f>IF(LEFT($D56,5)="Other",
VLOOKUP($A56,'IP1'!$A$37:$G$89,5,0)*
VLOOKUP(
VLOOKUP($A56,'IP1'!$A$37:$G$89,7,0),Patterns!$A$2:$N$28,COLUMN(Z56)-14,0)/
VLOOKUP(
VLOOKUP($A56,'IP1'!$A$37:$G$89,7,0),Patterns!$A$2:$N$28,2,0),
IF(LEFT($D56,7)="Payroll",
SUMPRODUCT(($B56='IP1'!$B$96:$B$114)*('IP1'!$E$96:$E$114))/12,
SUMPRODUCT(($B56='IP1'!$B$96:$B$114)*('IP1'!$E$96:$E$114))/12*
IF(YEAR(Z$3)=2013,'IP1'!$F$154,'IP1'!$G$154)
))</f>
        <v>250</v>
      </c>
      <c r="AA56" s="85">
        <f>IF(LEFT($D56,5)="Other",
VLOOKUP($A56,'IP1'!$A$37:$G$89,5,0)*
VLOOKUP(
VLOOKUP($A56,'IP1'!$A$37:$G$89,7,0),Patterns!$A$2:$N$28,COLUMN(AA56)-14,0)/
VLOOKUP(
VLOOKUP($A56,'IP1'!$A$37:$G$89,7,0),Patterns!$A$2:$N$28,2,0),
IF(LEFT($D56,7)="Payroll",
SUMPRODUCT(($B56='IP1'!$B$96:$B$114)*('IP1'!$E$96:$E$114))/12,
SUMPRODUCT(($B56='IP1'!$B$96:$B$114)*('IP1'!$E$96:$E$114))/12*
IF(YEAR(AA$3)=2013,'IP1'!$F$154,'IP1'!$G$154)
))</f>
        <v>250</v>
      </c>
      <c r="AB56" s="85">
        <f>IF(LEFT($D56,5)="Other",
VLOOKUP($A56,'IP1'!$A$37:$G$89,5,0)*
VLOOKUP(
VLOOKUP($A56,'IP1'!$A$37:$G$89,7,0),Patterns!$A$2:$N$28,COLUMN(AB56)-14,0)/
VLOOKUP(
VLOOKUP($A56,'IP1'!$A$37:$G$89,7,0),Patterns!$A$2:$N$28,2,0),
IF(LEFT($D56,7)="Payroll",
SUMPRODUCT(($B56='IP1'!$B$96:$B$114)*('IP1'!$E$96:$E$114))/12,
SUMPRODUCT(($B56='IP1'!$B$96:$B$114)*('IP1'!$E$96:$E$114))/12*
IF(YEAR(AB$3)=2013,'IP1'!$F$154,'IP1'!$G$154)
))</f>
        <v>250</v>
      </c>
    </row>
    <row r="57" spans="1:28">
      <c r="A57" s="1" t="str">
        <f t="shared" si="2"/>
        <v>Rooms / Rest. / EventsWages &amp; Salaries</v>
      </c>
      <c r="B57" s="1" t="s">
        <v>480</v>
      </c>
      <c r="C57" s="11" t="s">
        <v>66</v>
      </c>
      <c r="D57" s="11" t="s">
        <v>62</v>
      </c>
      <c r="E57" s="85">
        <f>IF(LEFT($D57,5)="Other",
VLOOKUP($A57,'IP1'!$A$37:$G$89,4,0)*
VLOOKUP(
VLOOKUP($A57,'IP1'!$A$37:$G$89,7,0),Patterns!$A$2:$N$28,COLUMN(E57)-2,0)/
VLOOKUP(
VLOOKUP($A57,'IP1'!$A$37:$G$89,7,0),Patterns!$A$2:$N$28,2,0),
IF(LEFT($D57,7)="Payroll",
SUMPRODUCT(($B57='IP1'!$B$96:$B$114)*('IP1'!$D$96:$D$114))/12,
SUMPRODUCT(($B57='IP1'!$B$96:$B$114)*('IP1'!$D$96:$D$114))/12*
IF(YEAR(E$3)=2013,'IP1'!$F$154,'IP1'!$G$154)
))</f>
        <v>22500</v>
      </c>
      <c r="F57" s="85">
        <f>IF(LEFT($D57,5)="Other",
VLOOKUP($A57,'IP1'!$A$37:$G$89,4,0)*
VLOOKUP(
VLOOKUP($A57,'IP1'!$A$37:$G$89,7,0),Patterns!$A$2:$N$28,COLUMN(F57)-2,0)/
VLOOKUP(
VLOOKUP($A57,'IP1'!$A$37:$G$89,7,0),Patterns!$A$2:$N$28,2,0),
IF(LEFT($D57,7)="Payroll",
SUMPRODUCT(($B57='IP1'!$B$96:$B$114)*('IP1'!$D$96:$D$114))/12,
SUMPRODUCT(($B57='IP1'!$B$96:$B$114)*('IP1'!$D$96:$D$114))/12*
IF(YEAR(F$3)=2013,'IP1'!$F$154,'IP1'!$G$154)
))</f>
        <v>22500</v>
      </c>
      <c r="G57" s="85">
        <f>IF(LEFT($D57,5)="Other",
VLOOKUP($A57,'IP1'!$A$37:$G$89,4,0)*
VLOOKUP(
VLOOKUP($A57,'IP1'!$A$37:$G$89,7,0),Patterns!$A$2:$N$28,COLUMN(G57)-2,0)/
VLOOKUP(
VLOOKUP($A57,'IP1'!$A$37:$G$89,7,0),Patterns!$A$2:$N$28,2,0),
IF(LEFT($D57,7)="Payroll",
SUMPRODUCT(($B57='IP1'!$B$96:$B$114)*('IP1'!$D$96:$D$114))/12,
SUMPRODUCT(($B57='IP1'!$B$96:$B$114)*('IP1'!$D$96:$D$114))/12*
IF(YEAR(G$3)=2013,'IP1'!$F$154,'IP1'!$G$154)
))</f>
        <v>22500</v>
      </c>
      <c r="H57" s="85">
        <f>IF(LEFT($D57,5)="Other",
VLOOKUP($A57,'IP1'!$A$37:$G$89,4,0)*
VLOOKUP(
VLOOKUP($A57,'IP1'!$A$37:$G$89,7,0),Patterns!$A$2:$N$28,COLUMN(H57)-2,0)/
VLOOKUP(
VLOOKUP($A57,'IP1'!$A$37:$G$89,7,0),Patterns!$A$2:$N$28,2,0),
IF(LEFT($D57,7)="Payroll",
SUMPRODUCT(($B57='IP1'!$B$96:$B$114)*('IP1'!$D$96:$D$114))/12,
SUMPRODUCT(($B57='IP1'!$B$96:$B$114)*('IP1'!$D$96:$D$114))/12*
IF(YEAR(H$3)=2013,'IP1'!$F$154,'IP1'!$G$154)
))</f>
        <v>22500</v>
      </c>
      <c r="I57" s="85">
        <f>IF(LEFT($D57,5)="Other",
VLOOKUP($A57,'IP1'!$A$37:$G$89,4,0)*
VLOOKUP(
VLOOKUP($A57,'IP1'!$A$37:$G$89,7,0),Patterns!$A$2:$N$28,COLUMN(I57)-2,0)/
VLOOKUP(
VLOOKUP($A57,'IP1'!$A$37:$G$89,7,0),Patterns!$A$2:$N$28,2,0),
IF(LEFT($D57,7)="Payroll",
SUMPRODUCT(($B57='IP1'!$B$96:$B$114)*('IP1'!$D$96:$D$114))/12,
SUMPRODUCT(($B57='IP1'!$B$96:$B$114)*('IP1'!$D$96:$D$114))/12*
IF(YEAR(I$3)=2013,'IP1'!$F$154,'IP1'!$G$154)
))</f>
        <v>22500</v>
      </c>
      <c r="J57" s="85">
        <f>IF(LEFT($D57,5)="Other",
VLOOKUP($A57,'IP1'!$A$37:$G$89,4,0)*
VLOOKUP(
VLOOKUP($A57,'IP1'!$A$37:$G$89,7,0),Patterns!$A$2:$N$28,COLUMN(J57)-2,0)/
VLOOKUP(
VLOOKUP($A57,'IP1'!$A$37:$G$89,7,0),Patterns!$A$2:$N$28,2,0),
IF(LEFT($D57,7)="Payroll",
SUMPRODUCT(($B57='IP1'!$B$96:$B$114)*('IP1'!$D$96:$D$114))/12,
SUMPRODUCT(($B57='IP1'!$B$96:$B$114)*('IP1'!$D$96:$D$114))/12*
IF(YEAR(J$3)=2013,'IP1'!$F$154,'IP1'!$G$154)
))</f>
        <v>22500</v>
      </c>
      <c r="K57" s="85">
        <f>IF(LEFT($D57,5)="Other",
VLOOKUP($A57,'IP1'!$A$37:$G$89,4,0)*
VLOOKUP(
VLOOKUP($A57,'IP1'!$A$37:$G$89,7,0),Patterns!$A$2:$N$28,COLUMN(K57)-2,0)/
VLOOKUP(
VLOOKUP($A57,'IP1'!$A$37:$G$89,7,0),Patterns!$A$2:$N$28,2,0),
IF(LEFT($D57,7)="Payroll",
SUMPRODUCT(($B57='IP1'!$B$96:$B$114)*('IP1'!$D$96:$D$114))/12,
SUMPRODUCT(($B57='IP1'!$B$96:$B$114)*('IP1'!$D$96:$D$114))/12*
IF(YEAR(K$3)=2013,'IP1'!$F$154,'IP1'!$G$154)
))</f>
        <v>22500</v>
      </c>
      <c r="L57" s="85">
        <f>IF(LEFT($D57,5)="Other",
VLOOKUP($A57,'IP1'!$A$37:$G$89,4,0)*
VLOOKUP(
VLOOKUP($A57,'IP1'!$A$37:$G$89,7,0),Patterns!$A$2:$N$28,COLUMN(L57)-2,0)/
VLOOKUP(
VLOOKUP($A57,'IP1'!$A$37:$G$89,7,0),Patterns!$A$2:$N$28,2,0),
IF(LEFT($D57,7)="Payroll",
SUMPRODUCT(($B57='IP1'!$B$96:$B$114)*('IP1'!$D$96:$D$114))/12,
SUMPRODUCT(($B57='IP1'!$B$96:$B$114)*('IP1'!$D$96:$D$114))/12*
IF(YEAR(L$3)=2013,'IP1'!$F$154,'IP1'!$G$154)
))</f>
        <v>22500</v>
      </c>
      <c r="M57" s="85">
        <f>IF(LEFT($D57,5)="Other",
VLOOKUP($A57,'IP1'!$A$37:$G$89,4,0)*
VLOOKUP(
VLOOKUP($A57,'IP1'!$A$37:$G$89,7,0),Patterns!$A$2:$N$28,COLUMN(M57)-2,0)/
VLOOKUP(
VLOOKUP($A57,'IP1'!$A$37:$G$89,7,0),Patterns!$A$2:$N$28,2,0),
IF(LEFT($D57,7)="Payroll",
SUMPRODUCT(($B57='IP1'!$B$96:$B$114)*('IP1'!$D$96:$D$114))/12,
SUMPRODUCT(($B57='IP1'!$B$96:$B$114)*('IP1'!$D$96:$D$114))/12*
IF(YEAR(M$3)=2013,'IP1'!$F$154,'IP1'!$G$154)
))</f>
        <v>22500</v>
      </c>
      <c r="N57" s="85">
        <f>IF(LEFT($D57,5)="Other",
VLOOKUP($A57,'IP1'!$A$37:$G$89,4,0)*
VLOOKUP(
VLOOKUP($A57,'IP1'!$A$37:$G$89,7,0),Patterns!$A$2:$N$28,COLUMN(N57)-2,0)/
VLOOKUP(
VLOOKUP($A57,'IP1'!$A$37:$G$89,7,0),Patterns!$A$2:$N$28,2,0),
IF(LEFT($D57,7)="Payroll",
SUMPRODUCT(($B57='IP1'!$B$96:$B$114)*('IP1'!$D$96:$D$114))/12,
SUMPRODUCT(($B57='IP1'!$B$96:$B$114)*('IP1'!$D$96:$D$114))/12*
IF(YEAR(N$3)=2013,'IP1'!$F$154,'IP1'!$G$154)
))</f>
        <v>22500</v>
      </c>
      <c r="O57" s="85">
        <f>IF(LEFT($D57,5)="Other",
VLOOKUP($A57,'IP1'!$A$37:$G$89,4,0)*
VLOOKUP(
VLOOKUP($A57,'IP1'!$A$37:$G$89,7,0),Patterns!$A$2:$N$28,COLUMN(O57)-2,0)/
VLOOKUP(
VLOOKUP($A57,'IP1'!$A$37:$G$89,7,0),Patterns!$A$2:$N$28,2,0),
IF(LEFT($D57,7)="Payroll",
SUMPRODUCT(($B57='IP1'!$B$96:$B$114)*('IP1'!$D$96:$D$114))/12,
SUMPRODUCT(($B57='IP1'!$B$96:$B$114)*('IP1'!$D$96:$D$114))/12*
IF(YEAR(O$3)=2013,'IP1'!$F$154,'IP1'!$G$154)
))</f>
        <v>22500</v>
      </c>
      <c r="P57" s="85">
        <f>IF(LEFT($D57,5)="Other",
VLOOKUP($A57,'IP1'!$A$37:$G$89,4,0)*
VLOOKUP(
VLOOKUP($A57,'IP1'!$A$37:$G$89,7,0),Patterns!$A$2:$N$28,COLUMN(P57)-2,0)/
VLOOKUP(
VLOOKUP($A57,'IP1'!$A$37:$G$89,7,0),Patterns!$A$2:$N$28,2,0),
IF(LEFT($D57,7)="Payroll",
SUMPRODUCT(($B57='IP1'!$B$96:$B$114)*('IP1'!$D$96:$D$114))/12,
SUMPRODUCT(($B57='IP1'!$B$96:$B$114)*('IP1'!$D$96:$D$114))/12*
IF(YEAR(P$3)=2013,'IP1'!$F$154,'IP1'!$G$154)
))</f>
        <v>22500</v>
      </c>
      <c r="Q57" s="85">
        <f>IF(LEFT($D57,5)="Other",
VLOOKUP($A57,'IP1'!$A$37:$G$89,5,0)*
VLOOKUP(
VLOOKUP($A57,'IP1'!$A$37:$G$89,7,0),Patterns!$A$2:$N$28,COLUMN(Q57)-14,0)/
VLOOKUP(
VLOOKUP($A57,'IP1'!$A$37:$G$89,7,0),Patterns!$A$2:$N$28,2,0),
IF(LEFT($D57,7)="Payroll",
SUMPRODUCT(($B57='IP1'!$B$96:$B$114)*('IP1'!$E$96:$E$114))/12,
SUMPRODUCT(($B57='IP1'!$B$96:$B$114)*('IP1'!$E$96:$E$114))/12*
IF(YEAR(Q$3)=2013,'IP1'!$F$154,'IP1'!$G$154)
))</f>
        <v>22500</v>
      </c>
      <c r="R57" s="85">
        <f>IF(LEFT($D57,5)="Other",
VLOOKUP($A57,'IP1'!$A$37:$G$89,5,0)*
VLOOKUP(
VLOOKUP($A57,'IP1'!$A$37:$G$89,7,0),Patterns!$A$2:$N$28,COLUMN(R57)-14,0)/
VLOOKUP(
VLOOKUP($A57,'IP1'!$A$37:$G$89,7,0),Patterns!$A$2:$N$28,2,0),
IF(LEFT($D57,7)="Payroll",
SUMPRODUCT(($B57='IP1'!$B$96:$B$114)*('IP1'!$E$96:$E$114))/12,
SUMPRODUCT(($B57='IP1'!$B$96:$B$114)*('IP1'!$E$96:$E$114))/12*
IF(YEAR(R$3)=2013,'IP1'!$F$154,'IP1'!$G$154)
))</f>
        <v>22500</v>
      </c>
      <c r="S57" s="85">
        <f>IF(LEFT($D57,5)="Other",
VLOOKUP($A57,'IP1'!$A$37:$G$89,5,0)*
VLOOKUP(
VLOOKUP($A57,'IP1'!$A$37:$G$89,7,0),Patterns!$A$2:$N$28,COLUMN(S57)-14,0)/
VLOOKUP(
VLOOKUP($A57,'IP1'!$A$37:$G$89,7,0),Patterns!$A$2:$N$28,2,0),
IF(LEFT($D57,7)="Payroll",
SUMPRODUCT(($B57='IP1'!$B$96:$B$114)*('IP1'!$E$96:$E$114))/12,
SUMPRODUCT(($B57='IP1'!$B$96:$B$114)*('IP1'!$E$96:$E$114))/12*
IF(YEAR(S$3)=2013,'IP1'!$F$154,'IP1'!$G$154)
))</f>
        <v>22500</v>
      </c>
      <c r="T57" s="85">
        <f>IF(LEFT($D57,5)="Other",
VLOOKUP($A57,'IP1'!$A$37:$G$89,5,0)*
VLOOKUP(
VLOOKUP($A57,'IP1'!$A$37:$G$89,7,0),Patterns!$A$2:$N$28,COLUMN(T57)-14,0)/
VLOOKUP(
VLOOKUP($A57,'IP1'!$A$37:$G$89,7,0),Patterns!$A$2:$N$28,2,0),
IF(LEFT($D57,7)="Payroll",
SUMPRODUCT(($B57='IP1'!$B$96:$B$114)*('IP1'!$E$96:$E$114))/12,
SUMPRODUCT(($B57='IP1'!$B$96:$B$114)*('IP1'!$E$96:$E$114))/12*
IF(YEAR(T$3)=2013,'IP1'!$F$154,'IP1'!$G$154)
))</f>
        <v>22500</v>
      </c>
      <c r="U57" s="85">
        <f>IF(LEFT($D57,5)="Other",
VLOOKUP($A57,'IP1'!$A$37:$G$89,5,0)*
VLOOKUP(
VLOOKUP($A57,'IP1'!$A$37:$G$89,7,0),Patterns!$A$2:$N$28,COLUMN(U57)-14,0)/
VLOOKUP(
VLOOKUP($A57,'IP1'!$A$37:$G$89,7,0),Patterns!$A$2:$N$28,2,0),
IF(LEFT($D57,7)="Payroll",
SUMPRODUCT(($B57='IP1'!$B$96:$B$114)*('IP1'!$E$96:$E$114))/12,
SUMPRODUCT(($B57='IP1'!$B$96:$B$114)*('IP1'!$E$96:$E$114))/12*
IF(YEAR(U$3)=2013,'IP1'!$F$154,'IP1'!$G$154)
))</f>
        <v>22500</v>
      </c>
      <c r="V57" s="85">
        <f>IF(LEFT($D57,5)="Other",
VLOOKUP($A57,'IP1'!$A$37:$G$89,5,0)*
VLOOKUP(
VLOOKUP($A57,'IP1'!$A$37:$G$89,7,0),Patterns!$A$2:$N$28,COLUMN(V57)-14,0)/
VLOOKUP(
VLOOKUP($A57,'IP1'!$A$37:$G$89,7,0),Patterns!$A$2:$N$28,2,0),
IF(LEFT($D57,7)="Payroll",
SUMPRODUCT(($B57='IP1'!$B$96:$B$114)*('IP1'!$E$96:$E$114))/12,
SUMPRODUCT(($B57='IP1'!$B$96:$B$114)*('IP1'!$E$96:$E$114))/12*
IF(YEAR(V$3)=2013,'IP1'!$F$154,'IP1'!$G$154)
))</f>
        <v>22500</v>
      </c>
      <c r="W57" s="85">
        <f>IF(LEFT($D57,5)="Other",
VLOOKUP($A57,'IP1'!$A$37:$G$89,5,0)*
VLOOKUP(
VLOOKUP($A57,'IP1'!$A$37:$G$89,7,0),Patterns!$A$2:$N$28,COLUMN(W57)-14,0)/
VLOOKUP(
VLOOKUP($A57,'IP1'!$A$37:$G$89,7,0),Patterns!$A$2:$N$28,2,0),
IF(LEFT($D57,7)="Payroll",
SUMPRODUCT(($B57='IP1'!$B$96:$B$114)*('IP1'!$E$96:$E$114))/12,
SUMPRODUCT(($B57='IP1'!$B$96:$B$114)*('IP1'!$E$96:$E$114))/12*
IF(YEAR(W$3)=2013,'IP1'!$F$154,'IP1'!$G$154)
))</f>
        <v>22500</v>
      </c>
      <c r="X57" s="85">
        <f>IF(LEFT($D57,5)="Other",
VLOOKUP($A57,'IP1'!$A$37:$G$89,5,0)*
VLOOKUP(
VLOOKUP($A57,'IP1'!$A$37:$G$89,7,0),Patterns!$A$2:$N$28,COLUMN(X57)-14,0)/
VLOOKUP(
VLOOKUP($A57,'IP1'!$A$37:$G$89,7,0),Patterns!$A$2:$N$28,2,0),
IF(LEFT($D57,7)="Payroll",
SUMPRODUCT(($B57='IP1'!$B$96:$B$114)*('IP1'!$E$96:$E$114))/12,
SUMPRODUCT(($B57='IP1'!$B$96:$B$114)*('IP1'!$E$96:$E$114))/12*
IF(YEAR(X$3)=2013,'IP1'!$F$154,'IP1'!$G$154)
))</f>
        <v>22500</v>
      </c>
      <c r="Y57" s="85">
        <f>IF(LEFT($D57,5)="Other",
VLOOKUP($A57,'IP1'!$A$37:$G$89,5,0)*
VLOOKUP(
VLOOKUP($A57,'IP1'!$A$37:$G$89,7,0),Patterns!$A$2:$N$28,COLUMN(Y57)-14,0)/
VLOOKUP(
VLOOKUP($A57,'IP1'!$A$37:$G$89,7,0),Patterns!$A$2:$N$28,2,0),
IF(LEFT($D57,7)="Payroll",
SUMPRODUCT(($B57='IP1'!$B$96:$B$114)*('IP1'!$E$96:$E$114))/12,
SUMPRODUCT(($B57='IP1'!$B$96:$B$114)*('IP1'!$E$96:$E$114))/12*
IF(YEAR(Y$3)=2013,'IP1'!$F$154,'IP1'!$G$154)
))</f>
        <v>22500</v>
      </c>
      <c r="Z57" s="85">
        <f>IF(LEFT($D57,5)="Other",
VLOOKUP($A57,'IP1'!$A$37:$G$89,5,0)*
VLOOKUP(
VLOOKUP($A57,'IP1'!$A$37:$G$89,7,0),Patterns!$A$2:$N$28,COLUMN(Z57)-14,0)/
VLOOKUP(
VLOOKUP($A57,'IP1'!$A$37:$G$89,7,0),Patterns!$A$2:$N$28,2,0),
IF(LEFT($D57,7)="Payroll",
SUMPRODUCT(($B57='IP1'!$B$96:$B$114)*('IP1'!$E$96:$E$114))/12,
SUMPRODUCT(($B57='IP1'!$B$96:$B$114)*('IP1'!$E$96:$E$114))/12*
IF(YEAR(Z$3)=2013,'IP1'!$F$154,'IP1'!$G$154)
))</f>
        <v>22500</v>
      </c>
      <c r="AA57" s="85">
        <f>IF(LEFT($D57,5)="Other",
VLOOKUP($A57,'IP1'!$A$37:$G$89,5,0)*
VLOOKUP(
VLOOKUP($A57,'IP1'!$A$37:$G$89,7,0),Patterns!$A$2:$N$28,COLUMN(AA57)-14,0)/
VLOOKUP(
VLOOKUP($A57,'IP1'!$A$37:$G$89,7,0),Patterns!$A$2:$N$28,2,0),
IF(LEFT($D57,7)="Payroll",
SUMPRODUCT(($B57='IP1'!$B$96:$B$114)*('IP1'!$E$96:$E$114))/12,
SUMPRODUCT(($B57='IP1'!$B$96:$B$114)*('IP1'!$E$96:$E$114))/12*
IF(YEAR(AA$3)=2013,'IP1'!$F$154,'IP1'!$G$154)
))</f>
        <v>22500</v>
      </c>
      <c r="AB57" s="85">
        <f>IF(LEFT($D57,5)="Other",
VLOOKUP($A57,'IP1'!$A$37:$G$89,5,0)*
VLOOKUP(
VLOOKUP($A57,'IP1'!$A$37:$G$89,7,0),Patterns!$A$2:$N$28,COLUMN(AB57)-14,0)/
VLOOKUP(
VLOOKUP($A57,'IP1'!$A$37:$G$89,7,0),Patterns!$A$2:$N$28,2,0),
IF(LEFT($D57,7)="Payroll",
SUMPRODUCT(($B57='IP1'!$B$96:$B$114)*('IP1'!$E$96:$E$114))/12,
SUMPRODUCT(($B57='IP1'!$B$96:$B$114)*('IP1'!$E$96:$E$114))/12*
IF(YEAR(AB$3)=2013,'IP1'!$F$154,'IP1'!$G$154)
))</f>
        <v>22500</v>
      </c>
    </row>
    <row r="58" spans="1:28">
      <c r="A58" s="1" t="str">
        <f t="shared" si="2"/>
        <v>Rooms / Rest. / EventsPAYE / PRSI</v>
      </c>
      <c r="B58" s="1" t="s">
        <v>480</v>
      </c>
      <c r="C58" s="11" t="s">
        <v>25</v>
      </c>
      <c r="D58" s="11" t="s">
        <v>65</v>
      </c>
      <c r="E58" s="85">
        <f>IF(LEFT($D58,5)="Other",
VLOOKUP($A58,'IP1'!$A$37:$G$89,4,0)*
VLOOKUP(
VLOOKUP($A58,'IP1'!$A$37:$G$89,7,0),Patterns!$A$2:$N$28,COLUMN(E58)-2,0)/
VLOOKUP(
VLOOKUP($A58,'IP1'!$A$37:$G$89,7,0),Patterns!$A$2:$N$28,2,0),
IF(LEFT($D58,7)="Payroll",
SUMPRODUCT(($B58='IP1'!$B$96:$B$114)*('IP1'!$D$96:$D$114))/12,
SUMPRODUCT(($B58='IP1'!$B$96:$B$114)*('IP1'!$D$96:$D$114))/12*
IF(YEAR(E$3)=2013,'IP1'!$F$154,'IP1'!$G$154)
))</f>
        <v>3375</v>
      </c>
      <c r="F58" s="85">
        <f>IF(LEFT($D58,5)="Other",
VLOOKUP($A58,'IP1'!$A$37:$G$89,4,0)*
VLOOKUP(
VLOOKUP($A58,'IP1'!$A$37:$G$89,7,0),Patterns!$A$2:$N$28,COLUMN(F58)-2,0)/
VLOOKUP(
VLOOKUP($A58,'IP1'!$A$37:$G$89,7,0),Patterns!$A$2:$N$28,2,0),
IF(LEFT($D58,7)="Payroll",
SUMPRODUCT(($B58='IP1'!$B$96:$B$114)*('IP1'!$D$96:$D$114))/12,
SUMPRODUCT(($B58='IP1'!$B$96:$B$114)*('IP1'!$D$96:$D$114))/12*
IF(YEAR(F$3)=2013,'IP1'!$F$154,'IP1'!$G$154)
))</f>
        <v>3375</v>
      </c>
      <c r="G58" s="85">
        <f>IF(LEFT($D58,5)="Other",
VLOOKUP($A58,'IP1'!$A$37:$G$89,4,0)*
VLOOKUP(
VLOOKUP($A58,'IP1'!$A$37:$G$89,7,0),Patterns!$A$2:$N$28,COLUMN(G58)-2,0)/
VLOOKUP(
VLOOKUP($A58,'IP1'!$A$37:$G$89,7,0),Patterns!$A$2:$N$28,2,0),
IF(LEFT($D58,7)="Payroll",
SUMPRODUCT(($B58='IP1'!$B$96:$B$114)*('IP1'!$D$96:$D$114))/12,
SUMPRODUCT(($B58='IP1'!$B$96:$B$114)*('IP1'!$D$96:$D$114))/12*
IF(YEAR(G$3)=2013,'IP1'!$F$154,'IP1'!$G$154)
))</f>
        <v>3375</v>
      </c>
      <c r="H58" s="85">
        <f>IF(LEFT($D58,5)="Other",
VLOOKUP($A58,'IP1'!$A$37:$G$89,4,0)*
VLOOKUP(
VLOOKUP($A58,'IP1'!$A$37:$G$89,7,0),Patterns!$A$2:$N$28,COLUMN(H58)-2,0)/
VLOOKUP(
VLOOKUP($A58,'IP1'!$A$37:$G$89,7,0),Patterns!$A$2:$N$28,2,0),
IF(LEFT($D58,7)="Payroll",
SUMPRODUCT(($B58='IP1'!$B$96:$B$114)*('IP1'!$D$96:$D$114))/12,
SUMPRODUCT(($B58='IP1'!$B$96:$B$114)*('IP1'!$D$96:$D$114))/12*
IF(YEAR(H$3)=2013,'IP1'!$F$154,'IP1'!$G$154)
))</f>
        <v>3375</v>
      </c>
      <c r="I58" s="85">
        <f>IF(LEFT($D58,5)="Other",
VLOOKUP($A58,'IP1'!$A$37:$G$89,4,0)*
VLOOKUP(
VLOOKUP($A58,'IP1'!$A$37:$G$89,7,0),Patterns!$A$2:$N$28,COLUMN(I58)-2,0)/
VLOOKUP(
VLOOKUP($A58,'IP1'!$A$37:$G$89,7,0),Patterns!$A$2:$N$28,2,0),
IF(LEFT($D58,7)="Payroll",
SUMPRODUCT(($B58='IP1'!$B$96:$B$114)*('IP1'!$D$96:$D$114))/12,
SUMPRODUCT(($B58='IP1'!$B$96:$B$114)*('IP1'!$D$96:$D$114))/12*
IF(YEAR(I$3)=2013,'IP1'!$F$154,'IP1'!$G$154)
))</f>
        <v>3375</v>
      </c>
      <c r="J58" s="85">
        <f>IF(LEFT($D58,5)="Other",
VLOOKUP($A58,'IP1'!$A$37:$G$89,4,0)*
VLOOKUP(
VLOOKUP($A58,'IP1'!$A$37:$G$89,7,0),Patterns!$A$2:$N$28,COLUMN(J58)-2,0)/
VLOOKUP(
VLOOKUP($A58,'IP1'!$A$37:$G$89,7,0),Patterns!$A$2:$N$28,2,0),
IF(LEFT($D58,7)="Payroll",
SUMPRODUCT(($B58='IP1'!$B$96:$B$114)*('IP1'!$D$96:$D$114))/12,
SUMPRODUCT(($B58='IP1'!$B$96:$B$114)*('IP1'!$D$96:$D$114))/12*
IF(YEAR(J$3)=2013,'IP1'!$F$154,'IP1'!$G$154)
))</f>
        <v>3375</v>
      </c>
      <c r="K58" s="85">
        <f>IF(LEFT($D58,5)="Other",
VLOOKUP($A58,'IP1'!$A$37:$G$89,4,0)*
VLOOKUP(
VLOOKUP($A58,'IP1'!$A$37:$G$89,7,0),Patterns!$A$2:$N$28,COLUMN(K58)-2,0)/
VLOOKUP(
VLOOKUP($A58,'IP1'!$A$37:$G$89,7,0),Patterns!$A$2:$N$28,2,0),
IF(LEFT($D58,7)="Payroll",
SUMPRODUCT(($B58='IP1'!$B$96:$B$114)*('IP1'!$D$96:$D$114))/12,
SUMPRODUCT(($B58='IP1'!$B$96:$B$114)*('IP1'!$D$96:$D$114))/12*
IF(YEAR(K$3)=2013,'IP1'!$F$154,'IP1'!$G$154)
))</f>
        <v>3375</v>
      </c>
      <c r="L58" s="85">
        <f>IF(LEFT($D58,5)="Other",
VLOOKUP($A58,'IP1'!$A$37:$G$89,4,0)*
VLOOKUP(
VLOOKUP($A58,'IP1'!$A$37:$G$89,7,0),Patterns!$A$2:$N$28,COLUMN(L58)-2,0)/
VLOOKUP(
VLOOKUP($A58,'IP1'!$A$37:$G$89,7,0),Patterns!$A$2:$N$28,2,0),
IF(LEFT($D58,7)="Payroll",
SUMPRODUCT(($B58='IP1'!$B$96:$B$114)*('IP1'!$D$96:$D$114))/12,
SUMPRODUCT(($B58='IP1'!$B$96:$B$114)*('IP1'!$D$96:$D$114))/12*
IF(YEAR(L$3)=2013,'IP1'!$F$154,'IP1'!$G$154)
))</f>
        <v>3375</v>
      </c>
      <c r="M58" s="85">
        <f>IF(LEFT($D58,5)="Other",
VLOOKUP($A58,'IP1'!$A$37:$G$89,4,0)*
VLOOKUP(
VLOOKUP($A58,'IP1'!$A$37:$G$89,7,0),Patterns!$A$2:$N$28,COLUMN(M58)-2,0)/
VLOOKUP(
VLOOKUP($A58,'IP1'!$A$37:$G$89,7,0),Patterns!$A$2:$N$28,2,0),
IF(LEFT($D58,7)="Payroll",
SUMPRODUCT(($B58='IP1'!$B$96:$B$114)*('IP1'!$D$96:$D$114))/12,
SUMPRODUCT(($B58='IP1'!$B$96:$B$114)*('IP1'!$D$96:$D$114))/12*
IF(YEAR(M$3)=2013,'IP1'!$F$154,'IP1'!$G$154)
))</f>
        <v>3375</v>
      </c>
      <c r="N58" s="85">
        <f>IF(LEFT($D58,5)="Other",
VLOOKUP($A58,'IP1'!$A$37:$G$89,4,0)*
VLOOKUP(
VLOOKUP($A58,'IP1'!$A$37:$G$89,7,0),Patterns!$A$2:$N$28,COLUMN(N58)-2,0)/
VLOOKUP(
VLOOKUP($A58,'IP1'!$A$37:$G$89,7,0),Patterns!$A$2:$N$28,2,0),
IF(LEFT($D58,7)="Payroll",
SUMPRODUCT(($B58='IP1'!$B$96:$B$114)*('IP1'!$D$96:$D$114))/12,
SUMPRODUCT(($B58='IP1'!$B$96:$B$114)*('IP1'!$D$96:$D$114))/12*
IF(YEAR(N$3)=2013,'IP1'!$F$154,'IP1'!$G$154)
))</f>
        <v>3375</v>
      </c>
      <c r="O58" s="85">
        <f>IF(LEFT($D58,5)="Other",
VLOOKUP($A58,'IP1'!$A$37:$G$89,4,0)*
VLOOKUP(
VLOOKUP($A58,'IP1'!$A$37:$G$89,7,0),Patterns!$A$2:$N$28,COLUMN(O58)-2,0)/
VLOOKUP(
VLOOKUP($A58,'IP1'!$A$37:$G$89,7,0),Patterns!$A$2:$N$28,2,0),
IF(LEFT($D58,7)="Payroll",
SUMPRODUCT(($B58='IP1'!$B$96:$B$114)*('IP1'!$D$96:$D$114))/12,
SUMPRODUCT(($B58='IP1'!$B$96:$B$114)*('IP1'!$D$96:$D$114))/12*
IF(YEAR(O$3)=2013,'IP1'!$F$154,'IP1'!$G$154)
))</f>
        <v>3375</v>
      </c>
      <c r="P58" s="85">
        <f>IF(LEFT($D58,5)="Other",
VLOOKUP($A58,'IP1'!$A$37:$G$89,4,0)*
VLOOKUP(
VLOOKUP($A58,'IP1'!$A$37:$G$89,7,0),Patterns!$A$2:$N$28,COLUMN(P58)-2,0)/
VLOOKUP(
VLOOKUP($A58,'IP1'!$A$37:$G$89,7,0),Patterns!$A$2:$N$28,2,0),
IF(LEFT($D58,7)="Payroll",
SUMPRODUCT(($B58='IP1'!$B$96:$B$114)*('IP1'!$D$96:$D$114))/12,
SUMPRODUCT(($B58='IP1'!$B$96:$B$114)*('IP1'!$D$96:$D$114))/12*
IF(YEAR(P$3)=2013,'IP1'!$F$154,'IP1'!$G$154)
))</f>
        <v>3375</v>
      </c>
      <c r="Q58" s="85">
        <f>IF(LEFT($D58,5)="Other",
VLOOKUP($A58,'IP1'!$A$37:$G$89,5,0)*
VLOOKUP(
VLOOKUP($A58,'IP1'!$A$37:$G$89,7,0),Patterns!$A$2:$N$28,COLUMN(Q58)-14,0)/
VLOOKUP(
VLOOKUP($A58,'IP1'!$A$37:$G$89,7,0),Patterns!$A$2:$N$28,2,0),
IF(LEFT($D58,7)="Payroll",
SUMPRODUCT(($B58='IP1'!$B$96:$B$114)*('IP1'!$E$96:$E$114))/12,
SUMPRODUCT(($B58='IP1'!$B$96:$B$114)*('IP1'!$E$96:$E$114))/12*
IF(YEAR(Q$3)=2013,'IP1'!$F$154,'IP1'!$G$154)
))</f>
        <v>3375</v>
      </c>
      <c r="R58" s="85">
        <f>IF(LEFT($D58,5)="Other",
VLOOKUP($A58,'IP1'!$A$37:$G$89,5,0)*
VLOOKUP(
VLOOKUP($A58,'IP1'!$A$37:$G$89,7,0),Patterns!$A$2:$N$28,COLUMN(R58)-14,0)/
VLOOKUP(
VLOOKUP($A58,'IP1'!$A$37:$G$89,7,0),Patterns!$A$2:$N$28,2,0),
IF(LEFT($D58,7)="Payroll",
SUMPRODUCT(($B58='IP1'!$B$96:$B$114)*('IP1'!$E$96:$E$114))/12,
SUMPRODUCT(($B58='IP1'!$B$96:$B$114)*('IP1'!$E$96:$E$114))/12*
IF(YEAR(R$3)=2013,'IP1'!$F$154,'IP1'!$G$154)
))</f>
        <v>3375</v>
      </c>
      <c r="S58" s="85">
        <f>IF(LEFT($D58,5)="Other",
VLOOKUP($A58,'IP1'!$A$37:$G$89,5,0)*
VLOOKUP(
VLOOKUP($A58,'IP1'!$A$37:$G$89,7,0),Patterns!$A$2:$N$28,COLUMN(S58)-14,0)/
VLOOKUP(
VLOOKUP($A58,'IP1'!$A$37:$G$89,7,0),Patterns!$A$2:$N$28,2,0),
IF(LEFT($D58,7)="Payroll",
SUMPRODUCT(($B58='IP1'!$B$96:$B$114)*('IP1'!$E$96:$E$114))/12,
SUMPRODUCT(($B58='IP1'!$B$96:$B$114)*('IP1'!$E$96:$E$114))/12*
IF(YEAR(S$3)=2013,'IP1'!$F$154,'IP1'!$G$154)
))</f>
        <v>3375</v>
      </c>
      <c r="T58" s="85">
        <f>IF(LEFT($D58,5)="Other",
VLOOKUP($A58,'IP1'!$A$37:$G$89,5,0)*
VLOOKUP(
VLOOKUP($A58,'IP1'!$A$37:$G$89,7,0),Patterns!$A$2:$N$28,COLUMN(T58)-14,0)/
VLOOKUP(
VLOOKUP($A58,'IP1'!$A$37:$G$89,7,0),Patterns!$A$2:$N$28,2,0),
IF(LEFT($D58,7)="Payroll",
SUMPRODUCT(($B58='IP1'!$B$96:$B$114)*('IP1'!$E$96:$E$114))/12,
SUMPRODUCT(($B58='IP1'!$B$96:$B$114)*('IP1'!$E$96:$E$114))/12*
IF(YEAR(T$3)=2013,'IP1'!$F$154,'IP1'!$G$154)
))</f>
        <v>3375</v>
      </c>
      <c r="U58" s="85">
        <f>IF(LEFT($D58,5)="Other",
VLOOKUP($A58,'IP1'!$A$37:$G$89,5,0)*
VLOOKUP(
VLOOKUP($A58,'IP1'!$A$37:$G$89,7,0),Patterns!$A$2:$N$28,COLUMN(U58)-14,0)/
VLOOKUP(
VLOOKUP($A58,'IP1'!$A$37:$G$89,7,0),Patterns!$A$2:$N$28,2,0),
IF(LEFT($D58,7)="Payroll",
SUMPRODUCT(($B58='IP1'!$B$96:$B$114)*('IP1'!$E$96:$E$114))/12,
SUMPRODUCT(($B58='IP1'!$B$96:$B$114)*('IP1'!$E$96:$E$114))/12*
IF(YEAR(U$3)=2013,'IP1'!$F$154,'IP1'!$G$154)
))</f>
        <v>3375</v>
      </c>
      <c r="V58" s="85">
        <f>IF(LEFT($D58,5)="Other",
VLOOKUP($A58,'IP1'!$A$37:$G$89,5,0)*
VLOOKUP(
VLOOKUP($A58,'IP1'!$A$37:$G$89,7,0),Patterns!$A$2:$N$28,COLUMN(V58)-14,0)/
VLOOKUP(
VLOOKUP($A58,'IP1'!$A$37:$G$89,7,0),Patterns!$A$2:$N$28,2,0),
IF(LEFT($D58,7)="Payroll",
SUMPRODUCT(($B58='IP1'!$B$96:$B$114)*('IP1'!$E$96:$E$114))/12,
SUMPRODUCT(($B58='IP1'!$B$96:$B$114)*('IP1'!$E$96:$E$114))/12*
IF(YEAR(V$3)=2013,'IP1'!$F$154,'IP1'!$G$154)
))</f>
        <v>3375</v>
      </c>
      <c r="W58" s="85">
        <f>IF(LEFT($D58,5)="Other",
VLOOKUP($A58,'IP1'!$A$37:$G$89,5,0)*
VLOOKUP(
VLOOKUP($A58,'IP1'!$A$37:$G$89,7,0),Patterns!$A$2:$N$28,COLUMN(W58)-14,0)/
VLOOKUP(
VLOOKUP($A58,'IP1'!$A$37:$G$89,7,0),Patterns!$A$2:$N$28,2,0),
IF(LEFT($D58,7)="Payroll",
SUMPRODUCT(($B58='IP1'!$B$96:$B$114)*('IP1'!$E$96:$E$114))/12,
SUMPRODUCT(($B58='IP1'!$B$96:$B$114)*('IP1'!$E$96:$E$114))/12*
IF(YEAR(W$3)=2013,'IP1'!$F$154,'IP1'!$G$154)
))</f>
        <v>3375</v>
      </c>
      <c r="X58" s="85">
        <f>IF(LEFT($D58,5)="Other",
VLOOKUP($A58,'IP1'!$A$37:$G$89,5,0)*
VLOOKUP(
VLOOKUP($A58,'IP1'!$A$37:$G$89,7,0),Patterns!$A$2:$N$28,COLUMN(X58)-14,0)/
VLOOKUP(
VLOOKUP($A58,'IP1'!$A$37:$G$89,7,0),Patterns!$A$2:$N$28,2,0),
IF(LEFT($D58,7)="Payroll",
SUMPRODUCT(($B58='IP1'!$B$96:$B$114)*('IP1'!$E$96:$E$114))/12,
SUMPRODUCT(($B58='IP1'!$B$96:$B$114)*('IP1'!$E$96:$E$114))/12*
IF(YEAR(X$3)=2013,'IP1'!$F$154,'IP1'!$G$154)
))</f>
        <v>3375</v>
      </c>
      <c r="Y58" s="85">
        <f>IF(LEFT($D58,5)="Other",
VLOOKUP($A58,'IP1'!$A$37:$G$89,5,0)*
VLOOKUP(
VLOOKUP($A58,'IP1'!$A$37:$G$89,7,0),Patterns!$A$2:$N$28,COLUMN(Y58)-14,0)/
VLOOKUP(
VLOOKUP($A58,'IP1'!$A$37:$G$89,7,0),Patterns!$A$2:$N$28,2,0),
IF(LEFT($D58,7)="Payroll",
SUMPRODUCT(($B58='IP1'!$B$96:$B$114)*('IP1'!$E$96:$E$114))/12,
SUMPRODUCT(($B58='IP1'!$B$96:$B$114)*('IP1'!$E$96:$E$114))/12*
IF(YEAR(Y$3)=2013,'IP1'!$F$154,'IP1'!$G$154)
))</f>
        <v>3375</v>
      </c>
      <c r="Z58" s="85">
        <f>IF(LEFT($D58,5)="Other",
VLOOKUP($A58,'IP1'!$A$37:$G$89,5,0)*
VLOOKUP(
VLOOKUP($A58,'IP1'!$A$37:$G$89,7,0),Patterns!$A$2:$N$28,COLUMN(Z58)-14,0)/
VLOOKUP(
VLOOKUP($A58,'IP1'!$A$37:$G$89,7,0),Patterns!$A$2:$N$28,2,0),
IF(LEFT($D58,7)="Payroll",
SUMPRODUCT(($B58='IP1'!$B$96:$B$114)*('IP1'!$E$96:$E$114))/12,
SUMPRODUCT(($B58='IP1'!$B$96:$B$114)*('IP1'!$E$96:$E$114))/12*
IF(YEAR(Z$3)=2013,'IP1'!$F$154,'IP1'!$G$154)
))</f>
        <v>3375</v>
      </c>
      <c r="AA58" s="85">
        <f>IF(LEFT($D58,5)="Other",
VLOOKUP($A58,'IP1'!$A$37:$G$89,5,0)*
VLOOKUP(
VLOOKUP($A58,'IP1'!$A$37:$G$89,7,0),Patterns!$A$2:$N$28,COLUMN(AA58)-14,0)/
VLOOKUP(
VLOOKUP($A58,'IP1'!$A$37:$G$89,7,0),Patterns!$A$2:$N$28,2,0),
IF(LEFT($D58,7)="Payroll",
SUMPRODUCT(($B58='IP1'!$B$96:$B$114)*('IP1'!$E$96:$E$114))/12,
SUMPRODUCT(($B58='IP1'!$B$96:$B$114)*('IP1'!$E$96:$E$114))/12*
IF(YEAR(AA$3)=2013,'IP1'!$F$154,'IP1'!$G$154)
))</f>
        <v>3375</v>
      </c>
      <c r="AB58" s="85">
        <f>IF(LEFT($D58,5)="Other",
VLOOKUP($A58,'IP1'!$A$37:$G$89,5,0)*
VLOOKUP(
VLOOKUP($A58,'IP1'!$A$37:$G$89,7,0),Patterns!$A$2:$N$28,COLUMN(AB58)-14,0)/
VLOOKUP(
VLOOKUP($A58,'IP1'!$A$37:$G$89,7,0),Patterns!$A$2:$N$28,2,0),
IF(LEFT($D58,7)="Payroll",
SUMPRODUCT(($B58='IP1'!$B$96:$B$114)*('IP1'!$E$96:$E$114))/12,
SUMPRODUCT(($B58='IP1'!$B$96:$B$114)*('IP1'!$E$96:$E$114))/12*
IF(YEAR(AB$3)=2013,'IP1'!$F$154,'IP1'!$G$154)
))</f>
        <v>3375</v>
      </c>
    </row>
    <row r="59" spans="1:28">
      <c r="A59" s="1" t="str">
        <f t="shared" si="2"/>
        <v xml:space="preserve">Rooms / Rest. / EventsCable/satellite television </v>
      </c>
      <c r="B59" s="1" t="s">
        <v>480</v>
      </c>
      <c r="C59" s="11" t="s">
        <v>481</v>
      </c>
      <c r="D59" s="11" t="s">
        <v>100</v>
      </c>
      <c r="E59" s="85">
        <f>IF(LEFT($D59,5)="Other",
VLOOKUP($A59,'IP1'!$A$37:$G$89,4,0)*
VLOOKUP(
VLOOKUP($A59,'IP1'!$A$37:$G$89,7,0),Patterns!$A$2:$N$28,COLUMN(E59)-2,0)/
VLOOKUP(
VLOOKUP($A59,'IP1'!$A$37:$G$89,7,0),Patterns!$A$2:$N$28,2,0),
IF(LEFT($D59,7)="Payroll",
SUMPRODUCT(($B59='IP1'!$B$96:$B$114)*('IP1'!$D$96:$D$114))/12,
SUMPRODUCT(($B59='IP1'!$B$96:$B$114)*('IP1'!$D$96:$D$114))/12*
IF(YEAR(E$3)=2013,'IP1'!$F$154,'IP1'!$G$154)
))</f>
        <v>1666.6666666666667</v>
      </c>
      <c r="F59" s="85">
        <f>IF(LEFT($D59,5)="Other",
VLOOKUP($A59,'IP1'!$A$37:$G$89,4,0)*
VLOOKUP(
VLOOKUP($A59,'IP1'!$A$37:$G$89,7,0),Patterns!$A$2:$N$28,COLUMN(F59)-2,0)/
VLOOKUP(
VLOOKUP($A59,'IP1'!$A$37:$G$89,7,0),Patterns!$A$2:$N$28,2,0),
IF(LEFT($D59,7)="Payroll",
SUMPRODUCT(($B59='IP1'!$B$96:$B$114)*('IP1'!$D$96:$D$114))/12,
SUMPRODUCT(($B59='IP1'!$B$96:$B$114)*('IP1'!$D$96:$D$114))/12*
IF(YEAR(F$3)=2013,'IP1'!$F$154,'IP1'!$G$154)
))</f>
        <v>1666.6666666666667</v>
      </c>
      <c r="G59" s="85">
        <f>IF(LEFT($D59,5)="Other",
VLOOKUP($A59,'IP1'!$A$37:$G$89,4,0)*
VLOOKUP(
VLOOKUP($A59,'IP1'!$A$37:$G$89,7,0),Patterns!$A$2:$N$28,COLUMN(G59)-2,0)/
VLOOKUP(
VLOOKUP($A59,'IP1'!$A$37:$G$89,7,0),Patterns!$A$2:$N$28,2,0),
IF(LEFT($D59,7)="Payroll",
SUMPRODUCT(($B59='IP1'!$B$96:$B$114)*('IP1'!$D$96:$D$114))/12,
SUMPRODUCT(($B59='IP1'!$B$96:$B$114)*('IP1'!$D$96:$D$114))/12*
IF(YEAR(G$3)=2013,'IP1'!$F$154,'IP1'!$G$154)
))</f>
        <v>1666.6666666666667</v>
      </c>
      <c r="H59" s="85">
        <f>IF(LEFT($D59,5)="Other",
VLOOKUP($A59,'IP1'!$A$37:$G$89,4,0)*
VLOOKUP(
VLOOKUP($A59,'IP1'!$A$37:$G$89,7,0),Patterns!$A$2:$N$28,COLUMN(H59)-2,0)/
VLOOKUP(
VLOOKUP($A59,'IP1'!$A$37:$G$89,7,0),Patterns!$A$2:$N$28,2,0),
IF(LEFT($D59,7)="Payroll",
SUMPRODUCT(($B59='IP1'!$B$96:$B$114)*('IP1'!$D$96:$D$114))/12,
SUMPRODUCT(($B59='IP1'!$B$96:$B$114)*('IP1'!$D$96:$D$114))/12*
IF(YEAR(H$3)=2013,'IP1'!$F$154,'IP1'!$G$154)
))</f>
        <v>1666.6666666666667</v>
      </c>
      <c r="I59" s="85">
        <f>IF(LEFT($D59,5)="Other",
VLOOKUP($A59,'IP1'!$A$37:$G$89,4,0)*
VLOOKUP(
VLOOKUP($A59,'IP1'!$A$37:$G$89,7,0),Patterns!$A$2:$N$28,COLUMN(I59)-2,0)/
VLOOKUP(
VLOOKUP($A59,'IP1'!$A$37:$G$89,7,0),Patterns!$A$2:$N$28,2,0),
IF(LEFT($D59,7)="Payroll",
SUMPRODUCT(($B59='IP1'!$B$96:$B$114)*('IP1'!$D$96:$D$114))/12,
SUMPRODUCT(($B59='IP1'!$B$96:$B$114)*('IP1'!$D$96:$D$114))/12*
IF(YEAR(I$3)=2013,'IP1'!$F$154,'IP1'!$G$154)
))</f>
        <v>1666.6666666666667</v>
      </c>
      <c r="J59" s="85">
        <f>IF(LEFT($D59,5)="Other",
VLOOKUP($A59,'IP1'!$A$37:$G$89,4,0)*
VLOOKUP(
VLOOKUP($A59,'IP1'!$A$37:$G$89,7,0),Patterns!$A$2:$N$28,COLUMN(J59)-2,0)/
VLOOKUP(
VLOOKUP($A59,'IP1'!$A$37:$G$89,7,0),Patterns!$A$2:$N$28,2,0),
IF(LEFT($D59,7)="Payroll",
SUMPRODUCT(($B59='IP1'!$B$96:$B$114)*('IP1'!$D$96:$D$114))/12,
SUMPRODUCT(($B59='IP1'!$B$96:$B$114)*('IP1'!$D$96:$D$114))/12*
IF(YEAR(J$3)=2013,'IP1'!$F$154,'IP1'!$G$154)
))</f>
        <v>1666.6666666666667</v>
      </c>
      <c r="K59" s="85">
        <f>IF(LEFT($D59,5)="Other",
VLOOKUP($A59,'IP1'!$A$37:$G$89,4,0)*
VLOOKUP(
VLOOKUP($A59,'IP1'!$A$37:$G$89,7,0),Patterns!$A$2:$N$28,COLUMN(K59)-2,0)/
VLOOKUP(
VLOOKUP($A59,'IP1'!$A$37:$G$89,7,0),Patterns!$A$2:$N$28,2,0),
IF(LEFT($D59,7)="Payroll",
SUMPRODUCT(($B59='IP1'!$B$96:$B$114)*('IP1'!$D$96:$D$114))/12,
SUMPRODUCT(($B59='IP1'!$B$96:$B$114)*('IP1'!$D$96:$D$114))/12*
IF(YEAR(K$3)=2013,'IP1'!$F$154,'IP1'!$G$154)
))</f>
        <v>1666.6666666666667</v>
      </c>
      <c r="L59" s="85">
        <f>IF(LEFT($D59,5)="Other",
VLOOKUP($A59,'IP1'!$A$37:$G$89,4,0)*
VLOOKUP(
VLOOKUP($A59,'IP1'!$A$37:$G$89,7,0),Patterns!$A$2:$N$28,COLUMN(L59)-2,0)/
VLOOKUP(
VLOOKUP($A59,'IP1'!$A$37:$G$89,7,0),Patterns!$A$2:$N$28,2,0),
IF(LEFT($D59,7)="Payroll",
SUMPRODUCT(($B59='IP1'!$B$96:$B$114)*('IP1'!$D$96:$D$114))/12,
SUMPRODUCT(($B59='IP1'!$B$96:$B$114)*('IP1'!$D$96:$D$114))/12*
IF(YEAR(L$3)=2013,'IP1'!$F$154,'IP1'!$G$154)
))</f>
        <v>1666.6666666666667</v>
      </c>
      <c r="M59" s="85">
        <f>IF(LEFT($D59,5)="Other",
VLOOKUP($A59,'IP1'!$A$37:$G$89,4,0)*
VLOOKUP(
VLOOKUP($A59,'IP1'!$A$37:$G$89,7,0),Patterns!$A$2:$N$28,COLUMN(M59)-2,0)/
VLOOKUP(
VLOOKUP($A59,'IP1'!$A$37:$G$89,7,0),Patterns!$A$2:$N$28,2,0),
IF(LEFT($D59,7)="Payroll",
SUMPRODUCT(($B59='IP1'!$B$96:$B$114)*('IP1'!$D$96:$D$114))/12,
SUMPRODUCT(($B59='IP1'!$B$96:$B$114)*('IP1'!$D$96:$D$114))/12*
IF(YEAR(M$3)=2013,'IP1'!$F$154,'IP1'!$G$154)
))</f>
        <v>1666.6666666666667</v>
      </c>
      <c r="N59" s="85">
        <f>IF(LEFT($D59,5)="Other",
VLOOKUP($A59,'IP1'!$A$37:$G$89,4,0)*
VLOOKUP(
VLOOKUP($A59,'IP1'!$A$37:$G$89,7,0),Patterns!$A$2:$N$28,COLUMN(N59)-2,0)/
VLOOKUP(
VLOOKUP($A59,'IP1'!$A$37:$G$89,7,0),Patterns!$A$2:$N$28,2,0),
IF(LEFT($D59,7)="Payroll",
SUMPRODUCT(($B59='IP1'!$B$96:$B$114)*('IP1'!$D$96:$D$114))/12,
SUMPRODUCT(($B59='IP1'!$B$96:$B$114)*('IP1'!$D$96:$D$114))/12*
IF(YEAR(N$3)=2013,'IP1'!$F$154,'IP1'!$G$154)
))</f>
        <v>1666.6666666666667</v>
      </c>
      <c r="O59" s="85">
        <f>IF(LEFT($D59,5)="Other",
VLOOKUP($A59,'IP1'!$A$37:$G$89,4,0)*
VLOOKUP(
VLOOKUP($A59,'IP1'!$A$37:$G$89,7,0),Patterns!$A$2:$N$28,COLUMN(O59)-2,0)/
VLOOKUP(
VLOOKUP($A59,'IP1'!$A$37:$G$89,7,0),Patterns!$A$2:$N$28,2,0),
IF(LEFT($D59,7)="Payroll",
SUMPRODUCT(($B59='IP1'!$B$96:$B$114)*('IP1'!$D$96:$D$114))/12,
SUMPRODUCT(($B59='IP1'!$B$96:$B$114)*('IP1'!$D$96:$D$114))/12*
IF(YEAR(O$3)=2013,'IP1'!$F$154,'IP1'!$G$154)
))</f>
        <v>1666.6666666666667</v>
      </c>
      <c r="P59" s="85">
        <f>IF(LEFT($D59,5)="Other",
VLOOKUP($A59,'IP1'!$A$37:$G$89,4,0)*
VLOOKUP(
VLOOKUP($A59,'IP1'!$A$37:$G$89,7,0),Patterns!$A$2:$N$28,COLUMN(P59)-2,0)/
VLOOKUP(
VLOOKUP($A59,'IP1'!$A$37:$G$89,7,0),Patterns!$A$2:$N$28,2,0),
IF(LEFT($D59,7)="Payroll",
SUMPRODUCT(($B59='IP1'!$B$96:$B$114)*('IP1'!$D$96:$D$114))/12,
SUMPRODUCT(($B59='IP1'!$B$96:$B$114)*('IP1'!$D$96:$D$114))/12*
IF(YEAR(P$3)=2013,'IP1'!$F$154,'IP1'!$G$154)
))</f>
        <v>1666.6666666666667</v>
      </c>
      <c r="Q59" s="85">
        <f>IF(LEFT($D59,5)="Other",
VLOOKUP($A59,'IP1'!$A$37:$G$89,5,0)*
VLOOKUP(
VLOOKUP($A59,'IP1'!$A$37:$G$89,7,0),Patterns!$A$2:$N$28,COLUMN(Q59)-14,0)/
VLOOKUP(
VLOOKUP($A59,'IP1'!$A$37:$G$89,7,0),Patterns!$A$2:$N$28,2,0),
IF(LEFT($D59,7)="Payroll",
SUMPRODUCT(($B59='IP1'!$B$96:$B$114)*('IP1'!$E$96:$E$114))/12,
SUMPRODUCT(($B59='IP1'!$B$96:$B$114)*('IP1'!$E$96:$E$114))/12*
IF(YEAR(Q$3)=2013,'IP1'!$F$154,'IP1'!$G$154)
))</f>
        <v>1666.6666666666667</v>
      </c>
      <c r="R59" s="85">
        <f>IF(LEFT($D59,5)="Other",
VLOOKUP($A59,'IP1'!$A$37:$G$89,5,0)*
VLOOKUP(
VLOOKUP($A59,'IP1'!$A$37:$G$89,7,0),Patterns!$A$2:$N$28,COLUMN(R59)-14,0)/
VLOOKUP(
VLOOKUP($A59,'IP1'!$A$37:$G$89,7,0),Patterns!$A$2:$N$28,2,0),
IF(LEFT($D59,7)="Payroll",
SUMPRODUCT(($B59='IP1'!$B$96:$B$114)*('IP1'!$E$96:$E$114))/12,
SUMPRODUCT(($B59='IP1'!$B$96:$B$114)*('IP1'!$E$96:$E$114))/12*
IF(YEAR(R$3)=2013,'IP1'!$F$154,'IP1'!$G$154)
))</f>
        <v>1666.6666666666667</v>
      </c>
      <c r="S59" s="85">
        <f>IF(LEFT($D59,5)="Other",
VLOOKUP($A59,'IP1'!$A$37:$G$89,5,0)*
VLOOKUP(
VLOOKUP($A59,'IP1'!$A$37:$G$89,7,0),Patterns!$A$2:$N$28,COLUMN(S59)-14,0)/
VLOOKUP(
VLOOKUP($A59,'IP1'!$A$37:$G$89,7,0),Patterns!$A$2:$N$28,2,0),
IF(LEFT($D59,7)="Payroll",
SUMPRODUCT(($B59='IP1'!$B$96:$B$114)*('IP1'!$E$96:$E$114))/12,
SUMPRODUCT(($B59='IP1'!$B$96:$B$114)*('IP1'!$E$96:$E$114))/12*
IF(YEAR(S$3)=2013,'IP1'!$F$154,'IP1'!$G$154)
))</f>
        <v>1666.6666666666667</v>
      </c>
      <c r="T59" s="85">
        <f>IF(LEFT($D59,5)="Other",
VLOOKUP($A59,'IP1'!$A$37:$G$89,5,0)*
VLOOKUP(
VLOOKUP($A59,'IP1'!$A$37:$G$89,7,0),Patterns!$A$2:$N$28,COLUMN(T59)-14,0)/
VLOOKUP(
VLOOKUP($A59,'IP1'!$A$37:$G$89,7,0),Patterns!$A$2:$N$28,2,0),
IF(LEFT($D59,7)="Payroll",
SUMPRODUCT(($B59='IP1'!$B$96:$B$114)*('IP1'!$E$96:$E$114))/12,
SUMPRODUCT(($B59='IP1'!$B$96:$B$114)*('IP1'!$E$96:$E$114))/12*
IF(YEAR(T$3)=2013,'IP1'!$F$154,'IP1'!$G$154)
))</f>
        <v>1666.6666666666667</v>
      </c>
      <c r="U59" s="85">
        <f>IF(LEFT($D59,5)="Other",
VLOOKUP($A59,'IP1'!$A$37:$G$89,5,0)*
VLOOKUP(
VLOOKUP($A59,'IP1'!$A$37:$G$89,7,0),Patterns!$A$2:$N$28,COLUMN(U59)-14,0)/
VLOOKUP(
VLOOKUP($A59,'IP1'!$A$37:$G$89,7,0),Patterns!$A$2:$N$28,2,0),
IF(LEFT($D59,7)="Payroll",
SUMPRODUCT(($B59='IP1'!$B$96:$B$114)*('IP1'!$E$96:$E$114))/12,
SUMPRODUCT(($B59='IP1'!$B$96:$B$114)*('IP1'!$E$96:$E$114))/12*
IF(YEAR(U$3)=2013,'IP1'!$F$154,'IP1'!$G$154)
))</f>
        <v>1666.6666666666667</v>
      </c>
      <c r="V59" s="85">
        <f>IF(LEFT($D59,5)="Other",
VLOOKUP($A59,'IP1'!$A$37:$G$89,5,0)*
VLOOKUP(
VLOOKUP($A59,'IP1'!$A$37:$G$89,7,0),Patterns!$A$2:$N$28,COLUMN(V59)-14,0)/
VLOOKUP(
VLOOKUP($A59,'IP1'!$A$37:$G$89,7,0),Patterns!$A$2:$N$28,2,0),
IF(LEFT($D59,7)="Payroll",
SUMPRODUCT(($B59='IP1'!$B$96:$B$114)*('IP1'!$E$96:$E$114))/12,
SUMPRODUCT(($B59='IP1'!$B$96:$B$114)*('IP1'!$E$96:$E$114))/12*
IF(YEAR(V$3)=2013,'IP1'!$F$154,'IP1'!$G$154)
))</f>
        <v>1666.6666666666667</v>
      </c>
      <c r="W59" s="85">
        <f>IF(LEFT($D59,5)="Other",
VLOOKUP($A59,'IP1'!$A$37:$G$89,5,0)*
VLOOKUP(
VLOOKUP($A59,'IP1'!$A$37:$G$89,7,0),Patterns!$A$2:$N$28,COLUMN(W59)-14,0)/
VLOOKUP(
VLOOKUP($A59,'IP1'!$A$37:$G$89,7,0),Patterns!$A$2:$N$28,2,0),
IF(LEFT($D59,7)="Payroll",
SUMPRODUCT(($B59='IP1'!$B$96:$B$114)*('IP1'!$E$96:$E$114))/12,
SUMPRODUCT(($B59='IP1'!$B$96:$B$114)*('IP1'!$E$96:$E$114))/12*
IF(YEAR(W$3)=2013,'IP1'!$F$154,'IP1'!$G$154)
))</f>
        <v>1666.6666666666667</v>
      </c>
      <c r="X59" s="85">
        <f>IF(LEFT($D59,5)="Other",
VLOOKUP($A59,'IP1'!$A$37:$G$89,5,0)*
VLOOKUP(
VLOOKUP($A59,'IP1'!$A$37:$G$89,7,0),Patterns!$A$2:$N$28,COLUMN(X59)-14,0)/
VLOOKUP(
VLOOKUP($A59,'IP1'!$A$37:$G$89,7,0),Patterns!$A$2:$N$28,2,0),
IF(LEFT($D59,7)="Payroll",
SUMPRODUCT(($B59='IP1'!$B$96:$B$114)*('IP1'!$E$96:$E$114))/12,
SUMPRODUCT(($B59='IP1'!$B$96:$B$114)*('IP1'!$E$96:$E$114))/12*
IF(YEAR(X$3)=2013,'IP1'!$F$154,'IP1'!$G$154)
))</f>
        <v>1666.6666666666667</v>
      </c>
      <c r="Y59" s="85">
        <f>IF(LEFT($D59,5)="Other",
VLOOKUP($A59,'IP1'!$A$37:$G$89,5,0)*
VLOOKUP(
VLOOKUP($A59,'IP1'!$A$37:$G$89,7,0),Patterns!$A$2:$N$28,COLUMN(Y59)-14,0)/
VLOOKUP(
VLOOKUP($A59,'IP1'!$A$37:$G$89,7,0),Patterns!$A$2:$N$28,2,0),
IF(LEFT($D59,7)="Payroll",
SUMPRODUCT(($B59='IP1'!$B$96:$B$114)*('IP1'!$E$96:$E$114))/12,
SUMPRODUCT(($B59='IP1'!$B$96:$B$114)*('IP1'!$E$96:$E$114))/12*
IF(YEAR(Y$3)=2013,'IP1'!$F$154,'IP1'!$G$154)
))</f>
        <v>1666.6666666666667</v>
      </c>
      <c r="Z59" s="85">
        <f>IF(LEFT($D59,5)="Other",
VLOOKUP($A59,'IP1'!$A$37:$G$89,5,0)*
VLOOKUP(
VLOOKUP($A59,'IP1'!$A$37:$G$89,7,0),Patterns!$A$2:$N$28,COLUMN(Z59)-14,0)/
VLOOKUP(
VLOOKUP($A59,'IP1'!$A$37:$G$89,7,0),Patterns!$A$2:$N$28,2,0),
IF(LEFT($D59,7)="Payroll",
SUMPRODUCT(($B59='IP1'!$B$96:$B$114)*('IP1'!$E$96:$E$114))/12,
SUMPRODUCT(($B59='IP1'!$B$96:$B$114)*('IP1'!$E$96:$E$114))/12*
IF(YEAR(Z$3)=2013,'IP1'!$F$154,'IP1'!$G$154)
))</f>
        <v>1666.6666666666667</v>
      </c>
      <c r="AA59" s="85">
        <f>IF(LEFT($D59,5)="Other",
VLOOKUP($A59,'IP1'!$A$37:$G$89,5,0)*
VLOOKUP(
VLOOKUP($A59,'IP1'!$A$37:$G$89,7,0),Patterns!$A$2:$N$28,COLUMN(AA59)-14,0)/
VLOOKUP(
VLOOKUP($A59,'IP1'!$A$37:$G$89,7,0),Patterns!$A$2:$N$28,2,0),
IF(LEFT($D59,7)="Payroll",
SUMPRODUCT(($B59='IP1'!$B$96:$B$114)*('IP1'!$E$96:$E$114))/12,
SUMPRODUCT(($B59='IP1'!$B$96:$B$114)*('IP1'!$E$96:$E$114))/12*
IF(YEAR(AA$3)=2013,'IP1'!$F$154,'IP1'!$G$154)
))</f>
        <v>1666.6666666666667</v>
      </c>
      <c r="AB59" s="85">
        <f>IF(LEFT($D59,5)="Other",
VLOOKUP($A59,'IP1'!$A$37:$G$89,5,0)*
VLOOKUP(
VLOOKUP($A59,'IP1'!$A$37:$G$89,7,0),Patterns!$A$2:$N$28,COLUMN(AB59)-14,0)/
VLOOKUP(
VLOOKUP($A59,'IP1'!$A$37:$G$89,7,0),Patterns!$A$2:$N$28,2,0),
IF(LEFT($D59,7)="Payroll",
SUMPRODUCT(($B59='IP1'!$B$96:$B$114)*('IP1'!$E$96:$E$114))/12,
SUMPRODUCT(($B59='IP1'!$B$96:$B$114)*('IP1'!$E$96:$E$114))/12*
IF(YEAR(AB$3)=2013,'IP1'!$F$154,'IP1'!$G$154)
))</f>
        <v>1666.6666666666667</v>
      </c>
    </row>
    <row r="60" spans="1:28">
      <c r="A60" s="1" t="str">
        <f t="shared" si="2"/>
        <v>Rooms / Rest. / EventsChina, Glassware, cutlery</v>
      </c>
      <c r="B60" s="1" t="s">
        <v>480</v>
      </c>
      <c r="C60" s="11" t="s">
        <v>486</v>
      </c>
      <c r="D60" s="11" t="s">
        <v>100</v>
      </c>
      <c r="E60" s="85">
        <f>IF(LEFT($D60,5)="Other",
VLOOKUP($A60,'IP1'!$A$37:$G$89,4,0)*
VLOOKUP(
VLOOKUP($A60,'IP1'!$A$37:$G$89,7,0),Patterns!$A$2:$N$28,COLUMN(E60)-2,0)/
VLOOKUP(
VLOOKUP($A60,'IP1'!$A$37:$G$89,7,0),Patterns!$A$2:$N$28,2,0),
IF(LEFT($D60,7)="Payroll",
SUMPRODUCT(($B60='IP1'!$B$96:$B$114)*('IP1'!$D$96:$D$114))/12,
SUMPRODUCT(($B60='IP1'!$B$96:$B$114)*('IP1'!$D$96:$D$114))/12*
IF(YEAR(E$3)=2013,'IP1'!$F$154,'IP1'!$G$154)
))</f>
        <v>400</v>
      </c>
      <c r="F60" s="85">
        <f>IF(LEFT($D60,5)="Other",
VLOOKUP($A60,'IP1'!$A$37:$G$89,4,0)*
VLOOKUP(
VLOOKUP($A60,'IP1'!$A$37:$G$89,7,0),Patterns!$A$2:$N$28,COLUMN(F60)-2,0)/
VLOOKUP(
VLOOKUP($A60,'IP1'!$A$37:$G$89,7,0),Patterns!$A$2:$N$28,2,0),
IF(LEFT($D60,7)="Payroll",
SUMPRODUCT(($B60='IP1'!$B$96:$B$114)*('IP1'!$D$96:$D$114))/12,
SUMPRODUCT(($B60='IP1'!$B$96:$B$114)*('IP1'!$D$96:$D$114))/12*
IF(YEAR(F$3)=2013,'IP1'!$F$154,'IP1'!$G$154)
))</f>
        <v>400</v>
      </c>
      <c r="G60" s="85">
        <f>IF(LEFT($D60,5)="Other",
VLOOKUP($A60,'IP1'!$A$37:$G$89,4,0)*
VLOOKUP(
VLOOKUP($A60,'IP1'!$A$37:$G$89,7,0),Patterns!$A$2:$N$28,COLUMN(G60)-2,0)/
VLOOKUP(
VLOOKUP($A60,'IP1'!$A$37:$G$89,7,0),Patterns!$A$2:$N$28,2,0),
IF(LEFT($D60,7)="Payroll",
SUMPRODUCT(($B60='IP1'!$B$96:$B$114)*('IP1'!$D$96:$D$114))/12,
SUMPRODUCT(($B60='IP1'!$B$96:$B$114)*('IP1'!$D$96:$D$114))/12*
IF(YEAR(G$3)=2013,'IP1'!$F$154,'IP1'!$G$154)
))</f>
        <v>1200</v>
      </c>
      <c r="H60" s="85">
        <f>IF(LEFT($D60,5)="Other",
VLOOKUP($A60,'IP1'!$A$37:$G$89,4,0)*
VLOOKUP(
VLOOKUP($A60,'IP1'!$A$37:$G$89,7,0),Patterns!$A$2:$N$28,COLUMN(H60)-2,0)/
VLOOKUP(
VLOOKUP($A60,'IP1'!$A$37:$G$89,7,0),Patterns!$A$2:$N$28,2,0),
IF(LEFT($D60,7)="Payroll",
SUMPRODUCT(($B60='IP1'!$B$96:$B$114)*('IP1'!$D$96:$D$114))/12,
SUMPRODUCT(($B60='IP1'!$B$96:$B$114)*('IP1'!$D$96:$D$114))/12*
IF(YEAR(H$3)=2013,'IP1'!$F$154,'IP1'!$G$154)
))</f>
        <v>1200</v>
      </c>
      <c r="I60" s="85">
        <f>IF(LEFT($D60,5)="Other",
VLOOKUP($A60,'IP1'!$A$37:$G$89,4,0)*
VLOOKUP(
VLOOKUP($A60,'IP1'!$A$37:$G$89,7,0),Patterns!$A$2:$N$28,COLUMN(I60)-2,0)/
VLOOKUP(
VLOOKUP($A60,'IP1'!$A$37:$G$89,7,0),Patterns!$A$2:$N$28,2,0),
IF(LEFT($D60,7)="Payroll",
SUMPRODUCT(($B60='IP1'!$B$96:$B$114)*('IP1'!$D$96:$D$114))/12,
SUMPRODUCT(($B60='IP1'!$B$96:$B$114)*('IP1'!$D$96:$D$114))/12*
IF(YEAR(I$3)=2013,'IP1'!$F$154,'IP1'!$G$154)
))</f>
        <v>2400</v>
      </c>
      <c r="J60" s="85">
        <f>IF(LEFT($D60,5)="Other",
VLOOKUP($A60,'IP1'!$A$37:$G$89,4,0)*
VLOOKUP(
VLOOKUP($A60,'IP1'!$A$37:$G$89,7,0),Patterns!$A$2:$N$28,COLUMN(J60)-2,0)/
VLOOKUP(
VLOOKUP($A60,'IP1'!$A$37:$G$89,7,0),Patterns!$A$2:$N$28,2,0),
IF(LEFT($D60,7)="Payroll",
SUMPRODUCT(($B60='IP1'!$B$96:$B$114)*('IP1'!$D$96:$D$114))/12,
SUMPRODUCT(($B60='IP1'!$B$96:$B$114)*('IP1'!$D$96:$D$114))/12*
IF(YEAR(J$3)=2013,'IP1'!$F$154,'IP1'!$G$154)
))</f>
        <v>2400</v>
      </c>
      <c r="K60" s="85">
        <f>IF(LEFT($D60,5)="Other",
VLOOKUP($A60,'IP1'!$A$37:$G$89,4,0)*
VLOOKUP(
VLOOKUP($A60,'IP1'!$A$37:$G$89,7,0),Patterns!$A$2:$N$28,COLUMN(K60)-2,0)/
VLOOKUP(
VLOOKUP($A60,'IP1'!$A$37:$G$89,7,0),Patterns!$A$2:$N$28,2,0),
IF(LEFT($D60,7)="Payroll",
SUMPRODUCT(($B60='IP1'!$B$96:$B$114)*('IP1'!$D$96:$D$114))/12,
SUMPRODUCT(($B60='IP1'!$B$96:$B$114)*('IP1'!$D$96:$D$114))/12*
IF(YEAR(K$3)=2013,'IP1'!$F$154,'IP1'!$G$154)
))</f>
        <v>2400</v>
      </c>
      <c r="L60" s="85">
        <f>IF(LEFT($D60,5)="Other",
VLOOKUP($A60,'IP1'!$A$37:$G$89,4,0)*
VLOOKUP(
VLOOKUP($A60,'IP1'!$A$37:$G$89,7,0),Patterns!$A$2:$N$28,COLUMN(L60)-2,0)/
VLOOKUP(
VLOOKUP($A60,'IP1'!$A$37:$G$89,7,0),Patterns!$A$2:$N$28,2,0),
IF(LEFT($D60,7)="Payroll",
SUMPRODUCT(($B60='IP1'!$B$96:$B$114)*('IP1'!$D$96:$D$114))/12,
SUMPRODUCT(($B60='IP1'!$B$96:$B$114)*('IP1'!$D$96:$D$114))/12*
IF(YEAR(L$3)=2013,'IP1'!$F$154,'IP1'!$G$154)
))</f>
        <v>2400</v>
      </c>
      <c r="M60" s="85">
        <f>IF(LEFT($D60,5)="Other",
VLOOKUP($A60,'IP1'!$A$37:$G$89,4,0)*
VLOOKUP(
VLOOKUP($A60,'IP1'!$A$37:$G$89,7,0),Patterns!$A$2:$N$28,COLUMN(M60)-2,0)/
VLOOKUP(
VLOOKUP($A60,'IP1'!$A$37:$G$89,7,0),Patterns!$A$2:$N$28,2,0),
IF(LEFT($D60,7)="Payroll",
SUMPRODUCT(($B60='IP1'!$B$96:$B$114)*('IP1'!$D$96:$D$114))/12,
SUMPRODUCT(($B60='IP1'!$B$96:$B$114)*('IP1'!$D$96:$D$114))/12*
IF(YEAR(M$3)=2013,'IP1'!$F$154,'IP1'!$G$154)
))</f>
        <v>2400</v>
      </c>
      <c r="N60" s="85">
        <f>IF(LEFT($D60,5)="Other",
VLOOKUP($A60,'IP1'!$A$37:$G$89,4,0)*
VLOOKUP(
VLOOKUP($A60,'IP1'!$A$37:$G$89,7,0),Patterns!$A$2:$N$28,COLUMN(N60)-2,0)/
VLOOKUP(
VLOOKUP($A60,'IP1'!$A$37:$G$89,7,0),Patterns!$A$2:$N$28,2,0),
IF(LEFT($D60,7)="Payroll",
SUMPRODUCT(($B60='IP1'!$B$96:$B$114)*('IP1'!$D$96:$D$114))/12,
SUMPRODUCT(($B60='IP1'!$B$96:$B$114)*('IP1'!$D$96:$D$114))/12*
IF(YEAR(N$3)=2013,'IP1'!$F$154,'IP1'!$G$154)
))</f>
        <v>2400</v>
      </c>
      <c r="O60" s="85">
        <f>IF(LEFT($D60,5)="Other",
VLOOKUP($A60,'IP1'!$A$37:$G$89,4,0)*
VLOOKUP(
VLOOKUP($A60,'IP1'!$A$37:$G$89,7,0),Patterns!$A$2:$N$28,COLUMN(O60)-2,0)/
VLOOKUP(
VLOOKUP($A60,'IP1'!$A$37:$G$89,7,0),Patterns!$A$2:$N$28,2,0),
IF(LEFT($D60,7)="Payroll",
SUMPRODUCT(($B60='IP1'!$B$96:$B$114)*('IP1'!$D$96:$D$114))/12,
SUMPRODUCT(($B60='IP1'!$B$96:$B$114)*('IP1'!$D$96:$D$114))/12*
IF(YEAR(O$3)=2013,'IP1'!$F$154,'IP1'!$G$154)
))</f>
        <v>400</v>
      </c>
      <c r="P60" s="85">
        <f>IF(LEFT($D60,5)="Other",
VLOOKUP($A60,'IP1'!$A$37:$G$89,4,0)*
VLOOKUP(
VLOOKUP($A60,'IP1'!$A$37:$G$89,7,0),Patterns!$A$2:$N$28,COLUMN(P60)-2,0)/
VLOOKUP(
VLOOKUP($A60,'IP1'!$A$37:$G$89,7,0),Patterns!$A$2:$N$28,2,0),
IF(LEFT($D60,7)="Payroll",
SUMPRODUCT(($B60='IP1'!$B$96:$B$114)*('IP1'!$D$96:$D$114))/12,
SUMPRODUCT(($B60='IP1'!$B$96:$B$114)*('IP1'!$D$96:$D$114))/12*
IF(YEAR(P$3)=2013,'IP1'!$F$154,'IP1'!$G$154)
))</f>
        <v>2000</v>
      </c>
      <c r="Q60" s="85">
        <f>IF(LEFT($D60,5)="Other",
VLOOKUP($A60,'IP1'!$A$37:$G$89,5,0)*
VLOOKUP(
VLOOKUP($A60,'IP1'!$A$37:$G$89,7,0),Patterns!$A$2:$N$28,COLUMN(Q60)-14,0)/
VLOOKUP(
VLOOKUP($A60,'IP1'!$A$37:$G$89,7,0),Patterns!$A$2:$N$28,2,0),
IF(LEFT($D60,7)="Payroll",
SUMPRODUCT(($B60='IP1'!$B$96:$B$114)*('IP1'!$E$96:$E$114))/12,
SUMPRODUCT(($B60='IP1'!$B$96:$B$114)*('IP1'!$E$96:$E$114))/12*
IF(YEAR(Q$3)=2013,'IP1'!$F$154,'IP1'!$G$154)
))</f>
        <v>400</v>
      </c>
      <c r="R60" s="85">
        <f>IF(LEFT($D60,5)="Other",
VLOOKUP($A60,'IP1'!$A$37:$G$89,5,0)*
VLOOKUP(
VLOOKUP($A60,'IP1'!$A$37:$G$89,7,0),Patterns!$A$2:$N$28,COLUMN(R60)-14,0)/
VLOOKUP(
VLOOKUP($A60,'IP1'!$A$37:$G$89,7,0),Patterns!$A$2:$N$28,2,0),
IF(LEFT($D60,7)="Payroll",
SUMPRODUCT(($B60='IP1'!$B$96:$B$114)*('IP1'!$E$96:$E$114))/12,
SUMPRODUCT(($B60='IP1'!$B$96:$B$114)*('IP1'!$E$96:$E$114))/12*
IF(YEAR(R$3)=2013,'IP1'!$F$154,'IP1'!$G$154)
))</f>
        <v>400</v>
      </c>
      <c r="S60" s="85">
        <f>IF(LEFT($D60,5)="Other",
VLOOKUP($A60,'IP1'!$A$37:$G$89,5,0)*
VLOOKUP(
VLOOKUP($A60,'IP1'!$A$37:$G$89,7,0),Patterns!$A$2:$N$28,COLUMN(S60)-14,0)/
VLOOKUP(
VLOOKUP($A60,'IP1'!$A$37:$G$89,7,0),Patterns!$A$2:$N$28,2,0),
IF(LEFT($D60,7)="Payroll",
SUMPRODUCT(($B60='IP1'!$B$96:$B$114)*('IP1'!$E$96:$E$114))/12,
SUMPRODUCT(($B60='IP1'!$B$96:$B$114)*('IP1'!$E$96:$E$114))/12*
IF(YEAR(S$3)=2013,'IP1'!$F$154,'IP1'!$G$154)
))</f>
        <v>1200</v>
      </c>
      <c r="T60" s="85">
        <f>IF(LEFT($D60,5)="Other",
VLOOKUP($A60,'IP1'!$A$37:$G$89,5,0)*
VLOOKUP(
VLOOKUP($A60,'IP1'!$A$37:$G$89,7,0),Patterns!$A$2:$N$28,COLUMN(T60)-14,0)/
VLOOKUP(
VLOOKUP($A60,'IP1'!$A$37:$G$89,7,0),Patterns!$A$2:$N$28,2,0),
IF(LEFT($D60,7)="Payroll",
SUMPRODUCT(($B60='IP1'!$B$96:$B$114)*('IP1'!$E$96:$E$114))/12,
SUMPRODUCT(($B60='IP1'!$B$96:$B$114)*('IP1'!$E$96:$E$114))/12*
IF(YEAR(T$3)=2013,'IP1'!$F$154,'IP1'!$G$154)
))</f>
        <v>1200</v>
      </c>
      <c r="U60" s="85">
        <f>IF(LEFT($D60,5)="Other",
VLOOKUP($A60,'IP1'!$A$37:$G$89,5,0)*
VLOOKUP(
VLOOKUP($A60,'IP1'!$A$37:$G$89,7,0),Patterns!$A$2:$N$28,COLUMN(U60)-14,0)/
VLOOKUP(
VLOOKUP($A60,'IP1'!$A$37:$G$89,7,0),Patterns!$A$2:$N$28,2,0),
IF(LEFT($D60,7)="Payroll",
SUMPRODUCT(($B60='IP1'!$B$96:$B$114)*('IP1'!$E$96:$E$114))/12,
SUMPRODUCT(($B60='IP1'!$B$96:$B$114)*('IP1'!$E$96:$E$114))/12*
IF(YEAR(U$3)=2013,'IP1'!$F$154,'IP1'!$G$154)
))</f>
        <v>2400</v>
      </c>
      <c r="V60" s="85">
        <f>IF(LEFT($D60,5)="Other",
VLOOKUP($A60,'IP1'!$A$37:$G$89,5,0)*
VLOOKUP(
VLOOKUP($A60,'IP1'!$A$37:$G$89,7,0),Patterns!$A$2:$N$28,COLUMN(V60)-14,0)/
VLOOKUP(
VLOOKUP($A60,'IP1'!$A$37:$G$89,7,0),Patterns!$A$2:$N$28,2,0),
IF(LEFT($D60,7)="Payroll",
SUMPRODUCT(($B60='IP1'!$B$96:$B$114)*('IP1'!$E$96:$E$114))/12,
SUMPRODUCT(($B60='IP1'!$B$96:$B$114)*('IP1'!$E$96:$E$114))/12*
IF(YEAR(V$3)=2013,'IP1'!$F$154,'IP1'!$G$154)
))</f>
        <v>2400</v>
      </c>
      <c r="W60" s="85">
        <f>IF(LEFT($D60,5)="Other",
VLOOKUP($A60,'IP1'!$A$37:$G$89,5,0)*
VLOOKUP(
VLOOKUP($A60,'IP1'!$A$37:$G$89,7,0),Patterns!$A$2:$N$28,COLUMN(W60)-14,0)/
VLOOKUP(
VLOOKUP($A60,'IP1'!$A$37:$G$89,7,0),Patterns!$A$2:$N$28,2,0),
IF(LEFT($D60,7)="Payroll",
SUMPRODUCT(($B60='IP1'!$B$96:$B$114)*('IP1'!$E$96:$E$114))/12,
SUMPRODUCT(($B60='IP1'!$B$96:$B$114)*('IP1'!$E$96:$E$114))/12*
IF(YEAR(W$3)=2013,'IP1'!$F$154,'IP1'!$G$154)
))</f>
        <v>2400</v>
      </c>
      <c r="X60" s="85">
        <f>IF(LEFT($D60,5)="Other",
VLOOKUP($A60,'IP1'!$A$37:$G$89,5,0)*
VLOOKUP(
VLOOKUP($A60,'IP1'!$A$37:$G$89,7,0),Patterns!$A$2:$N$28,COLUMN(X60)-14,0)/
VLOOKUP(
VLOOKUP($A60,'IP1'!$A$37:$G$89,7,0),Patterns!$A$2:$N$28,2,0),
IF(LEFT($D60,7)="Payroll",
SUMPRODUCT(($B60='IP1'!$B$96:$B$114)*('IP1'!$E$96:$E$114))/12,
SUMPRODUCT(($B60='IP1'!$B$96:$B$114)*('IP1'!$E$96:$E$114))/12*
IF(YEAR(X$3)=2013,'IP1'!$F$154,'IP1'!$G$154)
))</f>
        <v>2400</v>
      </c>
      <c r="Y60" s="85">
        <f>IF(LEFT($D60,5)="Other",
VLOOKUP($A60,'IP1'!$A$37:$G$89,5,0)*
VLOOKUP(
VLOOKUP($A60,'IP1'!$A$37:$G$89,7,0),Patterns!$A$2:$N$28,COLUMN(Y60)-14,0)/
VLOOKUP(
VLOOKUP($A60,'IP1'!$A$37:$G$89,7,0),Patterns!$A$2:$N$28,2,0),
IF(LEFT($D60,7)="Payroll",
SUMPRODUCT(($B60='IP1'!$B$96:$B$114)*('IP1'!$E$96:$E$114))/12,
SUMPRODUCT(($B60='IP1'!$B$96:$B$114)*('IP1'!$E$96:$E$114))/12*
IF(YEAR(Y$3)=2013,'IP1'!$F$154,'IP1'!$G$154)
))</f>
        <v>2400</v>
      </c>
      <c r="Z60" s="85">
        <f>IF(LEFT($D60,5)="Other",
VLOOKUP($A60,'IP1'!$A$37:$G$89,5,0)*
VLOOKUP(
VLOOKUP($A60,'IP1'!$A$37:$G$89,7,0),Patterns!$A$2:$N$28,COLUMN(Z60)-14,0)/
VLOOKUP(
VLOOKUP($A60,'IP1'!$A$37:$G$89,7,0),Patterns!$A$2:$N$28,2,0),
IF(LEFT($D60,7)="Payroll",
SUMPRODUCT(($B60='IP1'!$B$96:$B$114)*('IP1'!$E$96:$E$114))/12,
SUMPRODUCT(($B60='IP1'!$B$96:$B$114)*('IP1'!$E$96:$E$114))/12*
IF(YEAR(Z$3)=2013,'IP1'!$F$154,'IP1'!$G$154)
))</f>
        <v>2400</v>
      </c>
      <c r="AA60" s="85">
        <f>IF(LEFT($D60,5)="Other",
VLOOKUP($A60,'IP1'!$A$37:$G$89,5,0)*
VLOOKUP(
VLOOKUP($A60,'IP1'!$A$37:$G$89,7,0),Patterns!$A$2:$N$28,COLUMN(AA60)-14,0)/
VLOOKUP(
VLOOKUP($A60,'IP1'!$A$37:$G$89,7,0),Patterns!$A$2:$N$28,2,0),
IF(LEFT($D60,7)="Payroll",
SUMPRODUCT(($B60='IP1'!$B$96:$B$114)*('IP1'!$E$96:$E$114))/12,
SUMPRODUCT(($B60='IP1'!$B$96:$B$114)*('IP1'!$E$96:$E$114))/12*
IF(YEAR(AA$3)=2013,'IP1'!$F$154,'IP1'!$G$154)
))</f>
        <v>400</v>
      </c>
      <c r="AB60" s="85">
        <f>IF(LEFT($D60,5)="Other",
VLOOKUP($A60,'IP1'!$A$37:$G$89,5,0)*
VLOOKUP(
VLOOKUP($A60,'IP1'!$A$37:$G$89,7,0),Patterns!$A$2:$N$28,COLUMN(AB60)-14,0)/
VLOOKUP(
VLOOKUP($A60,'IP1'!$A$37:$G$89,7,0),Patterns!$A$2:$N$28,2,0),
IF(LEFT($D60,7)="Payroll",
SUMPRODUCT(($B60='IP1'!$B$96:$B$114)*('IP1'!$E$96:$E$114))/12,
SUMPRODUCT(($B60='IP1'!$B$96:$B$114)*('IP1'!$E$96:$E$114))/12*
IF(YEAR(AB$3)=2013,'IP1'!$F$154,'IP1'!$G$154)
))</f>
        <v>2000</v>
      </c>
    </row>
    <row r="61" spans="1:28">
      <c r="A61" s="1" t="str">
        <f t="shared" si="2"/>
        <v xml:space="preserve">Rooms / Rest. / EventsLaundry and dry cleaning </v>
      </c>
      <c r="B61" s="1" t="s">
        <v>480</v>
      </c>
      <c r="C61" s="11" t="s">
        <v>482</v>
      </c>
      <c r="D61" s="11" t="s">
        <v>100</v>
      </c>
      <c r="E61" s="85">
        <f>IF(LEFT($D61,5)="Other",
VLOOKUP($A61,'IP1'!$A$37:$G$89,4,0)*
VLOOKUP(
VLOOKUP($A61,'IP1'!$A$37:$G$89,7,0),Patterns!$A$2:$N$28,COLUMN(E61)-2,0)/
VLOOKUP(
VLOOKUP($A61,'IP1'!$A$37:$G$89,7,0),Patterns!$A$2:$N$28,2,0),
IF(LEFT($D61,7)="Payroll",
SUMPRODUCT(($B61='IP1'!$B$96:$B$114)*('IP1'!$D$96:$D$114))/12,
SUMPRODUCT(($B61='IP1'!$B$96:$B$114)*('IP1'!$D$96:$D$114))/12*
IF(YEAR(E$3)=2013,'IP1'!$F$154,'IP1'!$G$154)
))</f>
        <v>200</v>
      </c>
      <c r="F61" s="85">
        <f>IF(LEFT($D61,5)="Other",
VLOOKUP($A61,'IP1'!$A$37:$G$89,4,0)*
VLOOKUP(
VLOOKUP($A61,'IP1'!$A$37:$G$89,7,0),Patterns!$A$2:$N$28,COLUMN(F61)-2,0)/
VLOOKUP(
VLOOKUP($A61,'IP1'!$A$37:$G$89,7,0),Patterns!$A$2:$N$28,2,0),
IF(LEFT($D61,7)="Payroll",
SUMPRODUCT(($B61='IP1'!$B$96:$B$114)*('IP1'!$D$96:$D$114))/12,
SUMPRODUCT(($B61='IP1'!$B$96:$B$114)*('IP1'!$D$96:$D$114))/12*
IF(YEAR(F$3)=2013,'IP1'!$F$154,'IP1'!$G$154)
))</f>
        <v>200</v>
      </c>
      <c r="G61" s="85">
        <f>IF(LEFT($D61,5)="Other",
VLOOKUP($A61,'IP1'!$A$37:$G$89,4,0)*
VLOOKUP(
VLOOKUP($A61,'IP1'!$A$37:$G$89,7,0),Patterns!$A$2:$N$28,COLUMN(G61)-2,0)/
VLOOKUP(
VLOOKUP($A61,'IP1'!$A$37:$G$89,7,0),Patterns!$A$2:$N$28,2,0),
IF(LEFT($D61,7)="Payroll",
SUMPRODUCT(($B61='IP1'!$B$96:$B$114)*('IP1'!$D$96:$D$114))/12,
SUMPRODUCT(($B61='IP1'!$B$96:$B$114)*('IP1'!$D$96:$D$114))/12*
IF(YEAR(G$3)=2013,'IP1'!$F$154,'IP1'!$G$154)
))</f>
        <v>600</v>
      </c>
      <c r="H61" s="85">
        <f>IF(LEFT($D61,5)="Other",
VLOOKUP($A61,'IP1'!$A$37:$G$89,4,0)*
VLOOKUP(
VLOOKUP($A61,'IP1'!$A$37:$G$89,7,0),Patterns!$A$2:$N$28,COLUMN(H61)-2,0)/
VLOOKUP(
VLOOKUP($A61,'IP1'!$A$37:$G$89,7,0),Patterns!$A$2:$N$28,2,0),
IF(LEFT($D61,7)="Payroll",
SUMPRODUCT(($B61='IP1'!$B$96:$B$114)*('IP1'!$D$96:$D$114))/12,
SUMPRODUCT(($B61='IP1'!$B$96:$B$114)*('IP1'!$D$96:$D$114))/12*
IF(YEAR(H$3)=2013,'IP1'!$F$154,'IP1'!$G$154)
))</f>
        <v>600</v>
      </c>
      <c r="I61" s="85">
        <f>IF(LEFT($D61,5)="Other",
VLOOKUP($A61,'IP1'!$A$37:$G$89,4,0)*
VLOOKUP(
VLOOKUP($A61,'IP1'!$A$37:$G$89,7,0),Patterns!$A$2:$N$28,COLUMN(I61)-2,0)/
VLOOKUP(
VLOOKUP($A61,'IP1'!$A$37:$G$89,7,0),Patterns!$A$2:$N$28,2,0),
IF(LEFT($D61,7)="Payroll",
SUMPRODUCT(($B61='IP1'!$B$96:$B$114)*('IP1'!$D$96:$D$114))/12,
SUMPRODUCT(($B61='IP1'!$B$96:$B$114)*('IP1'!$D$96:$D$114))/12*
IF(YEAR(I$3)=2013,'IP1'!$F$154,'IP1'!$G$154)
))</f>
        <v>1200</v>
      </c>
      <c r="J61" s="85">
        <f>IF(LEFT($D61,5)="Other",
VLOOKUP($A61,'IP1'!$A$37:$G$89,4,0)*
VLOOKUP(
VLOOKUP($A61,'IP1'!$A$37:$G$89,7,0),Patterns!$A$2:$N$28,COLUMN(J61)-2,0)/
VLOOKUP(
VLOOKUP($A61,'IP1'!$A$37:$G$89,7,0),Patterns!$A$2:$N$28,2,0),
IF(LEFT($D61,7)="Payroll",
SUMPRODUCT(($B61='IP1'!$B$96:$B$114)*('IP1'!$D$96:$D$114))/12,
SUMPRODUCT(($B61='IP1'!$B$96:$B$114)*('IP1'!$D$96:$D$114))/12*
IF(YEAR(J$3)=2013,'IP1'!$F$154,'IP1'!$G$154)
))</f>
        <v>1200</v>
      </c>
      <c r="K61" s="85">
        <f>IF(LEFT($D61,5)="Other",
VLOOKUP($A61,'IP1'!$A$37:$G$89,4,0)*
VLOOKUP(
VLOOKUP($A61,'IP1'!$A$37:$G$89,7,0),Patterns!$A$2:$N$28,COLUMN(K61)-2,0)/
VLOOKUP(
VLOOKUP($A61,'IP1'!$A$37:$G$89,7,0),Patterns!$A$2:$N$28,2,0),
IF(LEFT($D61,7)="Payroll",
SUMPRODUCT(($B61='IP1'!$B$96:$B$114)*('IP1'!$D$96:$D$114))/12,
SUMPRODUCT(($B61='IP1'!$B$96:$B$114)*('IP1'!$D$96:$D$114))/12*
IF(YEAR(K$3)=2013,'IP1'!$F$154,'IP1'!$G$154)
))</f>
        <v>1200</v>
      </c>
      <c r="L61" s="85">
        <f>IF(LEFT($D61,5)="Other",
VLOOKUP($A61,'IP1'!$A$37:$G$89,4,0)*
VLOOKUP(
VLOOKUP($A61,'IP1'!$A$37:$G$89,7,0),Patterns!$A$2:$N$28,COLUMN(L61)-2,0)/
VLOOKUP(
VLOOKUP($A61,'IP1'!$A$37:$G$89,7,0),Patterns!$A$2:$N$28,2,0),
IF(LEFT($D61,7)="Payroll",
SUMPRODUCT(($B61='IP1'!$B$96:$B$114)*('IP1'!$D$96:$D$114))/12,
SUMPRODUCT(($B61='IP1'!$B$96:$B$114)*('IP1'!$D$96:$D$114))/12*
IF(YEAR(L$3)=2013,'IP1'!$F$154,'IP1'!$G$154)
))</f>
        <v>1200</v>
      </c>
      <c r="M61" s="85">
        <f>IF(LEFT($D61,5)="Other",
VLOOKUP($A61,'IP1'!$A$37:$G$89,4,0)*
VLOOKUP(
VLOOKUP($A61,'IP1'!$A$37:$G$89,7,0),Patterns!$A$2:$N$28,COLUMN(M61)-2,0)/
VLOOKUP(
VLOOKUP($A61,'IP1'!$A$37:$G$89,7,0),Patterns!$A$2:$N$28,2,0),
IF(LEFT($D61,7)="Payroll",
SUMPRODUCT(($B61='IP1'!$B$96:$B$114)*('IP1'!$D$96:$D$114))/12,
SUMPRODUCT(($B61='IP1'!$B$96:$B$114)*('IP1'!$D$96:$D$114))/12*
IF(YEAR(M$3)=2013,'IP1'!$F$154,'IP1'!$G$154)
))</f>
        <v>1200</v>
      </c>
      <c r="N61" s="85">
        <f>IF(LEFT($D61,5)="Other",
VLOOKUP($A61,'IP1'!$A$37:$G$89,4,0)*
VLOOKUP(
VLOOKUP($A61,'IP1'!$A$37:$G$89,7,0),Patterns!$A$2:$N$28,COLUMN(N61)-2,0)/
VLOOKUP(
VLOOKUP($A61,'IP1'!$A$37:$G$89,7,0),Patterns!$A$2:$N$28,2,0),
IF(LEFT($D61,7)="Payroll",
SUMPRODUCT(($B61='IP1'!$B$96:$B$114)*('IP1'!$D$96:$D$114))/12,
SUMPRODUCT(($B61='IP1'!$B$96:$B$114)*('IP1'!$D$96:$D$114))/12*
IF(YEAR(N$3)=2013,'IP1'!$F$154,'IP1'!$G$154)
))</f>
        <v>1200</v>
      </c>
      <c r="O61" s="85">
        <f>IF(LEFT($D61,5)="Other",
VLOOKUP($A61,'IP1'!$A$37:$G$89,4,0)*
VLOOKUP(
VLOOKUP($A61,'IP1'!$A$37:$G$89,7,0),Patterns!$A$2:$N$28,COLUMN(O61)-2,0)/
VLOOKUP(
VLOOKUP($A61,'IP1'!$A$37:$G$89,7,0),Patterns!$A$2:$N$28,2,0),
IF(LEFT($D61,7)="Payroll",
SUMPRODUCT(($B61='IP1'!$B$96:$B$114)*('IP1'!$D$96:$D$114))/12,
SUMPRODUCT(($B61='IP1'!$B$96:$B$114)*('IP1'!$D$96:$D$114))/12*
IF(YEAR(O$3)=2013,'IP1'!$F$154,'IP1'!$G$154)
))</f>
        <v>200</v>
      </c>
      <c r="P61" s="85">
        <f>IF(LEFT($D61,5)="Other",
VLOOKUP($A61,'IP1'!$A$37:$G$89,4,0)*
VLOOKUP(
VLOOKUP($A61,'IP1'!$A$37:$G$89,7,0),Patterns!$A$2:$N$28,COLUMN(P61)-2,0)/
VLOOKUP(
VLOOKUP($A61,'IP1'!$A$37:$G$89,7,0),Patterns!$A$2:$N$28,2,0),
IF(LEFT($D61,7)="Payroll",
SUMPRODUCT(($B61='IP1'!$B$96:$B$114)*('IP1'!$D$96:$D$114))/12,
SUMPRODUCT(($B61='IP1'!$B$96:$B$114)*('IP1'!$D$96:$D$114))/12*
IF(YEAR(P$3)=2013,'IP1'!$F$154,'IP1'!$G$154)
))</f>
        <v>1000</v>
      </c>
      <c r="Q61" s="85">
        <f>IF(LEFT($D61,5)="Other",
VLOOKUP($A61,'IP1'!$A$37:$G$89,5,0)*
VLOOKUP(
VLOOKUP($A61,'IP1'!$A$37:$G$89,7,0),Patterns!$A$2:$N$28,COLUMN(Q61)-14,0)/
VLOOKUP(
VLOOKUP($A61,'IP1'!$A$37:$G$89,7,0),Patterns!$A$2:$N$28,2,0),
IF(LEFT($D61,7)="Payroll",
SUMPRODUCT(($B61='IP1'!$B$96:$B$114)*('IP1'!$E$96:$E$114))/12,
SUMPRODUCT(($B61='IP1'!$B$96:$B$114)*('IP1'!$E$96:$E$114))/12*
IF(YEAR(Q$3)=2013,'IP1'!$F$154,'IP1'!$G$154)
))</f>
        <v>200</v>
      </c>
      <c r="R61" s="85">
        <f>IF(LEFT($D61,5)="Other",
VLOOKUP($A61,'IP1'!$A$37:$G$89,5,0)*
VLOOKUP(
VLOOKUP($A61,'IP1'!$A$37:$G$89,7,0),Patterns!$A$2:$N$28,COLUMN(R61)-14,0)/
VLOOKUP(
VLOOKUP($A61,'IP1'!$A$37:$G$89,7,0),Patterns!$A$2:$N$28,2,0),
IF(LEFT($D61,7)="Payroll",
SUMPRODUCT(($B61='IP1'!$B$96:$B$114)*('IP1'!$E$96:$E$114))/12,
SUMPRODUCT(($B61='IP1'!$B$96:$B$114)*('IP1'!$E$96:$E$114))/12*
IF(YEAR(R$3)=2013,'IP1'!$F$154,'IP1'!$G$154)
))</f>
        <v>200</v>
      </c>
      <c r="S61" s="85">
        <f>IF(LEFT($D61,5)="Other",
VLOOKUP($A61,'IP1'!$A$37:$G$89,5,0)*
VLOOKUP(
VLOOKUP($A61,'IP1'!$A$37:$G$89,7,0),Patterns!$A$2:$N$28,COLUMN(S61)-14,0)/
VLOOKUP(
VLOOKUP($A61,'IP1'!$A$37:$G$89,7,0),Patterns!$A$2:$N$28,2,0),
IF(LEFT($D61,7)="Payroll",
SUMPRODUCT(($B61='IP1'!$B$96:$B$114)*('IP1'!$E$96:$E$114))/12,
SUMPRODUCT(($B61='IP1'!$B$96:$B$114)*('IP1'!$E$96:$E$114))/12*
IF(YEAR(S$3)=2013,'IP1'!$F$154,'IP1'!$G$154)
))</f>
        <v>600</v>
      </c>
      <c r="T61" s="85">
        <f>IF(LEFT($D61,5)="Other",
VLOOKUP($A61,'IP1'!$A$37:$G$89,5,0)*
VLOOKUP(
VLOOKUP($A61,'IP1'!$A$37:$G$89,7,0),Patterns!$A$2:$N$28,COLUMN(T61)-14,0)/
VLOOKUP(
VLOOKUP($A61,'IP1'!$A$37:$G$89,7,0),Patterns!$A$2:$N$28,2,0),
IF(LEFT($D61,7)="Payroll",
SUMPRODUCT(($B61='IP1'!$B$96:$B$114)*('IP1'!$E$96:$E$114))/12,
SUMPRODUCT(($B61='IP1'!$B$96:$B$114)*('IP1'!$E$96:$E$114))/12*
IF(YEAR(T$3)=2013,'IP1'!$F$154,'IP1'!$G$154)
))</f>
        <v>600</v>
      </c>
      <c r="U61" s="85">
        <f>IF(LEFT($D61,5)="Other",
VLOOKUP($A61,'IP1'!$A$37:$G$89,5,0)*
VLOOKUP(
VLOOKUP($A61,'IP1'!$A$37:$G$89,7,0),Patterns!$A$2:$N$28,COLUMN(U61)-14,0)/
VLOOKUP(
VLOOKUP($A61,'IP1'!$A$37:$G$89,7,0),Patterns!$A$2:$N$28,2,0),
IF(LEFT($D61,7)="Payroll",
SUMPRODUCT(($B61='IP1'!$B$96:$B$114)*('IP1'!$E$96:$E$114))/12,
SUMPRODUCT(($B61='IP1'!$B$96:$B$114)*('IP1'!$E$96:$E$114))/12*
IF(YEAR(U$3)=2013,'IP1'!$F$154,'IP1'!$G$154)
))</f>
        <v>1200</v>
      </c>
      <c r="V61" s="85">
        <f>IF(LEFT($D61,5)="Other",
VLOOKUP($A61,'IP1'!$A$37:$G$89,5,0)*
VLOOKUP(
VLOOKUP($A61,'IP1'!$A$37:$G$89,7,0),Patterns!$A$2:$N$28,COLUMN(V61)-14,0)/
VLOOKUP(
VLOOKUP($A61,'IP1'!$A$37:$G$89,7,0),Patterns!$A$2:$N$28,2,0),
IF(LEFT($D61,7)="Payroll",
SUMPRODUCT(($B61='IP1'!$B$96:$B$114)*('IP1'!$E$96:$E$114))/12,
SUMPRODUCT(($B61='IP1'!$B$96:$B$114)*('IP1'!$E$96:$E$114))/12*
IF(YEAR(V$3)=2013,'IP1'!$F$154,'IP1'!$G$154)
))</f>
        <v>1200</v>
      </c>
      <c r="W61" s="85">
        <f>IF(LEFT($D61,5)="Other",
VLOOKUP($A61,'IP1'!$A$37:$G$89,5,0)*
VLOOKUP(
VLOOKUP($A61,'IP1'!$A$37:$G$89,7,0),Patterns!$A$2:$N$28,COLUMN(W61)-14,0)/
VLOOKUP(
VLOOKUP($A61,'IP1'!$A$37:$G$89,7,0),Patterns!$A$2:$N$28,2,0),
IF(LEFT($D61,7)="Payroll",
SUMPRODUCT(($B61='IP1'!$B$96:$B$114)*('IP1'!$E$96:$E$114))/12,
SUMPRODUCT(($B61='IP1'!$B$96:$B$114)*('IP1'!$E$96:$E$114))/12*
IF(YEAR(W$3)=2013,'IP1'!$F$154,'IP1'!$G$154)
))</f>
        <v>1200</v>
      </c>
      <c r="X61" s="85">
        <f>IF(LEFT($D61,5)="Other",
VLOOKUP($A61,'IP1'!$A$37:$G$89,5,0)*
VLOOKUP(
VLOOKUP($A61,'IP1'!$A$37:$G$89,7,0),Patterns!$A$2:$N$28,COLUMN(X61)-14,0)/
VLOOKUP(
VLOOKUP($A61,'IP1'!$A$37:$G$89,7,0),Patterns!$A$2:$N$28,2,0),
IF(LEFT($D61,7)="Payroll",
SUMPRODUCT(($B61='IP1'!$B$96:$B$114)*('IP1'!$E$96:$E$114))/12,
SUMPRODUCT(($B61='IP1'!$B$96:$B$114)*('IP1'!$E$96:$E$114))/12*
IF(YEAR(X$3)=2013,'IP1'!$F$154,'IP1'!$G$154)
))</f>
        <v>1200</v>
      </c>
      <c r="Y61" s="85">
        <f>IF(LEFT($D61,5)="Other",
VLOOKUP($A61,'IP1'!$A$37:$G$89,5,0)*
VLOOKUP(
VLOOKUP($A61,'IP1'!$A$37:$G$89,7,0),Patterns!$A$2:$N$28,COLUMN(Y61)-14,0)/
VLOOKUP(
VLOOKUP($A61,'IP1'!$A$37:$G$89,7,0),Patterns!$A$2:$N$28,2,0),
IF(LEFT($D61,7)="Payroll",
SUMPRODUCT(($B61='IP1'!$B$96:$B$114)*('IP1'!$E$96:$E$114))/12,
SUMPRODUCT(($B61='IP1'!$B$96:$B$114)*('IP1'!$E$96:$E$114))/12*
IF(YEAR(Y$3)=2013,'IP1'!$F$154,'IP1'!$G$154)
))</f>
        <v>1200</v>
      </c>
      <c r="Z61" s="85">
        <f>IF(LEFT($D61,5)="Other",
VLOOKUP($A61,'IP1'!$A$37:$G$89,5,0)*
VLOOKUP(
VLOOKUP($A61,'IP1'!$A$37:$G$89,7,0),Patterns!$A$2:$N$28,COLUMN(Z61)-14,0)/
VLOOKUP(
VLOOKUP($A61,'IP1'!$A$37:$G$89,7,0),Patterns!$A$2:$N$28,2,0),
IF(LEFT($D61,7)="Payroll",
SUMPRODUCT(($B61='IP1'!$B$96:$B$114)*('IP1'!$E$96:$E$114))/12,
SUMPRODUCT(($B61='IP1'!$B$96:$B$114)*('IP1'!$E$96:$E$114))/12*
IF(YEAR(Z$3)=2013,'IP1'!$F$154,'IP1'!$G$154)
))</f>
        <v>1200</v>
      </c>
      <c r="AA61" s="85">
        <f>IF(LEFT($D61,5)="Other",
VLOOKUP($A61,'IP1'!$A$37:$G$89,5,0)*
VLOOKUP(
VLOOKUP($A61,'IP1'!$A$37:$G$89,7,0),Patterns!$A$2:$N$28,COLUMN(AA61)-14,0)/
VLOOKUP(
VLOOKUP($A61,'IP1'!$A$37:$G$89,7,0),Patterns!$A$2:$N$28,2,0),
IF(LEFT($D61,7)="Payroll",
SUMPRODUCT(($B61='IP1'!$B$96:$B$114)*('IP1'!$E$96:$E$114))/12,
SUMPRODUCT(($B61='IP1'!$B$96:$B$114)*('IP1'!$E$96:$E$114))/12*
IF(YEAR(AA$3)=2013,'IP1'!$F$154,'IP1'!$G$154)
))</f>
        <v>200</v>
      </c>
      <c r="AB61" s="85">
        <f>IF(LEFT($D61,5)="Other",
VLOOKUP($A61,'IP1'!$A$37:$G$89,5,0)*
VLOOKUP(
VLOOKUP($A61,'IP1'!$A$37:$G$89,7,0),Patterns!$A$2:$N$28,COLUMN(AB61)-14,0)/
VLOOKUP(
VLOOKUP($A61,'IP1'!$A$37:$G$89,7,0),Patterns!$A$2:$N$28,2,0),
IF(LEFT($D61,7)="Payroll",
SUMPRODUCT(($B61='IP1'!$B$96:$B$114)*('IP1'!$E$96:$E$114))/12,
SUMPRODUCT(($B61='IP1'!$B$96:$B$114)*('IP1'!$E$96:$E$114))/12*
IF(YEAR(AB$3)=2013,'IP1'!$F$154,'IP1'!$G$154)
))</f>
        <v>1000</v>
      </c>
    </row>
    <row r="62" spans="1:28">
      <c r="A62" s="1" t="str">
        <f t="shared" si="2"/>
        <v xml:space="preserve">Rooms / Rest. / EventsLicenses </v>
      </c>
      <c r="B62" s="1" t="s">
        <v>480</v>
      </c>
      <c r="C62" s="11" t="s">
        <v>483</v>
      </c>
      <c r="D62" s="11" t="s">
        <v>100</v>
      </c>
      <c r="E62" s="85">
        <f>IF(LEFT($D62,5)="Other",
VLOOKUP($A62,'IP1'!$A$37:$G$89,4,0)*
VLOOKUP(
VLOOKUP($A62,'IP1'!$A$37:$G$89,7,0),Patterns!$A$2:$N$28,COLUMN(E62)-2,0)/
VLOOKUP(
VLOOKUP($A62,'IP1'!$A$37:$G$89,7,0),Patterns!$A$2:$N$28,2,0),
IF(LEFT($D62,7)="Payroll",
SUMPRODUCT(($B62='IP1'!$B$96:$B$114)*('IP1'!$D$96:$D$114))/12,
SUMPRODUCT(($B62='IP1'!$B$96:$B$114)*('IP1'!$D$96:$D$114))/12*
IF(YEAR(E$3)=2013,'IP1'!$F$154,'IP1'!$G$154)
))</f>
        <v>20</v>
      </c>
      <c r="F62" s="85">
        <f>IF(LEFT($D62,5)="Other",
VLOOKUP($A62,'IP1'!$A$37:$G$89,4,0)*
VLOOKUP(
VLOOKUP($A62,'IP1'!$A$37:$G$89,7,0),Patterns!$A$2:$N$28,COLUMN(F62)-2,0)/
VLOOKUP(
VLOOKUP($A62,'IP1'!$A$37:$G$89,7,0),Patterns!$A$2:$N$28,2,0),
IF(LEFT($D62,7)="Payroll",
SUMPRODUCT(($B62='IP1'!$B$96:$B$114)*('IP1'!$D$96:$D$114))/12,
SUMPRODUCT(($B62='IP1'!$B$96:$B$114)*('IP1'!$D$96:$D$114))/12*
IF(YEAR(F$3)=2013,'IP1'!$F$154,'IP1'!$G$154)
))</f>
        <v>20</v>
      </c>
      <c r="G62" s="85">
        <f>IF(LEFT($D62,5)="Other",
VLOOKUP($A62,'IP1'!$A$37:$G$89,4,0)*
VLOOKUP(
VLOOKUP($A62,'IP1'!$A$37:$G$89,7,0),Patterns!$A$2:$N$28,COLUMN(G62)-2,0)/
VLOOKUP(
VLOOKUP($A62,'IP1'!$A$37:$G$89,7,0),Patterns!$A$2:$N$28,2,0),
IF(LEFT($D62,7)="Payroll",
SUMPRODUCT(($B62='IP1'!$B$96:$B$114)*('IP1'!$D$96:$D$114))/12,
SUMPRODUCT(($B62='IP1'!$B$96:$B$114)*('IP1'!$D$96:$D$114))/12*
IF(YEAR(G$3)=2013,'IP1'!$F$154,'IP1'!$G$154)
))</f>
        <v>60</v>
      </c>
      <c r="H62" s="85">
        <f>IF(LEFT($D62,5)="Other",
VLOOKUP($A62,'IP1'!$A$37:$G$89,4,0)*
VLOOKUP(
VLOOKUP($A62,'IP1'!$A$37:$G$89,7,0),Patterns!$A$2:$N$28,COLUMN(H62)-2,0)/
VLOOKUP(
VLOOKUP($A62,'IP1'!$A$37:$G$89,7,0),Patterns!$A$2:$N$28,2,0),
IF(LEFT($D62,7)="Payroll",
SUMPRODUCT(($B62='IP1'!$B$96:$B$114)*('IP1'!$D$96:$D$114))/12,
SUMPRODUCT(($B62='IP1'!$B$96:$B$114)*('IP1'!$D$96:$D$114))/12*
IF(YEAR(H$3)=2013,'IP1'!$F$154,'IP1'!$G$154)
))</f>
        <v>60</v>
      </c>
      <c r="I62" s="85">
        <f>IF(LEFT($D62,5)="Other",
VLOOKUP($A62,'IP1'!$A$37:$G$89,4,0)*
VLOOKUP(
VLOOKUP($A62,'IP1'!$A$37:$G$89,7,0),Patterns!$A$2:$N$28,COLUMN(I62)-2,0)/
VLOOKUP(
VLOOKUP($A62,'IP1'!$A$37:$G$89,7,0),Patterns!$A$2:$N$28,2,0),
IF(LEFT($D62,7)="Payroll",
SUMPRODUCT(($B62='IP1'!$B$96:$B$114)*('IP1'!$D$96:$D$114))/12,
SUMPRODUCT(($B62='IP1'!$B$96:$B$114)*('IP1'!$D$96:$D$114))/12*
IF(YEAR(I$3)=2013,'IP1'!$F$154,'IP1'!$G$154)
))</f>
        <v>120</v>
      </c>
      <c r="J62" s="85">
        <f>IF(LEFT($D62,5)="Other",
VLOOKUP($A62,'IP1'!$A$37:$G$89,4,0)*
VLOOKUP(
VLOOKUP($A62,'IP1'!$A$37:$G$89,7,0),Patterns!$A$2:$N$28,COLUMN(J62)-2,0)/
VLOOKUP(
VLOOKUP($A62,'IP1'!$A$37:$G$89,7,0),Patterns!$A$2:$N$28,2,0),
IF(LEFT($D62,7)="Payroll",
SUMPRODUCT(($B62='IP1'!$B$96:$B$114)*('IP1'!$D$96:$D$114))/12,
SUMPRODUCT(($B62='IP1'!$B$96:$B$114)*('IP1'!$D$96:$D$114))/12*
IF(YEAR(J$3)=2013,'IP1'!$F$154,'IP1'!$G$154)
))</f>
        <v>120</v>
      </c>
      <c r="K62" s="85">
        <f>IF(LEFT($D62,5)="Other",
VLOOKUP($A62,'IP1'!$A$37:$G$89,4,0)*
VLOOKUP(
VLOOKUP($A62,'IP1'!$A$37:$G$89,7,0),Patterns!$A$2:$N$28,COLUMN(K62)-2,0)/
VLOOKUP(
VLOOKUP($A62,'IP1'!$A$37:$G$89,7,0),Patterns!$A$2:$N$28,2,0),
IF(LEFT($D62,7)="Payroll",
SUMPRODUCT(($B62='IP1'!$B$96:$B$114)*('IP1'!$D$96:$D$114))/12,
SUMPRODUCT(($B62='IP1'!$B$96:$B$114)*('IP1'!$D$96:$D$114))/12*
IF(YEAR(K$3)=2013,'IP1'!$F$154,'IP1'!$G$154)
))</f>
        <v>120</v>
      </c>
      <c r="L62" s="85">
        <f>IF(LEFT($D62,5)="Other",
VLOOKUP($A62,'IP1'!$A$37:$G$89,4,0)*
VLOOKUP(
VLOOKUP($A62,'IP1'!$A$37:$G$89,7,0),Patterns!$A$2:$N$28,COLUMN(L62)-2,0)/
VLOOKUP(
VLOOKUP($A62,'IP1'!$A$37:$G$89,7,0),Patterns!$A$2:$N$28,2,0),
IF(LEFT($D62,7)="Payroll",
SUMPRODUCT(($B62='IP1'!$B$96:$B$114)*('IP1'!$D$96:$D$114))/12,
SUMPRODUCT(($B62='IP1'!$B$96:$B$114)*('IP1'!$D$96:$D$114))/12*
IF(YEAR(L$3)=2013,'IP1'!$F$154,'IP1'!$G$154)
))</f>
        <v>120</v>
      </c>
      <c r="M62" s="85">
        <f>IF(LEFT($D62,5)="Other",
VLOOKUP($A62,'IP1'!$A$37:$G$89,4,0)*
VLOOKUP(
VLOOKUP($A62,'IP1'!$A$37:$G$89,7,0),Patterns!$A$2:$N$28,COLUMN(M62)-2,0)/
VLOOKUP(
VLOOKUP($A62,'IP1'!$A$37:$G$89,7,0),Patterns!$A$2:$N$28,2,0),
IF(LEFT($D62,7)="Payroll",
SUMPRODUCT(($B62='IP1'!$B$96:$B$114)*('IP1'!$D$96:$D$114))/12,
SUMPRODUCT(($B62='IP1'!$B$96:$B$114)*('IP1'!$D$96:$D$114))/12*
IF(YEAR(M$3)=2013,'IP1'!$F$154,'IP1'!$G$154)
))</f>
        <v>120</v>
      </c>
      <c r="N62" s="85">
        <f>IF(LEFT($D62,5)="Other",
VLOOKUP($A62,'IP1'!$A$37:$G$89,4,0)*
VLOOKUP(
VLOOKUP($A62,'IP1'!$A$37:$G$89,7,0),Patterns!$A$2:$N$28,COLUMN(N62)-2,0)/
VLOOKUP(
VLOOKUP($A62,'IP1'!$A$37:$G$89,7,0),Patterns!$A$2:$N$28,2,0),
IF(LEFT($D62,7)="Payroll",
SUMPRODUCT(($B62='IP1'!$B$96:$B$114)*('IP1'!$D$96:$D$114))/12,
SUMPRODUCT(($B62='IP1'!$B$96:$B$114)*('IP1'!$D$96:$D$114))/12*
IF(YEAR(N$3)=2013,'IP1'!$F$154,'IP1'!$G$154)
))</f>
        <v>120</v>
      </c>
      <c r="O62" s="85">
        <f>IF(LEFT($D62,5)="Other",
VLOOKUP($A62,'IP1'!$A$37:$G$89,4,0)*
VLOOKUP(
VLOOKUP($A62,'IP1'!$A$37:$G$89,7,0),Patterns!$A$2:$N$28,COLUMN(O62)-2,0)/
VLOOKUP(
VLOOKUP($A62,'IP1'!$A$37:$G$89,7,0),Patterns!$A$2:$N$28,2,0),
IF(LEFT($D62,7)="Payroll",
SUMPRODUCT(($B62='IP1'!$B$96:$B$114)*('IP1'!$D$96:$D$114))/12,
SUMPRODUCT(($B62='IP1'!$B$96:$B$114)*('IP1'!$D$96:$D$114))/12*
IF(YEAR(O$3)=2013,'IP1'!$F$154,'IP1'!$G$154)
))</f>
        <v>20</v>
      </c>
      <c r="P62" s="85">
        <f>IF(LEFT($D62,5)="Other",
VLOOKUP($A62,'IP1'!$A$37:$G$89,4,0)*
VLOOKUP(
VLOOKUP($A62,'IP1'!$A$37:$G$89,7,0),Patterns!$A$2:$N$28,COLUMN(P62)-2,0)/
VLOOKUP(
VLOOKUP($A62,'IP1'!$A$37:$G$89,7,0),Patterns!$A$2:$N$28,2,0),
IF(LEFT($D62,7)="Payroll",
SUMPRODUCT(($B62='IP1'!$B$96:$B$114)*('IP1'!$D$96:$D$114))/12,
SUMPRODUCT(($B62='IP1'!$B$96:$B$114)*('IP1'!$D$96:$D$114))/12*
IF(YEAR(P$3)=2013,'IP1'!$F$154,'IP1'!$G$154)
))</f>
        <v>100</v>
      </c>
      <c r="Q62" s="85">
        <f>IF(LEFT($D62,5)="Other",
VLOOKUP($A62,'IP1'!$A$37:$G$89,5,0)*
VLOOKUP(
VLOOKUP($A62,'IP1'!$A$37:$G$89,7,0),Patterns!$A$2:$N$28,COLUMN(Q62)-14,0)/
VLOOKUP(
VLOOKUP($A62,'IP1'!$A$37:$G$89,7,0),Patterns!$A$2:$N$28,2,0),
IF(LEFT($D62,7)="Payroll",
SUMPRODUCT(($B62='IP1'!$B$96:$B$114)*('IP1'!$E$96:$E$114))/12,
SUMPRODUCT(($B62='IP1'!$B$96:$B$114)*('IP1'!$E$96:$E$114))/12*
IF(YEAR(Q$3)=2013,'IP1'!$F$154,'IP1'!$G$154)
))</f>
        <v>20</v>
      </c>
      <c r="R62" s="85">
        <f>IF(LEFT($D62,5)="Other",
VLOOKUP($A62,'IP1'!$A$37:$G$89,5,0)*
VLOOKUP(
VLOOKUP($A62,'IP1'!$A$37:$G$89,7,0),Patterns!$A$2:$N$28,COLUMN(R62)-14,0)/
VLOOKUP(
VLOOKUP($A62,'IP1'!$A$37:$G$89,7,0),Patterns!$A$2:$N$28,2,0),
IF(LEFT($D62,7)="Payroll",
SUMPRODUCT(($B62='IP1'!$B$96:$B$114)*('IP1'!$E$96:$E$114))/12,
SUMPRODUCT(($B62='IP1'!$B$96:$B$114)*('IP1'!$E$96:$E$114))/12*
IF(YEAR(R$3)=2013,'IP1'!$F$154,'IP1'!$G$154)
))</f>
        <v>20</v>
      </c>
      <c r="S62" s="85">
        <f>IF(LEFT($D62,5)="Other",
VLOOKUP($A62,'IP1'!$A$37:$G$89,5,0)*
VLOOKUP(
VLOOKUP($A62,'IP1'!$A$37:$G$89,7,0),Patterns!$A$2:$N$28,COLUMN(S62)-14,0)/
VLOOKUP(
VLOOKUP($A62,'IP1'!$A$37:$G$89,7,0),Patterns!$A$2:$N$28,2,0),
IF(LEFT($D62,7)="Payroll",
SUMPRODUCT(($B62='IP1'!$B$96:$B$114)*('IP1'!$E$96:$E$114))/12,
SUMPRODUCT(($B62='IP1'!$B$96:$B$114)*('IP1'!$E$96:$E$114))/12*
IF(YEAR(S$3)=2013,'IP1'!$F$154,'IP1'!$G$154)
))</f>
        <v>60</v>
      </c>
      <c r="T62" s="85">
        <f>IF(LEFT($D62,5)="Other",
VLOOKUP($A62,'IP1'!$A$37:$G$89,5,0)*
VLOOKUP(
VLOOKUP($A62,'IP1'!$A$37:$G$89,7,0),Patterns!$A$2:$N$28,COLUMN(T62)-14,0)/
VLOOKUP(
VLOOKUP($A62,'IP1'!$A$37:$G$89,7,0),Patterns!$A$2:$N$28,2,0),
IF(LEFT($D62,7)="Payroll",
SUMPRODUCT(($B62='IP1'!$B$96:$B$114)*('IP1'!$E$96:$E$114))/12,
SUMPRODUCT(($B62='IP1'!$B$96:$B$114)*('IP1'!$E$96:$E$114))/12*
IF(YEAR(T$3)=2013,'IP1'!$F$154,'IP1'!$G$154)
))</f>
        <v>60</v>
      </c>
      <c r="U62" s="85">
        <f>IF(LEFT($D62,5)="Other",
VLOOKUP($A62,'IP1'!$A$37:$G$89,5,0)*
VLOOKUP(
VLOOKUP($A62,'IP1'!$A$37:$G$89,7,0),Patterns!$A$2:$N$28,COLUMN(U62)-14,0)/
VLOOKUP(
VLOOKUP($A62,'IP1'!$A$37:$G$89,7,0),Patterns!$A$2:$N$28,2,0),
IF(LEFT($D62,7)="Payroll",
SUMPRODUCT(($B62='IP1'!$B$96:$B$114)*('IP1'!$E$96:$E$114))/12,
SUMPRODUCT(($B62='IP1'!$B$96:$B$114)*('IP1'!$E$96:$E$114))/12*
IF(YEAR(U$3)=2013,'IP1'!$F$154,'IP1'!$G$154)
))</f>
        <v>120</v>
      </c>
      <c r="V62" s="85">
        <f>IF(LEFT($D62,5)="Other",
VLOOKUP($A62,'IP1'!$A$37:$G$89,5,0)*
VLOOKUP(
VLOOKUP($A62,'IP1'!$A$37:$G$89,7,0),Patterns!$A$2:$N$28,COLUMN(V62)-14,0)/
VLOOKUP(
VLOOKUP($A62,'IP1'!$A$37:$G$89,7,0),Patterns!$A$2:$N$28,2,0),
IF(LEFT($D62,7)="Payroll",
SUMPRODUCT(($B62='IP1'!$B$96:$B$114)*('IP1'!$E$96:$E$114))/12,
SUMPRODUCT(($B62='IP1'!$B$96:$B$114)*('IP1'!$E$96:$E$114))/12*
IF(YEAR(V$3)=2013,'IP1'!$F$154,'IP1'!$G$154)
))</f>
        <v>120</v>
      </c>
      <c r="W62" s="85">
        <f>IF(LEFT($D62,5)="Other",
VLOOKUP($A62,'IP1'!$A$37:$G$89,5,0)*
VLOOKUP(
VLOOKUP($A62,'IP1'!$A$37:$G$89,7,0),Patterns!$A$2:$N$28,COLUMN(W62)-14,0)/
VLOOKUP(
VLOOKUP($A62,'IP1'!$A$37:$G$89,7,0),Patterns!$A$2:$N$28,2,0),
IF(LEFT($D62,7)="Payroll",
SUMPRODUCT(($B62='IP1'!$B$96:$B$114)*('IP1'!$E$96:$E$114))/12,
SUMPRODUCT(($B62='IP1'!$B$96:$B$114)*('IP1'!$E$96:$E$114))/12*
IF(YEAR(W$3)=2013,'IP1'!$F$154,'IP1'!$G$154)
))</f>
        <v>120</v>
      </c>
      <c r="X62" s="85">
        <f>IF(LEFT($D62,5)="Other",
VLOOKUP($A62,'IP1'!$A$37:$G$89,5,0)*
VLOOKUP(
VLOOKUP($A62,'IP1'!$A$37:$G$89,7,0),Patterns!$A$2:$N$28,COLUMN(X62)-14,0)/
VLOOKUP(
VLOOKUP($A62,'IP1'!$A$37:$G$89,7,0),Patterns!$A$2:$N$28,2,0),
IF(LEFT($D62,7)="Payroll",
SUMPRODUCT(($B62='IP1'!$B$96:$B$114)*('IP1'!$E$96:$E$114))/12,
SUMPRODUCT(($B62='IP1'!$B$96:$B$114)*('IP1'!$E$96:$E$114))/12*
IF(YEAR(X$3)=2013,'IP1'!$F$154,'IP1'!$G$154)
))</f>
        <v>120</v>
      </c>
      <c r="Y62" s="85">
        <f>IF(LEFT($D62,5)="Other",
VLOOKUP($A62,'IP1'!$A$37:$G$89,5,0)*
VLOOKUP(
VLOOKUP($A62,'IP1'!$A$37:$G$89,7,0),Patterns!$A$2:$N$28,COLUMN(Y62)-14,0)/
VLOOKUP(
VLOOKUP($A62,'IP1'!$A$37:$G$89,7,0),Patterns!$A$2:$N$28,2,0),
IF(LEFT($D62,7)="Payroll",
SUMPRODUCT(($B62='IP1'!$B$96:$B$114)*('IP1'!$E$96:$E$114))/12,
SUMPRODUCT(($B62='IP1'!$B$96:$B$114)*('IP1'!$E$96:$E$114))/12*
IF(YEAR(Y$3)=2013,'IP1'!$F$154,'IP1'!$G$154)
))</f>
        <v>120</v>
      </c>
      <c r="Z62" s="85">
        <f>IF(LEFT($D62,5)="Other",
VLOOKUP($A62,'IP1'!$A$37:$G$89,5,0)*
VLOOKUP(
VLOOKUP($A62,'IP1'!$A$37:$G$89,7,0),Patterns!$A$2:$N$28,COLUMN(Z62)-14,0)/
VLOOKUP(
VLOOKUP($A62,'IP1'!$A$37:$G$89,7,0),Patterns!$A$2:$N$28,2,0),
IF(LEFT($D62,7)="Payroll",
SUMPRODUCT(($B62='IP1'!$B$96:$B$114)*('IP1'!$E$96:$E$114))/12,
SUMPRODUCT(($B62='IP1'!$B$96:$B$114)*('IP1'!$E$96:$E$114))/12*
IF(YEAR(Z$3)=2013,'IP1'!$F$154,'IP1'!$G$154)
))</f>
        <v>120</v>
      </c>
      <c r="AA62" s="85">
        <f>IF(LEFT($D62,5)="Other",
VLOOKUP($A62,'IP1'!$A$37:$G$89,5,0)*
VLOOKUP(
VLOOKUP($A62,'IP1'!$A$37:$G$89,7,0),Patterns!$A$2:$N$28,COLUMN(AA62)-14,0)/
VLOOKUP(
VLOOKUP($A62,'IP1'!$A$37:$G$89,7,0),Patterns!$A$2:$N$28,2,0),
IF(LEFT($D62,7)="Payroll",
SUMPRODUCT(($B62='IP1'!$B$96:$B$114)*('IP1'!$E$96:$E$114))/12,
SUMPRODUCT(($B62='IP1'!$B$96:$B$114)*('IP1'!$E$96:$E$114))/12*
IF(YEAR(AA$3)=2013,'IP1'!$F$154,'IP1'!$G$154)
))</f>
        <v>20</v>
      </c>
      <c r="AB62" s="85">
        <f>IF(LEFT($D62,5)="Other",
VLOOKUP($A62,'IP1'!$A$37:$G$89,5,0)*
VLOOKUP(
VLOOKUP($A62,'IP1'!$A$37:$G$89,7,0),Patterns!$A$2:$N$28,COLUMN(AB62)-14,0)/
VLOOKUP(
VLOOKUP($A62,'IP1'!$A$37:$G$89,7,0),Patterns!$A$2:$N$28,2,0),
IF(LEFT($D62,7)="Payroll",
SUMPRODUCT(($B62='IP1'!$B$96:$B$114)*('IP1'!$E$96:$E$114))/12,
SUMPRODUCT(($B62='IP1'!$B$96:$B$114)*('IP1'!$E$96:$E$114))/12*
IF(YEAR(AB$3)=2013,'IP1'!$F$154,'IP1'!$G$154)
))</f>
        <v>100</v>
      </c>
    </row>
    <row r="63" spans="1:28">
      <c r="A63" s="1" t="str">
        <f t="shared" si="2"/>
        <v xml:space="preserve">Rooms / Rest. / EventsLinen </v>
      </c>
      <c r="B63" s="1" t="s">
        <v>480</v>
      </c>
      <c r="C63" s="11" t="s">
        <v>484</v>
      </c>
      <c r="D63" s="11" t="s">
        <v>100</v>
      </c>
      <c r="E63" s="85">
        <f>IF(LEFT($D63,5)="Other",
VLOOKUP($A63,'IP1'!$A$37:$G$89,4,0)*
VLOOKUP(
VLOOKUP($A63,'IP1'!$A$37:$G$89,7,0),Patterns!$A$2:$N$28,COLUMN(E63)-2,0)/
VLOOKUP(
VLOOKUP($A63,'IP1'!$A$37:$G$89,7,0),Patterns!$A$2:$N$28,2,0),
IF(LEFT($D63,7)="Payroll",
SUMPRODUCT(($B63='IP1'!$B$96:$B$114)*('IP1'!$D$96:$D$114))/12,
SUMPRODUCT(($B63='IP1'!$B$96:$B$114)*('IP1'!$D$96:$D$114))/12*
IF(YEAR(E$3)=2013,'IP1'!$F$154,'IP1'!$G$154)
))</f>
        <v>100</v>
      </c>
      <c r="F63" s="85">
        <f>IF(LEFT($D63,5)="Other",
VLOOKUP($A63,'IP1'!$A$37:$G$89,4,0)*
VLOOKUP(
VLOOKUP($A63,'IP1'!$A$37:$G$89,7,0),Patterns!$A$2:$N$28,COLUMN(F63)-2,0)/
VLOOKUP(
VLOOKUP($A63,'IP1'!$A$37:$G$89,7,0),Patterns!$A$2:$N$28,2,0),
IF(LEFT($D63,7)="Payroll",
SUMPRODUCT(($B63='IP1'!$B$96:$B$114)*('IP1'!$D$96:$D$114))/12,
SUMPRODUCT(($B63='IP1'!$B$96:$B$114)*('IP1'!$D$96:$D$114))/12*
IF(YEAR(F$3)=2013,'IP1'!$F$154,'IP1'!$G$154)
))</f>
        <v>100</v>
      </c>
      <c r="G63" s="85">
        <f>IF(LEFT($D63,5)="Other",
VLOOKUP($A63,'IP1'!$A$37:$G$89,4,0)*
VLOOKUP(
VLOOKUP($A63,'IP1'!$A$37:$G$89,7,0),Patterns!$A$2:$N$28,COLUMN(G63)-2,0)/
VLOOKUP(
VLOOKUP($A63,'IP1'!$A$37:$G$89,7,0),Patterns!$A$2:$N$28,2,0),
IF(LEFT($D63,7)="Payroll",
SUMPRODUCT(($B63='IP1'!$B$96:$B$114)*('IP1'!$D$96:$D$114))/12,
SUMPRODUCT(($B63='IP1'!$B$96:$B$114)*('IP1'!$D$96:$D$114))/12*
IF(YEAR(G$3)=2013,'IP1'!$F$154,'IP1'!$G$154)
))</f>
        <v>300</v>
      </c>
      <c r="H63" s="85">
        <f>IF(LEFT($D63,5)="Other",
VLOOKUP($A63,'IP1'!$A$37:$G$89,4,0)*
VLOOKUP(
VLOOKUP($A63,'IP1'!$A$37:$G$89,7,0),Patterns!$A$2:$N$28,COLUMN(H63)-2,0)/
VLOOKUP(
VLOOKUP($A63,'IP1'!$A$37:$G$89,7,0),Patterns!$A$2:$N$28,2,0),
IF(LEFT($D63,7)="Payroll",
SUMPRODUCT(($B63='IP1'!$B$96:$B$114)*('IP1'!$D$96:$D$114))/12,
SUMPRODUCT(($B63='IP1'!$B$96:$B$114)*('IP1'!$D$96:$D$114))/12*
IF(YEAR(H$3)=2013,'IP1'!$F$154,'IP1'!$G$154)
))</f>
        <v>300</v>
      </c>
      <c r="I63" s="85">
        <f>IF(LEFT($D63,5)="Other",
VLOOKUP($A63,'IP1'!$A$37:$G$89,4,0)*
VLOOKUP(
VLOOKUP($A63,'IP1'!$A$37:$G$89,7,0),Patterns!$A$2:$N$28,COLUMN(I63)-2,0)/
VLOOKUP(
VLOOKUP($A63,'IP1'!$A$37:$G$89,7,0),Patterns!$A$2:$N$28,2,0),
IF(LEFT($D63,7)="Payroll",
SUMPRODUCT(($B63='IP1'!$B$96:$B$114)*('IP1'!$D$96:$D$114))/12,
SUMPRODUCT(($B63='IP1'!$B$96:$B$114)*('IP1'!$D$96:$D$114))/12*
IF(YEAR(I$3)=2013,'IP1'!$F$154,'IP1'!$G$154)
))</f>
        <v>600</v>
      </c>
      <c r="J63" s="85">
        <f>IF(LEFT($D63,5)="Other",
VLOOKUP($A63,'IP1'!$A$37:$G$89,4,0)*
VLOOKUP(
VLOOKUP($A63,'IP1'!$A$37:$G$89,7,0),Patterns!$A$2:$N$28,COLUMN(J63)-2,0)/
VLOOKUP(
VLOOKUP($A63,'IP1'!$A$37:$G$89,7,0),Patterns!$A$2:$N$28,2,0),
IF(LEFT($D63,7)="Payroll",
SUMPRODUCT(($B63='IP1'!$B$96:$B$114)*('IP1'!$D$96:$D$114))/12,
SUMPRODUCT(($B63='IP1'!$B$96:$B$114)*('IP1'!$D$96:$D$114))/12*
IF(YEAR(J$3)=2013,'IP1'!$F$154,'IP1'!$G$154)
))</f>
        <v>600</v>
      </c>
      <c r="K63" s="85">
        <f>IF(LEFT($D63,5)="Other",
VLOOKUP($A63,'IP1'!$A$37:$G$89,4,0)*
VLOOKUP(
VLOOKUP($A63,'IP1'!$A$37:$G$89,7,0),Patterns!$A$2:$N$28,COLUMN(K63)-2,0)/
VLOOKUP(
VLOOKUP($A63,'IP1'!$A$37:$G$89,7,0),Patterns!$A$2:$N$28,2,0),
IF(LEFT($D63,7)="Payroll",
SUMPRODUCT(($B63='IP1'!$B$96:$B$114)*('IP1'!$D$96:$D$114))/12,
SUMPRODUCT(($B63='IP1'!$B$96:$B$114)*('IP1'!$D$96:$D$114))/12*
IF(YEAR(K$3)=2013,'IP1'!$F$154,'IP1'!$G$154)
))</f>
        <v>600</v>
      </c>
      <c r="L63" s="85">
        <f>IF(LEFT($D63,5)="Other",
VLOOKUP($A63,'IP1'!$A$37:$G$89,4,0)*
VLOOKUP(
VLOOKUP($A63,'IP1'!$A$37:$G$89,7,0),Patterns!$A$2:$N$28,COLUMN(L63)-2,0)/
VLOOKUP(
VLOOKUP($A63,'IP1'!$A$37:$G$89,7,0),Patterns!$A$2:$N$28,2,0),
IF(LEFT($D63,7)="Payroll",
SUMPRODUCT(($B63='IP1'!$B$96:$B$114)*('IP1'!$D$96:$D$114))/12,
SUMPRODUCT(($B63='IP1'!$B$96:$B$114)*('IP1'!$D$96:$D$114))/12*
IF(YEAR(L$3)=2013,'IP1'!$F$154,'IP1'!$G$154)
))</f>
        <v>600</v>
      </c>
      <c r="M63" s="85">
        <f>IF(LEFT($D63,5)="Other",
VLOOKUP($A63,'IP1'!$A$37:$G$89,4,0)*
VLOOKUP(
VLOOKUP($A63,'IP1'!$A$37:$G$89,7,0),Patterns!$A$2:$N$28,COLUMN(M63)-2,0)/
VLOOKUP(
VLOOKUP($A63,'IP1'!$A$37:$G$89,7,0),Patterns!$A$2:$N$28,2,0),
IF(LEFT($D63,7)="Payroll",
SUMPRODUCT(($B63='IP1'!$B$96:$B$114)*('IP1'!$D$96:$D$114))/12,
SUMPRODUCT(($B63='IP1'!$B$96:$B$114)*('IP1'!$D$96:$D$114))/12*
IF(YEAR(M$3)=2013,'IP1'!$F$154,'IP1'!$G$154)
))</f>
        <v>600</v>
      </c>
      <c r="N63" s="85">
        <f>IF(LEFT($D63,5)="Other",
VLOOKUP($A63,'IP1'!$A$37:$G$89,4,0)*
VLOOKUP(
VLOOKUP($A63,'IP1'!$A$37:$G$89,7,0),Patterns!$A$2:$N$28,COLUMN(N63)-2,0)/
VLOOKUP(
VLOOKUP($A63,'IP1'!$A$37:$G$89,7,0),Patterns!$A$2:$N$28,2,0),
IF(LEFT($D63,7)="Payroll",
SUMPRODUCT(($B63='IP1'!$B$96:$B$114)*('IP1'!$D$96:$D$114))/12,
SUMPRODUCT(($B63='IP1'!$B$96:$B$114)*('IP1'!$D$96:$D$114))/12*
IF(YEAR(N$3)=2013,'IP1'!$F$154,'IP1'!$G$154)
))</f>
        <v>600</v>
      </c>
      <c r="O63" s="85">
        <f>IF(LEFT($D63,5)="Other",
VLOOKUP($A63,'IP1'!$A$37:$G$89,4,0)*
VLOOKUP(
VLOOKUP($A63,'IP1'!$A$37:$G$89,7,0),Patterns!$A$2:$N$28,COLUMN(O63)-2,0)/
VLOOKUP(
VLOOKUP($A63,'IP1'!$A$37:$G$89,7,0),Patterns!$A$2:$N$28,2,0),
IF(LEFT($D63,7)="Payroll",
SUMPRODUCT(($B63='IP1'!$B$96:$B$114)*('IP1'!$D$96:$D$114))/12,
SUMPRODUCT(($B63='IP1'!$B$96:$B$114)*('IP1'!$D$96:$D$114))/12*
IF(YEAR(O$3)=2013,'IP1'!$F$154,'IP1'!$G$154)
))</f>
        <v>100</v>
      </c>
      <c r="P63" s="85">
        <f>IF(LEFT($D63,5)="Other",
VLOOKUP($A63,'IP1'!$A$37:$G$89,4,0)*
VLOOKUP(
VLOOKUP($A63,'IP1'!$A$37:$G$89,7,0),Patterns!$A$2:$N$28,COLUMN(P63)-2,0)/
VLOOKUP(
VLOOKUP($A63,'IP1'!$A$37:$G$89,7,0),Patterns!$A$2:$N$28,2,0),
IF(LEFT($D63,7)="Payroll",
SUMPRODUCT(($B63='IP1'!$B$96:$B$114)*('IP1'!$D$96:$D$114))/12,
SUMPRODUCT(($B63='IP1'!$B$96:$B$114)*('IP1'!$D$96:$D$114))/12*
IF(YEAR(P$3)=2013,'IP1'!$F$154,'IP1'!$G$154)
))</f>
        <v>500</v>
      </c>
      <c r="Q63" s="85">
        <f>IF(LEFT($D63,5)="Other",
VLOOKUP($A63,'IP1'!$A$37:$G$89,5,0)*
VLOOKUP(
VLOOKUP($A63,'IP1'!$A$37:$G$89,7,0),Patterns!$A$2:$N$28,COLUMN(Q63)-14,0)/
VLOOKUP(
VLOOKUP($A63,'IP1'!$A$37:$G$89,7,0),Patterns!$A$2:$N$28,2,0),
IF(LEFT($D63,7)="Payroll",
SUMPRODUCT(($B63='IP1'!$B$96:$B$114)*('IP1'!$E$96:$E$114))/12,
SUMPRODUCT(($B63='IP1'!$B$96:$B$114)*('IP1'!$E$96:$E$114))/12*
IF(YEAR(Q$3)=2013,'IP1'!$F$154,'IP1'!$G$154)
))</f>
        <v>100</v>
      </c>
      <c r="R63" s="85">
        <f>IF(LEFT($D63,5)="Other",
VLOOKUP($A63,'IP1'!$A$37:$G$89,5,0)*
VLOOKUP(
VLOOKUP($A63,'IP1'!$A$37:$G$89,7,0),Patterns!$A$2:$N$28,COLUMN(R63)-14,0)/
VLOOKUP(
VLOOKUP($A63,'IP1'!$A$37:$G$89,7,0),Patterns!$A$2:$N$28,2,0),
IF(LEFT($D63,7)="Payroll",
SUMPRODUCT(($B63='IP1'!$B$96:$B$114)*('IP1'!$E$96:$E$114))/12,
SUMPRODUCT(($B63='IP1'!$B$96:$B$114)*('IP1'!$E$96:$E$114))/12*
IF(YEAR(R$3)=2013,'IP1'!$F$154,'IP1'!$G$154)
))</f>
        <v>100</v>
      </c>
      <c r="S63" s="85">
        <f>IF(LEFT($D63,5)="Other",
VLOOKUP($A63,'IP1'!$A$37:$G$89,5,0)*
VLOOKUP(
VLOOKUP($A63,'IP1'!$A$37:$G$89,7,0),Patterns!$A$2:$N$28,COLUMN(S63)-14,0)/
VLOOKUP(
VLOOKUP($A63,'IP1'!$A$37:$G$89,7,0),Patterns!$A$2:$N$28,2,0),
IF(LEFT($D63,7)="Payroll",
SUMPRODUCT(($B63='IP1'!$B$96:$B$114)*('IP1'!$E$96:$E$114))/12,
SUMPRODUCT(($B63='IP1'!$B$96:$B$114)*('IP1'!$E$96:$E$114))/12*
IF(YEAR(S$3)=2013,'IP1'!$F$154,'IP1'!$G$154)
))</f>
        <v>300</v>
      </c>
      <c r="T63" s="85">
        <f>IF(LEFT($D63,5)="Other",
VLOOKUP($A63,'IP1'!$A$37:$G$89,5,0)*
VLOOKUP(
VLOOKUP($A63,'IP1'!$A$37:$G$89,7,0),Patterns!$A$2:$N$28,COLUMN(T63)-14,0)/
VLOOKUP(
VLOOKUP($A63,'IP1'!$A$37:$G$89,7,0),Patterns!$A$2:$N$28,2,0),
IF(LEFT($D63,7)="Payroll",
SUMPRODUCT(($B63='IP1'!$B$96:$B$114)*('IP1'!$E$96:$E$114))/12,
SUMPRODUCT(($B63='IP1'!$B$96:$B$114)*('IP1'!$E$96:$E$114))/12*
IF(YEAR(T$3)=2013,'IP1'!$F$154,'IP1'!$G$154)
))</f>
        <v>300</v>
      </c>
      <c r="U63" s="85">
        <f>IF(LEFT($D63,5)="Other",
VLOOKUP($A63,'IP1'!$A$37:$G$89,5,0)*
VLOOKUP(
VLOOKUP($A63,'IP1'!$A$37:$G$89,7,0),Patterns!$A$2:$N$28,COLUMN(U63)-14,0)/
VLOOKUP(
VLOOKUP($A63,'IP1'!$A$37:$G$89,7,0),Patterns!$A$2:$N$28,2,0),
IF(LEFT($D63,7)="Payroll",
SUMPRODUCT(($B63='IP1'!$B$96:$B$114)*('IP1'!$E$96:$E$114))/12,
SUMPRODUCT(($B63='IP1'!$B$96:$B$114)*('IP1'!$E$96:$E$114))/12*
IF(YEAR(U$3)=2013,'IP1'!$F$154,'IP1'!$G$154)
))</f>
        <v>600</v>
      </c>
      <c r="V63" s="85">
        <f>IF(LEFT($D63,5)="Other",
VLOOKUP($A63,'IP1'!$A$37:$G$89,5,0)*
VLOOKUP(
VLOOKUP($A63,'IP1'!$A$37:$G$89,7,0),Patterns!$A$2:$N$28,COLUMN(V63)-14,0)/
VLOOKUP(
VLOOKUP($A63,'IP1'!$A$37:$G$89,7,0),Patterns!$A$2:$N$28,2,0),
IF(LEFT($D63,7)="Payroll",
SUMPRODUCT(($B63='IP1'!$B$96:$B$114)*('IP1'!$E$96:$E$114))/12,
SUMPRODUCT(($B63='IP1'!$B$96:$B$114)*('IP1'!$E$96:$E$114))/12*
IF(YEAR(V$3)=2013,'IP1'!$F$154,'IP1'!$G$154)
))</f>
        <v>600</v>
      </c>
      <c r="W63" s="85">
        <f>IF(LEFT($D63,5)="Other",
VLOOKUP($A63,'IP1'!$A$37:$G$89,5,0)*
VLOOKUP(
VLOOKUP($A63,'IP1'!$A$37:$G$89,7,0),Patterns!$A$2:$N$28,COLUMN(W63)-14,0)/
VLOOKUP(
VLOOKUP($A63,'IP1'!$A$37:$G$89,7,0),Patterns!$A$2:$N$28,2,0),
IF(LEFT($D63,7)="Payroll",
SUMPRODUCT(($B63='IP1'!$B$96:$B$114)*('IP1'!$E$96:$E$114))/12,
SUMPRODUCT(($B63='IP1'!$B$96:$B$114)*('IP1'!$E$96:$E$114))/12*
IF(YEAR(W$3)=2013,'IP1'!$F$154,'IP1'!$G$154)
))</f>
        <v>600</v>
      </c>
      <c r="X63" s="85">
        <f>IF(LEFT($D63,5)="Other",
VLOOKUP($A63,'IP1'!$A$37:$G$89,5,0)*
VLOOKUP(
VLOOKUP($A63,'IP1'!$A$37:$G$89,7,0),Patterns!$A$2:$N$28,COLUMN(X63)-14,0)/
VLOOKUP(
VLOOKUP($A63,'IP1'!$A$37:$G$89,7,0),Patterns!$A$2:$N$28,2,0),
IF(LEFT($D63,7)="Payroll",
SUMPRODUCT(($B63='IP1'!$B$96:$B$114)*('IP1'!$E$96:$E$114))/12,
SUMPRODUCT(($B63='IP1'!$B$96:$B$114)*('IP1'!$E$96:$E$114))/12*
IF(YEAR(X$3)=2013,'IP1'!$F$154,'IP1'!$G$154)
))</f>
        <v>600</v>
      </c>
      <c r="Y63" s="85">
        <f>IF(LEFT($D63,5)="Other",
VLOOKUP($A63,'IP1'!$A$37:$G$89,5,0)*
VLOOKUP(
VLOOKUP($A63,'IP1'!$A$37:$G$89,7,0),Patterns!$A$2:$N$28,COLUMN(Y63)-14,0)/
VLOOKUP(
VLOOKUP($A63,'IP1'!$A$37:$G$89,7,0),Patterns!$A$2:$N$28,2,0),
IF(LEFT($D63,7)="Payroll",
SUMPRODUCT(($B63='IP1'!$B$96:$B$114)*('IP1'!$E$96:$E$114))/12,
SUMPRODUCT(($B63='IP1'!$B$96:$B$114)*('IP1'!$E$96:$E$114))/12*
IF(YEAR(Y$3)=2013,'IP1'!$F$154,'IP1'!$G$154)
))</f>
        <v>600</v>
      </c>
      <c r="Z63" s="85">
        <f>IF(LEFT($D63,5)="Other",
VLOOKUP($A63,'IP1'!$A$37:$G$89,5,0)*
VLOOKUP(
VLOOKUP($A63,'IP1'!$A$37:$G$89,7,0),Patterns!$A$2:$N$28,COLUMN(Z63)-14,0)/
VLOOKUP(
VLOOKUP($A63,'IP1'!$A$37:$G$89,7,0),Patterns!$A$2:$N$28,2,0),
IF(LEFT($D63,7)="Payroll",
SUMPRODUCT(($B63='IP1'!$B$96:$B$114)*('IP1'!$E$96:$E$114))/12,
SUMPRODUCT(($B63='IP1'!$B$96:$B$114)*('IP1'!$E$96:$E$114))/12*
IF(YEAR(Z$3)=2013,'IP1'!$F$154,'IP1'!$G$154)
))</f>
        <v>600</v>
      </c>
      <c r="AA63" s="85">
        <f>IF(LEFT($D63,5)="Other",
VLOOKUP($A63,'IP1'!$A$37:$G$89,5,0)*
VLOOKUP(
VLOOKUP($A63,'IP1'!$A$37:$G$89,7,0),Patterns!$A$2:$N$28,COLUMN(AA63)-14,0)/
VLOOKUP(
VLOOKUP($A63,'IP1'!$A$37:$G$89,7,0),Patterns!$A$2:$N$28,2,0),
IF(LEFT($D63,7)="Payroll",
SUMPRODUCT(($B63='IP1'!$B$96:$B$114)*('IP1'!$E$96:$E$114))/12,
SUMPRODUCT(($B63='IP1'!$B$96:$B$114)*('IP1'!$E$96:$E$114))/12*
IF(YEAR(AA$3)=2013,'IP1'!$F$154,'IP1'!$G$154)
))</f>
        <v>100</v>
      </c>
      <c r="AB63" s="85">
        <f>IF(LEFT($D63,5)="Other",
VLOOKUP($A63,'IP1'!$A$37:$G$89,5,0)*
VLOOKUP(
VLOOKUP($A63,'IP1'!$A$37:$G$89,7,0),Patterns!$A$2:$N$28,COLUMN(AB63)-14,0)/
VLOOKUP(
VLOOKUP($A63,'IP1'!$A$37:$G$89,7,0),Patterns!$A$2:$N$28,2,0),
IF(LEFT($D63,7)="Payroll",
SUMPRODUCT(($B63='IP1'!$B$96:$B$114)*('IP1'!$E$96:$E$114))/12,
SUMPRODUCT(($B63='IP1'!$B$96:$B$114)*('IP1'!$E$96:$E$114))/12*
IF(YEAR(AB$3)=2013,'IP1'!$F$154,'IP1'!$G$154)
))</f>
        <v>500</v>
      </c>
    </row>
    <row r="64" spans="1:28">
      <c r="A64" s="1" t="str">
        <f t="shared" si="2"/>
        <v xml:space="preserve">Rooms / Rest. / EventsMusic and entertainment </v>
      </c>
      <c r="B64" s="1" t="s">
        <v>480</v>
      </c>
      <c r="C64" s="11" t="s">
        <v>485</v>
      </c>
      <c r="D64" s="11" t="s">
        <v>100</v>
      </c>
      <c r="E64" s="85">
        <f>IF(LEFT($D64,5)="Other",
VLOOKUP($A64,'IP1'!$A$37:$G$89,4,0)*
VLOOKUP(
VLOOKUP($A64,'IP1'!$A$37:$G$89,7,0),Patterns!$A$2:$N$28,COLUMN(E64)-2,0)/
VLOOKUP(
VLOOKUP($A64,'IP1'!$A$37:$G$89,7,0),Patterns!$A$2:$N$28,2,0),
IF(LEFT($D64,7)="Payroll",
SUMPRODUCT(($B64='IP1'!$B$96:$B$114)*('IP1'!$D$96:$D$114))/12,
SUMPRODUCT(($B64='IP1'!$B$96:$B$114)*('IP1'!$D$96:$D$114))/12*
IF(YEAR(E$3)=2013,'IP1'!$F$154,'IP1'!$G$154)
))</f>
        <v>350</v>
      </c>
      <c r="F64" s="85">
        <f>IF(LEFT($D64,5)="Other",
VLOOKUP($A64,'IP1'!$A$37:$G$89,4,0)*
VLOOKUP(
VLOOKUP($A64,'IP1'!$A$37:$G$89,7,0),Patterns!$A$2:$N$28,COLUMN(F64)-2,0)/
VLOOKUP(
VLOOKUP($A64,'IP1'!$A$37:$G$89,7,0),Patterns!$A$2:$N$28,2,0),
IF(LEFT($D64,7)="Payroll",
SUMPRODUCT(($B64='IP1'!$B$96:$B$114)*('IP1'!$D$96:$D$114))/12,
SUMPRODUCT(($B64='IP1'!$B$96:$B$114)*('IP1'!$D$96:$D$114))/12*
IF(YEAR(F$3)=2013,'IP1'!$F$154,'IP1'!$G$154)
))</f>
        <v>350</v>
      </c>
      <c r="G64" s="85">
        <f>IF(LEFT($D64,5)="Other",
VLOOKUP($A64,'IP1'!$A$37:$G$89,4,0)*
VLOOKUP(
VLOOKUP($A64,'IP1'!$A$37:$G$89,7,0),Patterns!$A$2:$N$28,COLUMN(G64)-2,0)/
VLOOKUP(
VLOOKUP($A64,'IP1'!$A$37:$G$89,7,0),Patterns!$A$2:$N$28,2,0),
IF(LEFT($D64,7)="Payroll",
SUMPRODUCT(($B64='IP1'!$B$96:$B$114)*('IP1'!$D$96:$D$114))/12,
SUMPRODUCT(($B64='IP1'!$B$96:$B$114)*('IP1'!$D$96:$D$114))/12*
IF(YEAR(G$3)=2013,'IP1'!$F$154,'IP1'!$G$154)
))</f>
        <v>1050</v>
      </c>
      <c r="H64" s="85">
        <f>IF(LEFT($D64,5)="Other",
VLOOKUP($A64,'IP1'!$A$37:$G$89,4,0)*
VLOOKUP(
VLOOKUP($A64,'IP1'!$A$37:$G$89,7,0),Patterns!$A$2:$N$28,COLUMN(H64)-2,0)/
VLOOKUP(
VLOOKUP($A64,'IP1'!$A$37:$G$89,7,0),Patterns!$A$2:$N$28,2,0),
IF(LEFT($D64,7)="Payroll",
SUMPRODUCT(($B64='IP1'!$B$96:$B$114)*('IP1'!$D$96:$D$114))/12,
SUMPRODUCT(($B64='IP1'!$B$96:$B$114)*('IP1'!$D$96:$D$114))/12*
IF(YEAR(H$3)=2013,'IP1'!$F$154,'IP1'!$G$154)
))</f>
        <v>1050</v>
      </c>
      <c r="I64" s="85">
        <f>IF(LEFT($D64,5)="Other",
VLOOKUP($A64,'IP1'!$A$37:$G$89,4,0)*
VLOOKUP(
VLOOKUP($A64,'IP1'!$A$37:$G$89,7,0),Patterns!$A$2:$N$28,COLUMN(I64)-2,0)/
VLOOKUP(
VLOOKUP($A64,'IP1'!$A$37:$G$89,7,0),Patterns!$A$2:$N$28,2,0),
IF(LEFT($D64,7)="Payroll",
SUMPRODUCT(($B64='IP1'!$B$96:$B$114)*('IP1'!$D$96:$D$114))/12,
SUMPRODUCT(($B64='IP1'!$B$96:$B$114)*('IP1'!$D$96:$D$114))/12*
IF(YEAR(I$3)=2013,'IP1'!$F$154,'IP1'!$G$154)
))</f>
        <v>2100</v>
      </c>
      <c r="J64" s="85">
        <f>IF(LEFT($D64,5)="Other",
VLOOKUP($A64,'IP1'!$A$37:$G$89,4,0)*
VLOOKUP(
VLOOKUP($A64,'IP1'!$A$37:$G$89,7,0),Patterns!$A$2:$N$28,COLUMN(J64)-2,0)/
VLOOKUP(
VLOOKUP($A64,'IP1'!$A$37:$G$89,7,0),Patterns!$A$2:$N$28,2,0),
IF(LEFT($D64,7)="Payroll",
SUMPRODUCT(($B64='IP1'!$B$96:$B$114)*('IP1'!$D$96:$D$114))/12,
SUMPRODUCT(($B64='IP1'!$B$96:$B$114)*('IP1'!$D$96:$D$114))/12*
IF(YEAR(J$3)=2013,'IP1'!$F$154,'IP1'!$G$154)
))</f>
        <v>2100</v>
      </c>
      <c r="K64" s="85">
        <f>IF(LEFT($D64,5)="Other",
VLOOKUP($A64,'IP1'!$A$37:$G$89,4,0)*
VLOOKUP(
VLOOKUP($A64,'IP1'!$A$37:$G$89,7,0),Patterns!$A$2:$N$28,COLUMN(K64)-2,0)/
VLOOKUP(
VLOOKUP($A64,'IP1'!$A$37:$G$89,7,0),Patterns!$A$2:$N$28,2,0),
IF(LEFT($D64,7)="Payroll",
SUMPRODUCT(($B64='IP1'!$B$96:$B$114)*('IP1'!$D$96:$D$114))/12,
SUMPRODUCT(($B64='IP1'!$B$96:$B$114)*('IP1'!$D$96:$D$114))/12*
IF(YEAR(K$3)=2013,'IP1'!$F$154,'IP1'!$G$154)
))</f>
        <v>2100</v>
      </c>
      <c r="L64" s="85">
        <f>IF(LEFT($D64,5)="Other",
VLOOKUP($A64,'IP1'!$A$37:$G$89,4,0)*
VLOOKUP(
VLOOKUP($A64,'IP1'!$A$37:$G$89,7,0),Patterns!$A$2:$N$28,COLUMN(L64)-2,0)/
VLOOKUP(
VLOOKUP($A64,'IP1'!$A$37:$G$89,7,0),Patterns!$A$2:$N$28,2,0),
IF(LEFT($D64,7)="Payroll",
SUMPRODUCT(($B64='IP1'!$B$96:$B$114)*('IP1'!$D$96:$D$114))/12,
SUMPRODUCT(($B64='IP1'!$B$96:$B$114)*('IP1'!$D$96:$D$114))/12*
IF(YEAR(L$3)=2013,'IP1'!$F$154,'IP1'!$G$154)
))</f>
        <v>2100</v>
      </c>
      <c r="M64" s="85">
        <f>IF(LEFT($D64,5)="Other",
VLOOKUP($A64,'IP1'!$A$37:$G$89,4,0)*
VLOOKUP(
VLOOKUP($A64,'IP1'!$A$37:$G$89,7,0),Patterns!$A$2:$N$28,COLUMN(M64)-2,0)/
VLOOKUP(
VLOOKUP($A64,'IP1'!$A$37:$G$89,7,0),Patterns!$A$2:$N$28,2,0),
IF(LEFT($D64,7)="Payroll",
SUMPRODUCT(($B64='IP1'!$B$96:$B$114)*('IP1'!$D$96:$D$114))/12,
SUMPRODUCT(($B64='IP1'!$B$96:$B$114)*('IP1'!$D$96:$D$114))/12*
IF(YEAR(M$3)=2013,'IP1'!$F$154,'IP1'!$G$154)
))</f>
        <v>2100</v>
      </c>
      <c r="N64" s="85">
        <f>IF(LEFT($D64,5)="Other",
VLOOKUP($A64,'IP1'!$A$37:$G$89,4,0)*
VLOOKUP(
VLOOKUP($A64,'IP1'!$A$37:$G$89,7,0),Patterns!$A$2:$N$28,COLUMN(N64)-2,0)/
VLOOKUP(
VLOOKUP($A64,'IP1'!$A$37:$G$89,7,0),Patterns!$A$2:$N$28,2,0),
IF(LEFT($D64,7)="Payroll",
SUMPRODUCT(($B64='IP1'!$B$96:$B$114)*('IP1'!$D$96:$D$114))/12,
SUMPRODUCT(($B64='IP1'!$B$96:$B$114)*('IP1'!$D$96:$D$114))/12*
IF(YEAR(N$3)=2013,'IP1'!$F$154,'IP1'!$G$154)
))</f>
        <v>2100</v>
      </c>
      <c r="O64" s="85">
        <f>IF(LEFT($D64,5)="Other",
VLOOKUP($A64,'IP1'!$A$37:$G$89,4,0)*
VLOOKUP(
VLOOKUP($A64,'IP1'!$A$37:$G$89,7,0),Patterns!$A$2:$N$28,COLUMN(O64)-2,0)/
VLOOKUP(
VLOOKUP($A64,'IP1'!$A$37:$G$89,7,0),Patterns!$A$2:$N$28,2,0),
IF(LEFT($D64,7)="Payroll",
SUMPRODUCT(($B64='IP1'!$B$96:$B$114)*('IP1'!$D$96:$D$114))/12,
SUMPRODUCT(($B64='IP1'!$B$96:$B$114)*('IP1'!$D$96:$D$114))/12*
IF(YEAR(O$3)=2013,'IP1'!$F$154,'IP1'!$G$154)
))</f>
        <v>350</v>
      </c>
      <c r="P64" s="85">
        <f>IF(LEFT($D64,5)="Other",
VLOOKUP($A64,'IP1'!$A$37:$G$89,4,0)*
VLOOKUP(
VLOOKUP($A64,'IP1'!$A$37:$G$89,7,0),Patterns!$A$2:$N$28,COLUMN(P64)-2,0)/
VLOOKUP(
VLOOKUP($A64,'IP1'!$A$37:$G$89,7,0),Patterns!$A$2:$N$28,2,0),
IF(LEFT($D64,7)="Payroll",
SUMPRODUCT(($B64='IP1'!$B$96:$B$114)*('IP1'!$D$96:$D$114))/12,
SUMPRODUCT(($B64='IP1'!$B$96:$B$114)*('IP1'!$D$96:$D$114))/12*
IF(YEAR(P$3)=2013,'IP1'!$F$154,'IP1'!$G$154)
))</f>
        <v>1750</v>
      </c>
      <c r="Q64" s="85">
        <f>IF(LEFT($D64,5)="Other",
VLOOKUP($A64,'IP1'!$A$37:$G$89,5,0)*
VLOOKUP(
VLOOKUP($A64,'IP1'!$A$37:$G$89,7,0),Patterns!$A$2:$N$28,COLUMN(Q64)-14,0)/
VLOOKUP(
VLOOKUP($A64,'IP1'!$A$37:$G$89,7,0),Patterns!$A$2:$N$28,2,0),
IF(LEFT($D64,7)="Payroll",
SUMPRODUCT(($B64='IP1'!$B$96:$B$114)*('IP1'!$E$96:$E$114))/12,
SUMPRODUCT(($B64='IP1'!$B$96:$B$114)*('IP1'!$E$96:$E$114))/12*
IF(YEAR(Q$3)=2013,'IP1'!$F$154,'IP1'!$G$154)
))</f>
        <v>350</v>
      </c>
      <c r="R64" s="85">
        <f>IF(LEFT($D64,5)="Other",
VLOOKUP($A64,'IP1'!$A$37:$G$89,5,0)*
VLOOKUP(
VLOOKUP($A64,'IP1'!$A$37:$G$89,7,0),Patterns!$A$2:$N$28,COLUMN(R64)-14,0)/
VLOOKUP(
VLOOKUP($A64,'IP1'!$A$37:$G$89,7,0),Patterns!$A$2:$N$28,2,0),
IF(LEFT($D64,7)="Payroll",
SUMPRODUCT(($B64='IP1'!$B$96:$B$114)*('IP1'!$E$96:$E$114))/12,
SUMPRODUCT(($B64='IP1'!$B$96:$B$114)*('IP1'!$E$96:$E$114))/12*
IF(YEAR(R$3)=2013,'IP1'!$F$154,'IP1'!$G$154)
))</f>
        <v>350</v>
      </c>
      <c r="S64" s="85">
        <f>IF(LEFT($D64,5)="Other",
VLOOKUP($A64,'IP1'!$A$37:$G$89,5,0)*
VLOOKUP(
VLOOKUP($A64,'IP1'!$A$37:$G$89,7,0),Patterns!$A$2:$N$28,COLUMN(S64)-14,0)/
VLOOKUP(
VLOOKUP($A64,'IP1'!$A$37:$G$89,7,0),Patterns!$A$2:$N$28,2,0),
IF(LEFT($D64,7)="Payroll",
SUMPRODUCT(($B64='IP1'!$B$96:$B$114)*('IP1'!$E$96:$E$114))/12,
SUMPRODUCT(($B64='IP1'!$B$96:$B$114)*('IP1'!$E$96:$E$114))/12*
IF(YEAR(S$3)=2013,'IP1'!$F$154,'IP1'!$G$154)
))</f>
        <v>1050</v>
      </c>
      <c r="T64" s="85">
        <f>IF(LEFT($D64,5)="Other",
VLOOKUP($A64,'IP1'!$A$37:$G$89,5,0)*
VLOOKUP(
VLOOKUP($A64,'IP1'!$A$37:$G$89,7,0),Patterns!$A$2:$N$28,COLUMN(T64)-14,0)/
VLOOKUP(
VLOOKUP($A64,'IP1'!$A$37:$G$89,7,0),Patterns!$A$2:$N$28,2,0),
IF(LEFT($D64,7)="Payroll",
SUMPRODUCT(($B64='IP1'!$B$96:$B$114)*('IP1'!$E$96:$E$114))/12,
SUMPRODUCT(($B64='IP1'!$B$96:$B$114)*('IP1'!$E$96:$E$114))/12*
IF(YEAR(T$3)=2013,'IP1'!$F$154,'IP1'!$G$154)
))</f>
        <v>1050</v>
      </c>
      <c r="U64" s="85">
        <f>IF(LEFT($D64,5)="Other",
VLOOKUP($A64,'IP1'!$A$37:$G$89,5,0)*
VLOOKUP(
VLOOKUP($A64,'IP1'!$A$37:$G$89,7,0),Patterns!$A$2:$N$28,COLUMN(U64)-14,0)/
VLOOKUP(
VLOOKUP($A64,'IP1'!$A$37:$G$89,7,0),Patterns!$A$2:$N$28,2,0),
IF(LEFT($D64,7)="Payroll",
SUMPRODUCT(($B64='IP1'!$B$96:$B$114)*('IP1'!$E$96:$E$114))/12,
SUMPRODUCT(($B64='IP1'!$B$96:$B$114)*('IP1'!$E$96:$E$114))/12*
IF(YEAR(U$3)=2013,'IP1'!$F$154,'IP1'!$G$154)
))</f>
        <v>2100</v>
      </c>
      <c r="V64" s="85">
        <f>IF(LEFT($D64,5)="Other",
VLOOKUP($A64,'IP1'!$A$37:$G$89,5,0)*
VLOOKUP(
VLOOKUP($A64,'IP1'!$A$37:$G$89,7,0),Patterns!$A$2:$N$28,COLUMN(V64)-14,0)/
VLOOKUP(
VLOOKUP($A64,'IP1'!$A$37:$G$89,7,0),Patterns!$A$2:$N$28,2,0),
IF(LEFT($D64,7)="Payroll",
SUMPRODUCT(($B64='IP1'!$B$96:$B$114)*('IP1'!$E$96:$E$114))/12,
SUMPRODUCT(($B64='IP1'!$B$96:$B$114)*('IP1'!$E$96:$E$114))/12*
IF(YEAR(V$3)=2013,'IP1'!$F$154,'IP1'!$G$154)
))</f>
        <v>2100</v>
      </c>
      <c r="W64" s="85">
        <f>IF(LEFT($D64,5)="Other",
VLOOKUP($A64,'IP1'!$A$37:$G$89,5,0)*
VLOOKUP(
VLOOKUP($A64,'IP1'!$A$37:$G$89,7,0),Patterns!$A$2:$N$28,COLUMN(W64)-14,0)/
VLOOKUP(
VLOOKUP($A64,'IP1'!$A$37:$G$89,7,0),Patterns!$A$2:$N$28,2,0),
IF(LEFT($D64,7)="Payroll",
SUMPRODUCT(($B64='IP1'!$B$96:$B$114)*('IP1'!$E$96:$E$114))/12,
SUMPRODUCT(($B64='IP1'!$B$96:$B$114)*('IP1'!$E$96:$E$114))/12*
IF(YEAR(W$3)=2013,'IP1'!$F$154,'IP1'!$G$154)
))</f>
        <v>2100</v>
      </c>
      <c r="X64" s="85">
        <f>IF(LEFT($D64,5)="Other",
VLOOKUP($A64,'IP1'!$A$37:$G$89,5,0)*
VLOOKUP(
VLOOKUP($A64,'IP1'!$A$37:$G$89,7,0),Patterns!$A$2:$N$28,COLUMN(X64)-14,0)/
VLOOKUP(
VLOOKUP($A64,'IP1'!$A$37:$G$89,7,0),Patterns!$A$2:$N$28,2,0),
IF(LEFT($D64,7)="Payroll",
SUMPRODUCT(($B64='IP1'!$B$96:$B$114)*('IP1'!$E$96:$E$114))/12,
SUMPRODUCT(($B64='IP1'!$B$96:$B$114)*('IP1'!$E$96:$E$114))/12*
IF(YEAR(X$3)=2013,'IP1'!$F$154,'IP1'!$G$154)
))</f>
        <v>2100</v>
      </c>
      <c r="Y64" s="85">
        <f>IF(LEFT($D64,5)="Other",
VLOOKUP($A64,'IP1'!$A$37:$G$89,5,0)*
VLOOKUP(
VLOOKUP($A64,'IP1'!$A$37:$G$89,7,0),Patterns!$A$2:$N$28,COLUMN(Y64)-14,0)/
VLOOKUP(
VLOOKUP($A64,'IP1'!$A$37:$G$89,7,0),Patterns!$A$2:$N$28,2,0),
IF(LEFT($D64,7)="Payroll",
SUMPRODUCT(($B64='IP1'!$B$96:$B$114)*('IP1'!$E$96:$E$114))/12,
SUMPRODUCT(($B64='IP1'!$B$96:$B$114)*('IP1'!$E$96:$E$114))/12*
IF(YEAR(Y$3)=2013,'IP1'!$F$154,'IP1'!$G$154)
))</f>
        <v>2100</v>
      </c>
      <c r="Z64" s="85">
        <f>IF(LEFT($D64,5)="Other",
VLOOKUP($A64,'IP1'!$A$37:$G$89,5,0)*
VLOOKUP(
VLOOKUP($A64,'IP1'!$A$37:$G$89,7,0),Patterns!$A$2:$N$28,COLUMN(Z64)-14,0)/
VLOOKUP(
VLOOKUP($A64,'IP1'!$A$37:$G$89,7,0),Patterns!$A$2:$N$28,2,0),
IF(LEFT($D64,7)="Payroll",
SUMPRODUCT(($B64='IP1'!$B$96:$B$114)*('IP1'!$E$96:$E$114))/12,
SUMPRODUCT(($B64='IP1'!$B$96:$B$114)*('IP1'!$E$96:$E$114))/12*
IF(YEAR(Z$3)=2013,'IP1'!$F$154,'IP1'!$G$154)
))</f>
        <v>2100</v>
      </c>
      <c r="AA64" s="85">
        <f>IF(LEFT($D64,5)="Other",
VLOOKUP($A64,'IP1'!$A$37:$G$89,5,0)*
VLOOKUP(
VLOOKUP($A64,'IP1'!$A$37:$G$89,7,0),Patterns!$A$2:$N$28,COLUMN(AA64)-14,0)/
VLOOKUP(
VLOOKUP($A64,'IP1'!$A$37:$G$89,7,0),Patterns!$A$2:$N$28,2,0),
IF(LEFT($D64,7)="Payroll",
SUMPRODUCT(($B64='IP1'!$B$96:$B$114)*('IP1'!$E$96:$E$114))/12,
SUMPRODUCT(($B64='IP1'!$B$96:$B$114)*('IP1'!$E$96:$E$114))/12*
IF(YEAR(AA$3)=2013,'IP1'!$F$154,'IP1'!$G$154)
))</f>
        <v>350</v>
      </c>
      <c r="AB64" s="85">
        <f>IF(LEFT($D64,5)="Other",
VLOOKUP($A64,'IP1'!$A$37:$G$89,5,0)*
VLOOKUP(
VLOOKUP($A64,'IP1'!$A$37:$G$89,7,0),Patterns!$A$2:$N$28,COLUMN(AB64)-14,0)/
VLOOKUP(
VLOOKUP($A64,'IP1'!$A$37:$G$89,7,0),Patterns!$A$2:$N$28,2,0),
IF(LEFT($D64,7)="Payroll",
SUMPRODUCT(($B64='IP1'!$B$96:$B$114)*('IP1'!$E$96:$E$114))/12,
SUMPRODUCT(($B64='IP1'!$B$96:$B$114)*('IP1'!$E$96:$E$114))/12*
IF(YEAR(AB$3)=2013,'IP1'!$F$154,'IP1'!$G$154)
))</f>
        <v>1750</v>
      </c>
    </row>
    <row r="65" spans="1:28" collapsed="1">
      <c r="A65" s="1" t="str">
        <f>B65&amp;C65</f>
        <v/>
      </c>
      <c r="C65" s="11"/>
      <c r="D65" s="11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</row>
    <row r="66" spans="1:28"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</row>
  </sheetData>
  <sheetProtection selectLockedCells="1"/>
  <pageMargins left="0.7" right="0.7" top="0.75" bottom="0.75" header="0.3" footer="0.3"/>
  <pageSetup paperSize="9" scale="51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>
    <tabColor rgb="FFFFFF00"/>
  </sheetPr>
  <dimension ref="A1:AO443"/>
  <sheetViews>
    <sheetView topLeftCell="B1" zoomScaleNormal="100" workbookViewId="0">
      <selection activeCell="B1" sqref="B1"/>
    </sheetView>
  </sheetViews>
  <sheetFormatPr defaultColWidth="9.109375" defaultRowHeight="13.8"/>
  <cols>
    <col min="1" max="1" width="36.109375" style="29" bestFit="1" customWidth="1"/>
    <col min="2" max="2" width="2.44140625" style="31" customWidth="1"/>
    <col min="3" max="14" width="13.6640625" style="31" customWidth="1"/>
    <col min="15" max="25" width="9.109375" style="31" customWidth="1"/>
    <col min="26" max="26" width="9.109375" style="31"/>
    <col min="27" max="16384" width="9.109375" style="33"/>
  </cols>
  <sheetData>
    <row r="1" spans="1:38">
      <c r="A1" s="119" t="str">
        <f>'IP1'!$B$2</f>
        <v>XYZ Ltd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38">
      <c r="A2" s="91" t="s">
        <v>255</v>
      </c>
      <c r="B2" s="91"/>
      <c r="C2" s="118">
        <f>DATEVALUE(1&amp;"/"&amp;'IP1'!$B$3&amp;"/"&amp;('IP1'!$B$4+1))-1</f>
        <v>41639</v>
      </c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38" s="27" customFormat="1">
      <c r="A3" s="25"/>
      <c r="B3" s="26"/>
      <c r="C3" s="13">
        <f>DATEVALUE(1&amp;"/"&amp;'IP1'!$B$3&amp;"/"&amp;'IP1'!$B$4)</f>
        <v>41275</v>
      </c>
      <c r="D3" s="13">
        <f>DATE(YEAR(C3),MONTH(C3)+1,1)</f>
        <v>41306</v>
      </c>
      <c r="E3" s="13">
        <f t="shared" ref="E3:N3" si="0">DATE(YEAR(D3),MONTH(D3)+1,1)</f>
        <v>41334</v>
      </c>
      <c r="F3" s="13">
        <f t="shared" si="0"/>
        <v>41365</v>
      </c>
      <c r="G3" s="13">
        <f t="shared" si="0"/>
        <v>41395</v>
      </c>
      <c r="H3" s="13">
        <f t="shared" si="0"/>
        <v>41426</v>
      </c>
      <c r="I3" s="13">
        <f t="shared" si="0"/>
        <v>41456</v>
      </c>
      <c r="J3" s="13">
        <f t="shared" si="0"/>
        <v>41487</v>
      </c>
      <c r="K3" s="13">
        <f t="shared" si="0"/>
        <v>41518</v>
      </c>
      <c r="L3" s="13">
        <f t="shared" si="0"/>
        <v>41548</v>
      </c>
      <c r="M3" s="13">
        <f t="shared" si="0"/>
        <v>41579</v>
      </c>
      <c r="N3" s="13">
        <f t="shared" si="0"/>
        <v>41609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</row>
    <row r="4" spans="1:38" s="36" customFormat="1">
      <c r="A4" s="34" t="s">
        <v>29</v>
      </c>
      <c r="B4" s="31"/>
      <c r="C4" s="35">
        <f>Sales!B6</f>
        <v>68385.177678571432</v>
      </c>
      <c r="D4" s="35">
        <f>Sales!C6</f>
        <v>68385.177678571432</v>
      </c>
      <c r="E4" s="35">
        <f>Sales!D6</f>
        <v>150759.37232142856</v>
      </c>
      <c r="F4" s="35">
        <f>Sales!E6</f>
        <v>205155.5330357143</v>
      </c>
      <c r="G4" s="35">
        <f>Sales!F6</f>
        <v>301518.74464285711</v>
      </c>
      <c r="H4" s="35">
        <f>Sales!G6</f>
        <v>301518.74464285711</v>
      </c>
      <c r="I4" s="35">
        <f>Sales!H6</f>
        <v>342315.86517857143</v>
      </c>
      <c r="J4" s="35">
        <f>Sales!I6</f>
        <v>342315.86517857143</v>
      </c>
      <c r="K4" s="35">
        <f>Sales!J6</f>
        <v>301518.74464285711</v>
      </c>
      <c r="L4" s="35">
        <f>Sales!K6</f>
        <v>287919.70446428575</v>
      </c>
      <c r="M4" s="35">
        <f>Sales!L6</f>
        <v>68385.177678571432</v>
      </c>
      <c r="N4" s="35">
        <f>Sales!M6</f>
        <v>301128.76785714284</v>
      </c>
      <c r="AB4" s="37"/>
      <c r="AC4" s="37"/>
      <c r="AD4" s="37"/>
      <c r="AE4" s="37"/>
      <c r="AF4" s="37"/>
      <c r="AG4" s="38"/>
      <c r="AH4" s="38"/>
      <c r="AI4" s="38"/>
      <c r="AJ4" s="38"/>
      <c r="AK4" s="38"/>
      <c r="AL4" s="38"/>
    </row>
    <row r="5" spans="1:38">
      <c r="A5" s="29" t="s">
        <v>9</v>
      </c>
      <c r="C5" s="30">
        <f>-Sales!B12</f>
        <v>-21391.352053571427</v>
      </c>
      <c r="D5" s="30">
        <f>-Sales!C12</f>
        <v>-21391.352053571427</v>
      </c>
      <c r="E5" s="30">
        <f>-Sales!D12</f>
        <v>-58734.440089285716</v>
      </c>
      <c r="F5" s="30">
        <f>-Sales!E12</f>
        <v>-64174.056160714288</v>
      </c>
      <c r="G5" s="30">
        <f>-Sales!F12</f>
        <v>-117468.88017857143</v>
      </c>
      <c r="H5" s="30">
        <f>-Sales!G12</f>
        <v>-117468.88017857143</v>
      </c>
      <c r="I5" s="30">
        <f>-Sales!H12</f>
        <v>-121548.59223214287</v>
      </c>
      <c r="J5" s="30">
        <f>-Sales!I12</f>
        <v>-121548.59223214287</v>
      </c>
      <c r="K5" s="30">
        <f>-Sales!J12</f>
        <v>-117468.88017857143</v>
      </c>
      <c r="L5" s="30">
        <f>-Sales!K12</f>
        <v>-116108.97616071429</v>
      </c>
      <c r="M5" s="30">
        <f>-Sales!L12</f>
        <v>-21391.352053571427</v>
      </c>
      <c r="N5" s="30">
        <f>-Sales!M12</f>
        <v>-102877.04821428572</v>
      </c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2"/>
    </row>
    <row r="6" spans="1:38" s="36" customFormat="1">
      <c r="A6" s="34" t="s">
        <v>5</v>
      </c>
      <c r="B6" s="31"/>
      <c r="C6" s="40">
        <f t="shared" ref="C6:N6" si="1">SUM(C4:C5)</f>
        <v>46993.825625000005</v>
      </c>
      <c r="D6" s="40">
        <f t="shared" si="1"/>
        <v>46993.825625000005</v>
      </c>
      <c r="E6" s="40">
        <f t="shared" si="1"/>
        <v>92024.932232142834</v>
      </c>
      <c r="F6" s="40">
        <f t="shared" si="1"/>
        <v>140981.47687499999</v>
      </c>
      <c r="G6" s="40">
        <f t="shared" si="1"/>
        <v>184049.86446428567</v>
      </c>
      <c r="H6" s="40">
        <f t="shared" si="1"/>
        <v>184049.86446428567</v>
      </c>
      <c r="I6" s="40">
        <f t="shared" si="1"/>
        <v>220767.27294642857</v>
      </c>
      <c r="J6" s="40">
        <f t="shared" si="1"/>
        <v>220767.27294642857</v>
      </c>
      <c r="K6" s="40">
        <f t="shared" si="1"/>
        <v>184049.86446428567</v>
      </c>
      <c r="L6" s="40">
        <f t="shared" si="1"/>
        <v>171810.72830357146</v>
      </c>
      <c r="M6" s="40">
        <f t="shared" si="1"/>
        <v>46993.825625000005</v>
      </c>
      <c r="N6" s="40">
        <f t="shared" si="1"/>
        <v>198251.71964285712</v>
      </c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>
      <c r="A7" s="41" t="s">
        <v>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AB7" s="39"/>
      <c r="AC7" s="39"/>
      <c r="AD7" s="39"/>
      <c r="AE7" s="39"/>
      <c r="AF7" s="39"/>
      <c r="AG7" s="39"/>
      <c r="AH7" s="39"/>
      <c r="AI7" s="39"/>
      <c r="AJ7" s="39"/>
      <c r="AK7" s="32"/>
      <c r="AL7" s="32"/>
    </row>
    <row r="8" spans="1:38">
      <c r="A8" s="122" t="s">
        <v>155</v>
      </c>
      <c r="C8" s="30">
        <f>SUMPRODUCT(($A8=OH!$B$2:$B$62)*(OH!E$2:E$62))</f>
        <v>29724.764020833332</v>
      </c>
      <c r="D8" s="30">
        <f>SUMPRODUCT(($A8=OH!$B$2:$B$62)*(OH!F$2:F$62))</f>
        <v>25974.764020833332</v>
      </c>
      <c r="E8" s="30">
        <f>SUMPRODUCT(($A8=OH!$B$2:$B$62)*(OH!G$2:G$62))</f>
        <v>26342.625395833333</v>
      </c>
      <c r="F8" s="30">
        <f>SUMPRODUCT(($A8=OH!$B$2:$B$62)*(OH!H$2:H$62))</f>
        <v>28132.625395833333</v>
      </c>
      <c r="G8" s="30">
        <f>SUMPRODUCT(($A8=OH!$B$2:$B$62)*(OH!I$2:I$62))</f>
        <v>31414.417458333333</v>
      </c>
      <c r="H8" s="30">
        <f>SUMPRODUCT(($A8=OH!$B$2:$B$62)*(OH!J$2:J$62))</f>
        <v>29914.417458333333</v>
      </c>
      <c r="I8" s="30">
        <f>SUMPRODUCT(($A8=OH!$B$2:$B$62)*(OH!K$2:K$62))</f>
        <v>36319.417458333337</v>
      </c>
      <c r="J8" s="30">
        <f>SUMPRODUCT(($A8=OH!$B$2:$B$62)*(OH!L$2:L$62))</f>
        <v>32569.417458333333</v>
      </c>
      <c r="K8" s="30">
        <f>SUMPRODUCT(($A8=OH!$B$2:$B$62)*(OH!M$2:M$62))</f>
        <v>29914.417458333333</v>
      </c>
      <c r="L8" s="30">
        <f>SUMPRODUCT(($A8=OH!$B$2:$B$62)*(OH!N$2:N$62))</f>
        <v>29779.417458333333</v>
      </c>
      <c r="M8" s="30">
        <f>SUMPRODUCT(($A8=OH!$B$2:$B$62)*(OH!O$2:O$62))</f>
        <v>25974.764020833332</v>
      </c>
      <c r="N8" s="30">
        <f>SUMPRODUCT(($A8=OH!$B$2:$B$62)*(OH!P$2:P$62))</f>
        <v>30135.486770833333</v>
      </c>
      <c r="AB8" s="39"/>
      <c r="AC8" s="39"/>
      <c r="AD8" s="39"/>
      <c r="AE8" s="39"/>
      <c r="AF8" s="39"/>
      <c r="AG8" s="39"/>
      <c r="AH8" s="39"/>
      <c r="AI8" s="39"/>
      <c r="AJ8" s="39"/>
      <c r="AK8" s="32"/>
      <c r="AL8" s="32"/>
    </row>
    <row r="9" spans="1:38">
      <c r="A9" s="122" t="s">
        <v>10</v>
      </c>
      <c r="C9" s="30">
        <f>SUMPRODUCT(($A9=OH!$B$2:$B$62)*(OH!E$2:E$62))</f>
        <v>5666.666666666667</v>
      </c>
      <c r="D9" s="30">
        <f>SUMPRODUCT(($A9=OH!$B$2:$B$62)*(OH!F$2:F$62))</f>
        <v>3166.666666666667</v>
      </c>
      <c r="E9" s="30">
        <f>SUMPRODUCT(($A9=OH!$B$2:$B$62)*(OH!G$2:G$62))</f>
        <v>3166.666666666667</v>
      </c>
      <c r="F9" s="30">
        <f>SUMPRODUCT(($A9=OH!$B$2:$B$62)*(OH!H$2:H$62))</f>
        <v>5666.666666666667</v>
      </c>
      <c r="G9" s="30">
        <f>SUMPRODUCT(($A9=OH!$B$2:$B$62)*(OH!I$2:I$62))</f>
        <v>3166.666666666667</v>
      </c>
      <c r="H9" s="30">
        <f>SUMPRODUCT(($A9=OH!$B$2:$B$62)*(OH!J$2:J$62))</f>
        <v>3166.666666666667</v>
      </c>
      <c r="I9" s="30">
        <f>SUMPRODUCT(($A9=OH!$B$2:$B$62)*(OH!K$2:K$62))</f>
        <v>5666.666666666667</v>
      </c>
      <c r="J9" s="30">
        <f>SUMPRODUCT(($A9=OH!$B$2:$B$62)*(OH!L$2:L$62))</f>
        <v>3166.666666666667</v>
      </c>
      <c r="K9" s="30">
        <f>SUMPRODUCT(($A9=OH!$B$2:$B$62)*(OH!M$2:M$62))</f>
        <v>3166.666666666667</v>
      </c>
      <c r="L9" s="30">
        <f>SUMPRODUCT(($A9=OH!$B$2:$B$62)*(OH!N$2:N$62))</f>
        <v>5666.666666666667</v>
      </c>
      <c r="M9" s="30">
        <f>SUMPRODUCT(($A9=OH!$B$2:$B$62)*(OH!O$2:O$62))</f>
        <v>3166.666666666667</v>
      </c>
      <c r="N9" s="30">
        <f>SUMPRODUCT(($A9=OH!$B$2:$B$62)*(OH!P$2:P$62))</f>
        <v>3166.666666666667</v>
      </c>
      <c r="AB9" s="39"/>
      <c r="AC9" s="39"/>
      <c r="AD9" s="39"/>
      <c r="AE9" s="39"/>
      <c r="AF9" s="39"/>
      <c r="AG9" s="39"/>
      <c r="AH9" s="39"/>
      <c r="AI9" s="39"/>
      <c r="AJ9" s="39"/>
      <c r="AK9" s="32"/>
      <c r="AL9" s="32"/>
    </row>
    <row r="10" spans="1:38">
      <c r="A10" s="122" t="s">
        <v>463</v>
      </c>
      <c r="C10" s="30">
        <f>SUMPRODUCT(($A10=OH!$B$2:$B$62)*(OH!E$2:E$62))</f>
        <v>25804.166666666672</v>
      </c>
      <c r="D10" s="30">
        <f>SUMPRODUCT(($A10=OH!$B$2:$B$62)*(OH!F$2:F$62))</f>
        <v>28304.166666666668</v>
      </c>
      <c r="E10" s="30">
        <f>SUMPRODUCT(($A10=OH!$B$2:$B$62)*(OH!G$2:G$62))</f>
        <v>25804.166666666672</v>
      </c>
      <c r="F10" s="30">
        <f>SUMPRODUCT(($A10=OH!$B$2:$B$62)*(OH!H$2:H$62))</f>
        <v>25804.166666666672</v>
      </c>
      <c r="G10" s="30">
        <f>SUMPRODUCT(($A10=OH!$B$2:$B$62)*(OH!I$2:I$62))</f>
        <v>25804.166666666672</v>
      </c>
      <c r="H10" s="30">
        <f>SUMPRODUCT(($A10=OH!$B$2:$B$62)*(OH!J$2:J$62))</f>
        <v>25804.166666666672</v>
      </c>
      <c r="I10" s="30">
        <f>SUMPRODUCT(($A10=OH!$B$2:$B$62)*(OH!K$2:K$62))</f>
        <v>25804.166666666672</v>
      </c>
      <c r="J10" s="30">
        <f>SUMPRODUCT(($A10=OH!$B$2:$B$62)*(OH!L$2:L$62))</f>
        <v>25804.166666666672</v>
      </c>
      <c r="K10" s="30">
        <f>SUMPRODUCT(($A10=OH!$B$2:$B$62)*(OH!M$2:M$62))</f>
        <v>25804.166666666672</v>
      </c>
      <c r="L10" s="30">
        <f>SUMPRODUCT(($A10=OH!$B$2:$B$62)*(OH!N$2:N$62))</f>
        <v>25804.166666666672</v>
      </c>
      <c r="M10" s="30">
        <f>SUMPRODUCT(($A10=OH!$B$2:$B$62)*(OH!O$2:O$62))</f>
        <v>25804.166666666672</v>
      </c>
      <c r="N10" s="30">
        <f>SUMPRODUCT(($A10=OH!$B$2:$B$62)*(OH!P$2:P$62))</f>
        <v>25804.166666666672</v>
      </c>
      <c r="AB10" s="39"/>
      <c r="AC10" s="39"/>
      <c r="AD10" s="39"/>
      <c r="AE10" s="39"/>
      <c r="AF10" s="39"/>
      <c r="AG10" s="39"/>
      <c r="AH10" s="39"/>
      <c r="AI10" s="39"/>
      <c r="AJ10" s="39"/>
      <c r="AK10" s="32"/>
      <c r="AL10" s="32"/>
    </row>
    <row r="11" spans="1:38">
      <c r="A11" s="122" t="s">
        <v>448</v>
      </c>
      <c r="C11" s="30">
        <f>SUMPRODUCT(($A11=OH!$B$2:$B$62)*(OH!E$2:E$62))</f>
        <v>19000</v>
      </c>
      <c r="D11" s="30">
        <f>SUMPRODUCT(($A11=OH!$B$2:$B$62)*(OH!F$2:F$62))</f>
        <v>0</v>
      </c>
      <c r="E11" s="30">
        <f>SUMPRODUCT(($A11=OH!$B$2:$B$62)*(OH!G$2:G$62))</f>
        <v>0</v>
      </c>
      <c r="F11" s="30">
        <f>SUMPRODUCT(($A11=OH!$B$2:$B$62)*(OH!H$2:H$62))</f>
        <v>0</v>
      </c>
      <c r="G11" s="30">
        <f>SUMPRODUCT(($A11=OH!$B$2:$B$62)*(OH!I$2:I$62))</f>
        <v>0</v>
      </c>
      <c r="H11" s="30">
        <f>SUMPRODUCT(($A11=OH!$B$2:$B$62)*(OH!J$2:J$62))</f>
        <v>0</v>
      </c>
      <c r="I11" s="30">
        <f>SUMPRODUCT(($A11=OH!$B$2:$B$62)*(OH!K$2:K$62))</f>
        <v>0</v>
      </c>
      <c r="J11" s="30">
        <f>SUMPRODUCT(($A11=OH!$B$2:$B$62)*(OH!L$2:L$62))</f>
        <v>0</v>
      </c>
      <c r="K11" s="30">
        <f>SUMPRODUCT(($A11=OH!$B$2:$B$62)*(OH!M$2:M$62))</f>
        <v>0</v>
      </c>
      <c r="L11" s="30">
        <f>SUMPRODUCT(($A11=OH!$B$2:$B$62)*(OH!N$2:N$62))</f>
        <v>0</v>
      </c>
      <c r="M11" s="30">
        <f>SUMPRODUCT(($A11=OH!$B$2:$B$62)*(OH!O$2:O$62))</f>
        <v>0</v>
      </c>
      <c r="N11" s="30">
        <f>SUMPRODUCT(($A11=OH!$B$2:$B$62)*(OH!P$2:P$62))</f>
        <v>0</v>
      </c>
      <c r="AB11" s="39"/>
      <c r="AC11" s="39"/>
      <c r="AD11" s="39"/>
      <c r="AE11" s="39"/>
      <c r="AF11" s="39"/>
      <c r="AG11" s="39"/>
      <c r="AH11" s="39"/>
      <c r="AI11" s="39"/>
      <c r="AJ11" s="39"/>
      <c r="AK11" s="32"/>
      <c r="AL11" s="32"/>
    </row>
    <row r="12" spans="1:38">
      <c r="A12" s="122" t="s">
        <v>480</v>
      </c>
      <c r="C12" s="30">
        <f>SUMPRODUCT(($A12=OH!$B$2:$B$62)*(OH!E$2:E$62))</f>
        <v>28611.666666666668</v>
      </c>
      <c r="D12" s="30">
        <f>SUMPRODUCT(($A12=OH!$B$2:$B$62)*(OH!F$2:F$62))</f>
        <v>28611.666666666668</v>
      </c>
      <c r="E12" s="30">
        <f>SUMPRODUCT(($A12=OH!$B$2:$B$62)*(OH!G$2:G$62))</f>
        <v>30751.666666666668</v>
      </c>
      <c r="F12" s="30">
        <f>SUMPRODUCT(($A12=OH!$B$2:$B$62)*(OH!H$2:H$62))</f>
        <v>30751.666666666668</v>
      </c>
      <c r="G12" s="30">
        <f>SUMPRODUCT(($A12=OH!$B$2:$B$62)*(OH!I$2:I$62))</f>
        <v>33961.666666666672</v>
      </c>
      <c r="H12" s="30">
        <f>SUMPRODUCT(($A12=OH!$B$2:$B$62)*(OH!J$2:J$62))</f>
        <v>33961.666666666672</v>
      </c>
      <c r="I12" s="30">
        <f>SUMPRODUCT(($A12=OH!$B$2:$B$62)*(OH!K$2:K$62))</f>
        <v>33961.666666666672</v>
      </c>
      <c r="J12" s="30">
        <f>SUMPRODUCT(($A12=OH!$B$2:$B$62)*(OH!L$2:L$62))</f>
        <v>33961.666666666672</v>
      </c>
      <c r="K12" s="30">
        <f>SUMPRODUCT(($A12=OH!$B$2:$B$62)*(OH!M$2:M$62))</f>
        <v>33961.666666666672</v>
      </c>
      <c r="L12" s="30">
        <f>SUMPRODUCT(($A12=OH!$B$2:$B$62)*(OH!N$2:N$62))</f>
        <v>33961.666666666672</v>
      </c>
      <c r="M12" s="30">
        <f>SUMPRODUCT(($A12=OH!$B$2:$B$62)*(OH!O$2:O$62))</f>
        <v>28611.666666666668</v>
      </c>
      <c r="N12" s="30">
        <f>SUMPRODUCT(($A12=OH!$B$2:$B$62)*(OH!P$2:P$62))</f>
        <v>32891.666666666672</v>
      </c>
      <c r="AB12" s="39"/>
      <c r="AC12" s="39"/>
      <c r="AD12" s="39"/>
      <c r="AE12" s="39"/>
      <c r="AF12" s="39"/>
      <c r="AG12" s="39"/>
      <c r="AH12" s="39"/>
      <c r="AI12" s="39"/>
      <c r="AJ12" s="39"/>
      <c r="AK12" s="32"/>
      <c r="AL12" s="32"/>
    </row>
    <row r="13" spans="1:38">
      <c r="A13" s="122" t="s">
        <v>443</v>
      </c>
      <c r="C13" s="30">
        <f>SUMPRODUCT(($A13=OH!$B$2:$B$62)*(OH!E$2:E$62))</f>
        <v>25416.666666666668</v>
      </c>
      <c r="D13" s="30">
        <f>SUMPRODUCT(($A13=OH!$B$2:$B$62)*(OH!F$2:F$62))</f>
        <v>416.66666666666669</v>
      </c>
      <c r="E13" s="30">
        <f>SUMPRODUCT(($A13=OH!$B$2:$B$62)*(OH!G$2:G$62))</f>
        <v>416.66666666666669</v>
      </c>
      <c r="F13" s="30">
        <f>SUMPRODUCT(($A13=OH!$B$2:$B$62)*(OH!H$2:H$62))</f>
        <v>25416.666666666668</v>
      </c>
      <c r="G13" s="30">
        <f>SUMPRODUCT(($A13=OH!$B$2:$B$62)*(OH!I$2:I$62))</f>
        <v>416.66666666666669</v>
      </c>
      <c r="H13" s="30">
        <f>SUMPRODUCT(($A13=OH!$B$2:$B$62)*(OH!J$2:J$62))</f>
        <v>416.66666666666669</v>
      </c>
      <c r="I13" s="30">
        <f>SUMPRODUCT(($A13=OH!$B$2:$B$62)*(OH!K$2:K$62))</f>
        <v>25416.666666666668</v>
      </c>
      <c r="J13" s="30">
        <f>SUMPRODUCT(($A13=OH!$B$2:$B$62)*(OH!L$2:L$62))</f>
        <v>416.66666666666669</v>
      </c>
      <c r="K13" s="30">
        <f>SUMPRODUCT(($A13=OH!$B$2:$B$62)*(OH!M$2:M$62))</f>
        <v>416.66666666666669</v>
      </c>
      <c r="L13" s="30">
        <f>SUMPRODUCT(($A13=OH!$B$2:$B$62)*(OH!N$2:N$62))</f>
        <v>25416.666666666668</v>
      </c>
      <c r="M13" s="30">
        <f>SUMPRODUCT(($A13=OH!$B$2:$B$62)*(OH!O$2:O$62))</f>
        <v>416.66666666666669</v>
      </c>
      <c r="N13" s="30">
        <f>SUMPRODUCT(($A13=OH!$B$2:$B$62)*(OH!P$2:P$62))</f>
        <v>416.66666666666669</v>
      </c>
      <c r="AB13" s="39"/>
      <c r="AC13" s="39"/>
      <c r="AD13" s="39"/>
      <c r="AE13" s="39"/>
      <c r="AF13" s="39"/>
      <c r="AG13" s="39"/>
      <c r="AH13" s="39"/>
      <c r="AI13" s="39"/>
      <c r="AJ13" s="39"/>
      <c r="AK13" s="32"/>
      <c r="AL13" s="32"/>
    </row>
    <row r="14" spans="1:38" s="36" customFormat="1">
      <c r="A14" s="34" t="s">
        <v>8</v>
      </c>
      <c r="B14" s="31"/>
      <c r="C14" s="40">
        <f t="shared" ref="C14:N14" si="2">SUM(C8:C13)</f>
        <v>134223.93068750002</v>
      </c>
      <c r="D14" s="40">
        <f t="shared" si="2"/>
        <v>86473.930687500004</v>
      </c>
      <c r="E14" s="40">
        <f t="shared" si="2"/>
        <v>86481.792062500012</v>
      </c>
      <c r="F14" s="40">
        <f t="shared" si="2"/>
        <v>115771.79206250001</v>
      </c>
      <c r="G14" s="40">
        <f t="shared" si="2"/>
        <v>94763.584125000008</v>
      </c>
      <c r="H14" s="40">
        <f t="shared" si="2"/>
        <v>93263.584125000008</v>
      </c>
      <c r="I14" s="40">
        <f t="shared" si="2"/>
        <v>127168.58412500002</v>
      </c>
      <c r="J14" s="40">
        <f t="shared" si="2"/>
        <v>95918.584125000008</v>
      </c>
      <c r="K14" s="40">
        <f t="shared" si="2"/>
        <v>93263.584125000008</v>
      </c>
      <c r="L14" s="40">
        <f t="shared" si="2"/>
        <v>120628.58412500001</v>
      </c>
      <c r="M14" s="40">
        <f t="shared" si="2"/>
        <v>83973.930687500018</v>
      </c>
      <c r="N14" s="40">
        <f t="shared" si="2"/>
        <v>92414.653437500019</v>
      </c>
      <c r="AB14" s="37"/>
      <c r="AC14" s="37"/>
      <c r="AD14" s="37"/>
      <c r="AE14" s="37"/>
      <c r="AF14" s="37"/>
      <c r="AG14" s="37"/>
      <c r="AH14" s="37"/>
      <c r="AI14" s="37"/>
      <c r="AJ14" s="37"/>
      <c r="AK14" s="38"/>
      <c r="AL14" s="38"/>
    </row>
    <row r="15" spans="1:38"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AB15" s="39"/>
      <c r="AC15" s="39"/>
      <c r="AD15" s="39"/>
      <c r="AE15" s="39"/>
      <c r="AF15" s="39"/>
      <c r="AG15" s="39"/>
      <c r="AH15" s="39"/>
      <c r="AI15" s="39"/>
      <c r="AJ15" s="39"/>
      <c r="AK15" s="32"/>
      <c r="AL15" s="32"/>
    </row>
    <row r="16" spans="1:38" s="36" customFormat="1">
      <c r="A16" s="34" t="s">
        <v>7</v>
      </c>
      <c r="B16" s="31"/>
      <c r="C16" s="93">
        <f t="shared" ref="C16:N16" si="3">C6-C14</f>
        <v>-87230.105062500021</v>
      </c>
      <c r="D16" s="93">
        <f t="shared" si="3"/>
        <v>-39480.105062499999</v>
      </c>
      <c r="E16" s="93">
        <f t="shared" si="3"/>
        <v>5543.140169642822</v>
      </c>
      <c r="F16" s="93">
        <f t="shared" si="3"/>
        <v>25209.684812499981</v>
      </c>
      <c r="G16" s="93">
        <f t="shared" si="3"/>
        <v>89286.280339285659</v>
      </c>
      <c r="H16" s="93">
        <f t="shared" si="3"/>
        <v>90786.280339285659</v>
      </c>
      <c r="I16" s="93">
        <f t="shared" si="3"/>
        <v>93598.688821428543</v>
      </c>
      <c r="J16" s="93">
        <f t="shared" si="3"/>
        <v>124848.68882142856</v>
      </c>
      <c r="K16" s="93">
        <f t="shared" si="3"/>
        <v>90786.280339285659</v>
      </c>
      <c r="L16" s="93">
        <f t="shared" si="3"/>
        <v>51182.144178571456</v>
      </c>
      <c r="M16" s="93">
        <f t="shared" si="3"/>
        <v>-36980.105062500013</v>
      </c>
      <c r="N16" s="93">
        <f t="shared" si="3"/>
        <v>105837.0662053571</v>
      </c>
      <c r="AB16" s="37"/>
      <c r="AC16" s="37"/>
      <c r="AD16" s="37"/>
      <c r="AE16" s="37"/>
      <c r="AF16" s="37"/>
      <c r="AG16" s="37"/>
      <c r="AH16" s="37"/>
      <c r="AI16" s="37"/>
      <c r="AJ16" s="37"/>
      <c r="AK16" s="38"/>
      <c r="AL16" s="38"/>
    </row>
    <row r="17" spans="1:41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AB17" s="39"/>
      <c r="AC17" s="39"/>
      <c r="AD17" s="39"/>
      <c r="AE17" s="39"/>
      <c r="AF17" s="39"/>
      <c r="AG17" s="39"/>
      <c r="AH17" s="39"/>
      <c r="AI17" s="39"/>
      <c r="AJ17" s="39"/>
      <c r="AK17" s="32"/>
      <c r="AL17" s="32"/>
    </row>
    <row r="18" spans="1:41">
      <c r="A18" s="29" t="s">
        <v>0</v>
      </c>
      <c r="C18" s="43">
        <f>Balances!C62</f>
        <v>41250</v>
      </c>
      <c r="D18" s="43">
        <f>Balances!D62</f>
        <v>41138.888888888883</v>
      </c>
      <c r="E18" s="43">
        <f>Balances!E62</f>
        <v>44989.81481481481</v>
      </c>
      <c r="F18" s="43">
        <f>Balances!F62</f>
        <v>44885.987654320983</v>
      </c>
      <c r="G18" s="43">
        <f>Balances!G62</f>
        <v>44785.621399176947</v>
      </c>
      <c r="H18" s="43">
        <f>Balances!H62</f>
        <v>44688.600685871046</v>
      </c>
      <c r="I18" s="43">
        <f>Balances!I62</f>
        <v>44594.813996342011</v>
      </c>
      <c r="J18" s="43">
        <f>Balances!J62</f>
        <v>45170.820196463952</v>
      </c>
      <c r="K18" s="43">
        <f>Balances!K62</f>
        <v>45083.181745470705</v>
      </c>
      <c r="L18" s="43">
        <f>Balances!L62</f>
        <v>44998.464576177241</v>
      </c>
      <c r="M18" s="43">
        <f>Balances!M62</f>
        <v>44916.571312526889</v>
      </c>
      <c r="N18" s="43">
        <f>Balances!N62</f>
        <v>44837.407824331545</v>
      </c>
      <c r="AB18" s="39"/>
      <c r="AC18" s="39"/>
      <c r="AD18" s="39"/>
      <c r="AE18" s="39"/>
      <c r="AF18" s="39"/>
      <c r="AG18" s="39"/>
      <c r="AH18" s="39"/>
      <c r="AI18" s="39"/>
      <c r="AJ18" s="39"/>
      <c r="AK18" s="32"/>
      <c r="AL18" s="32"/>
    </row>
    <row r="19" spans="1:41" s="36" customFormat="1">
      <c r="A19" s="34" t="s">
        <v>11</v>
      </c>
      <c r="B19" s="31"/>
      <c r="C19" s="42">
        <f t="shared" ref="C19:N19" si="4">C16-C18</f>
        <v>-128480.10506250002</v>
      </c>
      <c r="D19" s="42">
        <f t="shared" si="4"/>
        <v>-80618.993951388882</v>
      </c>
      <c r="E19" s="42">
        <f t="shared" si="4"/>
        <v>-39446.674645171988</v>
      </c>
      <c r="F19" s="42">
        <f t="shared" si="4"/>
        <v>-19676.302841821001</v>
      </c>
      <c r="G19" s="42">
        <f t="shared" si="4"/>
        <v>44500.658940108711</v>
      </c>
      <c r="H19" s="42">
        <f t="shared" si="4"/>
        <v>46097.679653414612</v>
      </c>
      <c r="I19" s="42">
        <f t="shared" si="4"/>
        <v>49003.874825086532</v>
      </c>
      <c r="J19" s="42">
        <f t="shared" si="4"/>
        <v>79677.868624964613</v>
      </c>
      <c r="K19" s="42">
        <f t="shared" si="4"/>
        <v>45703.098593814953</v>
      </c>
      <c r="L19" s="42">
        <f t="shared" si="4"/>
        <v>6183.6796023942152</v>
      </c>
      <c r="M19" s="42">
        <f t="shared" si="4"/>
        <v>-81896.676375026902</v>
      </c>
      <c r="N19" s="42">
        <f t="shared" si="4"/>
        <v>60999.658381025554</v>
      </c>
      <c r="AB19" s="37"/>
      <c r="AC19" s="37"/>
      <c r="AD19" s="37"/>
      <c r="AE19" s="37"/>
      <c r="AF19" s="37"/>
      <c r="AG19" s="37"/>
      <c r="AH19" s="37"/>
      <c r="AI19" s="37"/>
      <c r="AJ19" s="37"/>
      <c r="AK19" s="38"/>
      <c r="AL19" s="38"/>
    </row>
    <row r="20" spans="1:41"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AB20" s="39"/>
      <c r="AC20" s="39"/>
      <c r="AD20" s="39"/>
      <c r="AE20" s="39"/>
      <c r="AF20" s="39"/>
      <c r="AG20" s="39"/>
      <c r="AH20" s="39"/>
      <c r="AI20" s="39"/>
      <c r="AJ20" s="39"/>
      <c r="AK20" s="32"/>
      <c r="AL20" s="32"/>
    </row>
    <row r="21" spans="1:41">
      <c r="A21" s="29" t="s">
        <v>12</v>
      </c>
      <c r="C21" s="30">
        <f>SUM(Leases!E13,Leases!E31,XLease!E12)</f>
        <v>0</v>
      </c>
      <c r="D21" s="30">
        <f>SUM(Leases!F13,Leases!F31,XLease!F12)</f>
        <v>0</v>
      </c>
      <c r="E21" s="30">
        <f>SUM(Leases!G13,Leases!G31,XLease!G12)</f>
        <v>0</v>
      </c>
      <c r="F21" s="30">
        <f>SUM(Leases!H13,Leases!H31,XLease!H12)</f>
        <v>0</v>
      </c>
      <c r="G21" s="30">
        <f>SUM(Leases!I13,Leases!I31,XLease!I12)</f>
        <v>0</v>
      </c>
      <c r="H21" s="30">
        <f>SUM(Leases!J13,Leases!J31,XLease!J12)</f>
        <v>0</v>
      </c>
      <c r="I21" s="30">
        <f>SUM(Leases!K13,Leases!K31,XLease!K12)</f>
        <v>0</v>
      </c>
      <c r="J21" s="30">
        <f>SUM(Leases!L13,Leases!L31,XLease!L12)</f>
        <v>0</v>
      </c>
      <c r="K21" s="30">
        <f>SUM(Leases!M13,Leases!M31,XLease!M12)</f>
        <v>0</v>
      </c>
      <c r="L21" s="30">
        <f>SUM(Leases!N13,Leases!N31,XLease!N12)</f>
        <v>0</v>
      </c>
      <c r="M21" s="30">
        <f>SUM(Leases!O13,Leases!O31,XLease!O12)</f>
        <v>0</v>
      </c>
      <c r="N21" s="30">
        <f>SUM(Leases!P13,Leases!P31,XLease!P12)</f>
        <v>0</v>
      </c>
      <c r="AB21" s="39"/>
      <c r="AC21" s="39"/>
      <c r="AD21" s="39"/>
      <c r="AE21" s="39"/>
      <c r="AF21" s="39"/>
      <c r="AG21" s="39"/>
      <c r="AH21" s="39"/>
      <c r="AI21" s="39"/>
      <c r="AJ21" s="39"/>
      <c r="AK21" s="32"/>
      <c r="AL21" s="32"/>
    </row>
    <row r="22" spans="1:41">
      <c r="A22" s="29" t="s">
        <v>163</v>
      </c>
      <c r="C22" s="30">
        <f>SUM(Loans!E15,Loans!E35,Loans!E49,XLoan!F35)</f>
        <v>666.66666666666663</v>
      </c>
      <c r="D22" s="30">
        <f>SUM(Loans!F15,Loans!F35,Loans!F49,XLoan!G35)</f>
        <v>2229.1666666666665</v>
      </c>
      <c r="E22" s="30">
        <f>SUM(Loans!G15,Loans!G35,Loans!G49,XLoan!H35)</f>
        <v>2168.6204281485029</v>
      </c>
      <c r="F22" s="30">
        <f>SUM(Loans!H15,Loans!H35,Loans!H49,XLoan!I35)</f>
        <v>2079.9179978618236</v>
      </c>
      <c r="G22" s="30">
        <f>SUM(Loans!I15,Loans!I35,Loans!I49,XLoan!J35)</f>
        <v>1990.8347884969635</v>
      </c>
      <c r="H22" s="30">
        <f>SUM(Loans!J15,Loans!J35,Loans!J49,XLoan!K35)</f>
        <v>1901.3684201846841</v>
      </c>
      <c r="I22" s="30">
        <f>SUM(Loans!K15,Loans!K35,Loans!K49,XLoan!L35)</f>
        <v>1811.5164981815637</v>
      </c>
      <c r="J22" s="30">
        <f>SUM(Loans!L15,Loans!L35,Loans!L49,XLoan!M35)</f>
        <v>1721.2766127770351</v>
      </c>
      <c r="K22" s="30">
        <f>SUM(Loans!M15,Loans!M35,Loans!M49,XLoan!N35)</f>
        <v>1630.6463391998395</v>
      </c>
      <c r="L22" s="30">
        <f>SUM(Loans!N15,Loans!N35,Loans!N49,XLoan!O35)</f>
        <v>1539.6232375238974</v>
      </c>
      <c r="M22" s="30">
        <f>SUM(Loans!O15,Loans!O35,Loans!O49,XLoan!P35)</f>
        <v>1448.2048525735916</v>
      </c>
      <c r="N22" s="30">
        <f>SUM(Loans!P15,Loans!P35,Loans!P49,XLoan!Q35)</f>
        <v>1356.3887138284576</v>
      </c>
      <c r="AB22" s="39"/>
      <c r="AC22" s="39"/>
      <c r="AD22" s="39"/>
      <c r="AE22" s="39"/>
      <c r="AF22" s="39"/>
      <c r="AG22" s="39"/>
      <c r="AH22" s="39"/>
      <c r="AI22" s="39"/>
      <c r="AJ22" s="39"/>
      <c r="AK22" s="32"/>
      <c r="AL22" s="32"/>
    </row>
    <row r="23" spans="1:41">
      <c r="A23" s="29" t="s">
        <v>288</v>
      </c>
      <c r="C23" s="30">
        <f>-Cash!C35</f>
        <v>166.66666666666666</v>
      </c>
      <c r="D23" s="30">
        <f>-Cash!D35</f>
        <v>0</v>
      </c>
      <c r="E23" s="30">
        <f>-Cash!E35</f>
        <v>0</v>
      </c>
      <c r="F23" s="30">
        <f>-Cash!F35</f>
        <v>2378.9233226263741</v>
      </c>
      <c r="G23" s="30">
        <f>-Cash!G35</f>
        <v>2314.4154709447171</v>
      </c>
      <c r="H23" s="30">
        <f>-Cash!H35</f>
        <v>1746.3914120134102</v>
      </c>
      <c r="I23" s="30">
        <f>-Cash!I35</f>
        <v>1278.7257194998429</v>
      </c>
      <c r="J23" s="30">
        <f>-Cash!J35</f>
        <v>567.68309014840634</v>
      </c>
      <c r="K23" s="30">
        <f>-Cash!K35</f>
        <v>270.64200162508422</v>
      </c>
      <c r="L23" s="30">
        <f>-Cash!L35</f>
        <v>0</v>
      </c>
      <c r="M23" s="30">
        <f>-Cash!M35</f>
        <v>0</v>
      </c>
      <c r="N23" s="30">
        <f>-Cash!N35</f>
        <v>80.327182303726772</v>
      </c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0"/>
      <c r="AN23" s="30"/>
      <c r="AO23" s="30"/>
    </row>
    <row r="24" spans="1:41">
      <c r="A24" s="29" t="s">
        <v>136</v>
      </c>
      <c r="C24" s="95">
        <f t="shared" ref="C24:N24" si="5">SUM(C21:C23)</f>
        <v>833.33333333333326</v>
      </c>
      <c r="D24" s="95">
        <f t="shared" si="5"/>
        <v>2229.1666666666665</v>
      </c>
      <c r="E24" s="95">
        <f t="shared" si="5"/>
        <v>2168.6204281485029</v>
      </c>
      <c r="F24" s="95">
        <f t="shared" si="5"/>
        <v>4458.8413204881981</v>
      </c>
      <c r="G24" s="95">
        <f t="shared" si="5"/>
        <v>4305.2502594416801</v>
      </c>
      <c r="H24" s="95">
        <f t="shared" si="5"/>
        <v>3647.759832198094</v>
      </c>
      <c r="I24" s="95">
        <f t="shared" si="5"/>
        <v>3090.2422176814066</v>
      </c>
      <c r="J24" s="95">
        <f t="shared" si="5"/>
        <v>2288.9597029254414</v>
      </c>
      <c r="K24" s="95">
        <f t="shared" si="5"/>
        <v>1901.2883408249238</v>
      </c>
      <c r="L24" s="95">
        <f t="shared" si="5"/>
        <v>1539.6232375238974</v>
      </c>
      <c r="M24" s="95">
        <f t="shared" si="5"/>
        <v>1448.2048525735916</v>
      </c>
      <c r="N24" s="95">
        <f t="shared" si="5"/>
        <v>1436.7158961321843</v>
      </c>
      <c r="AB24" s="39"/>
      <c r="AC24" s="39"/>
      <c r="AD24" s="39"/>
      <c r="AE24" s="39"/>
      <c r="AF24" s="39"/>
      <c r="AG24" s="39"/>
      <c r="AH24" s="39"/>
      <c r="AI24" s="39"/>
      <c r="AJ24" s="39"/>
      <c r="AK24" s="32"/>
      <c r="AL24" s="32"/>
    </row>
    <row r="25" spans="1:41"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AB25" s="39"/>
      <c r="AC25" s="39"/>
      <c r="AD25" s="39"/>
      <c r="AE25" s="39"/>
      <c r="AF25" s="39"/>
      <c r="AG25" s="39"/>
      <c r="AH25" s="39"/>
      <c r="AI25" s="39"/>
      <c r="AJ25" s="39"/>
      <c r="AK25" s="32"/>
      <c r="AL25" s="32"/>
    </row>
    <row r="26" spans="1:41" s="36" customFormat="1">
      <c r="A26" s="34" t="s">
        <v>13</v>
      </c>
      <c r="B26" s="31"/>
      <c r="C26" s="42">
        <f t="shared" ref="C26:N26" si="6">C19-C24</f>
        <v>-129313.43839583335</v>
      </c>
      <c r="D26" s="42">
        <f t="shared" si="6"/>
        <v>-82848.160618055554</v>
      </c>
      <c r="E26" s="42">
        <f t="shared" si="6"/>
        <v>-41615.295073320493</v>
      </c>
      <c r="F26" s="42">
        <f t="shared" si="6"/>
        <v>-24135.1441623092</v>
      </c>
      <c r="G26" s="42">
        <f t="shared" si="6"/>
        <v>40195.408680667031</v>
      </c>
      <c r="H26" s="42">
        <f t="shared" si="6"/>
        <v>42449.919821216521</v>
      </c>
      <c r="I26" s="42">
        <f t="shared" si="6"/>
        <v>45913.632607405125</v>
      </c>
      <c r="J26" s="42">
        <f t="shared" si="6"/>
        <v>77388.908922039176</v>
      </c>
      <c r="K26" s="42">
        <f t="shared" si="6"/>
        <v>43801.810252990028</v>
      </c>
      <c r="L26" s="42">
        <f t="shared" si="6"/>
        <v>4644.0563648703173</v>
      </c>
      <c r="M26" s="42">
        <f t="shared" si="6"/>
        <v>-83344.88122760049</v>
      </c>
      <c r="N26" s="42">
        <f t="shared" si="6"/>
        <v>59562.94248489337</v>
      </c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41"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AB27" s="30"/>
      <c r="AC27" s="30"/>
      <c r="AD27" s="30"/>
      <c r="AE27" s="30"/>
      <c r="AF27" s="30"/>
      <c r="AG27" s="30"/>
      <c r="AH27" s="30"/>
      <c r="AI27" s="30"/>
      <c r="AJ27" s="30"/>
    </row>
    <row r="28" spans="1:41">
      <c r="A28" s="29" t="s">
        <v>6</v>
      </c>
      <c r="C28" s="30">
        <f>IF(SUM($C26:C26)&gt;0,(SUM($C$26:C26)*
IF(YEAR(C$3)=2013,CorpTax,CorpTax2)
)-SUM($B$28:B28),MIN(-SUM($B$28:B28),0))</f>
        <v>0</v>
      </c>
      <c r="D28" s="30">
        <f>IF(SUM($C26:D26)&gt;0,(SUM($C$26:D26)*
IF(YEAR(D$3)=2013,CorpTax,CorpTax2)
)-SUM($B$28:C28),MIN(-SUM($B$28:C28),0))</f>
        <v>0</v>
      </c>
      <c r="E28" s="30">
        <f>IF(SUM($C26:E26)&gt;0,(SUM($C$26:E26)*
IF(YEAR(E$3)=2013,CorpTax,CorpTax2)
)-SUM($B$28:D28),MIN(-SUM($B$28:D28),0))</f>
        <v>0</v>
      </c>
      <c r="F28" s="30">
        <f>IF(SUM($C26:F26)&gt;0,(SUM($C$26:F26)*
IF(YEAR(F$3)=2013,CorpTax,CorpTax2)
)-SUM($B$28:E28),MIN(-SUM($B$28:E28),0))</f>
        <v>0</v>
      </c>
      <c r="G28" s="30">
        <f>IF(SUM($C26:G26)&gt;0,(SUM($C$26:G26)*
IF(YEAR(G$3)=2013,CorpTax,CorpTax2)
)-SUM($B$28:F28),MIN(-SUM($B$28:F28),0))</f>
        <v>0</v>
      </c>
      <c r="H28" s="30">
        <f>IF(SUM($C26:H26)&gt;0,(SUM($C$26:H26)*
IF(YEAR(H$3)=2013,CorpTax,CorpTax2)
)-SUM($B$28:G28),MIN(-SUM($B$28:G28),0))</f>
        <v>0</v>
      </c>
      <c r="I28" s="30">
        <f>IF(SUM($C26:I26)&gt;0,(SUM($C$26:I26)*
IF(YEAR(I$3)=2013,CorpTax,CorpTax2)
)-SUM($B$28:H28),MIN(-SUM($B$28:H28),0))</f>
        <v>0</v>
      </c>
      <c r="J28" s="30">
        <f>IF(SUM($C26:J26)&gt;0,(SUM($C$26:J26)*
IF(YEAR(J$3)=2013,CorpTax,CorpTax2)
)-SUM($B$28:I28),MIN(-SUM($B$28:I28),0))</f>
        <v>0</v>
      </c>
      <c r="K28" s="30">
        <f>IF(SUM($C26:K26)&gt;0,(SUM($C$26:K26)*
IF(YEAR(K$3)=2013,CorpTax,CorpTax2)
)-SUM($B$28:J28),MIN(-SUM($B$28:J28),0))</f>
        <v>0</v>
      </c>
      <c r="L28" s="30">
        <f>IF(SUM($C26:L26)&gt;0,(SUM($C$26:L26)*
IF(YEAR(L$3)=2013,CorpTax,CorpTax2)
)-SUM($B$28:K28),MIN(-SUM($B$28:K28),0))</f>
        <v>0</v>
      </c>
      <c r="M28" s="30">
        <f>IF(SUM($C26:M26)&gt;0,(SUM($C$26:M26)*
IF(YEAR(M$3)=2013,CorpTax,CorpTax2)
)-SUM($B$28:L28),MIN(-SUM($B$28:L28),0))</f>
        <v>0</v>
      </c>
      <c r="N28" s="30">
        <f>IF(SUM($C26:N26)&gt;0,(SUM($C$26:N26)*
IF(YEAR(N$3)=2013,CorpTax,CorpTax2)
)-SUM($B$28:M28),MIN(-SUM($B$28:M28),0))</f>
        <v>0</v>
      </c>
      <c r="AB28" s="30"/>
      <c r="AC28" s="30"/>
      <c r="AD28" s="30"/>
      <c r="AE28" s="30"/>
      <c r="AF28" s="30"/>
      <c r="AG28" s="30"/>
      <c r="AH28" s="30"/>
      <c r="AI28" s="30"/>
      <c r="AJ28" s="30"/>
    </row>
    <row r="29" spans="1:41" s="36" customFormat="1">
      <c r="A29" s="34" t="s">
        <v>14</v>
      </c>
      <c r="B29" s="31"/>
      <c r="C29" s="40">
        <f t="shared" ref="C29:N29" si="7">C26-C28</f>
        <v>-129313.43839583335</v>
      </c>
      <c r="D29" s="40">
        <f t="shared" si="7"/>
        <v>-82848.160618055554</v>
      </c>
      <c r="E29" s="40">
        <f t="shared" si="7"/>
        <v>-41615.295073320493</v>
      </c>
      <c r="F29" s="40">
        <f t="shared" si="7"/>
        <v>-24135.1441623092</v>
      </c>
      <c r="G29" s="40">
        <f t="shared" si="7"/>
        <v>40195.408680667031</v>
      </c>
      <c r="H29" s="40">
        <f t="shared" si="7"/>
        <v>42449.919821216521</v>
      </c>
      <c r="I29" s="40">
        <f t="shared" si="7"/>
        <v>45913.632607405125</v>
      </c>
      <c r="J29" s="40">
        <f t="shared" si="7"/>
        <v>77388.908922039176</v>
      </c>
      <c r="K29" s="40">
        <f t="shared" si="7"/>
        <v>43801.810252990028</v>
      </c>
      <c r="L29" s="40">
        <f t="shared" si="7"/>
        <v>4644.0563648703173</v>
      </c>
      <c r="M29" s="40">
        <f t="shared" si="7"/>
        <v>-83344.88122760049</v>
      </c>
      <c r="N29" s="40">
        <f t="shared" si="7"/>
        <v>59562.94248489337</v>
      </c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41"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AB30" s="30"/>
      <c r="AC30" s="30"/>
      <c r="AD30" s="30"/>
      <c r="AE30" s="30"/>
      <c r="AF30" s="30"/>
      <c r="AG30" s="30"/>
      <c r="AH30" s="30"/>
      <c r="AI30" s="30"/>
      <c r="AJ30" s="30"/>
    </row>
    <row r="31" spans="1:41" ht="14.4" thickBot="1">
      <c r="A31" s="34" t="s">
        <v>110</v>
      </c>
      <c r="C31" s="44">
        <f>SUM($C$29:C29)</f>
        <v>-129313.43839583335</v>
      </c>
      <c r="D31" s="44">
        <f>SUM($C$29:D29)</f>
        <v>-212161.59901388892</v>
      </c>
      <c r="E31" s="44">
        <f>SUM($C$29:E29)</f>
        <v>-253776.89408720942</v>
      </c>
      <c r="F31" s="44">
        <f>SUM($C$29:F29)</f>
        <v>-277912.03824951861</v>
      </c>
      <c r="G31" s="44">
        <f>SUM($C$29:G29)</f>
        <v>-237716.62956885158</v>
      </c>
      <c r="H31" s="44">
        <f>SUM($C$29:H29)</f>
        <v>-195266.70974763506</v>
      </c>
      <c r="I31" s="44">
        <f>SUM($C$29:I29)</f>
        <v>-149353.07714022993</v>
      </c>
      <c r="J31" s="44">
        <f>SUM($C$29:J29)</f>
        <v>-71964.168218190753</v>
      </c>
      <c r="K31" s="44">
        <f>SUM($C$29:K29)</f>
        <v>-28162.357965200725</v>
      </c>
      <c r="L31" s="44">
        <f>SUM($C$29:L29)</f>
        <v>-23518.301600330407</v>
      </c>
      <c r="M31" s="44">
        <f>SUM($C$29:M29)</f>
        <v>-106863.1828279309</v>
      </c>
      <c r="N31" s="44">
        <f>SUM($C$29:N29)</f>
        <v>-47300.240343037527</v>
      </c>
      <c r="AB31" s="30"/>
      <c r="AC31" s="30"/>
      <c r="AD31" s="30"/>
      <c r="AE31" s="30"/>
      <c r="AF31" s="30"/>
      <c r="AG31" s="30"/>
      <c r="AH31" s="30"/>
      <c r="AI31" s="30"/>
      <c r="AJ31" s="30"/>
    </row>
    <row r="32" spans="1:41">
      <c r="A32" s="34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AB32" s="30"/>
      <c r="AC32" s="30"/>
      <c r="AD32" s="30"/>
      <c r="AE32" s="30"/>
      <c r="AF32" s="30"/>
      <c r="AG32" s="30"/>
      <c r="AH32" s="30"/>
      <c r="AI32" s="30"/>
      <c r="AJ32" s="30"/>
    </row>
    <row r="33" spans="1:36">
      <c r="A33" s="119" t="str">
        <f>'IP1'!$B$2</f>
        <v>XYZ Ltd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AB33" s="30"/>
      <c r="AC33" s="30"/>
      <c r="AD33" s="30"/>
      <c r="AE33" s="30"/>
      <c r="AF33" s="30"/>
      <c r="AG33" s="30"/>
      <c r="AH33" s="30"/>
      <c r="AI33" s="30"/>
      <c r="AJ33" s="30"/>
    </row>
    <row r="34" spans="1:36">
      <c r="A34" s="91" t="s">
        <v>255</v>
      </c>
      <c r="B34" s="91"/>
      <c r="C34" s="118">
        <f>DATEVALUE(1&amp;"/"&amp;'IP1'!$B$3&amp;"/"&amp;('IP1'!$B$4+2))-1</f>
        <v>42004</v>
      </c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AB34" s="30"/>
      <c r="AC34" s="30"/>
      <c r="AD34" s="30"/>
      <c r="AE34" s="30"/>
      <c r="AF34" s="30"/>
      <c r="AG34" s="30"/>
      <c r="AH34" s="30"/>
      <c r="AI34" s="30"/>
      <c r="AJ34" s="30"/>
    </row>
    <row r="35" spans="1:36">
      <c r="A35" s="25" t="s">
        <v>103</v>
      </c>
      <c r="B35" s="91"/>
      <c r="C35" s="13">
        <f>DATEVALUE(1&amp;"/"&amp;'IP1'!$B$3&amp;"/"&amp;('IP1'!$B$4+1))</f>
        <v>41640</v>
      </c>
      <c r="D35" s="13">
        <f>DATE(YEAR(C35),MONTH(C35)+1,1)</f>
        <v>41671</v>
      </c>
      <c r="E35" s="13">
        <f t="shared" ref="E35:N35" si="8">DATE(YEAR(D35),MONTH(D35)+1,1)</f>
        <v>41699</v>
      </c>
      <c r="F35" s="13">
        <f t="shared" si="8"/>
        <v>41730</v>
      </c>
      <c r="G35" s="13">
        <f t="shared" si="8"/>
        <v>41760</v>
      </c>
      <c r="H35" s="13">
        <f t="shared" si="8"/>
        <v>41791</v>
      </c>
      <c r="I35" s="13">
        <f t="shared" si="8"/>
        <v>41821</v>
      </c>
      <c r="J35" s="13">
        <f t="shared" si="8"/>
        <v>41852</v>
      </c>
      <c r="K35" s="13">
        <f t="shared" si="8"/>
        <v>41883</v>
      </c>
      <c r="L35" s="13">
        <f t="shared" si="8"/>
        <v>41913</v>
      </c>
      <c r="M35" s="13">
        <f t="shared" si="8"/>
        <v>41944</v>
      </c>
      <c r="N35" s="13">
        <f t="shared" si="8"/>
        <v>41974</v>
      </c>
      <c r="AA35" s="30"/>
      <c r="AB35" s="30"/>
      <c r="AC35" s="30"/>
      <c r="AD35" s="30"/>
      <c r="AE35" s="30"/>
      <c r="AF35" s="30"/>
      <c r="AG35" s="30"/>
      <c r="AH35" s="30"/>
      <c r="AI35" s="30"/>
      <c r="AJ35" s="30"/>
    </row>
    <row r="36" spans="1:36">
      <c r="A36" s="34" t="s">
        <v>29</v>
      </c>
      <c r="C36" s="35">
        <f>Sales!B19</f>
        <v>73723.695446428581</v>
      </c>
      <c r="D36" s="35">
        <f>Sales!C19</f>
        <v>73723.695446428581</v>
      </c>
      <c r="E36" s="35">
        <f>Sales!D19</f>
        <v>161335.30955357145</v>
      </c>
      <c r="F36" s="35">
        <f>Sales!E19</f>
        <v>221171.08633928574</v>
      </c>
      <c r="G36" s="35">
        <f>Sales!F19</f>
        <v>322670.61910714291</v>
      </c>
      <c r="H36" s="35">
        <f>Sales!G19</f>
        <v>322670.61910714291</v>
      </c>
      <c r="I36" s="35">
        <f>Sales!H19</f>
        <v>367547.45169642859</v>
      </c>
      <c r="J36" s="35">
        <f>Sales!I19</f>
        <v>367547.45169642859</v>
      </c>
      <c r="K36" s="35">
        <f>Sales!J19</f>
        <v>322670.61910714291</v>
      </c>
      <c r="L36" s="35">
        <f>Sales!K19</f>
        <v>307711.67491071427</v>
      </c>
      <c r="M36" s="35">
        <f>Sales!L19</f>
        <v>73723.695446428581</v>
      </c>
      <c r="N36" s="35">
        <f>Sales!M19</f>
        <v>323741.64464285719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</row>
    <row r="37" spans="1:36">
      <c r="A37" s="29" t="s">
        <v>9</v>
      </c>
      <c r="C37" s="30">
        <f>-Sales!B25</f>
        <v>-22630.487258928573</v>
      </c>
      <c r="D37" s="30">
        <f>-Sales!C25</f>
        <v>-22630.487258928573</v>
      </c>
      <c r="E37" s="30">
        <f>-Sales!D25</f>
        <v>-61907.884098214286</v>
      </c>
      <c r="F37" s="30">
        <f>-Sales!E25</f>
        <v>-67891.461776785713</v>
      </c>
      <c r="G37" s="30">
        <f>-Sales!F25</f>
        <v>-123815.76819642857</v>
      </c>
      <c r="H37" s="30">
        <f>-Sales!G25</f>
        <v>-123815.76819642857</v>
      </c>
      <c r="I37" s="30">
        <f>-Sales!H25</f>
        <v>-128303.45145535715</v>
      </c>
      <c r="J37" s="30">
        <f>-Sales!I25</f>
        <v>-128303.45145535715</v>
      </c>
      <c r="K37" s="30">
        <f>-Sales!J25</f>
        <v>-123815.76819642857</v>
      </c>
      <c r="L37" s="30">
        <f>-Sales!K25</f>
        <v>-122319.87377678571</v>
      </c>
      <c r="M37" s="30">
        <f>-Sales!L25</f>
        <v>-22630.487258928573</v>
      </c>
      <c r="N37" s="30">
        <f>-Sales!M25</f>
        <v>-108664.7530357143</v>
      </c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</row>
    <row r="38" spans="1:36">
      <c r="A38" s="34" t="s">
        <v>5</v>
      </c>
      <c r="C38" s="40">
        <f t="shared" ref="C38:N38" si="9">SUM(C36:C37)</f>
        <v>51093.208187500008</v>
      </c>
      <c r="D38" s="40">
        <f t="shared" si="9"/>
        <v>51093.208187500008</v>
      </c>
      <c r="E38" s="40">
        <f t="shared" si="9"/>
        <v>99427.425455357166</v>
      </c>
      <c r="F38" s="40">
        <f t="shared" si="9"/>
        <v>153279.62456250004</v>
      </c>
      <c r="G38" s="40">
        <f t="shared" si="9"/>
        <v>198854.85091071433</v>
      </c>
      <c r="H38" s="40">
        <f t="shared" si="9"/>
        <v>198854.85091071433</v>
      </c>
      <c r="I38" s="40">
        <f t="shared" si="9"/>
        <v>239244.00024107145</v>
      </c>
      <c r="J38" s="40">
        <f t="shared" si="9"/>
        <v>239244.00024107145</v>
      </c>
      <c r="K38" s="40">
        <f t="shared" si="9"/>
        <v>198854.85091071433</v>
      </c>
      <c r="L38" s="40">
        <f t="shared" si="9"/>
        <v>185391.80113392856</v>
      </c>
      <c r="M38" s="40">
        <f t="shared" si="9"/>
        <v>51093.208187500008</v>
      </c>
      <c r="N38" s="40">
        <f t="shared" si="9"/>
        <v>215076.8916071429</v>
      </c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36">
      <c r="A39" s="41" t="s">
        <v>1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36">
      <c r="A40" s="122" t="s">
        <v>155</v>
      </c>
      <c r="C40" s="30">
        <f>SUMPRODUCT(($A40=OH!$B$2:$B$62)*(OH!Q$2:Q$62))</f>
        <v>30830.490422916664</v>
      </c>
      <c r="D40" s="30">
        <f>SUMPRODUCT(($A40=OH!$B$2:$B$62)*(OH!R$2:R$62))</f>
        <v>27205.490422916664</v>
      </c>
      <c r="E40" s="30">
        <f>SUMPRODUCT(($A40=OH!$B$2:$B$62)*(OH!S$2:S$62))</f>
        <v>27608.137935416664</v>
      </c>
      <c r="F40" s="30">
        <f>SUMPRODUCT(($A40=OH!$B$2:$B$62)*(OH!T$2:T$62))</f>
        <v>29658.137935416664</v>
      </c>
      <c r="G40" s="30">
        <f>SUMPRODUCT(($A40=OH!$B$2:$B$62)*(OH!U$2:U$62))</f>
        <v>33174.609204166663</v>
      </c>
      <c r="H40" s="30">
        <f>SUMPRODUCT(($A40=OH!$B$2:$B$62)*(OH!V$2:V$62))</f>
        <v>31549.609204166663</v>
      </c>
      <c r="I40" s="30">
        <f>SUMPRODUCT(($A40=OH!$B$2:$B$62)*(OH!W$2:W$62))</f>
        <v>38149.609204166663</v>
      </c>
      <c r="J40" s="30">
        <f>SUMPRODUCT(($A40=OH!$B$2:$B$62)*(OH!X$2:X$62))</f>
        <v>34524.609204166663</v>
      </c>
      <c r="K40" s="30">
        <f>SUMPRODUCT(($A40=OH!$B$2:$B$62)*(OH!Y$2:Y$62))</f>
        <v>31549.609204166663</v>
      </c>
      <c r="L40" s="30">
        <f>SUMPRODUCT(($A40=OH!$B$2:$B$62)*(OH!Z$2:Z$62))</f>
        <v>31349.609204166663</v>
      </c>
      <c r="M40" s="30">
        <f>SUMPRODUCT(($A40=OH!$B$2:$B$62)*(OH!AA$2:AA$62))</f>
        <v>27205.490422916664</v>
      </c>
      <c r="N40" s="30">
        <f>SUMPRODUCT(($A40=OH!$B$2:$B$62)*(OH!AB$2:AB$62))</f>
        <v>31885.785447916664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36">
      <c r="A41" s="122" t="s">
        <v>10</v>
      </c>
      <c r="C41" s="30">
        <f>SUMPRODUCT(($A41=OH!$B$2:$B$62)*(OH!Q$2:Q$62))</f>
        <v>6625</v>
      </c>
      <c r="D41" s="30">
        <f>SUMPRODUCT(($A41=OH!$B$2:$B$62)*(OH!R$2:R$62))</f>
        <v>4125</v>
      </c>
      <c r="E41" s="30">
        <f>SUMPRODUCT(($A41=OH!$B$2:$B$62)*(OH!S$2:S$62))</f>
        <v>4125</v>
      </c>
      <c r="F41" s="30">
        <f>SUMPRODUCT(($A41=OH!$B$2:$B$62)*(OH!T$2:T$62))</f>
        <v>6625</v>
      </c>
      <c r="G41" s="30">
        <f>SUMPRODUCT(($A41=OH!$B$2:$B$62)*(OH!U$2:U$62))</f>
        <v>4125</v>
      </c>
      <c r="H41" s="30">
        <f>SUMPRODUCT(($A41=OH!$B$2:$B$62)*(OH!V$2:V$62))</f>
        <v>4125</v>
      </c>
      <c r="I41" s="30">
        <f>SUMPRODUCT(($A41=OH!$B$2:$B$62)*(OH!W$2:W$62))</f>
        <v>6625</v>
      </c>
      <c r="J41" s="30">
        <f>SUMPRODUCT(($A41=OH!$B$2:$B$62)*(OH!X$2:X$62))</f>
        <v>4125</v>
      </c>
      <c r="K41" s="30">
        <f>SUMPRODUCT(($A41=OH!$B$2:$B$62)*(OH!Y$2:Y$62))</f>
        <v>4125</v>
      </c>
      <c r="L41" s="30">
        <f>SUMPRODUCT(($A41=OH!$B$2:$B$62)*(OH!Z$2:Z$62))</f>
        <v>6625</v>
      </c>
      <c r="M41" s="30">
        <f>SUMPRODUCT(($A41=OH!$B$2:$B$62)*(OH!AA$2:AA$62))</f>
        <v>4125</v>
      </c>
      <c r="N41" s="30">
        <f>SUMPRODUCT(($A41=OH!$B$2:$B$62)*(OH!AB$2:AB$62))</f>
        <v>4125</v>
      </c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36">
      <c r="A42" s="122" t="s">
        <v>463</v>
      </c>
      <c r="C42" s="30">
        <f>SUMPRODUCT(($A42=OH!$B$2:$B$62)*(OH!Q$2:Q$62))</f>
        <v>31075.000000000007</v>
      </c>
      <c r="D42" s="30">
        <f>SUMPRODUCT(($A42=OH!$B$2:$B$62)*(OH!R$2:R$62))</f>
        <v>33575.000000000007</v>
      </c>
      <c r="E42" s="30">
        <f>SUMPRODUCT(($A42=OH!$B$2:$B$62)*(OH!S$2:S$62))</f>
        <v>31075.000000000007</v>
      </c>
      <c r="F42" s="30">
        <f>SUMPRODUCT(($A42=OH!$B$2:$B$62)*(OH!T$2:T$62))</f>
        <v>31075.000000000007</v>
      </c>
      <c r="G42" s="30">
        <f>SUMPRODUCT(($A42=OH!$B$2:$B$62)*(OH!U$2:U$62))</f>
        <v>31075.000000000007</v>
      </c>
      <c r="H42" s="30">
        <f>SUMPRODUCT(($A42=OH!$B$2:$B$62)*(OH!V$2:V$62))</f>
        <v>31075.000000000007</v>
      </c>
      <c r="I42" s="30">
        <f>SUMPRODUCT(($A42=OH!$B$2:$B$62)*(OH!W$2:W$62))</f>
        <v>31075.000000000007</v>
      </c>
      <c r="J42" s="30">
        <f>SUMPRODUCT(($A42=OH!$B$2:$B$62)*(OH!X$2:X$62))</f>
        <v>31075.000000000007</v>
      </c>
      <c r="K42" s="30">
        <f>SUMPRODUCT(($A42=OH!$B$2:$B$62)*(OH!Y$2:Y$62))</f>
        <v>31075.000000000007</v>
      </c>
      <c r="L42" s="30">
        <f>SUMPRODUCT(($A42=OH!$B$2:$B$62)*(OH!Z$2:Z$62))</f>
        <v>31075.000000000007</v>
      </c>
      <c r="M42" s="30">
        <f>SUMPRODUCT(($A42=OH!$B$2:$B$62)*(OH!AA$2:AA$62))</f>
        <v>31075.000000000007</v>
      </c>
      <c r="N42" s="30">
        <f>SUMPRODUCT(($A42=OH!$B$2:$B$62)*(OH!AB$2:AB$62))</f>
        <v>31075.000000000007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36">
      <c r="A43" s="122" t="s">
        <v>448</v>
      </c>
      <c r="C43" s="30">
        <f>SUMPRODUCT(($A43=OH!$B$2:$B$62)*(OH!Q$2:Q$62))</f>
        <v>32500</v>
      </c>
      <c r="D43" s="30">
        <f>SUMPRODUCT(($A43=OH!$B$2:$B$62)*(OH!R$2:R$62))</f>
        <v>0</v>
      </c>
      <c r="E43" s="30">
        <f>SUMPRODUCT(($A43=OH!$B$2:$B$62)*(OH!S$2:S$62))</f>
        <v>0</v>
      </c>
      <c r="F43" s="30">
        <f>SUMPRODUCT(($A43=OH!$B$2:$B$62)*(OH!T$2:T$62))</f>
        <v>0</v>
      </c>
      <c r="G43" s="30">
        <f>SUMPRODUCT(($A43=OH!$B$2:$B$62)*(OH!U$2:U$62))</f>
        <v>0</v>
      </c>
      <c r="H43" s="30">
        <f>SUMPRODUCT(($A43=OH!$B$2:$B$62)*(OH!V$2:V$62))</f>
        <v>0</v>
      </c>
      <c r="I43" s="30">
        <f>SUMPRODUCT(($A43=OH!$B$2:$B$62)*(OH!W$2:W$62))</f>
        <v>0</v>
      </c>
      <c r="J43" s="30">
        <f>SUMPRODUCT(($A43=OH!$B$2:$B$62)*(OH!X$2:X$62))</f>
        <v>0</v>
      </c>
      <c r="K43" s="30">
        <f>SUMPRODUCT(($A43=OH!$B$2:$B$62)*(OH!Y$2:Y$62))</f>
        <v>0</v>
      </c>
      <c r="L43" s="30">
        <f>SUMPRODUCT(($A43=OH!$B$2:$B$62)*(OH!Z$2:Z$62))</f>
        <v>0</v>
      </c>
      <c r="M43" s="30">
        <f>SUMPRODUCT(($A43=OH!$B$2:$B$62)*(OH!AA$2:AA$62))</f>
        <v>0</v>
      </c>
      <c r="N43" s="30">
        <f>SUMPRODUCT(($A43=OH!$B$2:$B$62)*(OH!AB$2:AB$62))</f>
        <v>0</v>
      </c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36">
      <c r="A44" s="122" t="s">
        <v>480</v>
      </c>
      <c r="C44" s="30">
        <f>SUMPRODUCT(($A44=OH!$B$2:$B$62)*(OH!Q$2:Q$62))</f>
        <v>28611.666666666668</v>
      </c>
      <c r="D44" s="30">
        <f>SUMPRODUCT(($A44=OH!$B$2:$B$62)*(OH!R$2:R$62))</f>
        <v>28611.666666666668</v>
      </c>
      <c r="E44" s="30">
        <f>SUMPRODUCT(($A44=OH!$B$2:$B$62)*(OH!S$2:S$62))</f>
        <v>30751.666666666668</v>
      </c>
      <c r="F44" s="30">
        <f>SUMPRODUCT(($A44=OH!$B$2:$B$62)*(OH!T$2:T$62))</f>
        <v>30751.666666666668</v>
      </c>
      <c r="G44" s="30">
        <f>SUMPRODUCT(($A44=OH!$B$2:$B$62)*(OH!U$2:U$62))</f>
        <v>33961.666666666672</v>
      </c>
      <c r="H44" s="30">
        <f>SUMPRODUCT(($A44=OH!$B$2:$B$62)*(OH!V$2:V$62))</f>
        <v>33961.666666666672</v>
      </c>
      <c r="I44" s="30">
        <f>SUMPRODUCT(($A44=OH!$B$2:$B$62)*(OH!W$2:W$62))</f>
        <v>33961.666666666672</v>
      </c>
      <c r="J44" s="30">
        <f>SUMPRODUCT(($A44=OH!$B$2:$B$62)*(OH!X$2:X$62))</f>
        <v>33961.666666666672</v>
      </c>
      <c r="K44" s="30">
        <f>SUMPRODUCT(($A44=OH!$B$2:$B$62)*(OH!Y$2:Y$62))</f>
        <v>33961.666666666672</v>
      </c>
      <c r="L44" s="30">
        <f>SUMPRODUCT(($A44=OH!$B$2:$B$62)*(OH!Z$2:Z$62))</f>
        <v>33961.666666666672</v>
      </c>
      <c r="M44" s="30">
        <f>SUMPRODUCT(($A44=OH!$B$2:$B$62)*(OH!AA$2:AA$62))</f>
        <v>28611.666666666668</v>
      </c>
      <c r="N44" s="30">
        <f>SUMPRODUCT(($A44=OH!$B$2:$B$62)*(OH!AB$2:AB$62))</f>
        <v>32891.666666666672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36">
      <c r="A45" s="122" t="s">
        <v>443</v>
      </c>
      <c r="C45" s="30">
        <f>SUMPRODUCT(($A45=OH!$B$2:$B$62)*(OH!Q$2:Q$62))</f>
        <v>34166.666666666664</v>
      </c>
      <c r="D45" s="30">
        <f>SUMPRODUCT(($A45=OH!$B$2:$B$62)*(OH!R$2:R$62))</f>
        <v>416.66666666666669</v>
      </c>
      <c r="E45" s="30">
        <f>SUMPRODUCT(($A45=OH!$B$2:$B$62)*(OH!S$2:S$62))</f>
        <v>416.66666666666669</v>
      </c>
      <c r="F45" s="30">
        <f>SUMPRODUCT(($A45=OH!$B$2:$B$62)*(OH!T$2:T$62))</f>
        <v>34166.666666666664</v>
      </c>
      <c r="G45" s="30">
        <f>SUMPRODUCT(($A45=OH!$B$2:$B$62)*(OH!U$2:U$62))</f>
        <v>416.66666666666669</v>
      </c>
      <c r="H45" s="30">
        <f>SUMPRODUCT(($A45=OH!$B$2:$B$62)*(OH!V$2:V$62))</f>
        <v>416.66666666666669</v>
      </c>
      <c r="I45" s="30">
        <f>SUMPRODUCT(($A45=OH!$B$2:$B$62)*(OH!W$2:W$62))</f>
        <v>34166.666666666664</v>
      </c>
      <c r="J45" s="30">
        <f>SUMPRODUCT(($A45=OH!$B$2:$B$62)*(OH!X$2:X$62))</f>
        <v>416.66666666666669</v>
      </c>
      <c r="K45" s="30">
        <f>SUMPRODUCT(($A45=OH!$B$2:$B$62)*(OH!Y$2:Y$62))</f>
        <v>416.66666666666669</v>
      </c>
      <c r="L45" s="30">
        <f>SUMPRODUCT(($A45=OH!$B$2:$B$62)*(OH!Z$2:Z$62))</f>
        <v>34166.666666666664</v>
      </c>
      <c r="M45" s="30">
        <f>SUMPRODUCT(($A45=OH!$B$2:$B$62)*(OH!AA$2:AA$62))</f>
        <v>416.66666666666669</v>
      </c>
      <c r="N45" s="30">
        <f>SUMPRODUCT(($A45=OH!$B$2:$B$62)*(OH!AB$2:AB$62))</f>
        <v>416.66666666666669</v>
      </c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spans="1:36">
      <c r="A46" s="34" t="s">
        <v>8</v>
      </c>
      <c r="C46" s="40">
        <f t="shared" ref="C46:N46" si="10">SUM(C40:C45)</f>
        <v>163808.82375625</v>
      </c>
      <c r="D46" s="40">
        <f t="shared" si="10"/>
        <v>93933.823756250014</v>
      </c>
      <c r="E46" s="40">
        <f t="shared" si="10"/>
        <v>93976.471268750014</v>
      </c>
      <c r="F46" s="40">
        <f t="shared" si="10"/>
        <v>132276.47126875</v>
      </c>
      <c r="G46" s="40">
        <f t="shared" si="10"/>
        <v>102752.94253750001</v>
      </c>
      <c r="H46" s="40">
        <f t="shared" si="10"/>
        <v>101127.94253750001</v>
      </c>
      <c r="I46" s="40">
        <f t="shared" si="10"/>
        <v>143977.9425375</v>
      </c>
      <c r="J46" s="40">
        <f t="shared" si="10"/>
        <v>104102.94253750001</v>
      </c>
      <c r="K46" s="40">
        <f t="shared" si="10"/>
        <v>101127.94253750001</v>
      </c>
      <c r="L46" s="40">
        <f t="shared" si="10"/>
        <v>137177.9425375</v>
      </c>
      <c r="M46" s="40">
        <f t="shared" si="10"/>
        <v>91433.823756250014</v>
      </c>
      <c r="N46" s="40">
        <f t="shared" si="10"/>
        <v>100394.11878125001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spans="1:36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spans="1:36">
      <c r="A48" s="34" t="s">
        <v>7</v>
      </c>
      <c r="C48" s="93">
        <f t="shared" ref="C48:N48" si="11">C38-C46</f>
        <v>-112715.61556874998</v>
      </c>
      <c r="D48" s="93">
        <f t="shared" si="11"/>
        <v>-42840.615568750007</v>
      </c>
      <c r="E48" s="93">
        <f t="shared" si="11"/>
        <v>5450.9541866071522</v>
      </c>
      <c r="F48" s="93">
        <f t="shared" si="11"/>
        <v>21003.153293750045</v>
      </c>
      <c r="G48" s="93">
        <f t="shared" si="11"/>
        <v>96101.908373214319</v>
      </c>
      <c r="H48" s="93">
        <f t="shared" si="11"/>
        <v>97726.908373214319</v>
      </c>
      <c r="I48" s="93">
        <f t="shared" si="11"/>
        <v>95266.057703571452</v>
      </c>
      <c r="J48" s="93">
        <f t="shared" si="11"/>
        <v>135141.05770357145</v>
      </c>
      <c r="K48" s="93">
        <f t="shared" si="11"/>
        <v>97726.908373214319</v>
      </c>
      <c r="L48" s="93">
        <f t="shared" si="11"/>
        <v>48213.858596428559</v>
      </c>
      <c r="M48" s="93">
        <f t="shared" si="11"/>
        <v>-40340.615568750007</v>
      </c>
      <c r="N48" s="93">
        <f t="shared" si="11"/>
        <v>114682.77282589288</v>
      </c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spans="1:36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>
      <c r="A50" s="29" t="s">
        <v>0</v>
      </c>
      <c r="C50" s="43">
        <f>Balances!O62</f>
        <v>44760.883119076054</v>
      </c>
      <c r="D50" s="43">
        <f>Balances!P62</f>
        <v>44686.90923732907</v>
      </c>
      <c r="E50" s="43">
        <f>Balances!Q62</f>
        <v>44615.401151640326</v>
      </c>
      <c r="F50" s="43">
        <f>Balances!R62</f>
        <v>44546.27666880787</v>
      </c>
      <c r="G50" s="43">
        <f>Balances!S62</f>
        <v>48437.789668736506</v>
      </c>
      <c r="H50" s="43">
        <f>Balances!T62</f>
        <v>48373.196679778623</v>
      </c>
      <c r="I50" s="43">
        <f>Balances!U62</f>
        <v>48310.756790452666</v>
      </c>
      <c r="J50" s="43">
        <f>Balances!V62</f>
        <v>48250.398230770916</v>
      </c>
      <c r="K50" s="43">
        <f>Balances!W62</f>
        <v>48192.051623078551</v>
      </c>
      <c r="L50" s="43">
        <f>Balances!X62</f>
        <v>48135.649902309262</v>
      </c>
      <c r="M50" s="43">
        <f>Balances!Y62</f>
        <v>48081.128238898957</v>
      </c>
      <c r="N50" s="43">
        <f>Balances!Z62</f>
        <v>48028.423964268994</v>
      </c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>
      <c r="A51" s="34" t="s">
        <v>11</v>
      </c>
      <c r="C51" s="42">
        <f t="shared" ref="C51:N51" si="12">C48-C50</f>
        <v>-157476.49868782604</v>
      </c>
      <c r="D51" s="42">
        <f t="shared" si="12"/>
        <v>-87527.524806079076</v>
      </c>
      <c r="E51" s="42">
        <f t="shared" si="12"/>
        <v>-39164.446965033174</v>
      </c>
      <c r="F51" s="42">
        <f t="shared" si="12"/>
        <v>-23543.123375057825</v>
      </c>
      <c r="G51" s="42">
        <f t="shared" si="12"/>
        <v>47664.118704477813</v>
      </c>
      <c r="H51" s="42">
        <f t="shared" si="12"/>
        <v>49353.711693435696</v>
      </c>
      <c r="I51" s="42">
        <f t="shared" si="12"/>
        <v>46955.300913118786</v>
      </c>
      <c r="J51" s="42">
        <f t="shared" si="12"/>
        <v>86890.659472800529</v>
      </c>
      <c r="K51" s="42">
        <f t="shared" si="12"/>
        <v>49534.856750135768</v>
      </c>
      <c r="L51" s="42">
        <f t="shared" si="12"/>
        <v>78.208694119297434</v>
      </c>
      <c r="M51" s="42">
        <f t="shared" si="12"/>
        <v>-88421.743807648963</v>
      </c>
      <c r="N51" s="42">
        <f t="shared" si="12"/>
        <v>66654.34886162389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>
      <c r="A53" s="29" t="s">
        <v>12</v>
      </c>
      <c r="C53" s="30">
        <f>SUM(Leases!Q13,Leases!Q31,XLease!Q12)</f>
        <v>0</v>
      </c>
      <c r="D53" s="30">
        <f>SUM(Leases!R13,Leases!R31,XLease!R12)</f>
        <v>0</v>
      </c>
      <c r="E53" s="30">
        <f>SUM(Leases!S13,Leases!S31,XLease!S12)</f>
        <v>0</v>
      </c>
      <c r="F53" s="30">
        <f>SUM(Leases!T13,Leases!T31,XLease!T12)</f>
        <v>0</v>
      </c>
      <c r="G53" s="30">
        <f>SUM(Leases!U13,Leases!U31,XLease!U12)</f>
        <v>0</v>
      </c>
      <c r="H53" s="30">
        <f>SUM(Leases!V13,Leases!V31,XLease!V12)</f>
        <v>0</v>
      </c>
      <c r="I53" s="30">
        <f>SUM(Leases!W13,Leases!W31,XLease!W12)</f>
        <v>0</v>
      </c>
      <c r="J53" s="30">
        <f>SUM(Leases!X13,Leases!X31,XLease!X12)</f>
        <v>0</v>
      </c>
      <c r="K53" s="30">
        <f>SUM(Leases!Y13,Leases!Y31,XLease!Y12)</f>
        <v>0</v>
      </c>
      <c r="L53" s="30">
        <f>SUM(Leases!Z13,Leases!Z31,XLease!Z12)</f>
        <v>0</v>
      </c>
      <c r="M53" s="30">
        <f>SUM(Leases!AA13,Leases!AA31,XLease!AA12)</f>
        <v>0</v>
      </c>
      <c r="N53" s="30">
        <f>SUM(Leases!AB13,Leases!AB31,XLease!AB12)</f>
        <v>0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>
      <c r="A54" s="29" t="s">
        <v>163</v>
      </c>
      <c r="C54" s="30">
        <f>SUM(Loans!Q15,Loans!Q35,Loans!Q49,XLoan!R35)</f>
        <v>1264.1723353272778</v>
      </c>
      <c r="D54" s="30">
        <f>SUM(Loans!R15,Loans!R35,Loans!R49,XLoan!S35)</f>
        <v>1171.5532155715766</v>
      </c>
      <c r="E54" s="30">
        <f>SUM(Loans!S15,Loans!S35,Loans!S49,XLoan!T35)</f>
        <v>2641.0288374285128</v>
      </c>
      <c r="F54" s="30">
        <f>SUM(Loans!T15,Loans!T35,Loans!T49,XLoan!U35)</f>
        <v>2487.050429515004</v>
      </c>
      <c r="G54" s="30">
        <f>SUM(Loans!U15,Loans!U35,Loans!U49,XLoan!V35)</f>
        <v>2332.283267663146</v>
      </c>
      <c r="H54" s="30">
        <f>SUM(Loans!V15,Loans!V35,Loans!V49,XLoan!W35)</f>
        <v>2176.7224221608249</v>
      </c>
      <c r="I54" s="30">
        <f>SUM(Loans!W15,Loans!W35,Loans!W49,XLoan!X35)</f>
        <v>2020.3629324852259</v>
      </c>
      <c r="J54" s="30">
        <f>SUM(Loans!X15,Loans!X35,Loans!X49,XLoan!Y35)</f>
        <v>1863.1998071102651</v>
      </c>
      <c r="K54" s="30">
        <f>SUM(Loans!Y15,Loans!Y35,Loans!Y49,XLoan!Z35)</f>
        <v>1705.228023312822</v>
      </c>
      <c r="L54" s="30">
        <f>SUM(Loans!Z15,Loans!Z35,Loans!Z49,XLoan!AA35)</f>
        <v>1546.4425269777562</v>
      </c>
      <c r="M54" s="30">
        <f>SUM(Loans!AA15,Loans!AA35,Loans!AA49,XLoan!AB35)</f>
        <v>1386.8382324017073</v>
      </c>
      <c r="N54" s="30">
        <f>SUM(Loans!AB15,Loans!AB35,Loans!AB49,XLoan!AC35)</f>
        <v>1226.4100220956689</v>
      </c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6">
      <c r="A55" s="29" t="s">
        <v>288</v>
      </c>
      <c r="C55" s="30">
        <f>-Cash!C73</f>
        <v>0</v>
      </c>
      <c r="D55" s="30">
        <f>-Cash!D73</f>
        <v>0</v>
      </c>
      <c r="E55" s="30">
        <f>-Cash!E73</f>
        <v>911.67696204069853</v>
      </c>
      <c r="F55" s="30">
        <f>-Cash!F73</f>
        <v>0</v>
      </c>
      <c r="G55" s="30">
        <f>-Cash!G73</f>
        <v>0</v>
      </c>
      <c r="H55" s="30">
        <f>-Cash!H73</f>
        <v>2158.4454784088207</v>
      </c>
      <c r="I55" s="30">
        <f>-Cash!I73</f>
        <v>1674.3389524500235</v>
      </c>
      <c r="J55" s="30">
        <f>-Cash!J73</f>
        <v>1103.7145736218317</v>
      </c>
      <c r="K55" s="30">
        <f>-Cash!K73</f>
        <v>471.29339403815652</v>
      </c>
      <c r="L55" s="30">
        <f>-Cash!L73</f>
        <v>9.1085448253411201</v>
      </c>
      <c r="M55" s="30">
        <f>-Cash!M73</f>
        <v>0</v>
      </c>
      <c r="N55" s="30">
        <f>-Cash!N73</f>
        <v>788.83141891737921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1:36">
      <c r="A56" s="29" t="s">
        <v>136</v>
      </c>
      <c r="C56" s="95">
        <f t="shared" ref="C56:N56" si="13">SUM(C53:C55)</f>
        <v>1264.1723353272778</v>
      </c>
      <c r="D56" s="95">
        <f t="shared" si="13"/>
        <v>1171.5532155715766</v>
      </c>
      <c r="E56" s="95">
        <f t="shared" si="13"/>
        <v>3552.7057994692113</v>
      </c>
      <c r="F56" s="95">
        <f t="shared" si="13"/>
        <v>2487.050429515004</v>
      </c>
      <c r="G56" s="95">
        <f t="shared" si="13"/>
        <v>2332.283267663146</v>
      </c>
      <c r="H56" s="95">
        <f t="shared" si="13"/>
        <v>4335.167900569646</v>
      </c>
      <c r="I56" s="95">
        <f t="shared" si="13"/>
        <v>3694.7018849352494</v>
      </c>
      <c r="J56" s="95">
        <f t="shared" si="13"/>
        <v>2966.914380732097</v>
      </c>
      <c r="K56" s="95">
        <f t="shared" si="13"/>
        <v>2176.5214173509785</v>
      </c>
      <c r="L56" s="95">
        <f t="shared" si="13"/>
        <v>1555.5510718030973</v>
      </c>
      <c r="M56" s="95">
        <f t="shared" si="13"/>
        <v>1386.8382324017073</v>
      </c>
      <c r="N56" s="95">
        <f t="shared" si="13"/>
        <v>2015.2414410130482</v>
      </c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</row>
    <row r="57" spans="1:36"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</row>
    <row r="58" spans="1:36">
      <c r="A58" s="34" t="s">
        <v>13</v>
      </c>
      <c r="C58" s="42">
        <f t="shared" ref="C58:N58" si="14">C51-C56</f>
        <v>-158740.67102315332</v>
      </c>
      <c r="D58" s="42">
        <f t="shared" si="14"/>
        <v>-88699.078021650654</v>
      </c>
      <c r="E58" s="42">
        <f t="shared" si="14"/>
        <v>-42717.152764502389</v>
      </c>
      <c r="F58" s="42">
        <f t="shared" si="14"/>
        <v>-26030.173804572827</v>
      </c>
      <c r="G58" s="42">
        <f t="shared" si="14"/>
        <v>45331.835436814668</v>
      </c>
      <c r="H58" s="42">
        <f t="shared" si="14"/>
        <v>45018.543792866054</v>
      </c>
      <c r="I58" s="42">
        <f t="shared" si="14"/>
        <v>43260.59902818354</v>
      </c>
      <c r="J58" s="42">
        <f t="shared" si="14"/>
        <v>83923.745092068435</v>
      </c>
      <c r="K58" s="42">
        <f t="shared" si="14"/>
        <v>47358.335332784787</v>
      </c>
      <c r="L58" s="42">
        <f t="shared" si="14"/>
        <v>-1477.3423776837999</v>
      </c>
      <c r="M58" s="42">
        <f t="shared" si="14"/>
        <v>-89808.582040050664</v>
      </c>
      <c r="N58" s="42">
        <f t="shared" si="14"/>
        <v>64639.107420610839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</row>
    <row r="59" spans="1:36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>
      <c r="A60" s="29" t="s">
        <v>6</v>
      </c>
      <c r="C60" s="30">
        <f>IF(SUM($C$26:$N$26)&lt;0,IF(SUM($C$26:$N$26,$C$58:C$58)&gt;0,(SUM($C$26:$N$26,$C$58:C$58)*
IF(YEAR(C$35)=2013,CorpTax,CorpTax2)
)-SUM($B$60:B60),MIN(-SUM($B$60:B$60),0)),IF(SUM($C58:C58)&gt;0,(SUM($C$58:C58)*
IF(YEAR(C$35)=2013,CorpTax,CorpTax2)
)-SUM($B$60:B60),0))</f>
        <v>0</v>
      </c>
      <c r="D60" s="30">
        <f>IF(SUM($C$26:$N$26)&lt;0,IF(SUM($C$26:$N$26,$C$58:D$58)&gt;0,(SUM($C$26:$N$26,$C$58:D$58)*
IF(YEAR(D$35)=2013,CorpTax,CorpTax2)
)-SUM($B$60:C60),MIN(-SUM($B$60:C$60),0)),IF(SUM($C58:D58)&gt;0,(SUM($C$58:D58)*
IF(YEAR(D$35)=2013,CorpTax,CorpTax2)
)-SUM($B$60:C60),0))</f>
        <v>0</v>
      </c>
      <c r="E60" s="30">
        <f>IF(SUM($C$26:$N$26)&lt;0,IF(SUM($C$26:$N$26,$C$58:E$58)&gt;0,(SUM($C$26:$N$26,$C$58:E$58)*
IF(YEAR(E$35)=2013,CorpTax,CorpTax2)
)-SUM($B$60:D60),MIN(-SUM($B$60:D$60),0)),IF(SUM($C58:E58)&gt;0,(SUM($C$58:E58)*
IF(YEAR(E$35)=2013,CorpTax,CorpTax2)
)-SUM($B$60:D60),0))</f>
        <v>0</v>
      </c>
      <c r="F60" s="30">
        <f>IF(SUM($C$26:$N$26)&lt;0,IF(SUM($C$26:$N$26,$C$58:F$58)&gt;0,(SUM($C$26:$N$26,$C$58:F$58)*
IF(YEAR(F$35)=2013,CorpTax,CorpTax2)
)-SUM($B$60:E60),MIN(-SUM($B$60:E$60),0)),IF(SUM($C58:F58)&gt;0,(SUM($C$58:F58)*
IF(YEAR(F$35)=2013,CorpTax,CorpTax2)
)-SUM($B$60:E60),0))</f>
        <v>0</v>
      </c>
      <c r="G60" s="30">
        <f>IF(SUM($C$26:$N$26)&lt;0,IF(SUM($C$26:$N$26,$C$58:G$58)&gt;0,(SUM($C$26:$N$26,$C$58:G$58)*
IF(YEAR(G$35)=2013,CorpTax,CorpTax2)
)-SUM($B$60:F60),MIN(-SUM($B$60:F$60),0)),IF(SUM($C58:G58)&gt;0,(SUM($C$58:G58)*
IF(YEAR(G$35)=2013,CorpTax,CorpTax2)
)-SUM($B$60:F60),0))</f>
        <v>0</v>
      </c>
      <c r="H60" s="30">
        <f>IF(SUM($C$26:$N$26)&lt;0,IF(SUM($C$26:$N$26,$C$58:H$58)&gt;0,(SUM($C$26:$N$26,$C$58:H$58)*
IF(YEAR(H$35)=2013,CorpTax,CorpTax2)
)-SUM($B$60:G60),MIN(-SUM($B$60:G$60),0)),IF(SUM($C58:H58)&gt;0,(SUM($C$58:H58)*
IF(YEAR(H$35)=2013,CorpTax,CorpTax2)
)-SUM($B$60:G60),0))</f>
        <v>0</v>
      </c>
      <c r="I60" s="30">
        <f>IF(SUM($C$26:$N$26)&lt;0,IF(SUM($C$26:$N$26,$C$58:I$58)&gt;0,(SUM($C$26:$N$26,$C$58:I$58)*
IF(YEAR(I$35)=2013,CorpTax,CorpTax2)
)-SUM($B$60:H60),MIN(-SUM($B$60:H$60),0)),IF(SUM($C58:I58)&gt;0,(SUM($C$58:I58)*
IF(YEAR(I$35)=2013,CorpTax,CorpTax2)
)-SUM($B$60:H60),0))</f>
        <v>0</v>
      </c>
      <c r="J60" s="30">
        <f>IF(SUM($C$26:$N$26)&lt;0,IF(SUM($C$26:$N$26,$C$58:J$58)&gt;0,(SUM($C$26:$N$26,$C$58:J$58)*
IF(YEAR(J$35)=2013,CorpTax,CorpTax2)
)-SUM($B$60:I60),MIN(-SUM($B$60:I$60),0)),IF(SUM($C58:J58)&gt;0,(SUM($C$58:J58)*
IF(YEAR(J$35)=2013,CorpTax,CorpTax2)
)-SUM($B$60:I60),0))</f>
        <v>0</v>
      </c>
      <c r="K60" s="30">
        <f>IF(SUM($C$26:$N$26)&lt;0,IF(SUM($C$26:$N$26,$C$58:K$58)&gt;0,(SUM($C$26:$N$26,$C$58:K$58)*
IF(YEAR(K$35)=2013,CorpTax,CorpTax2)
)-SUM($B$60:J60),MIN(-SUM($B$60:J$60),0)),IF(SUM($C58:K58)&gt;0,(SUM($C$58:K58)*
IF(YEAR(K$35)=2013,CorpTax,CorpTax2)
)-SUM($B$60:J60),0))</f>
        <v>0</v>
      </c>
      <c r="L60" s="30">
        <f>IF(SUM($C$26:$N$26)&lt;0,IF(SUM($C$26:$N$26,$C$58:L$58)&gt;0,(SUM($C$26:$N$26,$C$58:L$58)*
IF(YEAR(L$35)=2013,CorpTax,CorpTax2)
)-SUM($B$60:K60),MIN(-SUM($B$60:K$60),0)),IF(SUM($C58:L58)&gt;0,(SUM($C$58:L58)*
IF(YEAR(L$35)=2013,CorpTax,CorpTax2)
)-SUM($B$60:K60),0))</f>
        <v>0</v>
      </c>
      <c r="M60" s="30">
        <f>IF(SUM($C$26:$N$26)&lt;0,IF(SUM($C$26:$N$26,$C$58:M$58)&gt;0,(SUM($C$26:$N$26,$C$58:M$58)*
IF(YEAR(M$35)=2013,CorpTax,CorpTax2)
)-SUM($B$60:L60),MIN(-SUM($B$60:L$60),0)),IF(SUM($C58:M58)&gt;0,(SUM($C$58:M58)*
IF(YEAR(M$35)=2013,CorpTax,CorpTax2)
)-SUM($B$60:L60),0))</f>
        <v>0</v>
      </c>
      <c r="N60" s="30">
        <f>IF(SUM($C$26:$N$26)&lt;0,IF(SUM($C$26:$N$26,$C$58:N$58)&gt;0,(SUM($C$26:$N$26,$C$58:N$58)*
IF(YEAR(N$35)=2013,CorpTax,CorpTax2)
)-SUM($B$60:M60),MIN(-SUM($B$60:M$60),0)),IF(SUM($C58:N58)&gt;0,(SUM($C$58:N58)*
IF(YEAR(N$35)=2013,CorpTax,CorpTax2)
)-SUM($B$60:M60),0))</f>
        <v>0</v>
      </c>
    </row>
    <row r="61" spans="1:36">
      <c r="A61" s="34" t="s">
        <v>14</v>
      </c>
      <c r="C61" s="40">
        <f t="shared" ref="C61:N61" si="15">C58-C60</f>
        <v>-158740.67102315332</v>
      </c>
      <c r="D61" s="40">
        <f t="shared" si="15"/>
        <v>-88699.078021650654</v>
      </c>
      <c r="E61" s="40">
        <f t="shared" si="15"/>
        <v>-42717.152764502389</v>
      </c>
      <c r="F61" s="40">
        <f t="shared" si="15"/>
        <v>-26030.173804572827</v>
      </c>
      <c r="G61" s="40">
        <f t="shared" si="15"/>
        <v>45331.835436814668</v>
      </c>
      <c r="H61" s="40">
        <f t="shared" si="15"/>
        <v>45018.543792866054</v>
      </c>
      <c r="I61" s="40">
        <f t="shared" si="15"/>
        <v>43260.59902818354</v>
      </c>
      <c r="J61" s="40">
        <f t="shared" si="15"/>
        <v>83923.745092068435</v>
      </c>
      <c r="K61" s="40">
        <f t="shared" si="15"/>
        <v>47358.335332784787</v>
      </c>
      <c r="L61" s="40">
        <f t="shared" si="15"/>
        <v>-1477.3423776837999</v>
      </c>
      <c r="M61" s="40">
        <f t="shared" si="15"/>
        <v>-89808.582040050664</v>
      </c>
      <c r="N61" s="40">
        <f t="shared" si="15"/>
        <v>64639.107420610839</v>
      </c>
    </row>
    <row r="62" spans="1:36"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4.4" thickBot="1">
      <c r="A63" s="34" t="s">
        <v>110</v>
      </c>
      <c r="C63" s="44">
        <f>N31+C61</f>
        <v>-206040.91136619085</v>
      </c>
      <c r="D63" s="44">
        <f>D61+C63</f>
        <v>-294739.98938784149</v>
      </c>
      <c r="E63" s="44">
        <f>E61+D63</f>
        <v>-337457.14215234388</v>
      </c>
      <c r="F63" s="44">
        <f t="shared" ref="F63:N63" si="16">F61+E63</f>
        <v>-363487.31595691672</v>
      </c>
      <c r="G63" s="44">
        <f t="shared" si="16"/>
        <v>-318155.48052010208</v>
      </c>
      <c r="H63" s="44">
        <f t="shared" si="16"/>
        <v>-273136.93672723603</v>
      </c>
      <c r="I63" s="44">
        <f t="shared" si="16"/>
        <v>-229876.33769905247</v>
      </c>
      <c r="J63" s="44">
        <f t="shared" si="16"/>
        <v>-145952.59260698402</v>
      </c>
      <c r="K63" s="44">
        <f t="shared" si="16"/>
        <v>-98594.257274199234</v>
      </c>
      <c r="L63" s="44">
        <f t="shared" si="16"/>
        <v>-100071.59965188304</v>
      </c>
      <c r="M63" s="44">
        <f t="shared" si="16"/>
        <v>-189880.18169193371</v>
      </c>
      <c r="N63" s="44">
        <f t="shared" si="16"/>
        <v>-125241.07427132287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3:36"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3:36"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3:36"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3:36"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3:36"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3:36"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3:36"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3:36"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3:36"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3:36"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3:36"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3:36"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3:36"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3:36"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3:36"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3:36"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3:36"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3:36"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3:36"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3:36"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3:36"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3:36"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3:36"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3:36"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3:36"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3:36"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3:36"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3:36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3:36"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3:36"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3:36"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3:36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3:36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3:36"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3:36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3:36"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3:36"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3:36"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3:36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3:36"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3:36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3:36"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3:36"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</row>
    <row r="108" spans="3:36"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</row>
    <row r="109" spans="3:36"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</row>
    <row r="110" spans="3:36"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</row>
    <row r="111" spans="3:36"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</row>
    <row r="112" spans="3:36"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</row>
    <row r="113" spans="3:36"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</row>
    <row r="114" spans="3:36"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</row>
    <row r="115" spans="3:36"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</row>
    <row r="116" spans="3:36"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</row>
    <row r="117" spans="3:36"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</row>
    <row r="118" spans="3:36"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</row>
    <row r="119" spans="3:36"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</row>
    <row r="120" spans="3:36"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</row>
    <row r="121" spans="3:36"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</row>
    <row r="122" spans="3:36"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</row>
    <row r="123" spans="3:36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</row>
    <row r="124" spans="3:36"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</row>
    <row r="125" spans="3:36"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</row>
    <row r="126" spans="3:36"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</row>
    <row r="127" spans="3:36"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</row>
    <row r="128" spans="3:36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</row>
    <row r="129" spans="3:36"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</row>
    <row r="130" spans="3:36"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</row>
    <row r="131" spans="3:36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</row>
    <row r="132" spans="3:36"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</row>
    <row r="133" spans="3:36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</row>
    <row r="134" spans="3:36"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</row>
    <row r="135" spans="3:36"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</row>
    <row r="136" spans="3:36"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</row>
    <row r="137" spans="3:36"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</row>
    <row r="138" spans="3:36"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</row>
    <row r="139" spans="3:36"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</row>
    <row r="140" spans="3:36"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</row>
    <row r="141" spans="3:36"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</row>
    <row r="142" spans="3:36"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</row>
    <row r="143" spans="3:36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</row>
    <row r="144" spans="3:36"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</row>
    <row r="145" spans="3:36"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</row>
    <row r="146" spans="3:36"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</row>
    <row r="147" spans="3:36"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</row>
    <row r="148" spans="3:36"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</row>
    <row r="149" spans="3:36"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</row>
    <row r="150" spans="3:36"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</row>
    <row r="151" spans="3:36"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</row>
    <row r="152" spans="3:36"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</row>
    <row r="153" spans="3:36"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</row>
    <row r="154" spans="3:36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</row>
    <row r="155" spans="3:36"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</row>
    <row r="156" spans="3:36"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</row>
    <row r="157" spans="3:36"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</row>
    <row r="158" spans="3:36"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</row>
    <row r="159" spans="3:36"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</row>
    <row r="160" spans="3:36"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</row>
    <row r="161" spans="3:36"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</row>
    <row r="162" spans="3:36"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</row>
    <row r="163" spans="3:36"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</row>
    <row r="164" spans="3:36"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</row>
    <row r="165" spans="3:36"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</row>
    <row r="166" spans="3:36"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</row>
    <row r="167" spans="3:36"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</row>
    <row r="168" spans="3:36"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</row>
    <row r="169" spans="3:36"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</row>
    <row r="170" spans="3:36"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</row>
    <row r="171" spans="3:36"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</row>
    <row r="172" spans="3:36"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</row>
    <row r="173" spans="3:36"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</row>
    <row r="174" spans="3:36"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</row>
    <row r="175" spans="3:36"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</row>
    <row r="176" spans="3:36"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</row>
    <row r="177" spans="3:36"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</row>
    <row r="178" spans="3:36"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</row>
    <row r="179" spans="3:36"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</row>
    <row r="180" spans="3:36"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</row>
    <row r="181" spans="3:36"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</row>
    <row r="182" spans="3:36"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</row>
    <row r="183" spans="3:36"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</row>
    <row r="184" spans="3:36"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</row>
    <row r="185" spans="3:36"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</row>
    <row r="186" spans="3:36"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</row>
    <row r="187" spans="3:36"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</row>
    <row r="188" spans="3:36"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</row>
    <row r="189" spans="3:36"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</row>
    <row r="190" spans="3:36"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</row>
    <row r="191" spans="3:36"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</row>
    <row r="192" spans="3:36"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</row>
    <row r="193" spans="3:36"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</row>
    <row r="194" spans="3:36"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</row>
    <row r="195" spans="3:36"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</row>
    <row r="196" spans="3:36"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</row>
    <row r="197" spans="3:36"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</row>
    <row r="198" spans="3:36"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</row>
    <row r="199" spans="3:36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</row>
    <row r="200" spans="3:36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</row>
    <row r="201" spans="3:36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</row>
    <row r="202" spans="3:36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</row>
    <row r="203" spans="3:36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</row>
    <row r="204" spans="3:36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</row>
    <row r="205" spans="3:36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</row>
    <row r="206" spans="3:36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</row>
    <row r="207" spans="3:36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</row>
    <row r="208" spans="3:36"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</row>
    <row r="209" spans="3:36"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</row>
    <row r="210" spans="3:36"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</row>
    <row r="211" spans="3:36"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</row>
    <row r="212" spans="3:36"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</row>
    <row r="213" spans="3:36"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</row>
    <row r="214" spans="3:36"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</row>
    <row r="215" spans="3:36"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</row>
    <row r="216" spans="3:36"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</row>
    <row r="217" spans="3:36"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</row>
    <row r="218" spans="3:36"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</row>
    <row r="219" spans="3:36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</row>
    <row r="220" spans="3:36"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</row>
    <row r="221" spans="3:36"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</row>
    <row r="222" spans="3:36"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</row>
    <row r="223" spans="3:36"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</row>
    <row r="224" spans="3:36"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</row>
    <row r="225" spans="3:36"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</row>
    <row r="226" spans="3:36"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</row>
    <row r="227" spans="3:36"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</row>
    <row r="228" spans="3:36"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</row>
    <row r="229" spans="3:36"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</row>
    <row r="230" spans="3:36"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</row>
    <row r="231" spans="3:36"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</row>
    <row r="232" spans="3:36"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</row>
    <row r="233" spans="3:36"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</row>
    <row r="234" spans="3:36"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</row>
    <row r="235" spans="3:36"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</row>
    <row r="236" spans="3:36"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</row>
    <row r="237" spans="3:36"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</row>
    <row r="238" spans="3:36"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</row>
    <row r="239" spans="3:36"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</row>
    <row r="240" spans="3:36"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</row>
    <row r="241" spans="3:36"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</row>
    <row r="242" spans="3:36"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</row>
    <row r="243" spans="3:36"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</row>
    <row r="244" spans="3:36"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</row>
    <row r="245" spans="3:36"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</row>
    <row r="246" spans="3:36"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</row>
    <row r="247" spans="3:36"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</row>
    <row r="248" spans="3:36"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</row>
    <row r="249" spans="3:36"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</row>
    <row r="250" spans="3:36"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</row>
    <row r="251" spans="3:36"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</row>
    <row r="252" spans="3:36"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</row>
    <row r="253" spans="3:36"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</row>
    <row r="254" spans="3:36"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</row>
    <row r="255" spans="3:36"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</row>
    <row r="256" spans="3:36"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</row>
    <row r="257" spans="3:36"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</row>
    <row r="258" spans="3:36"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</row>
    <row r="259" spans="3:36"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</row>
    <row r="260" spans="3:36"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</row>
    <row r="261" spans="3:36"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</row>
    <row r="262" spans="3:36"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</row>
    <row r="263" spans="3:36"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</row>
    <row r="264" spans="3:36"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</row>
    <row r="265" spans="3:36"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</row>
    <row r="266" spans="3:36"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</row>
    <row r="267" spans="3:36"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</row>
    <row r="268" spans="3:36"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</row>
    <row r="269" spans="3:36"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</row>
    <row r="270" spans="3:36"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</row>
    <row r="271" spans="3:36"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</row>
    <row r="272" spans="3:36"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</row>
    <row r="273" spans="3:36"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</row>
    <row r="274" spans="3:36"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</row>
    <row r="275" spans="3:36"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</row>
    <row r="276" spans="3:36"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</row>
    <row r="277" spans="3:36"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</row>
    <row r="278" spans="3:36"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</row>
    <row r="279" spans="3:36"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</row>
    <row r="280" spans="3:36"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</row>
    <row r="281" spans="3:36"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</row>
    <row r="282" spans="3:36"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</row>
    <row r="283" spans="3:36"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</row>
    <row r="284" spans="3:36"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</row>
    <row r="285" spans="3:36"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</row>
    <row r="286" spans="3:36"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</row>
    <row r="287" spans="3:36"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</row>
    <row r="288" spans="3:36"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</row>
    <row r="289" spans="3:36"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</row>
    <row r="290" spans="3:36"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</row>
    <row r="291" spans="3:36"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</row>
    <row r="292" spans="3:36"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</row>
    <row r="293" spans="3:36"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</row>
    <row r="294" spans="3:36"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</row>
    <row r="295" spans="3:36"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</row>
    <row r="296" spans="3:36"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</row>
    <row r="297" spans="3:36"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</row>
    <row r="298" spans="3:36"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</row>
    <row r="299" spans="3:36"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</row>
    <row r="300" spans="3:36"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</row>
    <row r="301" spans="3:36"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</row>
    <row r="302" spans="3:36"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</row>
    <row r="303" spans="3:36"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</row>
    <row r="304" spans="3:36"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</row>
    <row r="305" spans="3:36"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</row>
    <row r="306" spans="3:36"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</row>
    <row r="307" spans="3:36"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</row>
    <row r="308" spans="3:36"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</row>
    <row r="309" spans="3:36"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</row>
    <row r="310" spans="3:36"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</row>
    <row r="311" spans="3:36"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</row>
    <row r="312" spans="3:36"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</row>
    <row r="313" spans="3:36"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</row>
    <row r="314" spans="3:36"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</row>
    <row r="315" spans="3:36"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</row>
    <row r="316" spans="3:36"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</row>
    <row r="317" spans="3:36"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</row>
    <row r="318" spans="3:36"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</row>
    <row r="319" spans="3:36"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</row>
    <row r="320" spans="3:36"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</row>
    <row r="321" spans="3:36"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</row>
    <row r="322" spans="3:36"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</row>
    <row r="323" spans="3:36"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</row>
    <row r="324" spans="3:36"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</row>
    <row r="325" spans="3:36"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</row>
    <row r="326" spans="3:36"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</row>
    <row r="327" spans="3:36"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</row>
    <row r="328" spans="3:36"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</row>
    <row r="329" spans="3:36"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</row>
    <row r="330" spans="3:36"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</row>
    <row r="331" spans="3:36"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</row>
    <row r="332" spans="3:36"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</row>
    <row r="333" spans="3:36"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</row>
    <row r="334" spans="3:36"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</row>
    <row r="335" spans="3:36"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</row>
    <row r="336" spans="3:36"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</row>
    <row r="337" spans="3:36"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</row>
    <row r="338" spans="3:36"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</row>
    <row r="339" spans="3:36"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</row>
    <row r="340" spans="3:36"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</row>
    <row r="341" spans="3:36"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</row>
    <row r="342" spans="3:36"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</row>
    <row r="343" spans="3:36"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</row>
    <row r="344" spans="3:36"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</row>
    <row r="345" spans="3:36"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</row>
    <row r="346" spans="3:36"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</row>
    <row r="347" spans="3:36"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</row>
    <row r="348" spans="3:36"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</row>
    <row r="349" spans="3:36"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</row>
    <row r="350" spans="3:36"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</row>
    <row r="351" spans="3:36"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</row>
    <row r="352" spans="3:36"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</row>
    <row r="353" spans="3:36"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</row>
    <row r="354" spans="3:36"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</row>
    <row r="355" spans="3:36"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</row>
    <row r="356" spans="3:36"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</row>
    <row r="357" spans="3:36"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</row>
    <row r="358" spans="3:36"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</row>
    <row r="359" spans="3:36"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</row>
    <row r="360" spans="3:36"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</row>
    <row r="361" spans="3:36"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</row>
    <row r="362" spans="3:36"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</row>
    <row r="363" spans="3:36"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</row>
    <row r="364" spans="3:36"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</row>
    <row r="365" spans="3:36"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</row>
    <row r="366" spans="3:36"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</row>
    <row r="367" spans="3:36"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</row>
    <row r="368" spans="3:36"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</row>
    <row r="369" spans="3:36"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</row>
    <row r="370" spans="3:36"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</row>
    <row r="371" spans="3:36"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</row>
    <row r="372" spans="3:36"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</row>
    <row r="373" spans="3:36"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</row>
    <row r="374" spans="3:36"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</row>
    <row r="375" spans="3:36"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</row>
    <row r="376" spans="3:36"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</row>
    <row r="377" spans="3:36"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</row>
    <row r="378" spans="3:36"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</row>
    <row r="379" spans="3:36"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</row>
    <row r="380" spans="3:36"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</row>
    <row r="381" spans="3:36"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</row>
    <row r="382" spans="3:36"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</row>
    <row r="383" spans="3:36"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</row>
    <row r="384" spans="3:36"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</row>
    <row r="385" spans="3:36"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</row>
    <row r="386" spans="3:36"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</row>
    <row r="387" spans="3:36"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</row>
    <row r="388" spans="3:36"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</row>
    <row r="389" spans="3:36"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</row>
    <row r="390" spans="3:36"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</row>
    <row r="391" spans="3:36"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</row>
    <row r="392" spans="3:36"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</row>
    <row r="393" spans="3:36"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</row>
    <row r="394" spans="3:36"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</row>
    <row r="395" spans="3:36"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</row>
    <row r="396" spans="3:36"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</row>
    <row r="397" spans="3:36"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</row>
    <row r="398" spans="3:36"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</row>
    <row r="399" spans="3:36"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</row>
    <row r="400" spans="3:36"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</row>
    <row r="401" spans="3:36"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</row>
    <row r="402" spans="3:36"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</row>
    <row r="403" spans="3:36"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</row>
    <row r="404" spans="3:36"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</row>
    <row r="405" spans="3:36"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</row>
    <row r="406" spans="3:36"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</row>
    <row r="407" spans="3:36"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</row>
    <row r="408" spans="3:36"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</row>
    <row r="409" spans="3:36"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</row>
    <row r="410" spans="3:36"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</row>
    <row r="411" spans="3:36"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</row>
    <row r="412" spans="3:36"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</row>
    <row r="413" spans="3:36"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</row>
    <row r="414" spans="3:36"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</row>
    <row r="415" spans="3:36"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</row>
    <row r="416" spans="3:36"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</row>
    <row r="417" spans="3:36"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</row>
    <row r="418" spans="3:36"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</row>
    <row r="419" spans="3:36"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</row>
    <row r="420" spans="3:36"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</row>
    <row r="421" spans="3:36"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</row>
    <row r="422" spans="3:36"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</row>
    <row r="423" spans="3:36"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</row>
    <row r="424" spans="3:36"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</row>
    <row r="425" spans="3:36"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</row>
    <row r="426" spans="3:36"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</row>
    <row r="427" spans="3:36"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</row>
    <row r="428" spans="3:36"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</row>
    <row r="429" spans="3:36"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</row>
    <row r="430" spans="3:36"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</row>
    <row r="431" spans="3:36"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</row>
    <row r="432" spans="3:36"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</row>
    <row r="433" spans="3:36"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</row>
    <row r="434" spans="3:36"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</row>
    <row r="435" spans="3:36"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</row>
    <row r="436" spans="3:36"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</row>
    <row r="437" spans="3:36"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</row>
    <row r="438" spans="3:36"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</row>
    <row r="439" spans="3:36"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</row>
    <row r="440" spans="3:36"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</row>
    <row r="441" spans="3:36"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</row>
    <row r="442" spans="3:36"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</row>
    <row r="443" spans="3:36"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</row>
  </sheetData>
  <sheetProtection selectLockedCells="1"/>
  <phoneticPr fontId="2" type="noConversion"/>
  <pageMargins left="0.74803149606299213" right="0.74803149606299213" top="0.98425196850393704" bottom="0.98425196850393704" header="0.51181102362204722" footer="0.51181102362204722"/>
  <pageSetup paperSize="9" scale="80" pageOrder="overThenDown" orientation="landscape" r:id="rId1"/>
  <headerFooter alignWithMargins="0">
    <oddFooter>&amp;C&amp;A&amp;RPage &amp;P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Cover</vt:lpstr>
      <vt:lpstr>FLAG</vt:lpstr>
      <vt:lpstr>Guidance Notes </vt:lpstr>
      <vt:lpstr>Bespoke</vt:lpstr>
      <vt:lpstr>IP1</vt:lpstr>
      <vt:lpstr>IP2</vt:lpstr>
      <vt:lpstr>Sales</vt:lpstr>
      <vt:lpstr>OvrH</vt:lpstr>
      <vt:lpstr>P&amp;L</vt:lpstr>
      <vt:lpstr>BS</vt:lpstr>
      <vt:lpstr>Cash</vt:lpstr>
      <vt:lpstr>Summary</vt:lpstr>
      <vt:lpstr>CFlow</vt:lpstr>
      <vt:lpstr>Balances</vt:lpstr>
      <vt:lpstr>Further Information</vt:lpstr>
      <vt:lpstr>CorpTax</vt:lpstr>
      <vt:lpstr>CorpTax2</vt:lpstr>
      <vt:lpstr>CoS</vt:lpstr>
      <vt:lpstr>Mths</vt:lpstr>
      <vt:lpstr>Pattern</vt:lpstr>
      <vt:lpstr>Patterns</vt:lpstr>
      <vt:lpstr>Sales_Price</vt:lpstr>
      <vt:lpstr>VAT</vt:lpstr>
      <vt:lpstr>VATrates</vt:lpstr>
    </vt:vector>
  </TitlesOfParts>
  <Manager>bwaters@mazars.ie</Manager>
  <Company>Mazars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Hotel Financial Model</dc:title>
  <dc:creator>mcoleman@mazars.ie</dc:creator>
  <cp:keywords>Requested by Failte Ireland</cp:keywords>
  <cp:lastModifiedBy>Tung Vo Viet</cp:lastModifiedBy>
  <cp:lastPrinted>2012-02-03T14:30:17Z</cp:lastPrinted>
  <dcterms:created xsi:type="dcterms:W3CDTF">2008-12-08T12:31:01Z</dcterms:created>
  <dcterms:modified xsi:type="dcterms:W3CDTF">2019-12-09T16:46:20Z</dcterms:modified>
  <cp:category>Accounting model</cp:category>
</cp:coreProperties>
</file>