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17670" yWindow="0" windowWidth="18375" windowHeight="8625"/>
  </bookViews>
  <sheets>
    <sheet name="Engine Config Calc" sheetId="2" r:id="rId1"/>
    <sheet name="Database" sheetId="3" r:id="rId2"/>
    <sheet name="Samples" sheetId="1" r:id="rId3"/>
    <sheet name="Energy calcs" sheetId="4" r:id="rId4"/>
  </sheets>
  <definedNames>
    <definedName name="_xlnm.Print_Area" localSheetId="1">#REF!</definedName>
    <definedName name="_xlnm.Print_Area" localSheetId="0">#REF!</definedName>
    <definedName name="_xlnm.Print_Area" localSheetId="2">#REF!</definedName>
    <definedName name="_xlnm.Sheet_Title" localSheetId="1">"Sheet3"</definedName>
    <definedName name="_xlnm.Sheet_Title" localSheetId="0">"Sheet2"</definedName>
    <definedName name="_xlnm.Sheet_Title" localSheetId="2">"Sheet1"</definedName>
  </definedNames>
  <calcPr calcId="152511"/>
</workbook>
</file>

<file path=xl/calcChain.xml><?xml version="1.0" encoding="utf-8"?>
<calcChain xmlns="http://schemas.openxmlformats.org/spreadsheetml/2006/main">
  <c r="B14" i="3" l="1"/>
  <c r="C86" i="4" l="1"/>
  <c r="D59" i="2"/>
  <c r="D62" i="2" s="1"/>
  <c r="C59" i="2"/>
  <c r="C62" i="2" s="1"/>
  <c r="B25" i="3"/>
  <c r="C6" i="4" l="1"/>
  <c r="C85" i="4"/>
  <c r="C13" i="4"/>
  <c r="E13" i="4"/>
  <c r="D41" i="4" l="1"/>
  <c r="C46" i="4"/>
  <c r="C22" i="4"/>
  <c r="C49" i="4"/>
  <c r="E49" i="4"/>
  <c r="B9" i="2"/>
  <c r="D9" i="2" s="1"/>
  <c r="B6" i="4"/>
  <c r="D6" i="4" s="1"/>
  <c r="B13" i="4"/>
  <c r="D73" i="4" l="1"/>
  <c r="E73" i="4"/>
  <c r="D75" i="4"/>
  <c r="E75" i="4"/>
  <c r="D74" i="4"/>
  <c r="E74" i="4"/>
  <c r="E65" i="4"/>
  <c r="D65" i="4"/>
  <c r="E67" i="4"/>
  <c r="D67" i="4"/>
  <c r="E66" i="4"/>
  <c r="D66" i="4"/>
  <c r="D70" i="4"/>
  <c r="D72" i="4"/>
  <c r="E72" i="4"/>
  <c r="E71" i="4"/>
  <c r="D71" i="4"/>
  <c r="E70" i="4"/>
  <c r="E61" i="4"/>
  <c r="E64" i="4"/>
  <c r="E62" i="4"/>
  <c r="E63" i="4"/>
  <c r="D61" i="4"/>
  <c r="D64" i="4"/>
  <c r="D62" i="4"/>
  <c r="D63" i="4"/>
  <c r="D39" i="4"/>
  <c r="E39" i="4" s="1"/>
  <c r="E44" i="4" s="1"/>
  <c r="C45" i="4"/>
  <c r="D42" i="4"/>
  <c r="C47" i="4"/>
  <c r="D38" i="4"/>
  <c r="E38" i="4" s="1"/>
  <c r="C44" i="4" s="1"/>
  <c r="J58" i="3"/>
  <c r="J52" i="3"/>
  <c r="J48" i="3"/>
  <c r="J45" i="3"/>
  <c r="J44" i="3"/>
  <c r="J43" i="3"/>
  <c r="J42" i="3"/>
  <c r="J40" i="3"/>
  <c r="J26" i="3"/>
  <c r="J19" i="3"/>
  <c r="C50" i="4" l="1"/>
  <c r="B32" i="3"/>
  <c r="B33" i="3"/>
  <c r="B16" i="3"/>
  <c r="B17" i="3"/>
  <c r="B22" i="3"/>
  <c r="E50" i="4" l="1"/>
  <c r="E51" i="4" s="1"/>
  <c r="C51" i="4"/>
  <c r="D22" i="4" l="1"/>
  <c r="E6" i="4" l="1"/>
  <c r="D51" i="2"/>
  <c r="D54" i="2" s="1"/>
  <c r="C51" i="2"/>
  <c r="D43" i="2"/>
  <c r="D46" i="2" s="1"/>
  <c r="C43" i="2"/>
  <c r="C46" i="2" s="1"/>
  <c r="C35" i="2"/>
  <c r="C38" i="2" s="1"/>
  <c r="D74" i="2"/>
  <c r="D77" i="2" s="1"/>
  <c r="C74" i="2"/>
  <c r="C77" i="2" s="1"/>
  <c r="D67" i="2"/>
  <c r="D70" i="2" s="1"/>
  <c r="C67" i="2"/>
  <c r="C70" i="2" s="1"/>
  <c r="I34" i="2"/>
  <c r="I73" i="2" s="1"/>
  <c r="I26" i="2"/>
  <c r="I66" i="2" s="1"/>
  <c r="D35" i="2"/>
  <c r="D38" i="2" s="1"/>
  <c r="D27" i="2"/>
  <c r="D30" i="2" s="1"/>
  <c r="C27" i="2"/>
  <c r="C30" i="2" s="1"/>
  <c r="I42" i="2" l="1"/>
  <c r="I58" i="2" s="1"/>
  <c r="I50" i="2"/>
  <c r="C54" i="2"/>
  <c r="B39" i="3"/>
  <c r="B13" i="3" l="1"/>
  <c r="B31" i="3"/>
  <c r="B34" i="3"/>
  <c r="B35" i="3"/>
  <c r="B36" i="3"/>
  <c r="B37" i="3"/>
  <c r="B38" i="3"/>
  <c r="D19" i="2" l="1"/>
  <c r="C19" i="2"/>
  <c r="B18" i="3" l="1"/>
  <c r="B56" i="3"/>
  <c r="B19" i="3"/>
  <c r="B54" i="3" l="1"/>
  <c r="D22" i="2" l="1"/>
  <c r="C22" i="2"/>
  <c r="B12" i="3" l="1"/>
  <c r="B15" i="3"/>
  <c r="B20" i="3"/>
  <c r="B21" i="3"/>
  <c r="B23" i="3"/>
  <c r="B24" i="3"/>
  <c r="B26" i="3"/>
  <c r="B27" i="3"/>
  <c r="B28" i="3"/>
  <c r="B29" i="3"/>
  <c r="B27" i="2" s="1"/>
  <c r="B30" i="2" s="1"/>
  <c r="B30" i="3"/>
  <c r="B35" i="2" s="1"/>
  <c r="B38" i="2" s="1"/>
  <c r="B40" i="3"/>
  <c r="B43" i="3"/>
  <c r="B44" i="3"/>
  <c r="B45" i="3"/>
  <c r="B46" i="3"/>
  <c r="B47" i="3"/>
  <c r="B48" i="3"/>
  <c r="B49" i="3"/>
  <c r="B50" i="3"/>
  <c r="B51" i="3"/>
  <c r="B67" i="2" s="1"/>
  <c r="B70" i="2" s="1"/>
  <c r="B52" i="3"/>
  <c r="B74" i="2" s="1"/>
  <c r="B77" i="2" s="1"/>
  <c r="B53" i="3"/>
  <c r="B55" i="3"/>
  <c r="B11" i="3"/>
  <c r="B59" i="2" l="1"/>
  <c r="B62" i="2" s="1"/>
  <c r="B51" i="2"/>
  <c r="B54" i="2" s="1"/>
  <c r="B19" i="2"/>
  <c r="B22" i="2" s="1"/>
  <c r="B43" i="2"/>
  <c r="B46" i="2" s="1"/>
  <c r="E3" i="1"/>
  <c r="D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C11" i="2" l="1"/>
  <c r="C14" i="2"/>
  <c r="C12" i="2"/>
  <c r="C13" i="2"/>
  <c r="E68" i="2" s="1"/>
  <c r="C9" i="2"/>
  <c r="B60" i="2" l="1"/>
  <c r="B61" i="2" s="1"/>
  <c r="E60" i="2"/>
  <c r="D60" i="2"/>
  <c r="D61" i="2" s="1"/>
  <c r="C60" i="2"/>
  <c r="C61" i="2" s="1"/>
  <c r="E52" i="2"/>
  <c r="E44" i="2"/>
  <c r="G42" i="2" s="1"/>
  <c r="H42" i="2" s="1"/>
  <c r="E36" i="2"/>
  <c r="G34" i="2" s="1"/>
  <c r="H34" i="2" s="1"/>
  <c r="D36" i="2"/>
  <c r="D37" i="2" s="1"/>
  <c r="C36" i="2"/>
  <c r="C37" i="2" s="1"/>
  <c r="D52" i="2"/>
  <c r="D53" i="2" s="1"/>
  <c r="B36" i="2"/>
  <c r="B37" i="2" s="1"/>
  <c r="C52" i="2"/>
  <c r="C53" i="2" s="1"/>
  <c r="B52" i="2"/>
  <c r="B53" i="2" s="1"/>
  <c r="D44" i="2"/>
  <c r="D45" i="2" s="1"/>
  <c r="C44" i="2"/>
  <c r="C45" i="2" s="1"/>
  <c r="B44" i="2"/>
  <c r="B45" i="2" s="1"/>
  <c r="D28" i="2"/>
  <c r="D29" i="2" s="1"/>
  <c r="C28" i="2"/>
  <c r="C29" i="2" s="1"/>
  <c r="B28" i="2"/>
  <c r="B29" i="2" s="1"/>
  <c r="E28" i="2"/>
  <c r="G26" i="2" s="1"/>
  <c r="H26" i="2" s="1"/>
  <c r="C20" i="2"/>
  <c r="D20" i="2"/>
  <c r="D21" i="2" s="1"/>
  <c r="B20" i="2"/>
  <c r="B21" i="2" s="1"/>
  <c r="E20" i="2"/>
  <c r="G18" i="2" s="1"/>
  <c r="H18" i="2" s="1"/>
  <c r="G66" i="2"/>
  <c r="H66" i="2" s="1"/>
  <c r="D68" i="2"/>
  <c r="D69" i="2" s="1"/>
  <c r="C68" i="2"/>
  <c r="C69" i="2" s="1"/>
  <c r="B68" i="2"/>
  <c r="B69" i="2" s="1"/>
  <c r="G50" i="2"/>
  <c r="H50" i="2" s="1"/>
  <c r="C75" i="2"/>
  <c r="C76" i="2" s="1"/>
  <c r="D75" i="2"/>
  <c r="D76" i="2" s="1"/>
  <c r="B75" i="2"/>
  <c r="B76" i="2" s="1"/>
  <c r="E75" i="2"/>
  <c r="G73" i="2" s="1"/>
  <c r="H73" i="2" s="1"/>
  <c r="E9" i="2"/>
  <c r="E61" i="2" l="1"/>
  <c r="G58" i="2"/>
  <c r="H58" i="2" s="1"/>
  <c r="E76" i="2"/>
  <c r="E45" i="2"/>
  <c r="E37" i="2"/>
  <c r="E29" i="2"/>
  <c r="E53" i="2"/>
  <c r="E69" i="2"/>
  <c r="C21" i="2"/>
  <c r="E21" i="2"/>
  <c r="G9" i="2" l="1"/>
  <c r="H9" i="2" s="1"/>
  <c r="B29" i="4"/>
  <c r="B31" i="4" l="1"/>
  <c r="D29" i="4"/>
  <c r="B27" i="4"/>
  <c r="C29" i="4"/>
  <c r="C11" i="4"/>
  <c r="D17" i="4" s="1"/>
</calcChain>
</file>

<file path=xl/comments1.xml><?xml version="1.0" encoding="utf-8"?>
<comments xmlns="http://schemas.openxmlformats.org/spreadsheetml/2006/main">
  <authors>
    <author>Jadon Wade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[Specific impulse]
The conventional format for rocket fuel efficiency. "Newton-seconds"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[Exhaust velocity]
The speed of the reaction products leaving the engine. This is more important than Ns Isp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Total propellant mass flow into combustion chamber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Net mass-energy released through the engine. Treat it as thermal mass/energy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[Specific energy]
Energy density per unit mass of fuel reacting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Reference multipliers for Isp to buffer against annoying and near-unplayable dV with some part mods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If Isp goes up, mass flow must go down. The opposite is true.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If EC value is not where I want it to be, express its offset as a fraction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Derived from offset fraction. Put this into input field to cancel the offset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The in-game value that I want to get</t>
        </r>
      </text>
    </comment>
  </commentList>
</comments>
</file>

<file path=xl/comments2.xml><?xml version="1.0" encoding="utf-8"?>
<comments xmlns="http://schemas.openxmlformats.org/spreadsheetml/2006/main">
  <authors>
    <author>Jadon Wade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Get important stats from thrust and Isp of an arbitrary propellant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Light speed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Earth standard acceleration (by gravity)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Get missing values/specs from Thruster power and Isp on the many engine type entries on Project Rho/ Atomic Rockets website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Get effective thrust and EC demand from a sample lightcraft driver laser wattage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If a given fusion or oxidating reactor was built open-ended for use with a thermal nozzle, get engine-related stats from the reaction's energy density and a desired thrust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Exhaust velocity of a given chemical passed through a nuclear thermal chamber with a given chember temperature, chamber pressure and ideal ambient pressure.
Does not account for other properties of the chemical such as Specific Heat [Hsp] so may not be reliable for NTR configs for just any chemical.
Adapted from formula on fxsolver.com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Inlet gas temperature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Molar gas constant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Molar mass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Isentropic heat expansion factor. Dry air usually 1.398; scalar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Exhaust pressure at nozzle exit. What the ideal atmospheric pressure around the engine should be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Inlet gas pressure (or reaction chamber pressure)</t>
        </r>
      </text>
    </comment>
    <comment ref="A5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Reference table of choice propellants and Isp based on a NASA PDF. Unfortunately, these don't line up with the Exhaust gas velocity calculator above, therefore, the disclaimer in the comment there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Exchange of thrust for Isp isn't always linear so dampen the climb rate of the thrust multipliers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For Classic Stock Resources; Angelo Kerman's mods.</t>
        </r>
      </text>
    </comment>
    <comment ref="B8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Total heat production of a given reactor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Temperature of hot reservoir or power source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Temperature of cold reservoir or radiator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Work; useful energy; ElectricCharge produced; heat destroyed</t>
        </r>
      </text>
    </comment>
    <comment ref="B8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Ratio of Temps differential</t>
        </r>
      </text>
    </comment>
  </commentList>
</comments>
</file>

<file path=xl/sharedStrings.xml><?xml version="1.0" encoding="utf-8"?>
<sst xmlns="http://schemas.openxmlformats.org/spreadsheetml/2006/main" count="395" uniqueCount="243">
  <si>
    <t>name</t>
  </si>
  <si>
    <t>Thrust(kN)</t>
  </si>
  <si>
    <t>Isp(s)</t>
  </si>
  <si>
    <t>Ve (m/s)</t>
  </si>
  <si>
    <t>flow(kg/s)</t>
  </si>
  <si>
    <t>power(W)</t>
  </si>
  <si>
    <t>J/kg</t>
  </si>
  <si>
    <t>24-77</t>
  </si>
  <si>
    <t>48-7S</t>
  </si>
  <si>
    <t>aerospike</t>
  </si>
  <si>
    <t>LV-1</t>
  </si>
  <si>
    <t>LV-1R</t>
  </si>
  <si>
    <t>LV-909</t>
  </si>
  <si>
    <t>LV-N</t>
  </si>
  <si>
    <t>LF only</t>
  </si>
  <si>
    <t>LV-T30</t>
  </si>
  <si>
    <t>LV-T45</t>
  </si>
  <si>
    <t>mainsail</t>
  </si>
  <si>
    <t>Mk55</t>
  </si>
  <si>
    <t>poodle</t>
  </si>
  <si>
    <t>SSME</t>
  </si>
  <si>
    <t>skipper</t>
  </si>
  <si>
    <t>Isp</t>
  </si>
  <si>
    <t>Flow (kg/s)</t>
  </si>
  <si>
    <t>Name</t>
  </si>
  <si>
    <t>Mass (kg)</t>
  </si>
  <si>
    <t>Density (kg)</t>
  </si>
  <si>
    <t>LiquidFuel</t>
  </si>
  <si>
    <t>Oxidizer</t>
  </si>
  <si>
    <t>MonoPropellant</t>
  </si>
  <si>
    <t>LqdHydrogen</t>
  </si>
  <si>
    <t>LqdMethane</t>
  </si>
  <si>
    <t>SolidFuel</t>
  </si>
  <si>
    <t>ElectricCharge</t>
  </si>
  <si>
    <t>Propellants</t>
  </si>
  <si>
    <t>Power (W)</t>
  </si>
  <si>
    <t>Power (J/kg)</t>
  </si>
  <si>
    <t>Inputs</t>
  </si>
  <si>
    <t>Outputs</t>
  </si>
  <si>
    <t>XenonGas</t>
  </si>
  <si>
    <t>Lithium</t>
  </si>
  <si>
    <t>EnrichedUranium</t>
  </si>
  <si>
    <t>Antimatter</t>
  </si>
  <si>
    <t>ArgonGas</t>
  </si>
  <si>
    <t>Metal(s)</t>
  </si>
  <si>
    <t>LqdDeuterium</t>
  </si>
  <si>
    <t>LqdCO2</t>
  </si>
  <si>
    <t>LqdAmmonia</t>
  </si>
  <si>
    <t>LqdHe3</t>
  </si>
  <si>
    <t>Karbonite</t>
  </si>
  <si>
    <t>Karborundum</t>
  </si>
  <si>
    <t>Atmosphere</t>
  </si>
  <si>
    <t>CompressedAtmosphere</t>
  </si>
  <si>
    <t>Nitronite</t>
  </si>
  <si>
    <t>Propellium</t>
  </si>
  <si>
    <t>Raptium</t>
  </si>
  <si>
    <t>Explodium</t>
  </si>
  <si>
    <t>Oxium</t>
  </si>
  <si>
    <t>Blutonium</t>
  </si>
  <si>
    <t>Hexagen</t>
  </si>
  <si>
    <t>RHK1</t>
  </si>
  <si>
    <t>ElectroPlasma</t>
  </si>
  <si>
    <t>____CRP____</t>
  </si>
  <si>
    <t>____WBI____</t>
  </si>
  <si>
    <t>Samples by @taniwha</t>
  </si>
  <si>
    <t>Intake(Air/Atm)</t>
  </si>
  <si>
    <t>Name (dropdown)</t>
  </si>
  <si>
    <t>Ratio (for cfg)</t>
  </si>
  <si>
    <t>Stats (from cfg)</t>
  </si>
  <si>
    <t>Blue items are drop-down selectors. Orange fields are inputs. Only type into the orange fields.</t>
  </si>
  <si>
    <t>SRMFuel</t>
  </si>
  <si>
    <t>Supports stock, CRP and WBI.</t>
  </si>
  <si>
    <t>Mass (kg/s)</t>
  </si>
  <si>
    <t>Ratio (U/s)</t>
  </si>
  <si>
    <t>Total flow (kg/s)</t>
  </si>
  <si>
    <t>Units/s (in-game)</t>
  </si>
  <si>
    <t>Rock</t>
  </si>
  <si>
    <t>Ore</t>
  </si>
  <si>
    <t>FusionPellets</t>
  </si>
  <si>
    <t>Water (CRP)</t>
  </si>
  <si>
    <t>Water (WBI)</t>
  </si>
  <si>
    <t>MetallicHydrogen</t>
  </si>
  <si>
    <t>NuclearSaltWater</t>
  </si>
  <si>
    <t>FissionPellets</t>
  </si>
  <si>
    <t>MMH</t>
  </si>
  <si>
    <t>NTO</t>
  </si>
  <si>
    <t>AZ50</t>
  </si>
  <si>
    <t>LqdOxygen</t>
  </si>
  <si>
    <t>UDMH</t>
  </si>
  <si>
    <t>UH25</t>
  </si>
  <si>
    <t>Target</t>
  </si>
  <si>
    <t>Fraction</t>
  </si>
  <si>
    <t>Do not input propellants that have "IgnoreForIsp = True"</t>
  </si>
  <si>
    <t>Thrust</t>
  </si>
  <si>
    <t>SCOOP LF</t>
  </si>
  <si>
    <t>SCOOP LFO</t>
  </si>
  <si>
    <t>WarpJet</t>
  </si>
  <si>
    <t>SCOOP Jet</t>
  </si>
  <si>
    <t>Nebula</t>
  </si>
  <si>
    <t>J-81</t>
  </si>
  <si>
    <t>Wrapper J</t>
  </si>
  <si>
    <t>Bubble</t>
  </si>
  <si>
    <t>EggDog</t>
  </si>
  <si>
    <t>WJOpen</t>
  </si>
  <si>
    <t>WJClosed</t>
  </si>
  <si>
    <t>EC req</t>
  </si>
  <si>
    <t>Classic Stock</t>
  </si>
  <si>
    <t>~ Re-input</t>
  </si>
  <si>
    <t>EC Target</t>
  </si>
  <si>
    <t>ARI-73</t>
  </si>
  <si>
    <t>ARI-75</t>
  </si>
  <si>
    <t>c</t>
  </si>
  <si>
    <t>Lightcraft</t>
  </si>
  <si>
    <t>ElectricCharge (kW or kWh)</t>
  </si>
  <si>
    <t>Thrust (Vac, kN)</t>
  </si>
  <si>
    <t>Weight (t)</t>
  </si>
  <si>
    <t>Basic</t>
  </si>
  <si>
    <t>Advanced</t>
  </si>
  <si>
    <t>Extra</t>
  </si>
  <si>
    <t>Reactor to engine</t>
  </si>
  <si>
    <t>Esp (J/kg)</t>
  </si>
  <si>
    <t>Kerosene</t>
  </si>
  <si>
    <t>Ethanol</t>
  </si>
  <si>
    <t>Ethanol75</t>
  </si>
  <si>
    <t>LqdNitrogen</t>
  </si>
  <si>
    <t>Hydrogen</t>
  </si>
  <si>
    <t>R</t>
  </si>
  <si>
    <t>(1-(Pe^Z)/P)</t>
  </si>
  <si>
    <t>(T*R)/M</t>
  </si>
  <si>
    <t>P</t>
  </si>
  <si>
    <t>Pe</t>
  </si>
  <si>
    <t>M</t>
  </si>
  <si>
    <t>T</t>
  </si>
  <si>
    <t>Exhaust gas velocity</t>
  </si>
  <si>
    <t>Alumina</t>
  </si>
  <si>
    <t>Al2O3</t>
  </si>
  <si>
    <t>Aluminium</t>
  </si>
  <si>
    <t>Al</t>
  </si>
  <si>
    <t>Ammonia</t>
  </si>
  <si>
    <t>NH3</t>
  </si>
  <si>
    <t>Ar</t>
  </si>
  <si>
    <t>Carbon</t>
  </si>
  <si>
    <t>C</t>
  </si>
  <si>
    <t>CarbonDioxide</t>
  </si>
  <si>
    <t>CO2</t>
  </si>
  <si>
    <t>CarbonMonoxide</t>
  </si>
  <si>
    <t>CO</t>
  </si>
  <si>
    <t>Chlorine</t>
  </si>
  <si>
    <t>Cl2</t>
  </si>
  <si>
    <t>Depleted [Fuel/Uranium]</t>
  </si>
  <si>
    <t>U</t>
  </si>
  <si>
    <t>Deuterium</t>
  </si>
  <si>
    <t>D / 2H</t>
  </si>
  <si>
    <t>Dirt</t>
  </si>
  <si>
    <t>Sand (SiO2)</t>
  </si>
  <si>
    <t>C2H6O</t>
  </si>
  <si>
    <t>C2H6O[3] + H2O[1]</t>
  </si>
  <si>
    <t>ExoticMinerals</t>
  </si>
  <si>
    <t>Xenotime (YPO4)</t>
  </si>
  <si>
    <t>Fluorine</t>
  </si>
  <si>
    <t>F2</t>
  </si>
  <si>
    <t>D+He3</t>
  </si>
  <si>
    <t>Glykerol</t>
  </si>
  <si>
    <t>Glycerol (C3H8O3)</t>
  </si>
  <si>
    <t>Gypsum</t>
  </si>
  <si>
    <t>Gypsum (CaSO4+2H2O)</t>
  </si>
  <si>
    <t>Helium-3</t>
  </si>
  <si>
    <t>3He</t>
  </si>
  <si>
    <t>Helium</t>
  </si>
  <si>
    <t>He / 4He</t>
  </si>
  <si>
    <t>HTP</t>
  </si>
  <si>
    <t>H2O2</t>
  </si>
  <si>
    <t>Hydrates</t>
  </si>
  <si>
    <t>Ferrihydrite (Fe2O3+0.5(H2O))</t>
  </si>
  <si>
    <t>Hydrazine</t>
  </si>
  <si>
    <t>N2H4</t>
  </si>
  <si>
    <t>H2</t>
  </si>
  <si>
    <t>Dodecane (C12H26)</t>
  </si>
  <si>
    <t>Li</t>
  </si>
  <si>
    <t>LqdCO</t>
  </si>
  <si>
    <t>LqdHe</t>
  </si>
  <si>
    <t>CH4</t>
  </si>
  <si>
    <t>O2</t>
  </si>
  <si>
    <t>N2</t>
  </si>
  <si>
    <t>MetallicOre</t>
  </si>
  <si>
    <t>Hematite (Fe2O3)</t>
  </si>
  <si>
    <t>MetalOre</t>
  </si>
  <si>
    <t>Iron (Fe)</t>
  </si>
  <si>
    <t>Methane</t>
  </si>
  <si>
    <t>Minerals</t>
  </si>
  <si>
    <t>Quartz (SiO2)</t>
  </si>
  <si>
    <r>
      <t>CH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0"/>
        <color indexed="8"/>
        <rFont val="Sans"/>
      </rPr>
      <t>(NH)NH</t>
    </r>
    <r>
      <rPr>
        <vertAlign val="subscript"/>
        <sz val="12"/>
        <color theme="1"/>
        <rFont val="Calibri"/>
        <family val="2"/>
        <scheme val="minor"/>
      </rPr>
      <t>2</t>
    </r>
  </si>
  <si>
    <t>Monazite</t>
  </si>
  <si>
    <t>Lanthanum var (LaPO4)</t>
  </si>
  <si>
    <t>Nitrogen</t>
  </si>
  <si>
    <t>N2O4</t>
  </si>
  <si>
    <t>Oxygen</t>
  </si>
  <si>
    <t>Phosphorus</t>
  </si>
  <si>
    <t>RareMetals</t>
  </si>
  <si>
    <t>Platinum (Pt)</t>
  </si>
  <si>
    <t>Silicates</t>
  </si>
  <si>
    <t>Silicon</t>
  </si>
  <si>
    <t>Si</t>
  </si>
  <si>
    <t>Spodumene</t>
  </si>
  <si>
    <t>LiAl(SiO3)2</t>
  </si>
  <si>
    <t>Uraninite</t>
  </si>
  <si>
    <t>UO2</t>
  </si>
  <si>
    <t>H2NN(CH3)2</t>
  </si>
  <si>
    <t>Hydrazine + UDMH (25:75)</t>
  </si>
  <si>
    <t>H2O</t>
  </si>
  <si>
    <t>Chem Symbol</t>
  </si>
  <si>
    <t>Moles</t>
  </si>
  <si>
    <t>Molar mass</t>
  </si>
  <si>
    <t>Isp (Ns)</t>
  </si>
  <si>
    <t>LH2</t>
  </si>
  <si>
    <t>RRNF Ratios</t>
  </si>
  <si>
    <t>Water</t>
  </si>
  <si>
    <t>Fresh Air</t>
  </si>
  <si>
    <t>Thrust mult</t>
  </si>
  <si>
    <t>Thrust mult exp</t>
  </si>
  <si>
    <t>Ve (%c)</t>
  </si>
  <si>
    <t>(Stale/Comp) Atm</t>
  </si>
  <si>
    <t>Energy Calculators</t>
  </si>
  <si>
    <t>γ</t>
  </si>
  <si>
    <t>(2γ/γ-1)</t>
  </si>
  <si>
    <t>ɡ0</t>
  </si>
  <si>
    <t>Thrust (kN)</t>
  </si>
  <si>
    <t>Engine Spec</t>
  </si>
  <si>
    <t>OPT stuff…</t>
  </si>
  <si>
    <t>γ-1/γ</t>
  </si>
  <si>
    <t>CRP</t>
  </si>
  <si>
    <t>Engine count</t>
  </si>
  <si>
    <t>TWR per engine</t>
  </si>
  <si>
    <t>Isp (s)</t>
  </si>
  <si>
    <t>W</t>
  </si>
  <si>
    <t>Q</t>
  </si>
  <si>
    <t>Tc</t>
  </si>
  <si>
    <t>Th</t>
  </si>
  <si>
    <t>Rt</t>
  </si>
  <si>
    <t>Carnot cycle generator</t>
  </si>
  <si>
    <t>Boron</t>
  </si>
  <si>
    <t>B</t>
  </si>
  <si>
    <t>Orthosilicate (SiO4)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</si>
</sst>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_-;\-* #,##0.00_-;_-* &quot;-&quot;??_-;_-@_-"/>
    <numFmt numFmtId="164" formatCode="0.0"/>
    <numFmt numFmtId="165" formatCode="0.000"/>
    <numFmt numFmtId="166" formatCode="0.0000"/>
    <numFmt numFmtId="167" formatCode="_-* #,##0_-;\-* #,##0_-;_-* &quot;-&quot;??_-;_-@_-"/>
    <numFmt numFmtId="168" formatCode="_-* #,##0.000_-;\-* #,##0.000_-;_-* &quot;-&quot;??_-;_-@_-"/>
    <numFmt numFmtId="169" formatCode="General\ &quot;J/mol-1 /K-1&quot;"/>
    <numFmt numFmtId="170" formatCode="0\ &quot;K&quot;"/>
    <numFmt numFmtId="171" formatCode="#,##0.00\ &quot;g/mol&quot;"/>
    <numFmt numFmtId="172" formatCode="0\ &quot;atm&quot;"/>
    <numFmt numFmtId="173" formatCode="0.00\ &quot;g/mol&quot;"/>
    <numFmt numFmtId="174" formatCode="0.000\ &quot;kg/mol&quot;"/>
    <numFmt numFmtId="175" formatCode="0.00&quot;x&quot;"/>
    <numFmt numFmtId="176" formatCode="0.00000\ &quot;m/s^2&quot;"/>
    <numFmt numFmtId="177" formatCode="#,###\ &quot;m/s&quot;"/>
    <numFmt numFmtId="178" formatCode="#,##0.00\ &quot;Pa&quot;"/>
    <numFmt numFmtId="179" formatCode="#,###\ &quot;kW&quot;"/>
  </numFmts>
  <fonts count="26">
    <font>
      <sz val="10"/>
      <color indexed="8"/>
      <name val="Sans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indexed="8"/>
      <name val="Sans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Sans"/>
    </font>
    <font>
      <i/>
      <sz val="12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70C0"/>
      <name val="Calibri"/>
      <family val="2"/>
      <scheme val="minor"/>
    </font>
    <font>
      <sz val="12"/>
      <color rgb="FFC00000"/>
      <name val="Calibri"/>
      <family val="2"/>
      <scheme val="minor"/>
    </font>
    <font>
      <u/>
      <sz val="10"/>
      <color theme="10"/>
      <name val="Sans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3" applyNumberFormat="0" applyAlignment="0" applyProtection="0"/>
    <xf numFmtId="0" fontId="5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3" borderId="5" applyNumberFormat="0" applyAlignment="0" applyProtection="0"/>
    <xf numFmtId="0" fontId="15" fillId="0" borderId="6" applyNumberFormat="0" applyFill="0" applyAlignment="0" applyProtection="0"/>
    <xf numFmtId="43" fontId="16" fillId="0" borderId="0" applyFont="0" applyFill="0" applyBorder="0" applyAlignment="0" applyProtection="0"/>
    <xf numFmtId="0" fontId="18" fillId="0" borderId="0"/>
    <xf numFmtId="0" fontId="25" fillId="0" borderId="0" applyNumberFormat="0" applyFill="0" applyBorder="0" applyAlignment="0" applyProtection="0"/>
  </cellStyleXfs>
  <cellXfs count="78">
    <xf numFmtId="0" fontId="0" fillId="0" borderId="0" xfId="0"/>
    <xf numFmtId="0" fontId="8" fillId="0" borderId="0" xfId="0" applyFont="1" applyFill="1" applyAlignment="1"/>
    <xf numFmtId="0" fontId="9" fillId="0" borderId="0" xfId="0" applyFont="1" applyFill="1" applyAlignment="1"/>
    <xf numFmtId="164" fontId="9" fillId="0" borderId="0" xfId="0" applyNumberFormat="1" applyFont="1" applyFill="1" applyAlignment="1"/>
    <xf numFmtId="0" fontId="9" fillId="0" borderId="0" xfId="0" applyNumberFormat="1" applyFont="1" applyFill="1" applyAlignment="1"/>
    <xf numFmtId="0" fontId="9" fillId="0" borderId="0" xfId="0" applyFont="1"/>
    <xf numFmtId="0" fontId="4" fillId="3" borderId="3" xfId="4" applyAlignment="1"/>
    <xf numFmtId="0" fontId="2" fillId="0" borderId="2" xfId="2" applyFill="1" applyAlignment="1"/>
    <xf numFmtId="0" fontId="1" fillId="0" borderId="1" xfId="1" applyFill="1" applyAlignment="1"/>
    <xf numFmtId="165" fontId="4" fillId="3" borderId="3" xfId="4" applyNumberFormat="1" applyAlignment="1"/>
    <xf numFmtId="0" fontId="5" fillId="0" borderId="4" xfId="5" applyFont="1" applyFill="1" applyAlignment="1"/>
    <xf numFmtId="0" fontId="6" fillId="0" borderId="0" xfId="6" applyNumberFormat="1" applyFont="1" applyFill="1" applyAlignment="1"/>
    <xf numFmtId="0" fontId="11" fillId="3" borderId="3" xfId="4" applyFont="1" applyAlignment="1"/>
    <xf numFmtId="0" fontId="10" fillId="2" borderId="3" xfId="3" applyFont="1" applyAlignment="1"/>
    <xf numFmtId="0" fontId="7" fillId="0" borderId="0" xfId="0" applyFont="1"/>
    <xf numFmtId="165" fontId="13" fillId="3" borderId="5" xfId="8" applyNumberFormat="1" applyAlignment="1"/>
    <xf numFmtId="0" fontId="14" fillId="5" borderId="0" xfId="0" applyFont="1" applyFill="1"/>
    <xf numFmtId="0" fontId="6" fillId="0" borderId="0" xfId="6"/>
    <xf numFmtId="0" fontId="12" fillId="4" borderId="0" xfId="7" applyAlignment="1"/>
    <xf numFmtId="165" fontId="3" fillId="2" borderId="3" xfId="3" applyNumberFormat="1" applyFont="1" applyAlignment="1"/>
    <xf numFmtId="166" fontId="3" fillId="2" borderId="3" xfId="3" applyNumberFormat="1" applyFont="1" applyAlignment="1"/>
    <xf numFmtId="0" fontId="15" fillId="0" borderId="6" xfId="9" applyFill="1" applyAlignment="1"/>
    <xf numFmtId="0" fontId="5" fillId="0" borderId="4" xfId="5"/>
    <xf numFmtId="166" fontId="4" fillId="3" borderId="3" xfId="4" applyNumberFormat="1" applyAlignment="1"/>
    <xf numFmtId="0" fontId="13" fillId="3" borderId="5" xfId="8" applyAlignment="1"/>
    <xf numFmtId="0" fontId="15" fillId="0" borderId="6" xfId="9"/>
    <xf numFmtId="0" fontId="9" fillId="6" borderId="0" xfId="0" applyFont="1" applyFill="1" applyAlignment="1"/>
    <xf numFmtId="43" fontId="4" fillId="3" borderId="3" xfId="10" applyFont="1" applyFill="1" applyBorder="1" applyAlignment="1"/>
    <xf numFmtId="0" fontId="4" fillId="3" borderId="3" xfId="4"/>
    <xf numFmtId="0" fontId="3" fillId="2" borderId="3" xfId="3"/>
    <xf numFmtId="43" fontId="3" fillId="2" borderId="3" xfId="10" applyFont="1" applyFill="1" applyBorder="1" applyAlignment="1"/>
    <xf numFmtId="43" fontId="3" fillId="2" borderId="3" xfId="10" applyFont="1" applyFill="1" applyBorder="1"/>
    <xf numFmtId="43" fontId="4" fillId="3" borderId="3" xfId="4" applyNumberFormat="1" applyFont="1" applyAlignment="1"/>
    <xf numFmtId="167" fontId="3" fillId="2" borderId="3" xfId="10" applyNumberFormat="1" applyFont="1" applyFill="1" applyBorder="1" applyAlignment="1"/>
    <xf numFmtId="11" fontId="3" fillId="2" borderId="3" xfId="3" applyNumberFormat="1"/>
    <xf numFmtId="43" fontId="4" fillId="3" borderId="3" xfId="10" applyFont="1" applyFill="1" applyBorder="1"/>
    <xf numFmtId="11" fontId="3" fillId="2" borderId="3" xfId="3" applyNumberFormat="1" applyFont="1"/>
    <xf numFmtId="168" fontId="4" fillId="3" borderId="3" xfId="10" applyNumberFormat="1" applyFont="1" applyFill="1" applyBorder="1"/>
    <xf numFmtId="0" fontId="18" fillId="0" borderId="0" xfId="11"/>
    <xf numFmtId="0" fontId="0" fillId="0" borderId="0" xfId="0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170" fontId="3" fillId="2" borderId="3" xfId="3" applyNumberFormat="1"/>
    <xf numFmtId="169" fontId="6" fillId="0" borderId="0" xfId="6" applyNumberFormat="1"/>
    <xf numFmtId="172" fontId="3" fillId="2" borderId="3" xfId="3" applyNumberFormat="1"/>
    <xf numFmtId="2" fontId="4" fillId="3" borderId="3" xfId="4" applyNumberFormat="1"/>
    <xf numFmtId="0" fontId="18" fillId="0" borderId="0" xfId="11" applyFont="1"/>
    <xf numFmtId="173" fontId="5" fillId="0" borderId="4" xfId="5" applyNumberFormat="1"/>
    <xf numFmtId="174" fontId="5" fillId="0" borderId="4" xfId="5" applyNumberFormat="1"/>
    <xf numFmtId="2" fontId="9" fillId="0" borderId="0" xfId="0" applyNumberFormat="1" applyFont="1"/>
    <xf numFmtId="164" fontId="9" fillId="0" borderId="0" xfId="0" applyNumberFormat="1" applyFont="1"/>
    <xf numFmtId="0" fontId="23" fillId="0" borderId="0" xfId="0" applyFont="1"/>
    <xf numFmtId="0" fontId="24" fillId="0" borderId="0" xfId="0" applyFont="1"/>
    <xf numFmtId="175" fontId="9" fillId="0" borderId="0" xfId="0" applyNumberFormat="1" applyFont="1"/>
    <xf numFmtId="2" fontId="3" fillId="2" borderId="3" xfId="3" applyNumberFormat="1"/>
    <xf numFmtId="175" fontId="4" fillId="3" borderId="3" xfId="4" applyNumberFormat="1"/>
    <xf numFmtId="0" fontId="2" fillId="0" borderId="2" xfId="2"/>
    <xf numFmtId="176" fontId="17" fillId="0" borderId="0" xfId="10" applyNumberFormat="1" applyFont="1"/>
    <xf numFmtId="177" fontId="17" fillId="0" borderId="0" xfId="10" applyNumberFormat="1" applyFont="1"/>
    <xf numFmtId="43" fontId="4" fillId="3" borderId="3" xfId="10" applyNumberFormat="1" applyFont="1" applyFill="1" applyBorder="1"/>
    <xf numFmtId="43" fontId="13" fillId="3" borderId="5" xfId="10" applyFont="1" applyFill="1" applyBorder="1"/>
    <xf numFmtId="2" fontId="13" fillId="3" borderId="5" xfId="8" applyNumberFormat="1"/>
    <xf numFmtId="1" fontId="3" fillId="2" borderId="3" xfId="3" applyNumberFormat="1" applyAlignment="1"/>
    <xf numFmtId="165" fontId="4" fillId="3" borderId="3" xfId="4" applyNumberFormat="1"/>
    <xf numFmtId="178" fontId="5" fillId="0" borderId="4" xfId="5" applyNumberFormat="1"/>
    <xf numFmtId="0" fontId="25" fillId="0" borderId="0" xfId="12"/>
    <xf numFmtId="175" fontId="3" fillId="2" borderId="3" xfId="3" applyNumberFormat="1"/>
    <xf numFmtId="2" fontId="5" fillId="0" borderId="4" xfId="5" applyNumberFormat="1"/>
    <xf numFmtId="1" fontId="9" fillId="0" borderId="0" xfId="0" applyNumberFormat="1" applyFont="1"/>
    <xf numFmtId="168" fontId="4" fillId="3" borderId="3" xfId="10" applyNumberFormat="1" applyFont="1" applyFill="1" applyBorder="1" applyAlignment="1"/>
    <xf numFmtId="179" fontId="3" fillId="2" borderId="3" xfId="10" applyNumberFormat="1" applyFont="1" applyFill="1" applyBorder="1"/>
    <xf numFmtId="179" fontId="13" fillId="3" borderId="5" xfId="8" applyNumberFormat="1"/>
    <xf numFmtId="0" fontId="2" fillId="0" borderId="2" xfId="2" applyFill="1" applyAlignment="1">
      <alignment horizontal="center"/>
    </xf>
    <xf numFmtId="0" fontId="1" fillId="0" borderId="1" xfId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1" fillId="0" borderId="1" xfId="1" applyAlignment="1">
      <alignment horizontal="center"/>
    </xf>
  </cellXfs>
  <cellStyles count="13">
    <cellStyle name="Calculation" xfId="4" builtinId="22"/>
    <cellStyle name="Comma" xfId="10" builtinId="3"/>
    <cellStyle name="Explanatory Text" xfId="6" builtinId="53"/>
    <cellStyle name="Good" xfId="7" builtinId="26"/>
    <cellStyle name="Heading 1" xfId="1" builtinId="16"/>
    <cellStyle name="Heading 2" xfId="2" builtinId="17"/>
    <cellStyle name="Heading 3" xfId="9" builtinId="18"/>
    <cellStyle name="Hyperlink" xfId="12" builtinId="8"/>
    <cellStyle name="Input" xfId="3" builtinId="20"/>
    <cellStyle name="Linked Cell" xfId="5" builtinId="24"/>
    <cellStyle name="Normal" xfId="0" builtinId="0"/>
    <cellStyle name="Normal 2" xfId="11"/>
    <cellStyle name="Output" xfId="8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Q77"/>
  <sheetViews>
    <sheetView tabSelected="1" zoomScaleNormal="100" workbookViewId="0">
      <selection activeCell="E13" sqref="E13"/>
    </sheetView>
  </sheetViews>
  <sheetFormatPr defaultRowHeight="15.75"/>
  <cols>
    <col min="1" max="3" width="19.7109375" style="2" customWidth="1"/>
    <col min="4" max="4" width="21.140625" style="2" customWidth="1"/>
    <col min="5" max="5" width="21.5703125" style="2" customWidth="1"/>
    <col min="6" max="6" width="9.140625" style="2"/>
    <col min="7" max="7" width="14.28515625" style="2" customWidth="1"/>
    <col min="8" max="8" width="14.140625" style="2" customWidth="1"/>
    <col min="9" max="9" width="14.42578125" style="2" customWidth="1"/>
    <col min="10" max="10" width="9.140625" style="2"/>
    <col min="11" max="11" width="14.5703125" style="2" customWidth="1"/>
    <col min="12" max="12" width="11.7109375" style="2" customWidth="1"/>
    <col min="13" max="251" width="9.140625" style="2"/>
    <col min="252" max="16384" width="9.140625" style="5"/>
  </cols>
  <sheetData>
    <row r="1" spans="1:15" ht="20.25" thickBot="1">
      <c r="A1" s="73" t="s">
        <v>227</v>
      </c>
      <c r="B1" s="73"/>
      <c r="C1" s="73"/>
      <c r="D1" s="73"/>
      <c r="E1" s="73"/>
    </row>
    <row r="2" spans="1:15" ht="16.5" thickTop="1">
      <c r="A2" s="17" t="s">
        <v>69</v>
      </c>
      <c r="B2"/>
      <c r="C2"/>
      <c r="D2"/>
      <c r="E2"/>
    </row>
    <row r="3" spans="1:15">
      <c r="A3" s="17" t="s">
        <v>71</v>
      </c>
      <c r="B3"/>
      <c r="C3"/>
      <c r="D3"/>
      <c r="E3"/>
    </row>
    <row r="4" spans="1:15">
      <c r="A4" s="17" t="s">
        <v>92</v>
      </c>
      <c r="B4"/>
      <c r="C4"/>
      <c r="D4"/>
      <c r="E4"/>
    </row>
    <row r="5" spans="1:15">
      <c r="A5"/>
      <c r="B5"/>
      <c r="C5"/>
      <c r="D5"/>
      <c r="E5"/>
    </row>
    <row r="6" spans="1:15">
      <c r="A6" s="5" t="s">
        <v>37</v>
      </c>
      <c r="B6" s="2" t="s">
        <v>233</v>
      </c>
      <c r="C6" s="2" t="s">
        <v>226</v>
      </c>
      <c r="D6" s="5"/>
      <c r="E6" s="5"/>
      <c r="F6" s="5"/>
    </row>
    <row r="7" spans="1:15">
      <c r="A7" s="18" t="s">
        <v>68</v>
      </c>
      <c r="B7" s="30">
        <v>800</v>
      </c>
      <c r="C7" s="30">
        <v>60</v>
      </c>
      <c r="D7" s="5"/>
      <c r="E7" s="5"/>
      <c r="F7" s="5"/>
    </row>
    <row r="8" spans="1:15" ht="18" thickBot="1">
      <c r="A8" s="2" t="s">
        <v>38</v>
      </c>
      <c r="B8" s="2" t="s">
        <v>3</v>
      </c>
      <c r="C8" s="2" t="s">
        <v>23</v>
      </c>
      <c r="D8" s="5" t="s">
        <v>35</v>
      </c>
      <c r="E8" s="5" t="s">
        <v>120</v>
      </c>
      <c r="G8" s="72" t="s">
        <v>74</v>
      </c>
      <c r="H8" s="72"/>
    </row>
    <row r="9" spans="1:15" ht="16.5" thickTop="1">
      <c r="B9" s="27">
        <f>B7*9.80665</f>
        <v>7845.32</v>
      </c>
      <c r="C9" s="9">
        <f>IFERROR(C7*1000/B9,0)</f>
        <v>7.6478715973344622</v>
      </c>
      <c r="D9" s="27">
        <f>C7*1000*B9</f>
        <v>470719200</v>
      </c>
      <c r="E9" s="27">
        <f>IFERROR(D9/C9,0)</f>
        <v>61549045.902399994</v>
      </c>
      <c r="G9" s="15">
        <f>SUM(B21:E21)</f>
        <v>0</v>
      </c>
      <c r="H9" s="6" t="str">
        <f>IF($C$9&gt;$G$9,"Input excesive",IF($C$9&lt;$G$9,"Output excessive","Equal"))</f>
        <v>Input excesive</v>
      </c>
    </row>
    <row r="10" spans="1:15" customFormat="1" ht="12.75"/>
    <row r="11" spans="1:15">
      <c r="A11" s="2" t="s">
        <v>30</v>
      </c>
      <c r="B11" s="2">
        <v>1.5</v>
      </c>
      <c r="C11" s="9">
        <f>IFERROR(C7*1000/B11/B9,0)</f>
        <v>5.0985810648896415</v>
      </c>
      <c r="E11" s="5"/>
    </row>
    <row r="12" spans="1:15">
      <c r="A12" s="2" t="s">
        <v>31</v>
      </c>
      <c r="B12" s="2">
        <v>1.2</v>
      </c>
      <c r="C12" s="9">
        <f>IFERROR(C7*1000/B12/B9,0)</f>
        <v>6.3732263311120514</v>
      </c>
      <c r="E12" s="5"/>
    </row>
    <row r="13" spans="1:15">
      <c r="A13" s="2" t="s">
        <v>54</v>
      </c>
      <c r="B13" s="2">
        <v>3.7</v>
      </c>
      <c r="C13" s="9">
        <f>IFERROR(C7*1000/B13/B9,0)</f>
        <v>2.0669923236039085</v>
      </c>
      <c r="E13" s="5"/>
    </row>
    <row r="14" spans="1:15">
      <c r="A14" s="2" t="s">
        <v>55</v>
      </c>
      <c r="B14" s="2">
        <v>1.33</v>
      </c>
      <c r="C14" s="9">
        <f>IFERROR(C7*1000/B14/B9,0)</f>
        <v>5.7502793964920764</v>
      </c>
      <c r="E14" s="5"/>
      <c r="K14" s="2" t="s">
        <v>228</v>
      </c>
    </row>
    <row r="15" spans="1:15">
      <c r="E15" s="5"/>
      <c r="M15" s="2" t="s">
        <v>22</v>
      </c>
      <c r="N15" s="2" t="s">
        <v>93</v>
      </c>
      <c r="O15" s="2" t="s">
        <v>105</v>
      </c>
    </row>
    <row r="16" spans="1:15" ht="20.25" thickBot="1">
      <c r="A16" s="73" t="s">
        <v>34</v>
      </c>
      <c r="B16" s="73"/>
      <c r="C16" s="73"/>
      <c r="D16" s="73"/>
      <c r="E16" s="73"/>
      <c r="G16"/>
      <c r="H16"/>
      <c r="I16"/>
    </row>
    <row r="17" spans="1:15" ht="17.25" thickTop="1" thickBot="1">
      <c r="A17" s="18" t="s">
        <v>67</v>
      </c>
      <c r="B17" s="19">
        <v>0</v>
      </c>
      <c r="C17" s="19">
        <v>0</v>
      </c>
      <c r="D17" s="19">
        <v>0</v>
      </c>
      <c r="E17" s="20">
        <v>21.60088</v>
      </c>
      <c r="G17" s="25" t="s">
        <v>91</v>
      </c>
      <c r="H17" s="25" t="s">
        <v>107</v>
      </c>
      <c r="I17" s="25" t="s">
        <v>108</v>
      </c>
      <c r="K17" s="2" t="s">
        <v>97</v>
      </c>
      <c r="L17" s="2" t="s">
        <v>98</v>
      </c>
      <c r="M17" s="2">
        <v>4000</v>
      </c>
      <c r="N17" s="2">
        <v>420</v>
      </c>
      <c r="O17" s="26">
        <v>300</v>
      </c>
    </row>
    <row r="18" spans="1:15">
      <c r="A18" s="1" t="s">
        <v>66</v>
      </c>
      <c r="B18" s="16"/>
      <c r="C18" s="16"/>
      <c r="D18" s="16"/>
      <c r="E18" s="17" t="s">
        <v>33</v>
      </c>
      <c r="G18" s="23">
        <f>IFERROR(E20/I18,"-")</f>
        <v>0</v>
      </c>
      <c r="H18" s="24" t="str">
        <f>IFERROR(E17/G18,"-")</f>
        <v>-</v>
      </c>
      <c r="I18" s="62">
        <v>200</v>
      </c>
      <c r="L18" s="2" t="s">
        <v>109</v>
      </c>
      <c r="M18" s="2">
        <v>3000</v>
      </c>
      <c r="N18" s="2">
        <v>180</v>
      </c>
      <c r="O18" s="26">
        <v>150</v>
      </c>
    </row>
    <row r="19" spans="1:15" ht="16.5" thickBot="1">
      <c r="A19" s="1" t="s">
        <v>25</v>
      </c>
      <c r="B19" s="10" t="str">
        <f>IFERROR(VLOOKUP(B18,Database!$A$2:$B$56,2,0),"-")</f>
        <v>-</v>
      </c>
      <c r="C19" s="10" t="str">
        <f>IFERROR(VLOOKUP(C18,Database!$A$2:$B$56,2,0),"-")</f>
        <v>-</v>
      </c>
      <c r="D19" s="10" t="str">
        <f>IFERROR(VLOOKUP(D18,Database!$A$2:$B$56,2,0),"-")</f>
        <v>-</v>
      </c>
      <c r="E19" s="11">
        <v>0</v>
      </c>
      <c r="M19" s="2">
        <v>900</v>
      </c>
      <c r="N19" s="2">
        <v>180</v>
      </c>
      <c r="O19" s="26">
        <v>150</v>
      </c>
    </row>
    <row r="20" spans="1:15" ht="16.5" thickTop="1">
      <c r="A20" s="18" t="s">
        <v>75</v>
      </c>
      <c r="B20" s="15" t="str">
        <f>IFERROR($C$9*B17/SUM(B22:D22),"-")</f>
        <v>-</v>
      </c>
      <c r="C20" s="15" t="str">
        <f>IFERROR($C$9*C17/SUM(B22:D22),"-")</f>
        <v>-</v>
      </c>
      <c r="D20" s="15" t="str">
        <f>IFERROR($C$9*D17/SUM(B22:D22),"-")</f>
        <v>-</v>
      </c>
      <c r="E20" s="15">
        <f>IFERROR($C$9*E17/SUM(B22:D22),0)</f>
        <v>0</v>
      </c>
      <c r="K20" s="2" t="s">
        <v>94</v>
      </c>
      <c r="L20" s="2" t="s">
        <v>99</v>
      </c>
      <c r="M20" s="2">
        <v>3000</v>
      </c>
      <c r="N20" s="2">
        <v>300</v>
      </c>
      <c r="O20" s="26">
        <v>864</v>
      </c>
    </row>
    <row r="21" spans="1:15">
      <c r="A21" s="2" t="s">
        <v>72</v>
      </c>
      <c r="B21" s="6" t="str">
        <f>IFERROR(B19*B20,"-")</f>
        <v>-</v>
      </c>
      <c r="C21" s="6" t="str">
        <f t="shared" ref="C21:D21" si="0">IFERROR(C19*C20,"-")</f>
        <v>-</v>
      </c>
      <c r="D21" s="6" t="str">
        <f t="shared" si="0"/>
        <v>-</v>
      </c>
      <c r="E21" s="6">
        <f>E19*E20</f>
        <v>0</v>
      </c>
      <c r="K21" s="74" t="s">
        <v>95</v>
      </c>
      <c r="L21" s="2" t="s">
        <v>110</v>
      </c>
      <c r="M21" s="2">
        <v>800</v>
      </c>
      <c r="N21" s="2">
        <v>250</v>
      </c>
      <c r="O21" s="26">
        <v>180</v>
      </c>
    </row>
    <row r="22" spans="1:15">
      <c r="A22" s="2" t="s">
        <v>73</v>
      </c>
      <c r="B22" s="6" t="str">
        <f>IFERROR(B17*B19,"-")</f>
        <v>-</v>
      </c>
      <c r="C22" s="6" t="str">
        <f t="shared" ref="C22:D22" si="1">IFERROR(C17*C19,"-")</f>
        <v>-</v>
      </c>
      <c r="D22" s="6" t="str">
        <f t="shared" si="1"/>
        <v>-</v>
      </c>
      <c r="E22" s="6"/>
      <c r="K22" s="74"/>
      <c r="L22" s="2" t="s">
        <v>100</v>
      </c>
      <c r="M22" s="2">
        <v>800</v>
      </c>
      <c r="N22" s="2">
        <v>500</v>
      </c>
      <c r="O22" s="26">
        <v>450</v>
      </c>
    </row>
    <row r="23" spans="1:15">
      <c r="A23" s="5"/>
      <c r="G23"/>
      <c r="H23"/>
      <c r="I23"/>
      <c r="K23" s="74"/>
      <c r="L23" s="2" t="s">
        <v>101</v>
      </c>
      <c r="M23" s="2">
        <v>4000</v>
      </c>
      <c r="N23" s="2">
        <v>210</v>
      </c>
      <c r="O23" s="26">
        <v>900</v>
      </c>
    </row>
    <row r="24" spans="1:15">
      <c r="A24" s="5"/>
      <c r="G24"/>
      <c r="H24"/>
      <c r="I24"/>
      <c r="K24" s="74"/>
      <c r="O24" s="26"/>
    </row>
    <row r="25" spans="1:15" ht="16.5" thickBot="1">
      <c r="A25" s="18" t="s">
        <v>67</v>
      </c>
      <c r="B25" s="19">
        <v>0</v>
      </c>
      <c r="C25" s="19">
        <v>0</v>
      </c>
      <c r="D25" s="19">
        <v>0</v>
      </c>
      <c r="E25" s="20">
        <v>20.65934</v>
      </c>
      <c r="G25" s="25" t="s">
        <v>91</v>
      </c>
      <c r="H25" s="25" t="s">
        <v>107</v>
      </c>
      <c r="I25" s="25" t="s">
        <v>108</v>
      </c>
      <c r="K25" s="74"/>
      <c r="L25" s="2" t="s">
        <v>102</v>
      </c>
      <c r="M25" s="2">
        <v>450</v>
      </c>
      <c r="N25" s="2">
        <v>1250</v>
      </c>
      <c r="O25" s="26">
        <v>900</v>
      </c>
    </row>
    <row r="26" spans="1:15" ht="16.5" thickBot="1">
      <c r="A26" s="1" t="s">
        <v>66</v>
      </c>
      <c r="B26" s="16"/>
      <c r="C26" s="16"/>
      <c r="D26" s="16"/>
      <c r="E26" s="17" t="s">
        <v>33</v>
      </c>
      <c r="G26" s="23">
        <f>IFERROR(E28/I26,"-")</f>
        <v>0</v>
      </c>
      <c r="H26" s="24" t="str">
        <f>IFERROR(E25/G26,"-")</f>
        <v>-</v>
      </c>
      <c r="I26" s="22">
        <f>I18</f>
        <v>200</v>
      </c>
      <c r="K26" s="74" t="s">
        <v>96</v>
      </c>
      <c r="L26" s="2" t="s">
        <v>103</v>
      </c>
      <c r="M26" s="2">
        <v>300</v>
      </c>
      <c r="N26" s="2">
        <v>375</v>
      </c>
      <c r="O26" s="26">
        <v>360</v>
      </c>
    </row>
    <row r="27" spans="1:15" ht="17.25" thickTop="1" thickBot="1">
      <c r="A27" s="1" t="s">
        <v>25</v>
      </c>
      <c r="B27" s="10" t="str">
        <f>IFERROR(VLOOKUP(B26,Database!$A$2:$B$56,2,0),"-")</f>
        <v>-</v>
      </c>
      <c r="C27" s="10" t="str">
        <f>IFERROR(VLOOKUP(C26,Database!$A$2:$B$56,2,0),"-")</f>
        <v>-</v>
      </c>
      <c r="D27" s="10" t="str">
        <f>IFERROR(VLOOKUP(D26,Database!$A$2:$B$56,2,0),"-")</f>
        <v>-</v>
      </c>
      <c r="E27" s="11">
        <v>0</v>
      </c>
      <c r="K27" s="74"/>
      <c r="L27" s="2" t="s">
        <v>104</v>
      </c>
      <c r="M27" s="2">
        <v>3000</v>
      </c>
      <c r="N27" s="2">
        <v>375</v>
      </c>
      <c r="O27" s="26">
        <v>720</v>
      </c>
    </row>
    <row r="28" spans="1:15" ht="16.5" thickTop="1">
      <c r="A28" s="18" t="s">
        <v>75</v>
      </c>
      <c r="B28" s="15" t="str">
        <f>IFERROR($C$9*B25/SUM(B30:D30),"-")</f>
        <v>-</v>
      </c>
      <c r="C28" s="15" t="str">
        <f>IFERROR($C$9*C25/SUM(B30:D30),"-")</f>
        <v>-</v>
      </c>
      <c r="D28" s="15" t="str">
        <f>IFERROR($C$9*D25/SUM(B30:D30),"-")</f>
        <v>-</v>
      </c>
      <c r="E28" s="15">
        <f>IFERROR($C$9*E25/SUM(B30:D30),0)</f>
        <v>0</v>
      </c>
    </row>
    <row r="29" spans="1:15">
      <c r="A29" s="2" t="s">
        <v>72</v>
      </c>
      <c r="B29" s="6" t="str">
        <f>IFERROR(B27*B28,"-")</f>
        <v>-</v>
      </c>
      <c r="C29" s="6" t="str">
        <f t="shared" ref="C29:D29" si="2">IFERROR(C27*C28,"-")</f>
        <v>-</v>
      </c>
      <c r="D29" s="6" t="str">
        <f t="shared" si="2"/>
        <v>-</v>
      </c>
      <c r="E29" s="6">
        <f>E27*E28</f>
        <v>0</v>
      </c>
    </row>
    <row r="30" spans="1:15">
      <c r="A30" s="2" t="s">
        <v>73</v>
      </c>
      <c r="B30" s="6" t="str">
        <f>IFERROR(B25*B27,"-")</f>
        <v>-</v>
      </c>
      <c r="C30" s="6" t="str">
        <f t="shared" ref="C30:D30" si="3">IFERROR(C25*C27,"-")</f>
        <v>-</v>
      </c>
      <c r="D30" s="6" t="str">
        <f t="shared" si="3"/>
        <v>-</v>
      </c>
      <c r="E30" s="6"/>
    </row>
    <row r="31" spans="1:15">
      <c r="G31"/>
      <c r="H31"/>
      <c r="I31"/>
    </row>
    <row r="32" spans="1:15">
      <c r="G32"/>
      <c r="H32"/>
      <c r="I32"/>
    </row>
    <row r="33" spans="1:9" ht="16.5" thickBot="1">
      <c r="A33" s="18" t="s">
        <v>67</v>
      </c>
      <c r="B33" s="19">
        <v>0</v>
      </c>
      <c r="C33" s="19">
        <v>1E-4</v>
      </c>
      <c r="D33" s="19">
        <v>0</v>
      </c>
      <c r="E33" s="20">
        <v>8.3475999999999999</v>
      </c>
      <c r="G33" s="25" t="s">
        <v>91</v>
      </c>
      <c r="H33" s="25" t="s">
        <v>107</v>
      </c>
      <c r="I33" s="25" t="s">
        <v>108</v>
      </c>
    </row>
    <row r="34" spans="1:9" ht="16.5" thickBot="1">
      <c r="A34" s="1" t="s">
        <v>66</v>
      </c>
      <c r="B34" s="16"/>
      <c r="C34" s="16"/>
      <c r="D34" s="16"/>
      <c r="E34" s="17" t="s">
        <v>33</v>
      </c>
      <c r="G34" s="23">
        <f>IFERROR(E36/I34,"-")</f>
        <v>0</v>
      </c>
      <c r="H34" s="24" t="str">
        <f>IFERROR(E33/G34,"-")</f>
        <v>-</v>
      </c>
      <c r="I34" s="22">
        <f>I18</f>
        <v>200</v>
      </c>
    </row>
    <row r="35" spans="1:9" ht="17.25" thickTop="1" thickBot="1">
      <c r="A35" s="1" t="s">
        <v>25</v>
      </c>
      <c r="B35" s="10" t="str">
        <f>IFERROR(VLOOKUP(B34,Database!$A$2:$B$56,2,0),"-")</f>
        <v>-</v>
      </c>
      <c r="C35" s="10" t="str">
        <f>IFERROR(VLOOKUP(C34,Database!$A$2:$B$56,2,0),"-")</f>
        <v>-</v>
      </c>
      <c r="D35" s="10" t="str">
        <f>IFERROR(VLOOKUP(D34,Database!$A$2:$B$56,2,0),"-")</f>
        <v>-</v>
      </c>
      <c r="E35" s="11">
        <v>0</v>
      </c>
    </row>
    <row r="36" spans="1:9" ht="16.5" thickTop="1">
      <c r="A36" s="18" t="s">
        <v>75</v>
      </c>
      <c r="B36" s="15" t="str">
        <f>IFERROR($C$9*B33/SUM(B38:D38),"-")</f>
        <v>-</v>
      </c>
      <c r="C36" s="15" t="str">
        <f>IFERROR($C$9*C33/SUM(B38:D38),"-")</f>
        <v>-</v>
      </c>
      <c r="D36" s="15" t="str">
        <f>IFERROR($C$9*D33/SUM(B38:D38),"-")</f>
        <v>-</v>
      </c>
      <c r="E36" s="15">
        <f>IFERROR($C$9*E33/SUM(B38:D38),0)</f>
        <v>0</v>
      </c>
    </row>
    <row r="37" spans="1:9">
      <c r="A37" s="2" t="s">
        <v>72</v>
      </c>
      <c r="B37" s="6" t="str">
        <f>IFERROR(B35*B36,"-")</f>
        <v>-</v>
      </c>
      <c r="C37" s="6" t="str">
        <f t="shared" ref="C37:D37" si="4">IFERROR(C35*C36,"-")</f>
        <v>-</v>
      </c>
      <c r="D37" s="6" t="str">
        <f t="shared" si="4"/>
        <v>-</v>
      </c>
      <c r="E37" s="6">
        <f>E35*E36</f>
        <v>0</v>
      </c>
    </row>
    <row r="38" spans="1:9">
      <c r="A38" s="2" t="s">
        <v>73</v>
      </c>
      <c r="B38" s="6" t="str">
        <f>IFERROR(B33*B35,"-")</f>
        <v>-</v>
      </c>
      <c r="C38" s="6" t="str">
        <f t="shared" ref="C38:D38" si="5">IFERROR(C33*C35,"-")</f>
        <v>-</v>
      </c>
      <c r="D38" s="6" t="str">
        <f t="shared" si="5"/>
        <v>-</v>
      </c>
      <c r="E38" s="6"/>
    </row>
    <row r="40" spans="1:9">
      <c r="A40"/>
      <c r="B40"/>
      <c r="C40"/>
      <c r="D40"/>
      <c r="E40"/>
      <c r="G40"/>
      <c r="H40"/>
      <c r="I40"/>
    </row>
    <row r="41" spans="1:9" ht="16.5" thickBot="1">
      <c r="A41" s="18" t="s">
        <v>67</v>
      </c>
      <c r="B41" s="19">
        <v>0</v>
      </c>
      <c r="C41" s="19">
        <v>1E-4</v>
      </c>
      <c r="D41" s="19">
        <v>0</v>
      </c>
      <c r="E41" s="20">
        <v>1</v>
      </c>
      <c r="G41" s="25" t="s">
        <v>91</v>
      </c>
      <c r="H41" s="25" t="s">
        <v>107</v>
      </c>
      <c r="I41" s="21" t="s">
        <v>90</v>
      </c>
    </row>
    <row r="42" spans="1:9" ht="16.5" thickBot="1">
      <c r="A42" s="1" t="s">
        <v>66</v>
      </c>
      <c r="B42" s="16"/>
      <c r="C42" s="16"/>
      <c r="D42" s="16"/>
      <c r="E42" s="17" t="s">
        <v>33</v>
      </c>
      <c r="G42" s="23">
        <f>IFERROR(E44/I42,"-")</f>
        <v>0</v>
      </c>
      <c r="H42" s="24" t="str">
        <f>IFERROR(E41/G42,"-")</f>
        <v>-</v>
      </c>
      <c r="I42" s="22">
        <f>I34</f>
        <v>200</v>
      </c>
    </row>
    <row r="43" spans="1:9" ht="17.25" thickTop="1" thickBot="1">
      <c r="A43" s="1" t="s">
        <v>25</v>
      </c>
      <c r="B43" s="10" t="str">
        <f>IFERROR(VLOOKUP(B42,Database!$A$2:$B$56,2,0),"-")</f>
        <v>-</v>
      </c>
      <c r="C43" s="10" t="str">
        <f>IFERROR(VLOOKUP(C42,Database!$A$2:$B$56,2,0),"-")</f>
        <v>-</v>
      </c>
      <c r="D43" s="10" t="str">
        <f>IFERROR(VLOOKUP(D42,Database!$A$2:$B$56,2,0),"-")</f>
        <v>-</v>
      </c>
      <c r="E43" s="11">
        <v>0</v>
      </c>
    </row>
    <row r="44" spans="1:9" ht="16.5" thickTop="1">
      <c r="A44" s="18" t="s">
        <v>75</v>
      </c>
      <c r="B44" s="15" t="str">
        <f>IFERROR($C$9*B41/SUM(B46:D46),"-")</f>
        <v>-</v>
      </c>
      <c r="C44" s="15" t="str">
        <f>IFERROR($C$9*C41/SUM(B46:D46),"-")</f>
        <v>-</v>
      </c>
      <c r="D44" s="15" t="str">
        <f>IFERROR($C$9*D41/SUM(B46:D46),"-")</f>
        <v>-</v>
      </c>
      <c r="E44" s="15">
        <f>IFERROR($C$9*E41/SUM(B46:D46),0)</f>
        <v>0</v>
      </c>
    </row>
    <row r="45" spans="1:9">
      <c r="A45" s="2" t="s">
        <v>72</v>
      </c>
      <c r="B45" s="6" t="str">
        <f>IFERROR(B43*B44,"-")</f>
        <v>-</v>
      </c>
      <c r="C45" s="6" t="str">
        <f t="shared" ref="C45:D45" si="6">IFERROR(C43*C44,"-")</f>
        <v>-</v>
      </c>
      <c r="D45" s="6" t="str">
        <f t="shared" si="6"/>
        <v>-</v>
      </c>
      <c r="E45" s="6">
        <f>E43*E44</f>
        <v>0</v>
      </c>
    </row>
    <row r="46" spans="1:9">
      <c r="A46" s="2" t="s">
        <v>73</v>
      </c>
      <c r="B46" s="6" t="str">
        <f>IFERROR(B41*B43,"-")</f>
        <v>-</v>
      </c>
      <c r="C46" s="6" t="str">
        <f t="shared" ref="C46:D46" si="7">IFERROR(C41*C43,"-")</f>
        <v>-</v>
      </c>
      <c r="D46" s="6" t="str">
        <f t="shared" si="7"/>
        <v>-</v>
      </c>
      <c r="E46" s="6"/>
    </row>
    <row r="47" spans="1:9">
      <c r="G47"/>
      <c r="H47"/>
      <c r="I47"/>
    </row>
    <row r="48" spans="1:9">
      <c r="G48"/>
      <c r="H48"/>
      <c r="I48"/>
    </row>
    <row r="49" spans="1:9" ht="16.5" thickBot="1">
      <c r="A49" s="18" t="s">
        <v>67</v>
      </c>
      <c r="B49" s="19">
        <v>1</v>
      </c>
      <c r="C49" s="19">
        <v>0</v>
      </c>
      <c r="D49" s="19">
        <v>0</v>
      </c>
      <c r="E49" s="20">
        <v>1</v>
      </c>
      <c r="G49" s="25" t="s">
        <v>91</v>
      </c>
      <c r="H49" s="25" t="s">
        <v>107</v>
      </c>
      <c r="I49" s="21" t="s">
        <v>90</v>
      </c>
    </row>
    <row r="50" spans="1:9" ht="16.5" thickBot="1">
      <c r="A50" s="1" t="s">
        <v>66</v>
      </c>
      <c r="B50" s="16" t="s">
        <v>46</v>
      </c>
      <c r="C50" s="16"/>
      <c r="D50" s="16"/>
      <c r="E50" s="17" t="s">
        <v>33</v>
      </c>
      <c r="G50" s="23">
        <f>E52/I50</f>
        <v>3.2592676741250631E-2</v>
      </c>
      <c r="H50" s="24">
        <f>IFERROR(E49/G50,"-")</f>
        <v>30.681738966666671</v>
      </c>
      <c r="I50" s="22">
        <f>I34</f>
        <v>200</v>
      </c>
    </row>
    <row r="51" spans="1:9" ht="17.25" thickTop="1" thickBot="1">
      <c r="A51" s="1" t="s">
        <v>25</v>
      </c>
      <c r="B51" s="10">
        <f>IFERROR(VLOOKUP(B50,Database!$A$2:$B$56,2,0),"-")</f>
        <v>1.1732500000000001</v>
      </c>
      <c r="C51" s="10" t="str">
        <f>IFERROR(VLOOKUP(C50,Database!$A$2:$B$56,2,0),"-")</f>
        <v>-</v>
      </c>
      <c r="D51" s="10" t="str">
        <f>IFERROR(VLOOKUP(D50,Database!$A$2:$B$56,2,0),"-")</f>
        <v>-</v>
      </c>
      <c r="E51" s="11">
        <v>0</v>
      </c>
    </row>
    <row r="52" spans="1:9" ht="16.5" thickTop="1">
      <c r="A52" s="18" t="s">
        <v>75</v>
      </c>
      <c r="B52" s="15">
        <f>IFERROR($C$9*B49/SUM(B54:D54),"-")</f>
        <v>6.5185353482501265</v>
      </c>
      <c r="C52" s="15">
        <f>IFERROR($C$9*C49/SUM(B54:D54),"-")</f>
        <v>0</v>
      </c>
      <c r="D52" s="15">
        <f>IFERROR($C$9*D49/SUM(B54:D54),"-")</f>
        <v>0</v>
      </c>
      <c r="E52" s="15">
        <f>IFERROR($C$9*E49/SUM(B54:D54),0)</f>
        <v>6.5185353482501265</v>
      </c>
    </row>
    <row r="53" spans="1:9">
      <c r="A53" s="2" t="s">
        <v>72</v>
      </c>
      <c r="B53" s="6">
        <f>IFERROR(B51*B52,"-")</f>
        <v>7.6478715973344613</v>
      </c>
      <c r="C53" s="6" t="str">
        <f t="shared" ref="C53:D53" si="8">IFERROR(C51*C52,"-")</f>
        <v>-</v>
      </c>
      <c r="D53" s="6" t="str">
        <f t="shared" si="8"/>
        <v>-</v>
      </c>
      <c r="E53" s="6">
        <f>E51*E52</f>
        <v>0</v>
      </c>
    </row>
    <row r="54" spans="1:9">
      <c r="A54" s="2" t="s">
        <v>73</v>
      </c>
      <c r="B54" s="6">
        <f>IFERROR(B49*B51,"-")</f>
        <v>1.1732500000000001</v>
      </c>
      <c r="C54" s="6" t="str">
        <f t="shared" ref="C54:D54" si="9">IFERROR(C49*C51,"-")</f>
        <v>-</v>
      </c>
      <c r="D54" s="6" t="str">
        <f t="shared" si="9"/>
        <v>-</v>
      </c>
      <c r="E54" s="6"/>
    </row>
    <row r="57" spans="1:9" ht="16.5" thickBot="1">
      <c r="A57" s="18" t="s">
        <v>67</v>
      </c>
      <c r="B57" s="19">
        <v>1</v>
      </c>
      <c r="C57" s="19">
        <v>0</v>
      </c>
      <c r="D57" s="19">
        <v>0</v>
      </c>
      <c r="E57" s="20">
        <v>1</v>
      </c>
      <c r="G57" s="25" t="s">
        <v>91</v>
      </c>
      <c r="H57" s="25" t="s">
        <v>107</v>
      </c>
      <c r="I57" s="21" t="s">
        <v>90</v>
      </c>
    </row>
    <row r="58" spans="1:9" ht="16.5" thickBot="1">
      <c r="A58" s="1" t="s">
        <v>66</v>
      </c>
      <c r="B58" s="16" t="s">
        <v>46</v>
      </c>
      <c r="C58" s="16"/>
      <c r="D58" s="16"/>
      <c r="E58" s="17" t="s">
        <v>33</v>
      </c>
      <c r="G58" s="23">
        <f>E60/I58</f>
        <v>3.2592676741250631E-2</v>
      </c>
      <c r="H58" s="24">
        <f>IFERROR(E57/G58,"-")</f>
        <v>30.681738966666671</v>
      </c>
      <c r="I58" s="22">
        <f>I42</f>
        <v>200</v>
      </c>
    </row>
    <row r="59" spans="1:9" ht="17.25" thickTop="1" thickBot="1">
      <c r="A59" s="1" t="s">
        <v>25</v>
      </c>
      <c r="B59" s="10">
        <f>IFERROR(VLOOKUP(B58,Database!$A$2:$B$56,2,0),"-")</f>
        <v>1.1732500000000001</v>
      </c>
      <c r="C59" s="10" t="str">
        <f>IFERROR(VLOOKUP(C58,Database!$A$2:$B$56,2,0),"-")</f>
        <v>-</v>
      </c>
      <c r="D59" s="10" t="str">
        <f>IFERROR(VLOOKUP(D58,Database!$A$2:$B$56,2,0),"-")</f>
        <v>-</v>
      </c>
      <c r="E59" s="11">
        <v>0</v>
      </c>
    </row>
    <row r="60" spans="1:9" ht="16.5" thickTop="1">
      <c r="A60" s="18" t="s">
        <v>75</v>
      </c>
      <c r="B60" s="15">
        <f>IFERROR($C$9*B57/SUM(B62:D62),"-")</f>
        <v>6.5185353482501265</v>
      </c>
      <c r="C60" s="15">
        <f>IFERROR($C$9*C57/SUM(B62:D62),"-")</f>
        <v>0</v>
      </c>
      <c r="D60" s="15">
        <f>IFERROR($C$9*D57/SUM(B62:D62),"-")</f>
        <v>0</v>
      </c>
      <c r="E60" s="15">
        <f>IFERROR($C$9*E57/SUM(B62:D62),0)</f>
        <v>6.5185353482501265</v>
      </c>
    </row>
    <row r="61" spans="1:9">
      <c r="A61" s="2" t="s">
        <v>72</v>
      </c>
      <c r="B61" s="6">
        <f>IFERROR(B59*B60,"-")</f>
        <v>7.6478715973344613</v>
      </c>
      <c r="C61" s="6" t="str">
        <f t="shared" ref="C61:D61" si="10">IFERROR(C59*C60,"-")</f>
        <v>-</v>
      </c>
      <c r="D61" s="6" t="str">
        <f t="shared" si="10"/>
        <v>-</v>
      </c>
      <c r="E61" s="6">
        <f>E59*E60</f>
        <v>0</v>
      </c>
    </row>
    <row r="62" spans="1:9">
      <c r="A62" s="2" t="s">
        <v>73</v>
      </c>
      <c r="B62" s="6">
        <f>IFERROR(B57*B59,"-")</f>
        <v>1.1732500000000001</v>
      </c>
      <c r="C62" s="6" t="str">
        <f t="shared" ref="C62:D62" si="11">IFERROR(C57*C59,"-")</f>
        <v>-</v>
      </c>
      <c r="D62" s="6" t="str">
        <f t="shared" si="11"/>
        <v>-</v>
      </c>
      <c r="E62" s="6"/>
    </row>
    <row r="64" spans="1:9" ht="18" thickBot="1">
      <c r="A64" s="72" t="s">
        <v>106</v>
      </c>
      <c r="B64" s="72"/>
      <c r="C64" s="72"/>
      <c r="D64" s="72"/>
      <c r="E64" s="72"/>
      <c r="G64"/>
      <c r="H64"/>
      <c r="I64"/>
    </row>
    <row r="65" spans="1:9" ht="17.25" thickTop="1" thickBot="1">
      <c r="A65" s="18" t="s">
        <v>67</v>
      </c>
      <c r="B65" s="19">
        <v>3</v>
      </c>
      <c r="C65" s="19">
        <v>1</v>
      </c>
      <c r="D65" s="19">
        <v>0</v>
      </c>
      <c r="E65" s="20">
        <v>0</v>
      </c>
      <c r="G65" s="25" t="s">
        <v>91</v>
      </c>
      <c r="H65" s="25" t="s">
        <v>107</v>
      </c>
      <c r="I65" s="25" t="s">
        <v>108</v>
      </c>
    </row>
    <row r="66" spans="1:9" ht="16.5" thickBot="1">
      <c r="A66" s="1" t="s">
        <v>66</v>
      </c>
      <c r="B66" s="16" t="s">
        <v>54</v>
      </c>
      <c r="C66" s="16" t="s">
        <v>28</v>
      </c>
      <c r="D66" s="16"/>
      <c r="E66" s="17" t="s">
        <v>33</v>
      </c>
      <c r="G66" s="23">
        <f>IFERROR(E68/I66,"-")</f>
        <v>0</v>
      </c>
      <c r="H66" s="24" t="str">
        <f>IFERROR(E65/G66,"-")</f>
        <v>-</v>
      </c>
      <c r="I66" s="22">
        <f>I26</f>
        <v>200</v>
      </c>
    </row>
    <row r="67" spans="1:9" ht="17.25" thickTop="1" thickBot="1">
      <c r="A67" s="1" t="s">
        <v>25</v>
      </c>
      <c r="B67" s="10">
        <f>IFERROR(VLOOKUP(B66,Database!$A$2:$B$56,2,0),"-")</f>
        <v>0.35399999999999998</v>
      </c>
      <c r="C67" s="10">
        <f>IFERROR(VLOOKUP(C66,Database!$A$2:$B$56,2,0),"-")</f>
        <v>5</v>
      </c>
      <c r="D67" s="10" t="str">
        <f>IFERROR(VLOOKUP(D66,Database!$A$2:$B$56,2,0),"-")</f>
        <v>-</v>
      </c>
      <c r="E67" s="11">
        <v>0</v>
      </c>
    </row>
    <row r="68" spans="1:9" ht="16.5" thickTop="1">
      <c r="A68" s="18" t="s">
        <v>75</v>
      </c>
      <c r="B68" s="15">
        <f>IFERROR($C$13*B65/SUM(B70:D70),"-")</f>
        <v>1.0229259272206739</v>
      </c>
      <c r="C68" s="15">
        <f>IFERROR($C$13*C65/SUM(B70:D70),"-")</f>
        <v>0.340975309073558</v>
      </c>
      <c r="D68" s="15">
        <f>IFERROR($C$13*D65/SUM(B70:D70),"-")</f>
        <v>0</v>
      </c>
      <c r="E68" s="15">
        <f>IFERROR($C$13*E65/SUM(B70:D70),0)</f>
        <v>0</v>
      </c>
    </row>
    <row r="69" spans="1:9">
      <c r="A69" s="2" t="s">
        <v>72</v>
      </c>
      <c r="B69" s="6">
        <f>IFERROR(B67*B68,"-")</f>
        <v>0.36211577823611851</v>
      </c>
      <c r="C69" s="6">
        <f t="shared" ref="C69:D69" si="12">IFERROR(C67*C68,"-")</f>
        <v>1.7048765453677901</v>
      </c>
      <c r="D69" s="6" t="str">
        <f t="shared" si="12"/>
        <v>-</v>
      </c>
      <c r="E69" s="6">
        <f>E67*E68</f>
        <v>0</v>
      </c>
    </row>
    <row r="70" spans="1:9">
      <c r="A70" s="2" t="s">
        <v>73</v>
      </c>
      <c r="B70" s="6">
        <f>IFERROR(B65*B67,"-")</f>
        <v>1.0619999999999998</v>
      </c>
      <c r="C70" s="6">
        <f t="shared" ref="C70:D70" si="13">IFERROR(C65*C67,"-")</f>
        <v>5</v>
      </c>
      <c r="D70" s="6" t="str">
        <f t="shared" si="13"/>
        <v>-</v>
      </c>
      <c r="E70" s="6"/>
    </row>
    <row r="71" spans="1:9">
      <c r="G71"/>
      <c r="H71"/>
      <c r="I71"/>
    </row>
    <row r="72" spans="1:9" ht="16.5" thickBot="1">
      <c r="A72" s="18" t="s">
        <v>67</v>
      </c>
      <c r="B72" s="19">
        <v>3</v>
      </c>
      <c r="C72" s="19">
        <v>1</v>
      </c>
      <c r="D72" s="19">
        <v>0</v>
      </c>
      <c r="E72" s="20">
        <v>0</v>
      </c>
      <c r="G72" s="25" t="s">
        <v>91</v>
      </c>
      <c r="H72" s="25" t="s">
        <v>107</v>
      </c>
      <c r="I72" s="25" t="s">
        <v>108</v>
      </c>
    </row>
    <row r="73" spans="1:9" ht="16.5" thickBot="1">
      <c r="A73" s="1" t="s">
        <v>66</v>
      </c>
      <c r="B73" s="16" t="s">
        <v>55</v>
      </c>
      <c r="C73" s="16" t="s">
        <v>28</v>
      </c>
      <c r="D73" s="16"/>
      <c r="E73" s="17" t="s">
        <v>33</v>
      </c>
      <c r="G73" s="23">
        <f>IFERROR(E75/I73,"-")</f>
        <v>0</v>
      </c>
      <c r="H73" s="24" t="str">
        <f>IFERROR(E72/G73,"-")</f>
        <v>-</v>
      </c>
      <c r="I73" s="22">
        <f>I34</f>
        <v>200</v>
      </c>
    </row>
    <row r="74" spans="1:9" ht="17.25" thickTop="1" thickBot="1">
      <c r="A74" s="1" t="s">
        <v>25</v>
      </c>
      <c r="B74" s="10">
        <f>IFERROR(VLOOKUP(B73,Database!$A$2:$B$56,2,0),"-")</f>
        <v>2.12805</v>
      </c>
      <c r="C74" s="10">
        <f>IFERROR(VLOOKUP(C73,Database!$A$2:$B$56,2,0),"-")</f>
        <v>5</v>
      </c>
      <c r="D74" s="10" t="str">
        <f>IFERROR(VLOOKUP(D73,Database!$A$2:$B$56,2,0),"-")</f>
        <v>-</v>
      </c>
      <c r="E74" s="11">
        <v>0</v>
      </c>
    </row>
    <row r="75" spans="1:9" ht="16.5" thickTop="1">
      <c r="A75" s="18" t="s">
        <v>75</v>
      </c>
      <c r="B75" s="15">
        <f>IFERROR($C$14*B72/SUM(B77:D77),"-")</f>
        <v>1.5153382720252482</v>
      </c>
      <c r="C75" s="15">
        <f>IFERROR($C$14*C72/SUM(B77:D77),"-")</f>
        <v>0.50511275734174943</v>
      </c>
      <c r="D75" s="15">
        <f>IFERROR($C$14*D72/SUM(B77:D77),"-")</f>
        <v>0</v>
      </c>
      <c r="E75" s="15">
        <f>IFERROR($C$14*E72/SUM(B77:D77),0)</f>
        <v>0</v>
      </c>
    </row>
    <row r="76" spans="1:9">
      <c r="A76" s="2" t="s">
        <v>72</v>
      </c>
      <c r="B76" s="6">
        <f>IFERROR(B74*B75,"-")</f>
        <v>3.2247156097833294</v>
      </c>
      <c r="C76" s="6">
        <f t="shared" ref="C76:D76" si="14">IFERROR(C74*C75,"-")</f>
        <v>2.525563786708747</v>
      </c>
      <c r="D76" s="6" t="str">
        <f t="shared" si="14"/>
        <v>-</v>
      </c>
      <c r="E76" s="6">
        <f>E74*E75</f>
        <v>0</v>
      </c>
    </row>
    <row r="77" spans="1:9">
      <c r="A77" s="2" t="s">
        <v>73</v>
      </c>
      <c r="B77" s="6">
        <f>IFERROR(B72*B74,"-")</f>
        <v>6.38415</v>
      </c>
      <c r="C77" s="6">
        <f t="shared" ref="C77:D77" si="15">IFERROR(C72*C74,"-")</f>
        <v>5</v>
      </c>
      <c r="D77" s="6" t="str">
        <f t="shared" si="15"/>
        <v>-</v>
      </c>
      <c r="E77" s="6"/>
    </row>
  </sheetData>
  <mergeCells count="6">
    <mergeCell ref="A64:E64"/>
    <mergeCell ref="A16:E16"/>
    <mergeCell ref="K21:K25"/>
    <mergeCell ref="A1:E1"/>
    <mergeCell ref="G8:H8"/>
    <mergeCell ref="K26:K27"/>
  </mergeCell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>
          <x14:formula1>
            <xm:f>Database!$A$2:$A$56</xm:f>
          </x14:formula1>
          <xm:sqref>B58:D58</xm:sqref>
        </x14:dataValidation>
        <x14:dataValidation type="list" showInputMessage="1" showErrorMessage="1">
          <x14:formula1>
            <xm:f>Database!$A$2:$A$56</xm:f>
          </x14:formula1>
          <xm:sqref>B73:D73</xm:sqref>
        </x14:dataValidation>
        <x14:dataValidation type="list" showInputMessage="1" showErrorMessage="1">
          <x14:formula1>
            <xm:f>Database!$A$2:$A$56</xm:f>
          </x14:formula1>
          <xm:sqref>B66:D66</xm:sqref>
        </x14:dataValidation>
        <x14:dataValidation type="list" showInputMessage="1" showErrorMessage="1">
          <x14:formula1>
            <xm:f>Database!$A$2:$A$56</xm:f>
          </x14:formula1>
          <xm:sqref>B50:D50</xm:sqref>
        </x14:dataValidation>
        <x14:dataValidation type="list" showInputMessage="1" showErrorMessage="1">
          <x14:formula1>
            <xm:f>Database!$A$2:$A$56</xm:f>
          </x14:formula1>
          <xm:sqref>B42:D42</xm:sqref>
        </x14:dataValidation>
        <x14:dataValidation type="list" showInputMessage="1" showErrorMessage="1">
          <x14:formula1>
            <xm:f>Database!$A$2:$A$56</xm:f>
          </x14:formula1>
          <xm:sqref>B34:D34</xm:sqref>
        </x14:dataValidation>
        <x14:dataValidation type="list" showInputMessage="1" showErrorMessage="1">
          <x14:formula1>
            <xm:f>Database!$A$2:$A$56</xm:f>
          </x14:formula1>
          <xm:sqref>B26:D26</xm:sqref>
        </x14:dataValidation>
        <x14:dataValidation type="list" showInputMessage="1" showErrorMessage="1">
          <x14:formula1>
            <xm:f>Database!$A$2:$A$56</xm:f>
          </x14:formula1>
          <xm:sqref>B18:D18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8"/>
  <sheetViews>
    <sheetView topLeftCell="A37" zoomScaleNormal="100" workbookViewId="0">
      <selection activeCell="H53" sqref="H53"/>
    </sheetView>
  </sheetViews>
  <sheetFormatPr defaultRowHeight="15.75"/>
  <cols>
    <col min="1" max="3" width="23.28515625" style="2" customWidth="1"/>
    <col min="4" max="4" width="9.140625" style="2"/>
    <col min="5" max="5" width="9.140625" style="2" customWidth="1"/>
    <col min="6" max="6" width="9.140625" style="2"/>
    <col min="7" max="7" width="23.42578125" style="2" customWidth="1"/>
    <col min="8" max="8" width="25.42578125" style="2" customWidth="1"/>
    <col min="9" max="9" width="9.140625" style="2"/>
    <col min="10" max="10" width="15.5703125" style="2" customWidth="1"/>
    <col min="11" max="256" width="9.140625" style="2"/>
    <col min="257" max="16384" width="9.140625" style="5"/>
  </cols>
  <sheetData>
    <row r="1" spans="1:10" ht="20.25" thickBot="1">
      <c r="A1" s="8" t="s">
        <v>24</v>
      </c>
      <c r="B1" s="8" t="s">
        <v>26</v>
      </c>
      <c r="G1" s="8" t="s">
        <v>24</v>
      </c>
      <c r="H1" s="8" t="s">
        <v>210</v>
      </c>
      <c r="I1" s="8" t="s">
        <v>211</v>
      </c>
      <c r="J1" s="8" t="s">
        <v>212</v>
      </c>
    </row>
    <row r="2" spans="1:10" ht="16.5" thickTop="1">
      <c r="A2" s="2" t="s">
        <v>27</v>
      </c>
      <c r="B2" s="2">
        <v>5</v>
      </c>
      <c r="G2" s="39" t="s">
        <v>134</v>
      </c>
      <c r="H2" s="39" t="s">
        <v>135</v>
      </c>
      <c r="I2" s="39">
        <v>1</v>
      </c>
      <c r="J2" s="40">
        <v>101.96</v>
      </c>
    </row>
    <row r="3" spans="1:10">
      <c r="A3" s="2" t="s">
        <v>28</v>
      </c>
      <c r="B3" s="2">
        <v>5</v>
      </c>
      <c r="G3" s="39" t="s">
        <v>136</v>
      </c>
      <c r="H3" s="39" t="s">
        <v>137</v>
      </c>
      <c r="I3" s="39">
        <v>1</v>
      </c>
      <c r="J3" s="40">
        <v>26.98</v>
      </c>
    </row>
    <row r="4" spans="1:10">
      <c r="A4" s="2" t="s">
        <v>65</v>
      </c>
      <c r="B4" s="2">
        <v>5</v>
      </c>
      <c r="G4" s="39" t="s">
        <v>138</v>
      </c>
      <c r="H4" s="39" t="s">
        <v>139</v>
      </c>
      <c r="I4" s="39">
        <v>1</v>
      </c>
      <c r="J4" s="40">
        <v>17.03</v>
      </c>
    </row>
    <row r="5" spans="1:10">
      <c r="A5" s="2" t="s">
        <v>29</v>
      </c>
      <c r="B5" s="2">
        <v>4</v>
      </c>
      <c r="G5" s="39" t="s">
        <v>43</v>
      </c>
      <c r="H5" s="39" t="s">
        <v>140</v>
      </c>
      <c r="I5" s="39">
        <v>1</v>
      </c>
      <c r="J5" s="40">
        <v>39.950000000000003</v>
      </c>
    </row>
    <row r="6" spans="1:10">
      <c r="A6" s="2" t="s">
        <v>77</v>
      </c>
      <c r="B6" s="2">
        <v>10</v>
      </c>
      <c r="G6" s="39" t="s">
        <v>240</v>
      </c>
      <c r="H6" s="39" t="s">
        <v>241</v>
      </c>
      <c r="I6" s="39">
        <v>1</v>
      </c>
      <c r="J6" s="40">
        <v>39.950000000000003</v>
      </c>
    </row>
    <row r="7" spans="1:10">
      <c r="A7" s="2" t="s">
        <v>32</v>
      </c>
      <c r="B7" s="2">
        <v>7.5</v>
      </c>
      <c r="G7" s="39" t="s">
        <v>141</v>
      </c>
      <c r="H7" s="39" t="s">
        <v>142</v>
      </c>
      <c r="I7" s="39">
        <v>1</v>
      </c>
      <c r="J7" s="40">
        <v>12.01</v>
      </c>
    </row>
    <row r="8" spans="1:10">
      <c r="A8" s="2" t="s">
        <v>39</v>
      </c>
      <c r="B8" s="2">
        <v>0.1</v>
      </c>
      <c r="G8" s="39" t="s">
        <v>143</v>
      </c>
      <c r="H8" s="39" t="s">
        <v>144</v>
      </c>
      <c r="I8" s="39">
        <v>1</v>
      </c>
      <c r="J8" s="40">
        <v>44.01</v>
      </c>
    </row>
    <row r="9" spans="1:10">
      <c r="A9"/>
      <c r="G9" s="39" t="s">
        <v>145</v>
      </c>
      <c r="H9" s="39" t="s">
        <v>146</v>
      </c>
      <c r="I9" s="39">
        <v>1</v>
      </c>
      <c r="J9" s="40">
        <v>28.01</v>
      </c>
    </row>
    <row r="10" spans="1:10" ht="18" thickBot="1">
      <c r="A10" s="7" t="s">
        <v>62</v>
      </c>
      <c r="G10" s="39" t="s">
        <v>147</v>
      </c>
      <c r="H10" s="39" t="s">
        <v>148</v>
      </c>
      <c r="I10" s="39">
        <v>1</v>
      </c>
      <c r="J10" s="40">
        <v>35.450000000000003</v>
      </c>
    </row>
    <row r="11" spans="1:10" ht="16.5" thickTop="1">
      <c r="A11" s="2" t="s">
        <v>42</v>
      </c>
      <c r="B11" s="12">
        <f>C11*1000</f>
        <v>1.0000000000000002E-6</v>
      </c>
      <c r="C11" s="13">
        <v>1.0000000000000001E-9</v>
      </c>
      <c r="G11" s="39" t="s">
        <v>149</v>
      </c>
      <c r="H11" s="39" t="s">
        <v>150</v>
      </c>
      <c r="I11" s="39">
        <v>1</v>
      </c>
      <c r="J11" s="40">
        <v>238.03</v>
      </c>
    </row>
    <row r="12" spans="1:10">
      <c r="A12" s="2" t="s">
        <v>43</v>
      </c>
      <c r="B12" s="12">
        <f t="shared" ref="B12:B13" si="0">C12*1000</f>
        <v>1.784E-3</v>
      </c>
      <c r="C12" s="13">
        <v>1.784E-6</v>
      </c>
      <c r="G12" s="39" t="s">
        <v>151</v>
      </c>
      <c r="H12" s="39" t="s">
        <v>152</v>
      </c>
      <c r="I12" s="39">
        <v>1</v>
      </c>
      <c r="J12" s="40">
        <v>2.0139999999999998</v>
      </c>
    </row>
    <row r="13" spans="1:10">
      <c r="A13" s="2" t="s">
        <v>86</v>
      </c>
      <c r="B13" s="12">
        <f t="shared" si="0"/>
        <v>0.9</v>
      </c>
      <c r="C13" s="13">
        <v>8.9999999999999998E-4</v>
      </c>
      <c r="G13" s="39" t="s">
        <v>153</v>
      </c>
      <c r="H13" s="39" t="s">
        <v>154</v>
      </c>
      <c r="I13" s="39">
        <v>1</v>
      </c>
      <c r="J13" s="40">
        <v>60.08</v>
      </c>
    </row>
    <row r="14" spans="1:10">
      <c r="A14" s="2" t="s">
        <v>240</v>
      </c>
      <c r="B14" s="12">
        <f t="shared" ref="B14" si="1">C14*1000</f>
        <v>2.46</v>
      </c>
      <c r="C14" s="13">
        <v>2.4599999999999999E-3</v>
      </c>
      <c r="G14" s="39" t="s">
        <v>41</v>
      </c>
      <c r="H14" s="39" t="s">
        <v>150</v>
      </c>
      <c r="I14" s="39">
        <v>1</v>
      </c>
      <c r="J14" s="40">
        <v>238.03</v>
      </c>
    </row>
    <row r="15" spans="1:10">
      <c r="A15" s="2" t="s">
        <v>41</v>
      </c>
      <c r="B15" s="12">
        <f t="shared" ref="B15:B25" si="2">C15*1000</f>
        <v>10.97</v>
      </c>
      <c r="C15" s="13">
        <v>1.0970000000000001E-2</v>
      </c>
      <c r="G15" s="39" t="s">
        <v>122</v>
      </c>
      <c r="H15" s="39" t="s">
        <v>155</v>
      </c>
      <c r="I15" s="39">
        <v>1</v>
      </c>
      <c r="J15" s="40">
        <v>46.07</v>
      </c>
    </row>
    <row r="16" spans="1:10">
      <c r="A16" s="2" t="s">
        <v>122</v>
      </c>
      <c r="B16" s="12">
        <f t="shared" si="2"/>
        <v>0.78900000000000003</v>
      </c>
      <c r="C16" s="13">
        <v>7.8899999999999999E-4</v>
      </c>
      <c r="G16" s="39" t="s">
        <v>123</v>
      </c>
      <c r="H16" s="39" t="s">
        <v>156</v>
      </c>
      <c r="I16" s="39">
        <v>1</v>
      </c>
      <c r="J16" s="40">
        <v>61.206800000000001</v>
      </c>
    </row>
    <row r="17" spans="1:10">
      <c r="A17" s="2" t="s">
        <v>123</v>
      </c>
      <c r="B17" s="12">
        <f t="shared" si="2"/>
        <v>0.84175</v>
      </c>
      <c r="C17" s="13">
        <v>8.4175000000000005E-4</v>
      </c>
      <c r="G17" s="39" t="s">
        <v>157</v>
      </c>
      <c r="H17" s="39" t="s">
        <v>158</v>
      </c>
      <c r="I17" s="39">
        <v>1</v>
      </c>
      <c r="J17" s="40">
        <v>183.88</v>
      </c>
    </row>
    <row r="18" spans="1:10">
      <c r="A18" s="2" t="s">
        <v>83</v>
      </c>
      <c r="B18" s="12">
        <f t="shared" si="2"/>
        <v>1</v>
      </c>
      <c r="C18" s="13">
        <v>1E-3</v>
      </c>
      <c r="G18" s="39" t="s">
        <v>159</v>
      </c>
      <c r="H18" s="39" t="s">
        <v>160</v>
      </c>
      <c r="I18" s="39">
        <v>1</v>
      </c>
      <c r="J18" s="40">
        <v>19</v>
      </c>
    </row>
    <row r="19" spans="1:10">
      <c r="A19" s="2" t="s">
        <v>78</v>
      </c>
      <c r="B19" s="12">
        <f t="shared" si="2"/>
        <v>0.216</v>
      </c>
      <c r="C19" s="13">
        <v>2.1599999999999999E-4</v>
      </c>
      <c r="G19" s="39" t="s">
        <v>78</v>
      </c>
      <c r="H19" s="39" t="s">
        <v>161</v>
      </c>
      <c r="I19" s="39">
        <v>1</v>
      </c>
      <c r="J19" s="40">
        <f>5.03</f>
        <v>5.03</v>
      </c>
    </row>
    <row r="20" spans="1:10">
      <c r="A20" s="2" t="s">
        <v>49</v>
      </c>
      <c r="B20" s="12">
        <f t="shared" si="2"/>
        <v>2.5</v>
      </c>
      <c r="C20" s="13">
        <v>2.5000000000000001E-3</v>
      </c>
      <c r="G20" s="39" t="s">
        <v>162</v>
      </c>
      <c r="H20" s="39" t="s">
        <v>163</v>
      </c>
      <c r="I20" s="39">
        <v>1</v>
      </c>
      <c r="J20" s="40">
        <v>92.09</v>
      </c>
    </row>
    <row r="21" spans="1:10">
      <c r="A21" s="2" t="s">
        <v>50</v>
      </c>
      <c r="B21" s="12">
        <f t="shared" si="2"/>
        <v>5.8</v>
      </c>
      <c r="C21" s="13">
        <v>5.7999999999999996E-3</v>
      </c>
      <c r="G21" s="39" t="s">
        <v>164</v>
      </c>
      <c r="H21" s="39" t="s">
        <v>165</v>
      </c>
      <c r="I21" s="39">
        <v>1</v>
      </c>
      <c r="J21" s="40">
        <v>172.14</v>
      </c>
    </row>
    <row r="22" spans="1:10">
      <c r="A22" s="2" t="s">
        <v>121</v>
      </c>
      <c r="B22" s="12">
        <f t="shared" si="2"/>
        <v>0.82</v>
      </c>
      <c r="C22" s="13">
        <v>8.1999999999999998E-4</v>
      </c>
      <c r="G22" s="39" t="s">
        <v>166</v>
      </c>
      <c r="H22" s="39" t="s">
        <v>167</v>
      </c>
      <c r="I22" s="39">
        <v>1</v>
      </c>
      <c r="J22" s="40">
        <v>3.016</v>
      </c>
    </row>
    <row r="23" spans="1:10">
      <c r="A23" s="2" t="s">
        <v>40</v>
      </c>
      <c r="B23" s="12">
        <f t="shared" si="2"/>
        <v>0.53399999999999992</v>
      </c>
      <c r="C23" s="13">
        <v>5.3399999999999997E-4</v>
      </c>
      <c r="G23" s="39" t="s">
        <v>168</v>
      </c>
      <c r="H23" s="39" t="s">
        <v>169</v>
      </c>
      <c r="I23" s="39">
        <v>1</v>
      </c>
      <c r="J23" s="40">
        <v>4.0019999999999998</v>
      </c>
    </row>
    <row r="24" spans="1:10">
      <c r="A24" s="5" t="s">
        <v>47</v>
      </c>
      <c r="B24" s="12">
        <f t="shared" si="2"/>
        <v>0.70209999999999995</v>
      </c>
      <c r="C24" s="13">
        <v>7.0209999999999999E-4</v>
      </c>
      <c r="G24" s="39" t="s">
        <v>170</v>
      </c>
      <c r="H24" s="39" t="s">
        <v>171</v>
      </c>
      <c r="I24" s="39">
        <v>1</v>
      </c>
      <c r="J24" s="40">
        <v>34.01</v>
      </c>
    </row>
    <row r="25" spans="1:10">
      <c r="A25" s="2" t="s">
        <v>179</v>
      </c>
      <c r="B25" s="12">
        <f t="shared" si="2"/>
        <v>0.79</v>
      </c>
      <c r="C25" s="13">
        <v>7.9000000000000001E-4</v>
      </c>
      <c r="G25" s="39" t="s">
        <v>172</v>
      </c>
      <c r="H25" s="39" t="s">
        <v>173</v>
      </c>
      <c r="I25" s="39">
        <v>1</v>
      </c>
      <c r="J25" s="40">
        <v>168.69</v>
      </c>
    </row>
    <row r="26" spans="1:10">
      <c r="A26" s="2" t="s">
        <v>46</v>
      </c>
      <c r="B26" s="12">
        <f t="shared" ref="B26:B40" si="3">C26*1000</f>
        <v>1.1732500000000001</v>
      </c>
      <c r="C26" s="13">
        <v>1.17325E-3</v>
      </c>
      <c r="G26" s="39" t="s">
        <v>174</v>
      </c>
      <c r="H26" s="39" t="s">
        <v>175</v>
      </c>
      <c r="I26" s="39">
        <v>1</v>
      </c>
      <c r="J26" s="40">
        <f>(14.007*2)+(1.008*4)</f>
        <v>32.045999999999999</v>
      </c>
    </row>
    <row r="27" spans="1:10">
      <c r="A27" s="2" t="s">
        <v>45</v>
      </c>
      <c r="B27" s="12">
        <f t="shared" si="3"/>
        <v>0.16239999999999999</v>
      </c>
      <c r="C27" s="13">
        <v>1.6239999999999999E-4</v>
      </c>
      <c r="G27" s="39" t="s">
        <v>125</v>
      </c>
      <c r="H27" s="39" t="s">
        <v>176</v>
      </c>
      <c r="I27" s="39">
        <v>1</v>
      </c>
      <c r="J27" s="40">
        <v>2.02</v>
      </c>
    </row>
    <row r="28" spans="1:10">
      <c r="A28" s="2" t="s">
        <v>48</v>
      </c>
      <c r="B28" s="12">
        <f t="shared" si="3"/>
        <v>5.8999999999999997E-2</v>
      </c>
      <c r="C28" s="13">
        <v>5.8999999999999998E-5</v>
      </c>
      <c r="G28" s="39" t="s">
        <v>121</v>
      </c>
      <c r="H28" s="39" t="s">
        <v>177</v>
      </c>
      <c r="I28" s="39">
        <v>1</v>
      </c>
      <c r="J28" s="40">
        <v>170.34</v>
      </c>
    </row>
    <row r="29" spans="1:10">
      <c r="A29" s="2" t="s">
        <v>30</v>
      </c>
      <c r="B29" s="12">
        <f t="shared" si="3"/>
        <v>7.0849999999999996E-2</v>
      </c>
      <c r="C29" s="13">
        <v>7.0850000000000001E-5</v>
      </c>
      <c r="G29" s="39" t="s">
        <v>40</v>
      </c>
      <c r="H29" s="39" t="s">
        <v>178</v>
      </c>
      <c r="I29" s="39">
        <v>1</v>
      </c>
      <c r="J29" s="40">
        <v>6.94</v>
      </c>
    </row>
    <row r="30" spans="1:10">
      <c r="A30" s="2" t="s">
        <v>31</v>
      </c>
      <c r="B30" s="12">
        <f t="shared" si="3"/>
        <v>0.42560999999999999</v>
      </c>
      <c r="C30" s="13">
        <v>4.2560999999999999E-4</v>
      </c>
      <c r="G30" s="39" t="s">
        <v>47</v>
      </c>
      <c r="H30" s="39" t="s">
        <v>139</v>
      </c>
      <c r="I30" s="39">
        <v>1</v>
      </c>
      <c r="J30" s="40">
        <v>17.03</v>
      </c>
    </row>
    <row r="31" spans="1:10">
      <c r="A31" s="2" t="s">
        <v>87</v>
      </c>
      <c r="B31" s="12">
        <f t="shared" si="3"/>
        <v>1.141</v>
      </c>
      <c r="C31" s="13">
        <v>1.1410000000000001E-3</v>
      </c>
      <c r="G31" s="39" t="s">
        <v>179</v>
      </c>
      <c r="H31" s="39" t="s">
        <v>146</v>
      </c>
      <c r="I31" s="39">
        <v>1</v>
      </c>
      <c r="J31" s="40">
        <v>28.01</v>
      </c>
    </row>
    <row r="32" spans="1:10">
      <c r="A32" s="2" t="s">
        <v>124</v>
      </c>
      <c r="B32" s="12">
        <f t="shared" si="3"/>
        <v>0.82490700000000006</v>
      </c>
      <c r="C32" s="13">
        <v>8.2490700000000005E-4</v>
      </c>
      <c r="G32" s="39" t="s">
        <v>46</v>
      </c>
      <c r="H32" s="39" t="s">
        <v>144</v>
      </c>
      <c r="I32" s="39">
        <v>1</v>
      </c>
      <c r="J32" s="40">
        <v>44.01</v>
      </c>
    </row>
    <row r="33" spans="1:10">
      <c r="A33" s="2" t="s">
        <v>44</v>
      </c>
      <c r="B33" s="12">
        <f t="shared" si="3"/>
        <v>7.8</v>
      </c>
      <c r="C33" s="13">
        <v>7.7999999999999996E-3</v>
      </c>
      <c r="G33" s="39" t="s">
        <v>45</v>
      </c>
      <c r="H33" s="39" t="s">
        <v>152</v>
      </c>
      <c r="I33" s="39">
        <v>1</v>
      </c>
      <c r="J33" s="40">
        <v>2.0139999999999998</v>
      </c>
    </row>
    <row r="34" spans="1:10">
      <c r="A34" s="2" t="s">
        <v>81</v>
      </c>
      <c r="B34" s="12">
        <f t="shared" si="3"/>
        <v>7.085</v>
      </c>
      <c r="C34" s="13">
        <v>7.0850000000000002E-3</v>
      </c>
      <c r="G34" s="39" t="s">
        <v>48</v>
      </c>
      <c r="H34" s="39" t="s">
        <v>167</v>
      </c>
      <c r="I34" s="39">
        <v>1</v>
      </c>
      <c r="J34" s="40">
        <v>3.016</v>
      </c>
    </row>
    <row r="35" spans="1:10">
      <c r="A35" s="2" t="s">
        <v>84</v>
      </c>
      <c r="B35" s="12">
        <f t="shared" si="3"/>
        <v>0.88</v>
      </c>
      <c r="C35" s="13">
        <v>8.8000000000000003E-4</v>
      </c>
      <c r="G35" s="39" t="s">
        <v>180</v>
      </c>
      <c r="H35" s="39" t="s">
        <v>169</v>
      </c>
      <c r="I35" s="39">
        <v>1</v>
      </c>
      <c r="J35" s="40">
        <v>4.0019999999999998</v>
      </c>
    </row>
    <row r="36" spans="1:10">
      <c r="A36" s="2" t="s">
        <v>85</v>
      </c>
      <c r="B36" s="12">
        <f t="shared" si="3"/>
        <v>1.45</v>
      </c>
      <c r="C36" s="13">
        <v>1.4499999999999999E-3</v>
      </c>
      <c r="G36" s="39" t="s">
        <v>30</v>
      </c>
      <c r="H36" s="39" t="s">
        <v>176</v>
      </c>
      <c r="I36" s="39">
        <v>1</v>
      </c>
      <c r="J36" s="40">
        <v>2.02</v>
      </c>
    </row>
    <row r="37" spans="1:10">
      <c r="A37" s="5" t="s">
        <v>82</v>
      </c>
      <c r="B37" s="12">
        <f t="shared" si="3"/>
        <v>1.05</v>
      </c>
      <c r="C37" s="13">
        <v>1.0499999999999999E-3</v>
      </c>
      <c r="G37" s="39" t="s">
        <v>31</v>
      </c>
      <c r="H37" s="39" t="s">
        <v>181</v>
      </c>
      <c r="I37" s="39">
        <v>1</v>
      </c>
      <c r="J37" s="40">
        <v>16.05</v>
      </c>
    </row>
    <row r="38" spans="1:10">
      <c r="A38" s="5" t="s">
        <v>88</v>
      </c>
      <c r="B38" s="12">
        <f t="shared" si="3"/>
        <v>0.79100000000000004</v>
      </c>
      <c r="C38" s="13">
        <v>7.9100000000000004E-4</v>
      </c>
      <c r="G38" s="39" t="s">
        <v>87</v>
      </c>
      <c r="H38" s="41" t="s">
        <v>182</v>
      </c>
      <c r="I38" s="41">
        <v>1</v>
      </c>
      <c r="J38" s="40">
        <v>32</v>
      </c>
    </row>
    <row r="39" spans="1:10">
      <c r="A39" s="5" t="s">
        <v>89</v>
      </c>
      <c r="B39" s="12">
        <f t="shared" si="3"/>
        <v>0.82899999999999996</v>
      </c>
      <c r="C39" s="13">
        <v>8.2899999999999998E-4</v>
      </c>
      <c r="G39" s="39" t="s">
        <v>124</v>
      </c>
      <c r="H39" s="39" t="s">
        <v>183</v>
      </c>
      <c r="I39" s="39">
        <v>1</v>
      </c>
      <c r="J39" s="40">
        <v>28.01</v>
      </c>
    </row>
    <row r="40" spans="1:10">
      <c r="A40" s="2" t="s">
        <v>79</v>
      </c>
      <c r="B40" s="12">
        <f t="shared" si="3"/>
        <v>1</v>
      </c>
      <c r="C40" s="13">
        <v>1E-3</v>
      </c>
      <c r="G40" s="39" t="s">
        <v>81</v>
      </c>
      <c r="H40" s="39" t="s">
        <v>176</v>
      </c>
      <c r="I40" s="39">
        <v>1</v>
      </c>
      <c r="J40" s="40">
        <f>J36</f>
        <v>2.02</v>
      </c>
    </row>
    <row r="41" spans="1:10">
      <c r="G41" s="39" t="s">
        <v>184</v>
      </c>
      <c r="H41" s="39" t="s">
        <v>185</v>
      </c>
      <c r="I41" s="39">
        <v>1</v>
      </c>
      <c r="J41" s="40">
        <v>159.69</v>
      </c>
    </row>
    <row r="42" spans="1:10" ht="18" thickBot="1">
      <c r="A42" s="7" t="s">
        <v>63</v>
      </c>
      <c r="B42"/>
      <c r="C42" s="14"/>
      <c r="G42" s="39" t="s">
        <v>186</v>
      </c>
      <c r="H42" s="39" t="s">
        <v>187</v>
      </c>
      <c r="I42" s="39">
        <v>1</v>
      </c>
      <c r="J42" s="40">
        <f>55.845*2</f>
        <v>111.69</v>
      </c>
    </row>
    <row r="43" spans="1:10" ht="16.5" thickTop="1">
      <c r="A43" s="2" t="s">
        <v>51</v>
      </c>
      <c r="B43" s="12">
        <f t="shared" ref="B43:B56" si="4">C43*1000</f>
        <v>5</v>
      </c>
      <c r="C43" s="13">
        <v>5.0000000000000001E-3</v>
      </c>
      <c r="G43" s="39" t="s">
        <v>44</v>
      </c>
      <c r="H43" s="39" t="s">
        <v>187</v>
      </c>
      <c r="I43" s="39">
        <v>1</v>
      </c>
      <c r="J43" s="40">
        <f>55.845*2</f>
        <v>111.69</v>
      </c>
    </row>
    <row r="44" spans="1:10">
      <c r="A44" s="2" t="s">
        <v>58</v>
      </c>
      <c r="B44" s="12">
        <f t="shared" si="4"/>
        <v>54.4</v>
      </c>
      <c r="C44" s="13">
        <v>5.4399999999999997E-2</v>
      </c>
      <c r="G44" s="39" t="s">
        <v>188</v>
      </c>
      <c r="H44" s="39" t="s">
        <v>181</v>
      </c>
      <c r="I44" s="39">
        <v>1</v>
      </c>
      <c r="J44" s="40">
        <f>12.02+4*1.008</f>
        <v>16.052</v>
      </c>
    </row>
    <row r="45" spans="1:10">
      <c r="A45" s="2" t="s">
        <v>52</v>
      </c>
      <c r="B45" s="12">
        <f t="shared" si="4"/>
        <v>5</v>
      </c>
      <c r="C45" s="13">
        <v>5.0000000000000001E-3</v>
      </c>
      <c r="G45" s="39" t="s">
        <v>189</v>
      </c>
      <c r="H45" s="39" t="s">
        <v>190</v>
      </c>
      <c r="I45" s="39">
        <v>1</v>
      </c>
      <c r="J45" s="40">
        <f>(28.086*2)+(16*2)</f>
        <v>88.171999999999997</v>
      </c>
    </row>
    <row r="46" spans="1:10" ht="18.75">
      <c r="A46" s="2" t="s">
        <v>61</v>
      </c>
      <c r="B46" s="12">
        <f t="shared" si="4"/>
        <v>6.0000000000000005E-2</v>
      </c>
      <c r="C46" s="13">
        <v>6.0000000000000002E-5</v>
      </c>
      <c r="G46" s="39" t="s">
        <v>84</v>
      </c>
      <c r="H46" s="39" t="s">
        <v>191</v>
      </c>
      <c r="I46" s="39">
        <v>1</v>
      </c>
      <c r="J46" s="40">
        <v>46.07</v>
      </c>
    </row>
    <row r="47" spans="1:10">
      <c r="A47" s="2" t="s">
        <v>56</v>
      </c>
      <c r="B47" s="12">
        <f t="shared" si="4"/>
        <v>5.0108799999999993</v>
      </c>
      <c r="C47" s="13">
        <v>5.0108799999999997E-3</v>
      </c>
      <c r="G47" s="39" t="s">
        <v>192</v>
      </c>
      <c r="H47" s="39" t="s">
        <v>193</v>
      </c>
      <c r="I47" s="39">
        <v>1</v>
      </c>
      <c r="J47" s="40">
        <v>233.88</v>
      </c>
    </row>
    <row r="48" spans="1:10">
      <c r="A48" s="2" t="s">
        <v>59</v>
      </c>
      <c r="B48" s="12">
        <f t="shared" si="4"/>
        <v>5</v>
      </c>
      <c r="C48" s="13">
        <v>5.0000000000000001E-3</v>
      </c>
      <c r="G48" s="39" t="s">
        <v>194</v>
      </c>
      <c r="H48" s="39" t="s">
        <v>183</v>
      </c>
      <c r="I48" s="39">
        <v>1</v>
      </c>
      <c r="J48" s="40">
        <f>14.007*2</f>
        <v>28.013999999999999</v>
      </c>
    </row>
    <row r="49" spans="1:10">
      <c r="A49" s="2" t="s">
        <v>53</v>
      </c>
      <c r="B49" s="12">
        <f t="shared" si="4"/>
        <v>8.6</v>
      </c>
      <c r="C49" s="13">
        <v>8.6E-3</v>
      </c>
      <c r="G49" s="39" t="s">
        <v>85</v>
      </c>
      <c r="H49" s="39" t="s">
        <v>195</v>
      </c>
      <c r="I49" s="39">
        <v>1</v>
      </c>
      <c r="J49" s="40">
        <v>92.04</v>
      </c>
    </row>
    <row r="50" spans="1:10">
      <c r="A50" s="2" t="s">
        <v>57</v>
      </c>
      <c r="B50" s="12">
        <f t="shared" si="4"/>
        <v>5.7050000000000001</v>
      </c>
      <c r="C50" s="13">
        <v>5.705E-3</v>
      </c>
      <c r="G50" s="39" t="s">
        <v>196</v>
      </c>
      <c r="H50" s="39" t="s">
        <v>182</v>
      </c>
      <c r="I50" s="39">
        <v>1</v>
      </c>
      <c r="J50" s="40">
        <v>32</v>
      </c>
    </row>
    <row r="51" spans="1:10">
      <c r="A51" s="2" t="s">
        <v>54</v>
      </c>
      <c r="B51" s="12">
        <f t="shared" si="4"/>
        <v>0.35399999999999998</v>
      </c>
      <c r="C51" s="13">
        <v>3.5399999999999999E-4</v>
      </c>
      <c r="G51" s="39" t="s">
        <v>197</v>
      </c>
      <c r="H51" s="39" t="s">
        <v>129</v>
      </c>
      <c r="I51" s="39">
        <v>1</v>
      </c>
      <c r="J51" s="40">
        <v>30.97</v>
      </c>
    </row>
    <row r="52" spans="1:10">
      <c r="A52" s="2" t="s">
        <v>55</v>
      </c>
      <c r="B52" s="12">
        <f t="shared" si="4"/>
        <v>2.12805</v>
      </c>
      <c r="C52" s="13">
        <v>2.1280499999999998E-3</v>
      </c>
      <c r="G52" s="39" t="s">
        <v>198</v>
      </c>
      <c r="H52" s="39" t="s">
        <v>199</v>
      </c>
      <c r="I52" s="39">
        <v>1</v>
      </c>
      <c r="J52" s="40">
        <f>195.078</f>
        <v>195.078</v>
      </c>
    </row>
    <row r="53" spans="1:10">
      <c r="A53" s="2" t="s">
        <v>60</v>
      </c>
      <c r="B53" s="12">
        <f t="shared" si="4"/>
        <v>4.1000000000000005</v>
      </c>
      <c r="C53" s="13">
        <v>4.1000000000000003E-3</v>
      </c>
      <c r="G53" s="39" t="s">
        <v>200</v>
      </c>
      <c r="H53" s="39" t="s">
        <v>242</v>
      </c>
      <c r="I53" s="39">
        <v>1</v>
      </c>
      <c r="J53" s="40">
        <v>76.08</v>
      </c>
    </row>
    <row r="54" spans="1:10">
      <c r="A54" s="2" t="s">
        <v>76</v>
      </c>
      <c r="B54" s="12">
        <f t="shared" si="4"/>
        <v>12.5</v>
      </c>
      <c r="C54" s="13">
        <v>1.2500000000000001E-2</v>
      </c>
      <c r="G54" s="39" t="s">
        <v>201</v>
      </c>
      <c r="H54" s="39" t="s">
        <v>202</v>
      </c>
      <c r="I54" s="39">
        <v>1</v>
      </c>
      <c r="J54" s="40">
        <v>28.09</v>
      </c>
    </row>
    <row r="55" spans="1:10">
      <c r="A55" s="2" t="s">
        <v>70</v>
      </c>
      <c r="B55" s="12">
        <f t="shared" si="4"/>
        <v>7.5</v>
      </c>
      <c r="C55" s="13">
        <v>7.4999999999999997E-3</v>
      </c>
      <c r="G55" s="39" t="s">
        <v>203</v>
      </c>
      <c r="H55" s="39" t="s">
        <v>204</v>
      </c>
      <c r="I55" s="39">
        <v>1</v>
      </c>
      <c r="J55" s="40">
        <v>186.09</v>
      </c>
    </row>
    <row r="56" spans="1:10">
      <c r="A56" s="5" t="s">
        <v>80</v>
      </c>
      <c r="B56" s="12">
        <f t="shared" si="4"/>
        <v>5</v>
      </c>
      <c r="C56" s="13">
        <v>5.0000000000000001E-3</v>
      </c>
      <c r="G56" s="39" t="s">
        <v>205</v>
      </c>
      <c r="H56" s="39" t="s">
        <v>206</v>
      </c>
      <c r="I56" s="39">
        <v>1</v>
      </c>
      <c r="J56" s="40">
        <v>270.02999999999997</v>
      </c>
    </row>
    <row r="57" spans="1:10">
      <c r="G57" s="39" t="s">
        <v>88</v>
      </c>
      <c r="H57" s="39" t="s">
        <v>207</v>
      </c>
      <c r="I57" s="39">
        <v>1</v>
      </c>
      <c r="J57" s="40">
        <v>60.1</v>
      </c>
    </row>
    <row r="58" spans="1:10">
      <c r="G58" s="39" t="s">
        <v>89</v>
      </c>
      <c r="H58" s="39" t="s">
        <v>208</v>
      </c>
      <c r="I58" s="39">
        <v>1</v>
      </c>
      <c r="J58" s="40">
        <f>SUM(($D$38*0.25)+($D$82*0.75))</f>
        <v>0</v>
      </c>
    </row>
    <row r="59" spans="1:10">
      <c r="G59" s="39" t="s">
        <v>79</v>
      </c>
      <c r="H59" s="39" t="s">
        <v>209</v>
      </c>
      <c r="I59" s="39">
        <v>1</v>
      </c>
      <c r="J59" s="40">
        <v>18.02</v>
      </c>
    </row>
    <row r="78" spans="7:10">
      <c r="G78" s="39"/>
      <c r="H78" s="39"/>
      <c r="I78" s="39"/>
      <c r="J78" s="40"/>
    </row>
  </sheetData>
  <dataValidations disablePrompts="1" count="1">
    <dataValidation type="list" allowBlank="1" showInputMessage="1" showErrorMessage="1" sqref="E2">
      <formula1>$A$11:$A$40</formula1>
    </dataValidation>
  </dataValidation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workbookViewId="0">
      <selection activeCell="D15" sqref="D15"/>
    </sheetView>
  </sheetViews>
  <sheetFormatPr defaultRowHeight="15.75"/>
  <cols>
    <col min="1" max="1" width="12.42578125" style="2" customWidth="1"/>
    <col min="2" max="2" width="13.85546875" style="2" customWidth="1"/>
    <col min="3" max="3" width="11.5703125" style="2" customWidth="1"/>
    <col min="4" max="4" width="13.7109375" style="2" customWidth="1"/>
    <col min="5" max="5" width="13.5703125" style="2" customWidth="1"/>
    <col min="6" max="6" width="14.5703125" style="2" customWidth="1"/>
    <col min="7" max="7" width="12.42578125" style="2" bestFit="1" customWidth="1"/>
    <col min="8" max="256" width="9.140625" style="2"/>
    <col min="257" max="16384" width="9.140625" style="5"/>
  </cols>
  <sheetData>
    <row r="1" spans="1:8">
      <c r="A1" s="75" t="s">
        <v>64</v>
      </c>
      <c r="B1" s="75"/>
      <c r="C1" s="75"/>
      <c r="D1" s="75"/>
      <c r="E1" s="75"/>
      <c r="F1" s="75"/>
      <c r="G1" s="75"/>
    </row>
    <row r="2" spans="1: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2" t="s">
        <v>7</v>
      </c>
      <c r="B3" s="2">
        <v>16</v>
      </c>
      <c r="C3" s="2">
        <v>290</v>
      </c>
      <c r="D3" s="3">
        <f t="shared" ref="D3:D16" si="0">C3*9.8066</f>
        <v>2843.9139999999998</v>
      </c>
      <c r="E3" s="3">
        <f t="shared" ref="E3:E16" si="1">B3*1000/D3</f>
        <v>5.6260491702632365</v>
      </c>
      <c r="F3" s="4">
        <f t="shared" ref="F3:F16" si="2">B3*1000*D3/2</f>
        <v>22751311.999999996</v>
      </c>
      <c r="G3" s="4">
        <f t="shared" ref="G3:G16" si="3">F3/E3</f>
        <v>4043923.419697999</v>
      </c>
    </row>
    <row r="4" spans="1:8">
      <c r="A4" s="2" t="s">
        <v>8</v>
      </c>
      <c r="B4" s="2">
        <v>20</v>
      </c>
      <c r="C4" s="2">
        <v>320</v>
      </c>
      <c r="D4" s="3">
        <f t="shared" si="0"/>
        <v>3138.1120000000001</v>
      </c>
      <c r="E4" s="3">
        <f t="shared" si="1"/>
        <v>6.3732588256888221</v>
      </c>
      <c r="F4" s="4">
        <f t="shared" si="2"/>
        <v>31381120</v>
      </c>
      <c r="G4" s="4">
        <f t="shared" si="3"/>
        <v>4923873.4622719996</v>
      </c>
    </row>
    <row r="5" spans="1:8">
      <c r="A5" s="2" t="s">
        <v>9</v>
      </c>
      <c r="B5" s="2">
        <v>180</v>
      </c>
      <c r="C5" s="2">
        <v>340</v>
      </c>
      <c r="D5" s="3">
        <f t="shared" si="0"/>
        <v>3334.2439999999997</v>
      </c>
      <c r="E5" s="3">
        <f t="shared" si="1"/>
        <v>53.985251229364145</v>
      </c>
      <c r="F5" s="4">
        <f t="shared" si="2"/>
        <v>300081960</v>
      </c>
      <c r="G5" s="4">
        <f t="shared" si="3"/>
        <v>5558591.5257679988</v>
      </c>
    </row>
    <row r="6" spans="1:8">
      <c r="A6" s="2" t="s">
        <v>10</v>
      </c>
      <c r="B6" s="2">
        <v>2</v>
      </c>
      <c r="C6" s="2">
        <v>315</v>
      </c>
      <c r="D6" s="3">
        <f t="shared" si="0"/>
        <v>3089.0789999999997</v>
      </c>
      <c r="E6" s="3">
        <f t="shared" si="1"/>
        <v>0.64744216641918195</v>
      </c>
      <c r="F6" s="4">
        <f t="shared" si="2"/>
        <v>3089078.9999999995</v>
      </c>
      <c r="G6" s="4">
        <f t="shared" si="3"/>
        <v>4771204.5341204992</v>
      </c>
    </row>
    <row r="7" spans="1:8">
      <c r="A7" s="2" t="s">
        <v>11</v>
      </c>
      <c r="B7" s="2">
        <v>2</v>
      </c>
      <c r="C7" s="2">
        <v>290</v>
      </c>
      <c r="D7" s="3">
        <f t="shared" si="0"/>
        <v>2843.9139999999998</v>
      </c>
      <c r="E7" s="3">
        <f t="shared" si="1"/>
        <v>0.70325614628290456</v>
      </c>
      <c r="F7" s="4">
        <f t="shared" si="2"/>
        <v>2843913.9999999995</v>
      </c>
      <c r="G7" s="4">
        <f t="shared" si="3"/>
        <v>4043923.419697999</v>
      </c>
    </row>
    <row r="8" spans="1:8">
      <c r="A8" s="2" t="s">
        <v>12</v>
      </c>
      <c r="B8" s="2">
        <v>60</v>
      </c>
      <c r="C8" s="2">
        <v>345</v>
      </c>
      <c r="D8" s="3">
        <f t="shared" si="0"/>
        <v>3383.277</v>
      </c>
      <c r="E8" s="3">
        <f t="shared" si="1"/>
        <v>17.734285428003677</v>
      </c>
      <c r="F8" s="4">
        <f t="shared" si="2"/>
        <v>101498310</v>
      </c>
      <c r="G8" s="4">
        <f t="shared" si="3"/>
        <v>5723281.6293645008</v>
      </c>
    </row>
    <row r="9" spans="1:8">
      <c r="A9" s="2" t="s">
        <v>13</v>
      </c>
      <c r="B9" s="2">
        <v>60</v>
      </c>
      <c r="C9" s="2">
        <v>800</v>
      </c>
      <c r="D9" s="3">
        <f t="shared" si="0"/>
        <v>7845.28</v>
      </c>
      <c r="E9" s="3">
        <f t="shared" si="1"/>
        <v>7.6479105908265863</v>
      </c>
      <c r="F9" s="4">
        <f t="shared" si="2"/>
        <v>235358400</v>
      </c>
      <c r="G9" s="4">
        <f t="shared" si="3"/>
        <v>30774209.139199998</v>
      </c>
      <c r="H9" s="2" t="s">
        <v>14</v>
      </c>
    </row>
    <row r="10" spans="1:8">
      <c r="A10" s="2" t="s">
        <v>15</v>
      </c>
      <c r="B10" s="2">
        <v>240</v>
      </c>
      <c r="C10" s="2">
        <v>310</v>
      </c>
      <c r="D10" s="3">
        <f t="shared" si="0"/>
        <v>3040.0459999999998</v>
      </c>
      <c r="E10" s="3">
        <f t="shared" si="1"/>
        <v>78.946173840790578</v>
      </c>
      <c r="F10" s="4">
        <f t="shared" si="2"/>
        <v>364805520</v>
      </c>
      <c r="G10" s="4">
        <f t="shared" si="3"/>
        <v>4620939.8410579991</v>
      </c>
    </row>
    <row r="11" spans="1:8">
      <c r="A11" s="2" t="s">
        <v>16</v>
      </c>
      <c r="B11" s="2">
        <v>215</v>
      </c>
      <c r="C11" s="2">
        <v>320</v>
      </c>
      <c r="D11" s="3">
        <f t="shared" si="0"/>
        <v>3138.1120000000001</v>
      </c>
      <c r="E11" s="3">
        <f t="shared" si="1"/>
        <v>68.512532376154837</v>
      </c>
      <c r="F11" s="4">
        <f t="shared" si="2"/>
        <v>337347040</v>
      </c>
      <c r="G11" s="4">
        <f t="shared" si="3"/>
        <v>4923873.4622719996</v>
      </c>
    </row>
    <row r="12" spans="1:8">
      <c r="A12" s="2" t="s">
        <v>17</v>
      </c>
      <c r="B12" s="2">
        <v>1500</v>
      </c>
      <c r="C12" s="2">
        <v>310</v>
      </c>
      <c r="D12" s="3">
        <f t="shared" si="0"/>
        <v>3040.0459999999998</v>
      </c>
      <c r="E12" s="3">
        <f t="shared" si="1"/>
        <v>493.41358650494107</v>
      </c>
      <c r="F12" s="4">
        <f t="shared" si="2"/>
        <v>2280034500</v>
      </c>
      <c r="G12" s="4">
        <f t="shared" si="3"/>
        <v>4620939.841058</v>
      </c>
    </row>
    <row r="13" spans="1:8">
      <c r="A13" s="2" t="s">
        <v>18</v>
      </c>
      <c r="B13" s="2">
        <v>120</v>
      </c>
      <c r="C13" s="2">
        <v>305</v>
      </c>
      <c r="D13" s="3">
        <f t="shared" si="0"/>
        <v>2991.0129999999999</v>
      </c>
      <c r="E13" s="3">
        <f t="shared" si="1"/>
        <v>40.120186705975534</v>
      </c>
      <c r="F13" s="4">
        <f t="shared" si="2"/>
        <v>179460780</v>
      </c>
      <c r="G13" s="4">
        <f t="shared" si="3"/>
        <v>4473079.3830845002</v>
      </c>
    </row>
    <row r="14" spans="1:8">
      <c r="A14" s="2" t="s">
        <v>19</v>
      </c>
      <c r="B14" s="2">
        <v>250</v>
      </c>
      <c r="C14" s="2">
        <v>350</v>
      </c>
      <c r="D14" s="3">
        <f t="shared" si="0"/>
        <v>3432.31</v>
      </c>
      <c r="E14" s="3">
        <f t="shared" si="1"/>
        <v>72.837243722157964</v>
      </c>
      <c r="F14" s="4">
        <f t="shared" si="2"/>
        <v>429038750</v>
      </c>
      <c r="G14" s="4">
        <f t="shared" si="3"/>
        <v>5890375.9680500003</v>
      </c>
    </row>
    <row r="15" spans="1:8">
      <c r="A15" s="2" t="s">
        <v>20</v>
      </c>
      <c r="B15" s="2">
        <v>1000</v>
      </c>
      <c r="C15" s="2">
        <v>315</v>
      </c>
      <c r="D15" s="3">
        <f t="shared" si="0"/>
        <v>3089.0789999999997</v>
      </c>
      <c r="E15" s="3">
        <f t="shared" si="1"/>
        <v>323.72108320959097</v>
      </c>
      <c r="F15" s="4">
        <f t="shared" si="2"/>
        <v>1544539499.9999998</v>
      </c>
      <c r="G15" s="4">
        <f t="shared" si="3"/>
        <v>4771204.5341204992</v>
      </c>
    </row>
    <row r="16" spans="1:8">
      <c r="A16" s="2" t="s">
        <v>21</v>
      </c>
      <c r="B16" s="2">
        <v>650</v>
      </c>
      <c r="C16" s="2">
        <v>320</v>
      </c>
      <c r="D16" s="3">
        <f t="shared" si="0"/>
        <v>3138.1120000000001</v>
      </c>
      <c r="E16" s="3">
        <f t="shared" si="1"/>
        <v>207.13091183488672</v>
      </c>
      <c r="F16" s="4">
        <f t="shared" si="2"/>
        <v>1019886400</v>
      </c>
      <c r="G16" s="4">
        <f t="shared" si="3"/>
        <v>4923873.4622719996</v>
      </c>
    </row>
  </sheetData>
  <mergeCells count="1">
    <mergeCell ref="A1:G1"/>
  </mergeCells>
  <pageMargins left="1" right="1" top="1.6666666666666667" bottom="1.6666666666666667" header="1" footer="1"/>
  <pageSetup firstPageNumber="4294967295" fitToWidth="0" fitToHeight="0" orientation="portrait" cellComments="asDisplayed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6"/>
  <sheetViews>
    <sheetView topLeftCell="A19" zoomScaleNormal="100" workbookViewId="0">
      <selection activeCell="E34" sqref="E34"/>
    </sheetView>
  </sheetViews>
  <sheetFormatPr defaultRowHeight="15.75"/>
  <cols>
    <col min="1" max="1" width="22" style="5" customWidth="1"/>
    <col min="2" max="5" width="20" style="5" customWidth="1"/>
    <col min="6" max="6" width="9.140625" style="5" customWidth="1"/>
    <col min="7" max="7" width="19.5703125" style="5" customWidth="1"/>
    <col min="8" max="10" width="9.140625" style="5" customWidth="1"/>
    <col min="11" max="16384" width="9.140625" style="5"/>
  </cols>
  <sheetData>
    <row r="1" spans="1:10" ht="20.25" thickBot="1">
      <c r="A1" s="77" t="s">
        <v>222</v>
      </c>
      <c r="B1" s="77"/>
      <c r="C1" s="77"/>
      <c r="D1" s="77"/>
      <c r="E1" s="77"/>
    </row>
    <row r="2" spans="1:10" ht="18.75" thickTop="1" thickBot="1">
      <c r="A2" s="56" t="s">
        <v>116</v>
      </c>
    </row>
    <row r="3" spans="1:10" ht="16.5" thickTop="1">
      <c r="B3" s="2" t="s">
        <v>233</v>
      </c>
      <c r="C3" s="2" t="s">
        <v>114</v>
      </c>
      <c r="G3" s="5" t="s">
        <v>111</v>
      </c>
    </row>
    <row r="4" spans="1:10">
      <c r="A4"/>
      <c r="B4" s="30">
        <v>960</v>
      </c>
      <c r="C4" s="33">
        <v>300</v>
      </c>
      <c r="G4" s="58">
        <v>299792458</v>
      </c>
    </row>
    <row r="5" spans="1:10">
      <c r="A5"/>
      <c r="B5" s="2" t="s">
        <v>3</v>
      </c>
      <c r="C5" s="2" t="s">
        <v>23</v>
      </c>
      <c r="D5" s="5" t="s">
        <v>35</v>
      </c>
      <c r="E5" s="5" t="s">
        <v>36</v>
      </c>
    </row>
    <row r="6" spans="1:10">
      <c r="A6" s="2"/>
      <c r="B6" s="27">
        <f>B4*G7</f>
        <v>9414.384</v>
      </c>
      <c r="C6" s="69">
        <f>IFERROR(C4*1000/B6,0)</f>
        <v>31.866131655560256</v>
      </c>
      <c r="D6" s="27">
        <f>C4*1000*B6</f>
        <v>2824315200</v>
      </c>
      <c r="E6" s="27">
        <f>IFERROR(D6/C6,0)</f>
        <v>88630626.099455997</v>
      </c>
      <c r="G6" s="5" t="s">
        <v>225</v>
      </c>
    </row>
    <row r="7" spans="1:10">
      <c r="G7" s="57">
        <v>9.8066499999999994</v>
      </c>
      <c r="J7"/>
    </row>
    <row r="8" spans="1:10">
      <c r="J8"/>
    </row>
    <row r="9" spans="1:10" ht="18" thickBot="1">
      <c r="A9" s="56" t="s">
        <v>117</v>
      </c>
      <c r="J9"/>
    </row>
    <row r="10" spans="1:10" ht="16.5" thickTop="1">
      <c r="B10" s="2" t="s">
        <v>233</v>
      </c>
      <c r="C10" s="2" t="s">
        <v>114</v>
      </c>
      <c r="J10"/>
    </row>
    <row r="11" spans="1:10">
      <c r="B11" s="31">
        <v>960</v>
      </c>
      <c r="C11" s="32">
        <f>(C13*B13)/1000</f>
        <v>0.29543542033151998</v>
      </c>
    </row>
    <row r="12" spans="1:10">
      <c r="B12" s="2" t="s">
        <v>3</v>
      </c>
      <c r="C12" s="2" t="s">
        <v>23</v>
      </c>
      <c r="D12" s="5" t="s">
        <v>35</v>
      </c>
      <c r="E12" s="5" t="s">
        <v>120</v>
      </c>
    </row>
    <row r="13" spans="1:10">
      <c r="B13" s="27">
        <f>B11*G7</f>
        <v>9414.384</v>
      </c>
      <c r="C13" s="69">
        <f>E13/D13</f>
        <v>3.1381279999999998E-2</v>
      </c>
      <c r="D13" s="31">
        <v>2824315200</v>
      </c>
      <c r="E13" s="27">
        <f>IFERROR((B13^2),0)</f>
        <v>88630626.099455997</v>
      </c>
      <c r="G13"/>
    </row>
    <row r="14" spans="1:10">
      <c r="A14"/>
      <c r="B14"/>
      <c r="C14"/>
      <c r="D14"/>
      <c r="E14"/>
      <c r="G14"/>
    </row>
    <row r="15" spans="1:10">
      <c r="B15" s="76" t="s">
        <v>115</v>
      </c>
      <c r="C15" s="76"/>
      <c r="G15"/>
    </row>
    <row r="16" spans="1:10">
      <c r="B16" s="5" t="s">
        <v>231</v>
      </c>
      <c r="C16" s="5" t="s">
        <v>118</v>
      </c>
      <c r="D16" s="5" t="s">
        <v>232</v>
      </c>
      <c r="G16"/>
    </row>
    <row r="17" spans="1:8">
      <c r="B17" s="29">
        <v>1</v>
      </c>
      <c r="C17" s="29">
        <v>0</v>
      </c>
      <c r="D17" s="28">
        <f>C11/(B17*G7)</f>
        <v>3.0126028799999999E-2</v>
      </c>
      <c r="G17"/>
    </row>
    <row r="18" spans="1:8">
      <c r="G18"/>
      <c r="H18"/>
    </row>
    <row r="19" spans="1:8">
      <c r="G19"/>
      <c r="H19"/>
    </row>
    <row r="20" spans="1:8" ht="18" thickBot="1">
      <c r="A20" s="56" t="s">
        <v>112</v>
      </c>
    </row>
    <row r="21" spans="1:8" ht="16.5" thickTop="1">
      <c r="B21" s="5" t="s">
        <v>35</v>
      </c>
      <c r="C21" s="5" t="s">
        <v>226</v>
      </c>
      <c r="D21" s="5" t="s">
        <v>113</v>
      </c>
    </row>
    <row r="22" spans="1:8">
      <c r="B22" s="36">
        <v>1000000000</v>
      </c>
      <c r="C22" s="63">
        <f>(B22/G4/1000)</f>
        <v>3.3356409519815205E-3</v>
      </c>
      <c r="D22" s="59">
        <f>B22/1000</f>
        <v>1000000</v>
      </c>
    </row>
    <row r="25" spans="1:8" ht="18" thickBot="1">
      <c r="A25" s="56" t="s">
        <v>119</v>
      </c>
    </row>
    <row r="26" spans="1:8" ht="16.5" thickTop="1">
      <c r="B26" s="5" t="s">
        <v>233</v>
      </c>
      <c r="C26" s="2" t="s">
        <v>114</v>
      </c>
    </row>
    <row r="27" spans="1:8">
      <c r="B27" s="35">
        <f>B29/G7</f>
        <v>749335.32127174258</v>
      </c>
      <c r="C27" s="29">
        <v>3800</v>
      </c>
    </row>
    <row r="28" spans="1:8">
      <c r="B28" s="5" t="s">
        <v>3</v>
      </c>
      <c r="C28" s="5" t="s">
        <v>23</v>
      </c>
      <c r="D28" s="5" t="s">
        <v>35</v>
      </c>
      <c r="E28" s="5" t="s">
        <v>120</v>
      </c>
    </row>
    <row r="29" spans="1:8">
      <c r="B29" s="35">
        <f>(2*E29)^0.5</f>
        <v>7348469.2283495339</v>
      </c>
      <c r="C29" s="69">
        <f>IFERROR(C27*1000/B29,0)</f>
        <v>0.51711450125422653</v>
      </c>
      <c r="D29" s="35">
        <f>C27*1000*B29</f>
        <v>27924183067728.23</v>
      </c>
      <c r="E29" s="34">
        <v>27000000000000</v>
      </c>
    </row>
    <row r="30" spans="1:8">
      <c r="B30" s="5" t="s">
        <v>220</v>
      </c>
    </row>
    <row r="31" spans="1:8">
      <c r="B31" s="37">
        <f>B29/G4</f>
        <v>2.4511854892458749E-2</v>
      </c>
    </row>
    <row r="34" spans="1:9" ht="18" thickBot="1">
      <c r="A34" s="56" t="s">
        <v>133</v>
      </c>
    </row>
    <row r="35" spans="1:9" ht="16.5" thickTop="1">
      <c r="A35" s="65"/>
    </row>
    <row r="36" spans="1:9">
      <c r="B36" s="46" t="s">
        <v>132</v>
      </c>
      <c r="C36" s="42">
        <v>2130</v>
      </c>
      <c r="D36" s="38"/>
      <c r="E36" s="38"/>
      <c r="F36"/>
      <c r="G36"/>
    </row>
    <row r="37" spans="1:9">
      <c r="B37" s="46" t="s">
        <v>126</v>
      </c>
      <c r="C37" s="43">
        <v>8.3144621000000001</v>
      </c>
      <c r="D37" s="38"/>
      <c r="E37" s="38"/>
      <c r="F37"/>
      <c r="G37"/>
    </row>
    <row r="38" spans="1:9" ht="16.5" thickBot="1">
      <c r="B38" s="46" t="s">
        <v>131</v>
      </c>
      <c r="C38" s="16" t="s">
        <v>30</v>
      </c>
      <c r="D38" s="47">
        <f>IFERROR(VLOOKUP(C38,Database!$G$2:$J$59,4,FALSE),"-")</f>
        <v>2.02</v>
      </c>
      <c r="E38" s="48">
        <f>D38/1000</f>
        <v>2.0200000000000001E-3</v>
      </c>
      <c r="F38"/>
    </row>
    <row r="39" spans="1:9" ht="17.25" thickTop="1" thickBot="1">
      <c r="B39" s="46"/>
      <c r="C39" s="16" t="s">
        <v>79</v>
      </c>
      <c r="D39" s="47">
        <f>IFERROR(VLOOKUP(C39,Database!$G$2:$J$59,4,FALSE),"-")</f>
        <v>18.02</v>
      </c>
      <c r="E39" s="48">
        <f>D39/1000</f>
        <v>1.8020000000000001E-2</v>
      </c>
    </row>
    <row r="40" spans="1:9" ht="16.5" thickTop="1">
      <c r="B40" s="46" t="s">
        <v>223</v>
      </c>
      <c r="C40" s="17">
        <v>1.3979999999999999</v>
      </c>
      <c r="D40"/>
      <c r="E40" s="38"/>
    </row>
    <row r="41" spans="1:9" ht="16.5" thickBot="1">
      <c r="B41" s="46" t="s">
        <v>130</v>
      </c>
      <c r="C41" s="44">
        <v>0</v>
      </c>
      <c r="D41" s="64">
        <f>IFERROR(C41*101320,101.32)</f>
        <v>0</v>
      </c>
      <c r="E41" s="38"/>
    </row>
    <row r="42" spans="1:9" ht="17.25" thickTop="1" thickBot="1">
      <c r="B42" s="46" t="s">
        <v>129</v>
      </c>
      <c r="C42" s="44">
        <v>500</v>
      </c>
      <c r="D42" s="64">
        <f>C42*101320</f>
        <v>50660000</v>
      </c>
      <c r="E42" s="38"/>
    </row>
    <row r="43" spans="1:9" ht="16.5" thickTop="1">
      <c r="B43" s="46"/>
      <c r="C43" s="38"/>
      <c r="D43" s="38"/>
      <c r="E43" s="38"/>
    </row>
    <row r="44" spans="1:9">
      <c r="B44" s="46" t="s">
        <v>128</v>
      </c>
      <c r="C44" s="45">
        <f>(C36*C37)/E38</f>
        <v>8767229.8381188121</v>
      </c>
      <c r="D44" s="38"/>
      <c r="E44" s="45">
        <f>(C36*C37)/E39</f>
        <v>982786.03068812436</v>
      </c>
    </row>
    <row r="45" spans="1:9">
      <c r="B45" s="46" t="s">
        <v>224</v>
      </c>
      <c r="C45" s="45">
        <f>(2*C40)/(C40-1)</f>
        <v>7.0251256281407048</v>
      </c>
      <c r="D45" s="38"/>
      <c r="E45"/>
      <c r="H45" s="49"/>
      <c r="I45" s="49"/>
    </row>
    <row r="46" spans="1:9">
      <c r="B46" s="46" t="s">
        <v>229</v>
      </c>
      <c r="C46" s="45">
        <f>(C40-1)/C40</f>
        <v>0.284692417739628</v>
      </c>
      <c r="D46" s="38"/>
      <c r="E46"/>
      <c r="H46" s="49"/>
      <c r="I46" s="49"/>
    </row>
    <row r="47" spans="1:9">
      <c r="B47" s="46" t="s">
        <v>127</v>
      </c>
      <c r="C47" s="45">
        <f>1-((D41/D42)^C46)</f>
        <v>1</v>
      </c>
      <c r="D47" s="38"/>
      <c r="E47"/>
    </row>
    <row r="48" spans="1:9" customFormat="1" ht="12.75"/>
    <row r="49" spans="1:7" ht="16.5" thickBot="1">
      <c r="B49" s="46"/>
      <c r="C49" s="22" t="str">
        <f>C38</f>
        <v>LqdHydrogen</v>
      </c>
      <c r="D49" s="38"/>
      <c r="E49" s="22" t="str">
        <f>C39</f>
        <v>Water (CRP)</v>
      </c>
    </row>
    <row r="50" spans="1:7" ht="16.5" thickTop="1">
      <c r="B50" s="46" t="s">
        <v>3</v>
      </c>
      <c r="C50" s="60">
        <f>(C44*C45*C47)^0.5</f>
        <v>7847.9864311534302</v>
      </c>
      <c r="D50" s="38"/>
      <c r="E50" s="60">
        <f>(E44*C45*C47)^0.5</f>
        <v>2627.5835536031618</v>
      </c>
      <c r="G50" s="50"/>
    </row>
    <row r="51" spans="1:7">
      <c r="B51" s="46" t="s">
        <v>213</v>
      </c>
      <c r="C51" s="60">
        <f>C50/9.80655</f>
        <v>800.28006089332439</v>
      </c>
      <c r="D51" s="38"/>
      <c r="E51" s="60">
        <f>E50/9.80655</f>
        <v>267.94168730115706</v>
      </c>
    </row>
    <row r="53" spans="1:7">
      <c r="E53" s="49"/>
      <c r="F53" s="49"/>
    </row>
    <row r="54" spans="1:7">
      <c r="E54" s="49"/>
    </row>
    <row r="55" spans="1:7" ht="18" thickBot="1">
      <c r="A55" s="56" t="s">
        <v>215</v>
      </c>
    </row>
    <row r="56" spans="1:7" ht="16.5" thickTop="1"/>
    <row r="57" spans="1:7">
      <c r="C57" s="5" t="s">
        <v>213</v>
      </c>
      <c r="D57" s="5" t="s">
        <v>226</v>
      </c>
      <c r="E57" s="5" t="s">
        <v>219</v>
      </c>
    </row>
    <row r="58" spans="1:7">
      <c r="D58" s="54">
        <v>60</v>
      </c>
      <c r="E58" s="66">
        <v>0.75</v>
      </c>
    </row>
    <row r="60" spans="1:7">
      <c r="B60" s="5" t="s">
        <v>230</v>
      </c>
      <c r="E60" s="5" t="s">
        <v>218</v>
      </c>
    </row>
    <row r="61" spans="1:7" ht="16.5" thickBot="1">
      <c r="B61" s="52" t="s">
        <v>214</v>
      </c>
      <c r="C61" s="68">
        <v>800</v>
      </c>
      <c r="D61" s="67">
        <f>D58</f>
        <v>60</v>
      </c>
      <c r="E61" s="55">
        <f t="shared" ref="E61:E67" si="0">($C$61/C61)^$E$58</f>
        <v>1</v>
      </c>
    </row>
    <row r="62" spans="1:7" ht="16.5" thickTop="1">
      <c r="B62" s="52" t="s">
        <v>181</v>
      </c>
      <c r="C62" s="68">
        <v>606</v>
      </c>
      <c r="D62" s="61">
        <f t="shared" ref="D62:D67" si="1">$D$58*(($C$61/C62)^$E$58)</f>
        <v>73.894867118770051</v>
      </c>
      <c r="E62" s="55">
        <f t="shared" si="0"/>
        <v>1.2315811186461676</v>
      </c>
    </row>
    <row r="63" spans="1:7">
      <c r="B63" s="52" t="s">
        <v>139</v>
      </c>
      <c r="C63" s="68">
        <v>400</v>
      </c>
      <c r="D63" s="61">
        <f t="shared" si="1"/>
        <v>100.90756983044574</v>
      </c>
      <c r="E63" s="55">
        <f t="shared" si="0"/>
        <v>1.681792830507429</v>
      </c>
    </row>
    <row r="64" spans="1:7">
      <c r="B64" s="52" t="s">
        <v>183</v>
      </c>
      <c r="C64" s="68">
        <v>253</v>
      </c>
      <c r="D64" s="61">
        <f t="shared" si="1"/>
        <v>142.27491989040757</v>
      </c>
      <c r="E64" s="55">
        <f t="shared" si="0"/>
        <v>2.3712486648401261</v>
      </c>
    </row>
    <row r="65" spans="2:5">
      <c r="B65" s="51" t="s">
        <v>209</v>
      </c>
      <c r="C65" s="68">
        <v>370</v>
      </c>
      <c r="D65" s="61">
        <f t="shared" si="1"/>
        <v>106.98365906113423</v>
      </c>
      <c r="E65" s="55">
        <f t="shared" si="0"/>
        <v>1.7830609843522371</v>
      </c>
    </row>
    <row r="66" spans="2:5">
      <c r="B66" s="51" t="s">
        <v>144</v>
      </c>
      <c r="C66" s="68">
        <v>283</v>
      </c>
      <c r="D66" s="61">
        <f t="shared" si="1"/>
        <v>130.80637609525397</v>
      </c>
      <c r="E66" s="55">
        <f t="shared" si="0"/>
        <v>2.1801062682542329</v>
      </c>
    </row>
    <row r="67" spans="2:5">
      <c r="B67" s="51" t="s">
        <v>146</v>
      </c>
      <c r="C67" s="68">
        <v>253</v>
      </c>
      <c r="D67" s="61">
        <f t="shared" si="1"/>
        <v>142.27491989040757</v>
      </c>
      <c r="E67" s="55">
        <f t="shared" si="0"/>
        <v>2.3712486648401261</v>
      </c>
    </row>
    <row r="68" spans="2:5">
      <c r="C68" s="68"/>
      <c r="D68" s="49"/>
      <c r="E68" s="53"/>
    </row>
    <row r="69" spans="2:5">
      <c r="B69" s="5" t="s">
        <v>106</v>
      </c>
      <c r="C69" s="68"/>
      <c r="D69" s="49"/>
      <c r="E69" s="53"/>
    </row>
    <row r="70" spans="2:5" ht="16.5" thickBot="1">
      <c r="B70" s="52" t="s">
        <v>54</v>
      </c>
      <c r="C70" s="68">
        <v>800</v>
      </c>
      <c r="D70" s="67">
        <f>D58</f>
        <v>60</v>
      </c>
      <c r="E70" s="55">
        <f>($C$61/C70)^$E$58</f>
        <v>1</v>
      </c>
    </row>
    <row r="71" spans="2:5" ht="16.5" thickTop="1">
      <c r="B71" s="52" t="s">
        <v>55</v>
      </c>
      <c r="C71" s="68">
        <v>606</v>
      </c>
      <c r="D71" s="61">
        <f>$D$58*(($C$70/C71)^$E$58)</f>
        <v>73.894867118770051</v>
      </c>
      <c r="E71" s="55">
        <f>($C$70/C71)^$E$58</f>
        <v>1.2315811186461676</v>
      </c>
    </row>
    <row r="72" spans="2:5">
      <c r="B72" s="52" t="s">
        <v>217</v>
      </c>
      <c r="C72" s="68">
        <v>253</v>
      </c>
      <c r="D72" s="61">
        <f>$D$58*(($C$70/C72)^$E$58)</f>
        <v>142.27491989040757</v>
      </c>
      <c r="E72" s="55">
        <f>($C$70/C72)^$E$58</f>
        <v>2.3712486648401261</v>
      </c>
    </row>
    <row r="73" spans="2:5">
      <c r="B73" s="51" t="s">
        <v>216</v>
      </c>
      <c r="C73" s="68">
        <v>370</v>
      </c>
      <c r="D73" s="61">
        <f>$D$58*(($C$70/C73)^$E$58)</f>
        <v>106.98365906113423</v>
      </c>
      <c r="E73" s="55">
        <f>($C$70/C73)^$E$58</f>
        <v>1.7830609843522371</v>
      </c>
    </row>
    <row r="74" spans="2:5">
      <c r="B74" s="51" t="s">
        <v>221</v>
      </c>
      <c r="C74" s="68">
        <v>283</v>
      </c>
      <c r="D74" s="61">
        <f>$D$58*(($C$70/C74)^$E$58)</f>
        <v>130.80637609525397</v>
      </c>
      <c r="E74" s="55">
        <f>($C$70/C74)^$E$58</f>
        <v>2.1801062682542329</v>
      </c>
    </row>
    <row r="75" spans="2:5">
      <c r="B75" s="51" t="s">
        <v>53</v>
      </c>
      <c r="C75" s="68">
        <v>253</v>
      </c>
      <c r="D75" s="61">
        <f>$D$58*(($C$70/C75)^$E$58)</f>
        <v>142.27491989040757</v>
      </c>
      <c r="E75" s="55">
        <f>($C$70/C75)^$E$58</f>
        <v>2.3712486648401261</v>
      </c>
    </row>
    <row r="81" spans="1:3" ht="18" thickBot="1">
      <c r="A81" s="56" t="s">
        <v>239</v>
      </c>
    </row>
    <row r="82" spans="1:3" ht="16.5" thickTop="1">
      <c r="B82" t="s">
        <v>235</v>
      </c>
      <c r="C82" s="70">
        <v>4000</v>
      </c>
    </row>
    <row r="83" spans="1:3">
      <c r="B83" t="s">
        <v>237</v>
      </c>
      <c r="C83" s="42">
        <v>1600</v>
      </c>
    </row>
    <row r="84" spans="1:3">
      <c r="B84" t="s">
        <v>236</v>
      </c>
      <c r="C84" s="42">
        <v>1000</v>
      </c>
    </row>
    <row r="85" spans="1:3">
      <c r="B85" t="s">
        <v>234</v>
      </c>
      <c r="C85" s="71">
        <f>C82*(1-(C84/C83))</f>
        <v>1500</v>
      </c>
    </row>
    <row r="86" spans="1:3">
      <c r="B86" t="s">
        <v>238</v>
      </c>
      <c r="C86" s="45">
        <f>C83/C84</f>
        <v>1.6</v>
      </c>
    </row>
  </sheetData>
  <mergeCells count="2">
    <mergeCell ref="B15:C15"/>
    <mergeCell ref="A1:E1"/>
  </mergeCell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Database!$G$2:$G$59</xm:f>
          </x14:formula1>
          <xm:sqref>C38:C39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Engine Config Calc</vt:lpstr>
      <vt:lpstr>Database</vt:lpstr>
      <vt:lpstr>Samples</vt:lpstr>
      <vt:lpstr>Energy calcs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2017-11-07T05:21:15Z</dcterms:created>
  <dcterms:modified xsi:type="dcterms:W3CDTF">2023-06-14T13:04:45Z</dcterms:modified>
</cp:coreProperties>
</file>