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7440" yWindow="0" windowWidth="17700" windowHeight="10485" activeTab="2"/>
  </bookViews>
  <sheets>
    <sheet name="molar Mass" sheetId="1" r:id="rId1"/>
    <sheet name="Surface" sheetId="2" r:id="rId2"/>
    <sheet name="Ocean" sheetId="3" r:id="rId3"/>
    <sheet name="Atmo" sheetId="4" r:id="rId4"/>
    <sheet name="Exo Band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4" l="1"/>
  <c r="D21" i="4"/>
  <c r="E21" i="4"/>
  <c r="F21" i="4"/>
  <c r="G21" i="4"/>
  <c r="H21" i="4"/>
  <c r="I21" i="4"/>
  <c r="J21" i="4"/>
  <c r="K21" i="4"/>
  <c r="L21" i="4"/>
  <c r="M21" i="4"/>
  <c r="N21" i="4"/>
  <c r="O21" i="4"/>
  <c r="Q21" i="4"/>
  <c r="B21" i="4"/>
  <c r="C3" i="4"/>
  <c r="D3" i="4"/>
  <c r="E3" i="4"/>
  <c r="F3" i="4"/>
  <c r="G3" i="4"/>
  <c r="H3" i="4"/>
  <c r="I3" i="4"/>
  <c r="J3" i="4"/>
  <c r="K3" i="4"/>
  <c r="L3" i="4"/>
  <c r="M3" i="4"/>
  <c r="N3" i="4"/>
  <c r="O3" i="4"/>
  <c r="Q3" i="4"/>
  <c r="B3" i="4"/>
  <c r="C13" i="3"/>
  <c r="D13" i="3"/>
  <c r="E13" i="3"/>
  <c r="H13" i="3"/>
  <c r="B13" i="3"/>
  <c r="C3" i="3"/>
  <c r="D3" i="3"/>
  <c r="E3" i="3"/>
  <c r="F3" i="3"/>
  <c r="H3" i="3"/>
  <c r="B3" i="3"/>
  <c r="C3" i="2"/>
  <c r="D3" i="2"/>
  <c r="E3" i="2"/>
  <c r="F3" i="2"/>
  <c r="G3" i="2"/>
  <c r="H3" i="2"/>
  <c r="J3" i="2"/>
  <c r="K3" i="2"/>
  <c r="L3" i="2"/>
  <c r="M3" i="2"/>
  <c r="B3" i="2"/>
  <c r="C27" i="2"/>
  <c r="D27" i="2"/>
  <c r="E27" i="2"/>
  <c r="F27" i="2"/>
  <c r="G27" i="2"/>
  <c r="H27" i="2"/>
  <c r="J27" i="2"/>
  <c r="K27" i="2"/>
  <c r="L27" i="2"/>
  <c r="M27" i="2"/>
  <c r="B27" i="2"/>
  <c r="E23" i="5" l="1"/>
  <c r="H23" i="5"/>
  <c r="I23" i="5"/>
  <c r="J23" i="5"/>
  <c r="N23" i="5"/>
  <c r="P23" i="5" s="1"/>
  <c r="N3" i="5"/>
  <c r="O3" i="5" s="1"/>
  <c r="Q3" i="5" s="1"/>
  <c r="N4" i="5"/>
  <c r="O4" i="5"/>
  <c r="P4" i="5"/>
  <c r="Q4" i="5"/>
  <c r="N5" i="5"/>
  <c r="O5" i="5" s="1"/>
  <c r="Q5" i="5" s="1"/>
  <c r="N6" i="5"/>
  <c r="O6" i="5"/>
  <c r="P6" i="5"/>
  <c r="Q6" i="5"/>
  <c r="N7" i="5"/>
  <c r="O7" i="5" s="1"/>
  <c r="Q7" i="5" s="1"/>
  <c r="N8" i="5"/>
  <c r="O8" i="5"/>
  <c r="P8" i="5"/>
  <c r="Q8" i="5"/>
  <c r="N9" i="5"/>
  <c r="O9" i="5" s="1"/>
  <c r="Q9" i="5" s="1"/>
  <c r="N10" i="5"/>
  <c r="O10" i="5"/>
  <c r="P10" i="5"/>
  <c r="Q10" i="5"/>
  <c r="N11" i="5"/>
  <c r="O11" i="5" s="1"/>
  <c r="Q11" i="5" s="1"/>
  <c r="N12" i="5"/>
  <c r="O12" i="5"/>
  <c r="P12" i="5"/>
  <c r="Q12" i="5"/>
  <c r="N13" i="5"/>
  <c r="O13" i="5" s="1"/>
  <c r="Q13" i="5" s="1"/>
  <c r="N14" i="5"/>
  <c r="O14" i="5"/>
  <c r="P14" i="5"/>
  <c r="Q14" i="5"/>
  <c r="N15" i="5"/>
  <c r="O15" i="5" s="1"/>
  <c r="Q15" i="5" s="1"/>
  <c r="N16" i="5"/>
  <c r="O16" i="5"/>
  <c r="P16" i="5"/>
  <c r="Q16" i="5"/>
  <c r="N17" i="5"/>
  <c r="O17" i="5" s="1"/>
  <c r="Q17" i="5" s="1"/>
  <c r="N18" i="5"/>
  <c r="O18" i="5"/>
  <c r="P18" i="5"/>
  <c r="Q18" i="5"/>
  <c r="N19" i="5"/>
  <c r="O19" i="5" s="1"/>
  <c r="Q19" i="5" s="1"/>
  <c r="N20" i="5"/>
  <c r="O20" i="5"/>
  <c r="P20" i="5"/>
  <c r="Q20" i="5"/>
  <c r="N21" i="5"/>
  <c r="O21" i="5" s="1"/>
  <c r="Q21" i="5" s="1"/>
  <c r="N22" i="5"/>
  <c r="O22" i="5"/>
  <c r="P22" i="5"/>
  <c r="Q22" i="5"/>
  <c r="N24" i="5"/>
  <c r="O24" i="5" s="1"/>
  <c r="Q24" i="5" s="1"/>
  <c r="N25" i="5"/>
  <c r="O25" i="5"/>
  <c r="P25" i="5"/>
  <c r="Q25" i="5"/>
  <c r="N26" i="5"/>
  <c r="O26" i="5" s="1"/>
  <c r="Q26" i="5" s="1"/>
  <c r="N27" i="5"/>
  <c r="O27" i="5"/>
  <c r="P27" i="5"/>
  <c r="Q27" i="5"/>
  <c r="N28" i="5"/>
  <c r="O28" i="5" s="1"/>
  <c r="Q28" i="5" s="1"/>
  <c r="N29" i="5"/>
  <c r="O29" i="5"/>
  <c r="P29" i="5"/>
  <c r="Q29" i="5"/>
  <c r="N30" i="5"/>
  <c r="O30" i="5" s="1"/>
  <c r="Q30" i="5" s="1"/>
  <c r="N31" i="5"/>
  <c r="O31" i="5"/>
  <c r="P31" i="5"/>
  <c r="Q31" i="5"/>
  <c r="N32" i="5"/>
  <c r="O32" i="5" s="1"/>
  <c r="Q32" i="5" s="1"/>
  <c r="N33" i="5"/>
  <c r="O33" i="5"/>
  <c r="P33" i="5"/>
  <c r="Q33" i="5"/>
  <c r="Q2" i="5"/>
  <c r="P2" i="5"/>
  <c r="O2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1" i="5"/>
  <c r="H32" i="5"/>
  <c r="H33" i="5"/>
  <c r="H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" i="5"/>
  <c r="O23" i="5" l="1"/>
  <c r="Q23" i="5" s="1"/>
  <c r="P32" i="5"/>
  <c r="P30" i="5"/>
  <c r="P28" i="5"/>
  <c r="P26" i="5"/>
  <c r="P24" i="5"/>
  <c r="P21" i="5"/>
  <c r="P19" i="5"/>
  <c r="P17" i="5"/>
  <c r="P15" i="5"/>
  <c r="P13" i="5"/>
  <c r="P11" i="5"/>
  <c r="P9" i="5"/>
  <c r="P7" i="5"/>
  <c r="P5" i="5"/>
  <c r="P3" i="5"/>
  <c r="F22" i="1"/>
  <c r="E22" i="1"/>
  <c r="D30" i="1"/>
  <c r="F30" i="1" s="1"/>
  <c r="E30" i="1"/>
  <c r="E23" i="1"/>
  <c r="E31" i="1"/>
  <c r="F31" i="1"/>
  <c r="F23" i="1"/>
  <c r="E2" i="1" l="1"/>
  <c r="E24" i="1" l="1"/>
  <c r="F24" i="1" s="1"/>
  <c r="E32" i="1"/>
  <c r="F32" i="1" s="1"/>
  <c r="F2" i="1"/>
  <c r="D34" i="1"/>
  <c r="D28" i="1"/>
  <c r="D27" i="1"/>
  <c r="D20" i="1"/>
  <c r="D19" i="1"/>
  <c r="D18" i="1"/>
  <c r="D4" i="1"/>
  <c r="D10" i="1"/>
  <c r="D11" i="1"/>
  <c r="D12" i="1"/>
  <c r="D14" i="1"/>
  <c r="D16" i="1"/>
  <c r="D25" i="1"/>
  <c r="E35" i="1"/>
  <c r="D33" i="1"/>
  <c r="E28" i="1"/>
  <c r="E33" i="1"/>
  <c r="E29" i="1"/>
  <c r="E34" i="1"/>
  <c r="E27" i="1"/>
  <c r="E25" i="1"/>
  <c r="D29" i="1"/>
  <c r="D26" i="1"/>
  <c r="E4" i="1"/>
  <c r="E20" i="1"/>
  <c r="E19" i="1"/>
  <c r="E9" i="1"/>
  <c r="E18" i="1"/>
  <c r="E16" i="1"/>
  <c r="E15" i="1"/>
  <c r="E17" i="1"/>
  <c r="D17" i="1"/>
  <c r="D15" i="1"/>
  <c r="E26" i="1"/>
  <c r="E14" i="1"/>
  <c r="E6" i="1"/>
  <c r="E5" i="1"/>
  <c r="E12" i="1"/>
  <c r="E11" i="1"/>
  <c r="E10" i="1"/>
  <c r="D6" i="1"/>
  <c r="D5" i="1"/>
  <c r="F29" i="1" l="1"/>
  <c r="F6" i="1"/>
  <c r="F15" i="1"/>
  <c r="F17" i="1"/>
  <c r="F5" i="1"/>
  <c r="F26" i="1"/>
  <c r="F33" i="1"/>
  <c r="F25" i="1"/>
  <c r="F16" i="1"/>
  <c r="F14" i="1"/>
  <c r="F12" i="1"/>
  <c r="F11" i="1"/>
  <c r="F10" i="1"/>
  <c r="F4" i="1"/>
  <c r="F18" i="1"/>
  <c r="F19" i="1"/>
  <c r="F20" i="1"/>
  <c r="F27" i="1"/>
  <c r="F28" i="1"/>
  <c r="F34" i="1"/>
  <c r="E3" i="1"/>
  <c r="E7" i="1"/>
  <c r="E8" i="1"/>
  <c r="D9" i="1" l="1"/>
  <c r="F9" i="1" s="1"/>
  <c r="D8" i="1"/>
  <c r="F8" i="1" s="1"/>
  <c r="D7" i="1"/>
  <c r="F7" i="1" s="1"/>
  <c r="D3" i="1"/>
  <c r="F3" i="1" s="1"/>
</calcChain>
</file>

<file path=xl/comments1.xml><?xml version="1.0" encoding="utf-8"?>
<comments xmlns="http://schemas.openxmlformats.org/spreadsheetml/2006/main">
  <authors>
    <author>Jadon Wade</author>
  </authors>
  <commentList>
    <comment ref="A15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Nuclear salt water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<sst xmlns="http://schemas.openxmlformats.org/spreadsheetml/2006/main" count="231" uniqueCount="154">
  <si>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</si>
  <si>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</si>
  <si>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</si>
  <si>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</si>
  <si>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</si>
  <si>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</si>
  <si>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</si>
  <si>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</si>
  <si>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</si>
  <si>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</si>
  <si>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</si>
  <si>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</si>
  <si>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</si>
  <si>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</si>
  <si>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</si>
  <si>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</si>
  <si>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gH2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</si>
  <si>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</si>
  <si>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</si>
  <si>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</si>
  <si>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</si>
  <si>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</si>
  <si>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</si>
  <si>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</si>
  <si>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</si>
  <si>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</si>
  <si>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LH2</t>
  </si>
  <si>
    <t>LqdCO2</t>
  </si>
  <si>
    <t>LqdMethane</t>
  </si>
  <si>
    <t>LqdAmmonia</t>
  </si>
  <si>
    <t>LOX</t>
  </si>
  <si>
    <t>LN2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</si>
  <si>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</si>
  <si>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</si>
  <si>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</si>
  <si>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</si>
  <si>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</si>
  <si>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</si>
  <si>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</si>
  <si>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</si>
  <si>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</si>
  <si>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</si>
  <si>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</si>
  <si>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</si>
  <si>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</si>
  <si>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</si>
  <si>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</si>
  <si>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</si>
  <si>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</si>
  <si>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</si>
  <si>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</si>
  <si>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</si>
  <si>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</si>
  <si>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</si>
  <si>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</si>
  <si>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</si>
  <si>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Metals</t>
  </si>
  <si>
    <t>Aluminium</t>
  </si>
  <si>
    <t>Al</t>
  </si>
  <si>
    <t>Class</t>
  </si>
  <si>
    <t>Rock</t>
  </si>
  <si>
    <t>Silica</t>
  </si>
  <si>
    <t>Rock-Metal</t>
  </si>
  <si>
    <t>Rock-Ice</t>
  </si>
  <si>
    <t>Ice-Water</t>
  </si>
  <si>
    <t>Ice-Methane</t>
  </si>
  <si>
    <t>Ice-Nitrogen</t>
  </si>
  <si>
    <t>Eve</t>
  </si>
  <si>
    <t>Mun</t>
  </si>
  <si>
    <t>Minmus</t>
  </si>
  <si>
    <t>Duna</t>
  </si>
  <si>
    <t>Total</t>
  </si>
  <si>
    <t>CarbonDioxide</t>
  </si>
  <si>
    <t>Nitrogen</t>
  </si>
  <si>
    <t>Ore</t>
  </si>
  <si>
    <t>Oxygen</t>
  </si>
  <si>
    <t>Uraninite</t>
  </si>
  <si>
    <t>x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</si>
  <si>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</si>
  <si>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</si>
  <si>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</si>
  <si>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</si>
  <si>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</si>
  <si>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</si>
  <si>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</si>
  <si>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</si>
  <si>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</si>
  <si>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</si>
  <si>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Terra</t>
  </si>
  <si>
    <t>Explodium</t>
  </si>
  <si>
    <t>Default</t>
  </si>
  <si>
    <t>Ice-Ammonia</t>
  </si>
  <si>
    <t>Gas (Jovian)</t>
  </si>
  <si>
    <t>Gas (Uranian)</t>
  </si>
  <si>
    <t>Star Pop 1</t>
  </si>
  <si>
    <t>Star Pop 2</t>
  </si>
  <si>
    <t>Star Pop 3</t>
  </si>
  <si>
    <t>Neidon</t>
  </si>
  <si>
    <t>Antimatter</t>
  </si>
  <si>
    <t>Deuterium</t>
  </si>
  <si>
    <t>Helium</t>
  </si>
  <si>
    <t>Hydrogen</t>
  </si>
  <si>
    <t>Karborundum</t>
  </si>
  <si>
    <t>Graviolium</t>
  </si>
  <si>
    <t>Propellium</t>
  </si>
  <si>
    <t>Celestial Body</t>
  </si>
  <si>
    <t>Radius (km)</t>
  </si>
  <si>
    <t>Atmo (km)</t>
  </si>
  <si>
    <t>SOI (km)</t>
  </si>
  <si>
    <t>ALTs to SOI edge</t>
  </si>
  <si>
    <t>ALT (x)</t>
  </si>
  <si>
    <t>ALT (y)</t>
  </si>
  <si>
    <t>band center min SMA (km)</t>
  </si>
  <si>
    <t>band center max SMA (km)</t>
  </si>
  <si>
    <t>min SMA Suborbital?</t>
  </si>
  <si>
    <t>SMA (km)</t>
  </si>
  <si>
    <t>Range (x)</t>
  </si>
  <si>
    <t>Range (y)</t>
  </si>
  <si>
    <t>Min band width (km)</t>
  </si>
  <si>
    <t>Max band width (km)</t>
  </si>
  <si>
    <t>max band edge suborbital?</t>
  </si>
  <si>
    <t>Sun</t>
  </si>
  <si>
    <t>Moho</t>
  </si>
  <si>
    <t>Gilly</t>
  </si>
  <si>
    <t>Kerbin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</si>
  <si>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</si>
  <si>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</si>
  <si>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</si>
  <si>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</si>
  <si>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</si>
  <si>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</si>
  <si>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</si>
  <si>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</si>
  <si>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</si>
  <si>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</si>
  <si>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</si>
  <si>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</si>
  <si>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</si>
  <si>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Riga</t>
  </si>
  <si>
    <t>Talos</t>
  </si>
  <si>
    <t>Hamek</t>
  </si>
  <si>
    <t>Eeloo</t>
  </si>
  <si>
    <t>Celes</t>
  </si>
  <si>
    <t>Tam</t>
  </si>
  <si>
    <t>Nara</t>
  </si>
  <si>
    <t>Amos</t>
  </si>
  <si>
    <t>Enon</t>
  </si>
  <si>
    <t>Prax</t>
  </si>
  <si>
    <t>Huygen</t>
  </si>
  <si>
    <t>Lava</t>
  </si>
  <si>
    <t>Gas (Class2)</t>
  </si>
  <si>
    <t>Gas (Class3)</t>
  </si>
  <si>
    <t>Ice-Water (Thin)</t>
  </si>
  <si>
    <t>Ice-Water (Thick)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</si>
</sst>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00"/>
    <numFmt numFmtId="169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BF900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4" borderId="1" applyNumberFormat="0" applyAlignment="0" applyProtection="0"/>
    <xf numFmtId="0" fontId="7" fillId="5" borderId="1" applyNumberFormat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6" borderId="2" xfId="0" applyFont="1" applyFill="1" applyBorder="1" applyAlignment="1">
      <alignment horizontal="left" wrapText="1"/>
    </xf>
    <xf numFmtId="0" fontId="11" fillId="7" borderId="0" xfId="0" applyFont="1" applyFill="1" applyAlignment="1">
      <alignment horizontal="left" vertical="center" wrapText="1"/>
    </xf>
    <xf numFmtId="3" fontId="11" fillId="7" borderId="0" xfId="0" applyNumberFormat="1" applyFont="1" applyFill="1" applyAlignment="1">
      <alignment horizontal="right" wrapText="1"/>
    </xf>
    <xf numFmtId="0" fontId="11" fillId="7" borderId="0" xfId="0" applyFont="1" applyFill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left" wrapText="1"/>
    </xf>
    <xf numFmtId="3" fontId="11" fillId="0" borderId="0" xfId="0" applyNumberFormat="1" applyFont="1" applyAlignment="1">
      <alignment horizontal="right" wrapText="1"/>
    </xf>
    <xf numFmtId="3" fontId="13" fillId="0" borderId="0" xfId="0" applyNumberFormat="1" applyFont="1" applyAlignment="1">
      <alignment horizontal="right" wrapText="1"/>
    </xf>
    <xf numFmtId="0" fontId="6" fillId="4" borderId="1" xfId="2" applyAlignment="1">
      <alignment horizontal="left" wrapText="1"/>
    </xf>
    <xf numFmtId="0" fontId="6" fillId="4" borderId="1" xfId="2"/>
    <xf numFmtId="0" fontId="7" fillId="5" borderId="1" xfId="3" applyAlignment="1">
      <alignment horizontal="left" wrapText="1"/>
    </xf>
    <xf numFmtId="0" fontId="7" fillId="5" borderId="1" xfId="3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0" borderId="0" xfId="0" applyFont="1"/>
    <xf numFmtId="0" fontId="12" fillId="4" borderId="1" xfId="2" applyFont="1" applyAlignment="1">
      <alignment horizontal="left" wrapText="1"/>
    </xf>
    <xf numFmtId="0" fontId="12" fillId="4" borderId="1" xfId="2" applyFont="1" applyAlignment="1">
      <alignment horizontal="right" wrapText="1"/>
    </xf>
    <xf numFmtId="0" fontId="15" fillId="5" borderId="1" xfId="3" applyFont="1" applyAlignment="1">
      <alignment horizontal="left" wrapText="1"/>
    </xf>
    <xf numFmtId="3" fontId="15" fillId="5" borderId="1" xfId="3" applyNumberFormat="1" applyFont="1" applyAlignment="1">
      <alignment horizontal="righ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43" fontId="15" fillId="5" borderId="1" xfId="1" applyFont="1" applyFill="1" applyBorder="1" applyAlignment="1">
      <alignment horizontal="right" wrapText="1"/>
    </xf>
    <xf numFmtId="169" fontId="15" fillId="5" borderId="1" xfId="1" applyNumberFormat="1" applyFont="1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16" fillId="0" borderId="0" xfId="0" applyFont="1"/>
    <xf numFmtId="0" fontId="16" fillId="10" borderId="0" xfId="0" applyFont="1" applyFill="1"/>
  </cellXfs>
  <cellStyles count="4">
    <cellStyle name="Calculation" xfId="3" builtinId="22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5" workbookViewId="0">
      <pane xSplit="1" topLeftCell="B1" activePane="topRight" state="frozen"/>
      <selection pane="topRight" activeCell="D25" sqref="D25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  <col min="8" max="8" width="12.25" bestFit="1" customWidth="1"/>
  </cols>
  <sheetData>
    <row r="1" spans="1:8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6</v>
      </c>
      <c r="B2" s="1" t="s">
        <v>7</v>
      </c>
      <c r="C2" s="1">
        <v>1</v>
      </c>
      <c r="D2" s="8">
        <v>170.34</v>
      </c>
      <c r="E2" s="4">
        <f>0.005*1000</f>
        <v>5</v>
      </c>
      <c r="F2" s="9">
        <f>C2*D2/(E2 * 1000)</f>
        <v>3.4068000000000001E-2</v>
      </c>
      <c r="G2" s="11"/>
      <c r="H2" s="10"/>
    </row>
    <row r="3" spans="1:8" x14ac:dyDescent="0.25">
      <c r="A3" s="18" t="s">
        <v>8</v>
      </c>
      <c r="B3" s="18" t="s">
        <v>9</v>
      </c>
      <c r="C3" s="18">
        <v>1</v>
      </c>
      <c r="D3" s="19">
        <f>16*2</f>
        <v>32</v>
      </c>
      <c r="E3" s="20">
        <f>0.005*1000</f>
        <v>5</v>
      </c>
      <c r="F3" s="21">
        <f>C3*D3/(E3 * 1000)</f>
        <v>6.4000000000000003E-3</v>
      </c>
      <c r="H3" s="10"/>
    </row>
    <row r="4" spans="1:8" x14ac:dyDescent="0.25">
      <c r="A4" s="1" t="s">
        <v>10</v>
      </c>
      <c r="B4" s="1" t="s">
        <v>11</v>
      </c>
      <c r="C4" s="1">
        <v>1</v>
      </c>
      <c r="D4" s="8">
        <f>(14.007*2)+(1.008*4)</f>
        <v>32.045999999999999</v>
      </c>
      <c r="E4" s="4">
        <f>0.004*1000</f>
        <v>4</v>
      </c>
      <c r="F4" s="9">
        <f t="shared" ref="F4:F34" si="0">C4*D4/(E4 * 1000)</f>
        <v>8.0114999999999995E-3</v>
      </c>
      <c r="H4" s="10"/>
    </row>
    <row r="5" spans="1:8" x14ac:dyDescent="0.25">
      <c r="A5" s="1" t="s">
        <v>12</v>
      </c>
      <c r="B5" s="1" t="s">
        <v>13</v>
      </c>
      <c r="C5" s="1">
        <v>1</v>
      </c>
      <c r="D5" s="8">
        <f>39.948*2</f>
        <v>79.896000000000001</v>
      </c>
      <c r="E5" s="4">
        <f>0.000001784*1000</f>
        <v>1.784E-3</v>
      </c>
      <c r="F5" s="9">
        <f t="shared" si="0"/>
        <v>44.784753363228702</v>
      </c>
    </row>
    <row r="6" spans="1:8" x14ac:dyDescent="0.25">
      <c r="A6" s="1" t="s">
        <v>14</v>
      </c>
      <c r="B6" s="1" t="s">
        <v>15</v>
      </c>
      <c r="C6" s="1">
        <v>1</v>
      </c>
      <c r="D6" s="8">
        <f>131.293*2</f>
        <v>262.58600000000001</v>
      </c>
      <c r="E6" s="4">
        <f>0.0001*1000</f>
        <v>0.1</v>
      </c>
      <c r="F6" s="9">
        <f t="shared" si="0"/>
        <v>2.6258600000000003</v>
      </c>
    </row>
    <row r="7" spans="1:8" x14ac:dyDescent="0.25">
      <c r="A7" s="6" t="s">
        <v>16</v>
      </c>
      <c r="B7" s="1" t="s">
        <v>17</v>
      </c>
      <c r="C7" s="1">
        <v>1</v>
      </c>
      <c r="D7" s="8">
        <f>1.008*2</f>
        <v>2.016</v>
      </c>
      <c r="E7" s="4">
        <f>0.0000000899*1000</f>
        <v>8.9900000000000003E-5</v>
      </c>
      <c r="F7" s="9">
        <f t="shared" si="0"/>
        <v>22.424916573971078</v>
      </c>
    </row>
    <row r="8" spans="1:8" x14ac:dyDescent="0.25">
      <c r="A8" s="6" t="s">
        <v>18</v>
      </c>
      <c r="B8" s="1" t="s">
        <v>18</v>
      </c>
      <c r="C8" s="1">
        <v>1</v>
      </c>
      <c r="D8" s="8">
        <f>12.011 + 16*2</f>
        <v>44.010999999999996</v>
      </c>
      <c r="E8" s="4">
        <f>0.000001951*1000</f>
        <v>1.951E-3</v>
      </c>
      <c r="F8" s="9">
        <f t="shared" si="0"/>
        <v>22.558175294720652</v>
      </c>
    </row>
    <row r="9" spans="1:8" x14ac:dyDescent="0.25">
      <c r="A9" s="6" t="s">
        <v>19</v>
      </c>
      <c r="B9" s="1" t="s">
        <v>20</v>
      </c>
      <c r="C9" s="1">
        <v>1</v>
      </c>
      <c r="D9" s="8">
        <f>12.02+4*1.008</f>
        <v>16.052</v>
      </c>
      <c r="E9" s="4">
        <f>0.000000717*1000</f>
        <v>7.1699999999999997E-4</v>
      </c>
      <c r="F9" s="9">
        <f t="shared" si="0"/>
        <v>22.387726638772666</v>
      </c>
    </row>
    <row r="10" spans="1:8" x14ac:dyDescent="0.25">
      <c r="A10" s="6" t="s">
        <v>21</v>
      </c>
      <c r="B10" s="1" t="s">
        <v>22</v>
      </c>
      <c r="C10" s="1">
        <v>1</v>
      </c>
      <c r="D10" s="8">
        <f>14.007+(1.008*3)</f>
        <v>17.030999999999999</v>
      </c>
      <c r="E10" s="4">
        <f>0.000000769*1000</f>
        <v>7.6899999999999994E-4</v>
      </c>
      <c r="F10" s="9">
        <f t="shared" si="0"/>
        <v>22.14694408322497</v>
      </c>
    </row>
    <row r="11" spans="1:8" x14ac:dyDescent="0.25">
      <c r="A11" s="6" t="s">
        <v>9</v>
      </c>
      <c r="B11" s="1" t="s">
        <v>9</v>
      </c>
      <c r="C11" s="1">
        <v>1</v>
      </c>
      <c r="D11" s="8">
        <f>16*2</f>
        <v>32</v>
      </c>
      <c r="E11" s="4">
        <f>0.00000141*1000</f>
        <v>1.41E-3</v>
      </c>
      <c r="F11" s="9">
        <f t="shared" si="0"/>
        <v>22.695035460992909</v>
      </c>
    </row>
    <row r="12" spans="1:8" x14ac:dyDescent="0.25">
      <c r="A12" s="6" t="s">
        <v>23</v>
      </c>
      <c r="B12" s="1" t="s">
        <v>23</v>
      </c>
      <c r="C12" s="1">
        <v>1</v>
      </c>
      <c r="D12" s="8">
        <f>14.007*2</f>
        <v>28.013999999999999</v>
      </c>
      <c r="E12" s="4">
        <f>0.000001251*1000</f>
        <v>1.2509999999999999E-3</v>
      </c>
      <c r="F12" s="9">
        <f t="shared" si="0"/>
        <v>22.393285371702639</v>
      </c>
    </row>
    <row r="13" spans="1:8" x14ac:dyDescent="0.25">
      <c r="D13" s="8"/>
      <c r="F13" s="9"/>
    </row>
    <row r="14" spans="1:8" x14ac:dyDescent="0.25">
      <c r="A14" s="1" t="s">
        <v>24</v>
      </c>
      <c r="B14" s="1" t="s">
        <v>25</v>
      </c>
      <c r="C14" s="1">
        <v>1</v>
      </c>
      <c r="D14" s="8">
        <f>(1.008*2)+16</f>
        <v>18.015999999999998</v>
      </c>
      <c r="E14" s="4">
        <f>0.0001*1000</f>
        <v>0.1</v>
      </c>
      <c r="F14" s="9">
        <f t="shared" si="0"/>
        <v>0.18015999999999999</v>
      </c>
      <c r="H14" s="12"/>
    </row>
    <row r="15" spans="1:8" x14ac:dyDescent="0.25">
      <c r="A15" s="7" t="s">
        <v>26</v>
      </c>
      <c r="B15" s="1" t="s">
        <v>17</v>
      </c>
      <c r="C15" s="1">
        <v>1</v>
      </c>
      <c r="D15" s="8">
        <f>1.008*2</f>
        <v>2.016</v>
      </c>
      <c r="E15" s="4">
        <f>0.00007085*1000</f>
        <v>7.0849999999999996E-2</v>
      </c>
      <c r="F15" s="9">
        <f t="shared" si="0"/>
        <v>2.8454481298517999E-2</v>
      </c>
      <c r="G15" s="11"/>
    </row>
    <row r="16" spans="1:8" x14ac:dyDescent="0.25">
      <c r="A16" s="7" t="s">
        <v>27</v>
      </c>
      <c r="B16" s="1" t="s">
        <v>18</v>
      </c>
      <c r="C16" s="1">
        <v>1</v>
      </c>
      <c r="D16" s="8">
        <f>12.011+(16*2)</f>
        <v>44.010999999999996</v>
      </c>
      <c r="E16" s="4">
        <f>0.00117325*1000</f>
        <v>1.1732500000000001</v>
      </c>
      <c r="F16" s="9">
        <f t="shared" si="0"/>
        <v>3.7512039207330053E-2</v>
      </c>
    </row>
    <row r="17" spans="1:6" x14ac:dyDescent="0.25">
      <c r="A17" s="7" t="s">
        <v>28</v>
      </c>
      <c r="B17" s="1" t="s">
        <v>20</v>
      </c>
      <c r="C17" s="1">
        <v>1</v>
      </c>
      <c r="D17" s="8">
        <f>12.02+4*1.008</f>
        <v>16.052</v>
      </c>
      <c r="E17" s="4">
        <f>0.00042561*1000</f>
        <v>0.42560999999999999</v>
      </c>
      <c r="F17" s="9">
        <f t="shared" si="0"/>
        <v>3.771527924625831E-2</v>
      </c>
    </row>
    <row r="18" spans="1:6" x14ac:dyDescent="0.25">
      <c r="A18" s="7" t="s">
        <v>29</v>
      </c>
      <c r="B18" s="1" t="s">
        <v>22</v>
      </c>
      <c r="C18" s="1">
        <v>1</v>
      </c>
      <c r="D18" s="8">
        <f>14.007+(1.008*3)</f>
        <v>17.030999999999999</v>
      </c>
      <c r="E18" s="4">
        <f>0.0007021*1000</f>
        <v>0.70209999999999995</v>
      </c>
      <c r="F18" s="9">
        <f t="shared" si="0"/>
        <v>2.4257228315054839E-2</v>
      </c>
    </row>
    <row r="19" spans="1:6" x14ac:dyDescent="0.25">
      <c r="A19" s="13" t="s">
        <v>30</v>
      </c>
      <c r="B19" s="14" t="s">
        <v>9</v>
      </c>
      <c r="C19" s="14">
        <v>1</v>
      </c>
      <c r="D19" s="15">
        <f>16*2</f>
        <v>32</v>
      </c>
      <c r="E19" s="16">
        <f>0.001141*1000</f>
        <v>1.141</v>
      </c>
      <c r="F19" s="17">
        <f t="shared" si="0"/>
        <v>2.8045574057843997E-2</v>
      </c>
    </row>
    <row r="20" spans="1:6" x14ac:dyDescent="0.25">
      <c r="A20" s="7" t="s">
        <v>31</v>
      </c>
      <c r="B20" s="1" t="s">
        <v>23</v>
      </c>
      <c r="C20" s="1">
        <v>1</v>
      </c>
      <c r="D20" s="8">
        <f>14.007*2</f>
        <v>28.013999999999999</v>
      </c>
      <c r="E20" s="4">
        <f>0.000824907*1000</f>
        <v>0.82490700000000006</v>
      </c>
      <c r="F20" s="9">
        <f t="shared" si="0"/>
        <v>3.3960191876175133E-2</v>
      </c>
    </row>
    <row r="21" spans="1:6" x14ac:dyDescent="0.25">
      <c r="A21" s="1"/>
      <c r="B21" s="1"/>
      <c r="C21" s="1"/>
      <c r="D21" s="8"/>
      <c r="E21" s="4"/>
      <c r="F21" s="9"/>
    </row>
    <row r="22" spans="1:6" x14ac:dyDescent="0.25">
      <c r="A22" s="1" t="s">
        <v>57</v>
      </c>
      <c r="B22" s="1" t="s">
        <v>58</v>
      </c>
      <c r="C22" s="1">
        <v>1</v>
      </c>
      <c r="D22" s="8">
        <v>26.98</v>
      </c>
      <c r="E22" s="4">
        <f>0.00277*1000</f>
        <v>2.77</v>
      </c>
      <c r="F22" s="9">
        <f t="shared" ref="F22:F23" si="1">C22*D22/(E22 * 1000)</f>
        <v>9.7400722021660658E-3</v>
      </c>
    </row>
    <row r="23" spans="1:6" x14ac:dyDescent="0.25">
      <c r="A23" s="1" t="s">
        <v>45</v>
      </c>
      <c r="B23" s="1" t="s">
        <v>47</v>
      </c>
      <c r="C23" s="1">
        <v>1</v>
      </c>
      <c r="D23" s="8">
        <v>101.96</v>
      </c>
      <c r="E23" s="4">
        <f>0.00398*1000</f>
        <v>3.98</v>
      </c>
      <c r="F23" s="9">
        <f t="shared" si="1"/>
        <v>2.5618090452261304E-2</v>
      </c>
    </row>
    <row r="24" spans="1:6" x14ac:dyDescent="0.25">
      <c r="A24" s="1" t="s">
        <v>54</v>
      </c>
      <c r="B24" s="1" t="s">
        <v>55</v>
      </c>
      <c r="C24" s="1">
        <v>1</v>
      </c>
      <c r="D24" s="8">
        <v>12.01</v>
      </c>
      <c r="E24" s="22">
        <f>$E$2</f>
        <v>5</v>
      </c>
      <c r="F24" s="9">
        <f t="shared" ref="F24" si="2">C24*D24/(E24 * 1000)</f>
        <v>2.4020000000000001E-3</v>
      </c>
    </row>
    <row r="25" spans="1:6" x14ac:dyDescent="0.25">
      <c r="A25" s="1" t="s">
        <v>32</v>
      </c>
      <c r="B25" s="1" t="s">
        <v>33</v>
      </c>
      <c r="C25" s="1">
        <v>1</v>
      </c>
      <c r="D25" s="8">
        <f>40.078+32.065+(16*4)+(18*2)</f>
        <v>172.143</v>
      </c>
      <c r="E25" s="4">
        <f>0.0055*1000</f>
        <v>5.5</v>
      </c>
      <c r="F25" s="9">
        <f t="shared" si="0"/>
        <v>3.129872727272727E-2</v>
      </c>
    </row>
    <row r="26" spans="1:6" x14ac:dyDescent="0.25">
      <c r="A26" s="1" t="s">
        <v>34</v>
      </c>
      <c r="B26" s="1" t="s">
        <v>35</v>
      </c>
      <c r="C26" s="1">
        <v>1</v>
      </c>
      <c r="D26" s="8">
        <f>(55.845*2)+(16*3)+(18*0.5)</f>
        <v>168.69</v>
      </c>
      <c r="E26" s="4">
        <f>0.0015*1000</f>
        <v>1.5</v>
      </c>
      <c r="F26" s="9">
        <f t="shared" si="0"/>
        <v>0.11246</v>
      </c>
    </row>
    <row r="27" spans="1:6" x14ac:dyDescent="0.25">
      <c r="A27" s="1" t="s">
        <v>36</v>
      </c>
      <c r="B27" s="1" t="s">
        <v>37</v>
      </c>
      <c r="C27" s="1">
        <v>1</v>
      </c>
      <c r="D27" s="8">
        <f>(28.086*2)+(16*2)</f>
        <v>88.171999999999997</v>
      </c>
      <c r="E27" s="4">
        <f>0.0027*1000</f>
        <v>2.7</v>
      </c>
      <c r="F27" s="9">
        <f t="shared" si="0"/>
        <v>3.2656296296296294E-2</v>
      </c>
    </row>
    <row r="28" spans="1:6" x14ac:dyDescent="0.25">
      <c r="A28" s="1" t="s">
        <v>38</v>
      </c>
      <c r="B28" s="1" t="s">
        <v>39</v>
      </c>
      <c r="C28" s="1">
        <v>1</v>
      </c>
      <c r="D28" s="8">
        <f>88.906+30.974+(16*4)</f>
        <v>183.88</v>
      </c>
      <c r="E28" s="4">
        <f>0.0025*1000</f>
        <v>2.5</v>
      </c>
      <c r="F28" s="9">
        <f t="shared" si="0"/>
        <v>7.3551999999999992E-2</v>
      </c>
    </row>
    <row r="29" spans="1:6" x14ac:dyDescent="0.25">
      <c r="A29" s="1" t="s">
        <v>40</v>
      </c>
      <c r="B29" s="1" t="s">
        <v>53</v>
      </c>
      <c r="C29" s="1">
        <v>1</v>
      </c>
      <c r="D29" s="8">
        <f>55.845*2</f>
        <v>111.69</v>
      </c>
      <c r="E29" s="4">
        <f>0.026*1000</f>
        <v>26</v>
      </c>
      <c r="F29" s="9">
        <f t="shared" si="0"/>
        <v>4.2957692307692306E-3</v>
      </c>
    </row>
    <row r="30" spans="1:6" x14ac:dyDescent="0.25">
      <c r="A30" s="1" t="s">
        <v>56</v>
      </c>
      <c r="B30" s="1" t="s">
        <v>53</v>
      </c>
      <c r="C30" s="1">
        <v>1</v>
      </c>
      <c r="D30" s="8">
        <f>55.845*2</f>
        <v>111.69</v>
      </c>
      <c r="E30" s="4">
        <f>0.0078*1000</f>
        <v>7.8</v>
      </c>
      <c r="F30" s="9">
        <f t="shared" si="0"/>
        <v>1.4319230769230768E-2</v>
      </c>
    </row>
    <row r="31" spans="1:6" x14ac:dyDescent="0.25">
      <c r="A31" s="1" t="s">
        <v>46</v>
      </c>
      <c r="B31" s="1" t="s">
        <v>50</v>
      </c>
      <c r="C31" s="1">
        <v>1</v>
      </c>
      <c r="D31" s="8">
        <v>233.88</v>
      </c>
      <c r="E31" s="4">
        <f>0.005*1000</f>
        <v>5</v>
      </c>
      <c r="F31" s="9">
        <f t="shared" ref="F31:F32" si="3">C31*D31/(E31 * 1000)</f>
        <v>4.6775999999999998E-2</v>
      </c>
    </row>
    <row r="32" spans="1:6" x14ac:dyDescent="0.25">
      <c r="A32" s="1" t="s">
        <v>48</v>
      </c>
      <c r="B32" s="1" t="s">
        <v>49</v>
      </c>
      <c r="C32" s="1">
        <v>1</v>
      </c>
      <c r="D32" s="8">
        <v>30.97</v>
      </c>
      <c r="E32" s="22">
        <f>$E$2</f>
        <v>5</v>
      </c>
      <c r="F32" s="9">
        <f t="shared" si="3"/>
        <v>6.1939999999999999E-3</v>
      </c>
    </row>
    <row r="33" spans="1:6" x14ac:dyDescent="0.25">
      <c r="A33" s="1" t="s">
        <v>41</v>
      </c>
      <c r="B33" s="1" t="s">
        <v>52</v>
      </c>
      <c r="C33" s="1">
        <v>1</v>
      </c>
      <c r="D33" s="8">
        <f>195.078</f>
        <v>195.078</v>
      </c>
      <c r="E33" s="4">
        <f>0.0078*1000</f>
        <v>7.8</v>
      </c>
      <c r="F33" s="9">
        <f t="shared" si="0"/>
        <v>2.5010000000000001E-2</v>
      </c>
    </row>
    <row r="34" spans="1:6" x14ac:dyDescent="0.25">
      <c r="A34" s="1" t="s">
        <v>42</v>
      </c>
      <c r="B34" s="1" t="s">
        <v>51</v>
      </c>
      <c r="C34" s="1">
        <v>1</v>
      </c>
      <c r="D34" s="8">
        <f>28.086*2</f>
        <v>56.171999999999997</v>
      </c>
      <c r="E34" s="4">
        <f>0.0025*1000</f>
        <v>2.5</v>
      </c>
      <c r="F34" s="9">
        <f t="shared" si="0"/>
        <v>2.2468799999999997E-2</v>
      </c>
    </row>
    <row r="35" spans="1:6" x14ac:dyDescent="0.25">
      <c r="A35" s="1" t="s">
        <v>43</v>
      </c>
      <c r="B35" s="1"/>
      <c r="C35" s="1">
        <v>1</v>
      </c>
      <c r="D35" s="8">
        <v>0</v>
      </c>
      <c r="E35" s="4">
        <f>0.0016*1000</f>
        <v>1.6</v>
      </c>
      <c r="F35" s="9" t="s">
        <v>44</v>
      </c>
    </row>
    <row r="36" spans="1:6" x14ac:dyDescent="0.25">
      <c r="A36" s="1"/>
      <c r="B36" s="1"/>
      <c r="C36" s="1"/>
      <c r="D36" s="3"/>
      <c r="E36" s="4"/>
      <c r="F36" s="5"/>
    </row>
    <row r="37" spans="1:6" x14ac:dyDescent="0.25">
      <c r="A37" s="1"/>
      <c r="B37" s="1"/>
      <c r="C37" s="1"/>
      <c r="D37" s="3"/>
      <c r="E37" s="4"/>
      <c r="F37" s="5"/>
    </row>
    <row r="38" spans="1:6" x14ac:dyDescent="0.25">
      <c r="A38" s="1"/>
      <c r="B38" s="1"/>
      <c r="C38" s="1"/>
      <c r="D38" s="3"/>
      <c r="E38" s="4"/>
      <c r="F38" s="5"/>
    </row>
    <row r="39" spans="1:6" x14ac:dyDescent="0.25">
      <c r="A39" s="1"/>
      <c r="B39" s="1"/>
      <c r="C39" s="1"/>
      <c r="D39" s="3"/>
      <c r="E39" s="4"/>
      <c r="F39" s="5"/>
    </row>
    <row r="40" spans="1:6" x14ac:dyDescent="0.25">
      <c r="A40" s="1"/>
      <c r="B40" s="1"/>
      <c r="C40" s="1"/>
      <c r="D40" s="3"/>
      <c r="E40" s="4"/>
      <c r="F40" s="5"/>
    </row>
    <row r="41" spans="1:6" x14ac:dyDescent="0.25">
      <c r="A41" s="1"/>
      <c r="B41" s="1"/>
      <c r="C41" s="1"/>
      <c r="D41" s="3"/>
      <c r="E41" s="4"/>
      <c r="F41" s="5"/>
    </row>
    <row r="42" spans="1:6" x14ac:dyDescent="0.25">
      <c r="A42" s="1"/>
      <c r="B42" s="1"/>
      <c r="C42" s="1"/>
      <c r="D42" s="3"/>
      <c r="E42" s="4"/>
      <c r="F42" s="5"/>
    </row>
    <row r="43" spans="1:6" x14ac:dyDescent="0.25">
      <c r="A43" s="1"/>
      <c r="B43" s="1"/>
      <c r="C43" s="1"/>
      <c r="D43" s="3"/>
      <c r="E43" s="4"/>
      <c r="F43" s="5"/>
    </row>
    <row r="44" spans="1:6" x14ac:dyDescent="0.25">
      <c r="A44" s="1"/>
      <c r="B44" s="1"/>
      <c r="C44" s="1"/>
      <c r="D44" s="3"/>
      <c r="E44" s="4"/>
      <c r="F44" s="5"/>
    </row>
    <row r="45" spans="1:6" x14ac:dyDescent="0.25">
      <c r="A45" s="1"/>
      <c r="B45" s="1"/>
      <c r="C45" s="1"/>
      <c r="D45" s="3"/>
      <c r="E45" s="4"/>
      <c r="F45" s="5"/>
    </row>
    <row r="46" spans="1:6" x14ac:dyDescent="0.25">
      <c r="A46" s="1"/>
      <c r="B46" s="1"/>
      <c r="C46" s="1"/>
      <c r="D46" s="3"/>
      <c r="E46" s="4"/>
      <c r="F46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pane xSplit="1" topLeftCell="B1" activePane="topRight" state="frozen"/>
      <selection pane="topRight" activeCell="D24" sqref="D24"/>
    </sheetView>
  </sheetViews>
  <sheetFormatPr defaultRowHeight="15.75" x14ac:dyDescent="0.25"/>
  <cols>
    <col min="1" max="1" width="13.5" customWidth="1"/>
    <col min="4" max="4" width="11.125" customWidth="1"/>
    <col min="5" max="5" width="10.125" customWidth="1"/>
    <col min="6" max="6" width="10.875" customWidth="1"/>
    <col min="7" max="8" width="12.25" customWidth="1"/>
  </cols>
  <sheetData>
    <row r="2" spans="1:13" x14ac:dyDescent="0.25">
      <c r="A2" s="50" t="s">
        <v>59</v>
      </c>
      <c r="B2" s="50" t="s">
        <v>60</v>
      </c>
      <c r="C2" s="50" t="s">
        <v>61</v>
      </c>
      <c r="D2" s="50" t="s">
        <v>62</v>
      </c>
      <c r="E2" s="50" t="s">
        <v>63</v>
      </c>
      <c r="F2" s="50" t="s">
        <v>64</v>
      </c>
      <c r="G2" s="50" t="s">
        <v>65</v>
      </c>
      <c r="H2" s="50" t="s">
        <v>66</v>
      </c>
      <c r="I2" s="50"/>
      <c r="J2" s="50" t="s">
        <v>67</v>
      </c>
      <c r="K2" s="50" t="s">
        <v>68</v>
      </c>
      <c r="L2" s="50" t="s">
        <v>69</v>
      </c>
      <c r="M2" s="50" t="s">
        <v>70</v>
      </c>
    </row>
    <row r="3" spans="1:13" x14ac:dyDescent="0.25">
      <c r="A3" s="51" t="s">
        <v>71</v>
      </c>
      <c r="B3" s="51">
        <f>SUM(B5:B24)</f>
        <v>100</v>
      </c>
      <c r="C3" s="51">
        <f t="shared" ref="C3:M3" si="0">SUM(C5:C24)</f>
        <v>95</v>
      </c>
      <c r="D3" s="51">
        <f t="shared" si="0"/>
        <v>97</v>
      </c>
      <c r="E3" s="51">
        <f t="shared" si="0"/>
        <v>94</v>
      </c>
      <c r="F3" s="51">
        <f t="shared" si="0"/>
        <v>98</v>
      </c>
      <c r="G3" s="51">
        <f t="shared" si="0"/>
        <v>99</v>
      </c>
      <c r="H3" s="51">
        <f t="shared" si="0"/>
        <v>100</v>
      </c>
      <c r="I3" s="51"/>
      <c r="J3" s="51">
        <f t="shared" si="0"/>
        <v>94</v>
      </c>
      <c r="K3" s="51">
        <f t="shared" si="0"/>
        <v>97</v>
      </c>
      <c r="L3" s="51">
        <f t="shared" si="0"/>
        <v>94</v>
      </c>
      <c r="M3" s="51">
        <f t="shared" si="0"/>
        <v>96</v>
      </c>
    </row>
    <row r="5" spans="1:13" x14ac:dyDescent="0.25">
      <c r="A5" t="s">
        <v>45</v>
      </c>
      <c r="B5">
        <v>2</v>
      </c>
      <c r="C5">
        <v>4</v>
      </c>
      <c r="D5">
        <v>8</v>
      </c>
      <c r="E5">
        <v>5</v>
      </c>
      <c r="F5">
        <v>2</v>
      </c>
      <c r="G5">
        <v>2</v>
      </c>
      <c r="H5">
        <v>2</v>
      </c>
      <c r="J5">
        <v>8</v>
      </c>
      <c r="K5">
        <v>13</v>
      </c>
      <c r="L5">
        <v>4</v>
      </c>
      <c r="M5">
        <v>3</v>
      </c>
    </row>
    <row r="6" spans="1:13" x14ac:dyDescent="0.25">
      <c r="A6" t="s">
        <v>21</v>
      </c>
      <c r="E6">
        <v>3</v>
      </c>
      <c r="F6">
        <v>9</v>
      </c>
      <c r="G6">
        <v>10</v>
      </c>
      <c r="H6">
        <v>5</v>
      </c>
    </row>
    <row r="7" spans="1:13" x14ac:dyDescent="0.25">
      <c r="A7" t="s">
        <v>72</v>
      </c>
      <c r="E7">
        <v>5</v>
      </c>
      <c r="F7">
        <v>4</v>
      </c>
      <c r="G7">
        <v>5</v>
      </c>
      <c r="H7">
        <v>4</v>
      </c>
      <c r="M7">
        <v>15</v>
      </c>
    </row>
    <row r="8" spans="1:13" x14ac:dyDescent="0.25">
      <c r="A8" t="s">
        <v>38</v>
      </c>
      <c r="B8">
        <v>4</v>
      </c>
      <c r="C8">
        <v>4</v>
      </c>
      <c r="D8">
        <v>5</v>
      </c>
      <c r="E8">
        <v>3</v>
      </c>
      <c r="G8">
        <v>3</v>
      </c>
      <c r="H8">
        <v>5</v>
      </c>
      <c r="J8">
        <v>6</v>
      </c>
      <c r="K8">
        <v>3</v>
      </c>
      <c r="L8">
        <v>3</v>
      </c>
      <c r="M8">
        <v>6</v>
      </c>
    </row>
    <row r="9" spans="1:13" x14ac:dyDescent="0.25">
      <c r="A9" t="s">
        <v>32</v>
      </c>
      <c r="B9">
        <v>7</v>
      </c>
      <c r="C9">
        <v>5</v>
      </c>
      <c r="D9">
        <v>5</v>
      </c>
      <c r="J9">
        <v>3</v>
      </c>
      <c r="K9">
        <v>7</v>
      </c>
      <c r="L9">
        <v>3</v>
      </c>
      <c r="M9">
        <v>6</v>
      </c>
    </row>
    <row r="10" spans="1:13" x14ac:dyDescent="0.25">
      <c r="A10" t="s">
        <v>34</v>
      </c>
      <c r="B10">
        <v>7</v>
      </c>
      <c r="C10">
        <v>3</v>
      </c>
      <c r="D10">
        <v>3</v>
      </c>
      <c r="E10">
        <v>16</v>
      </c>
      <c r="F10">
        <v>20</v>
      </c>
      <c r="G10">
        <v>18</v>
      </c>
      <c r="H10">
        <v>5</v>
      </c>
      <c r="J10">
        <v>6</v>
      </c>
      <c r="K10">
        <v>3</v>
      </c>
      <c r="L10">
        <v>15</v>
      </c>
      <c r="M10">
        <v>4</v>
      </c>
    </row>
    <row r="11" spans="1:13" x14ac:dyDescent="0.25">
      <c r="A11" t="s">
        <v>40</v>
      </c>
      <c r="B11">
        <v>7</v>
      </c>
      <c r="C11">
        <v>4</v>
      </c>
      <c r="D11">
        <v>9</v>
      </c>
      <c r="E11">
        <v>3</v>
      </c>
      <c r="F11">
        <v>2</v>
      </c>
      <c r="J11">
        <v>6</v>
      </c>
      <c r="K11">
        <v>3</v>
      </c>
      <c r="L11">
        <v>3</v>
      </c>
      <c r="M11">
        <v>12</v>
      </c>
    </row>
    <row r="12" spans="1:13" x14ac:dyDescent="0.25">
      <c r="A12" t="s">
        <v>19</v>
      </c>
      <c r="C12">
        <v>2</v>
      </c>
      <c r="G12">
        <v>10</v>
      </c>
      <c r="H12">
        <v>5</v>
      </c>
      <c r="J12">
        <v>3</v>
      </c>
    </row>
    <row r="13" spans="1:13" x14ac:dyDescent="0.25">
      <c r="A13" t="s">
        <v>36</v>
      </c>
      <c r="B13">
        <v>7</v>
      </c>
      <c r="C13">
        <v>4</v>
      </c>
      <c r="D13">
        <v>5</v>
      </c>
      <c r="E13">
        <v>9</v>
      </c>
      <c r="F13">
        <v>9</v>
      </c>
      <c r="G13">
        <v>10</v>
      </c>
      <c r="H13">
        <v>5</v>
      </c>
      <c r="J13">
        <v>10</v>
      </c>
      <c r="K13">
        <v>7</v>
      </c>
      <c r="L13">
        <v>10</v>
      </c>
      <c r="M13">
        <v>10</v>
      </c>
    </row>
    <row r="14" spans="1:13" x14ac:dyDescent="0.25">
      <c r="A14" t="s">
        <v>46</v>
      </c>
      <c r="B14">
        <v>6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J14">
        <v>4</v>
      </c>
      <c r="K14">
        <v>4</v>
      </c>
      <c r="L14">
        <v>4</v>
      </c>
      <c r="M14">
        <v>4</v>
      </c>
    </row>
    <row r="15" spans="1:13" x14ac:dyDescent="0.25">
      <c r="A15" t="s">
        <v>73</v>
      </c>
      <c r="G15">
        <v>3</v>
      </c>
      <c r="H15">
        <v>29</v>
      </c>
      <c r="L15">
        <v>20</v>
      </c>
    </row>
    <row r="16" spans="1:13" x14ac:dyDescent="0.25">
      <c r="A16" t="s">
        <v>74</v>
      </c>
      <c r="B16">
        <v>4</v>
      </c>
      <c r="C16">
        <v>5</v>
      </c>
      <c r="D16">
        <v>3</v>
      </c>
      <c r="E16">
        <v>5</v>
      </c>
      <c r="F16">
        <v>4</v>
      </c>
      <c r="G16">
        <v>3</v>
      </c>
      <c r="H16">
        <v>4</v>
      </c>
      <c r="J16">
        <v>10</v>
      </c>
      <c r="K16">
        <v>3</v>
      </c>
      <c r="L16">
        <v>3</v>
      </c>
    </row>
    <row r="17" spans="1:13" x14ac:dyDescent="0.25">
      <c r="A17" t="s">
        <v>75</v>
      </c>
      <c r="E17">
        <v>9</v>
      </c>
      <c r="K17">
        <v>30</v>
      </c>
      <c r="L17">
        <v>14</v>
      </c>
    </row>
    <row r="18" spans="1:13" x14ac:dyDescent="0.25">
      <c r="A18" t="s">
        <v>41</v>
      </c>
      <c r="B18">
        <v>5</v>
      </c>
      <c r="C18">
        <v>3</v>
      </c>
      <c r="D18">
        <v>15</v>
      </c>
      <c r="E18">
        <v>3</v>
      </c>
      <c r="F18">
        <v>2</v>
      </c>
      <c r="J18">
        <v>3</v>
      </c>
      <c r="K18">
        <v>4</v>
      </c>
      <c r="M18">
        <v>4</v>
      </c>
    </row>
    <row r="19" spans="1:13" x14ac:dyDescent="0.25">
      <c r="A19" t="s">
        <v>60</v>
      </c>
      <c r="B19">
        <v>18</v>
      </c>
      <c r="C19">
        <v>18</v>
      </c>
      <c r="D19">
        <v>18</v>
      </c>
      <c r="E19">
        <v>11</v>
      </c>
      <c r="F19">
        <v>9</v>
      </c>
      <c r="G19">
        <v>5</v>
      </c>
      <c r="H19">
        <v>4</v>
      </c>
      <c r="J19">
        <v>20</v>
      </c>
      <c r="K19">
        <v>7</v>
      </c>
      <c r="M19">
        <v>10</v>
      </c>
    </row>
    <row r="20" spans="1:13" x14ac:dyDescent="0.25">
      <c r="A20" t="s">
        <v>42</v>
      </c>
      <c r="B20">
        <v>18</v>
      </c>
      <c r="C20">
        <v>30</v>
      </c>
      <c r="D20">
        <v>5</v>
      </c>
      <c r="E20">
        <v>5</v>
      </c>
      <c r="F20">
        <v>9</v>
      </c>
      <c r="G20">
        <v>5</v>
      </c>
      <c r="H20">
        <v>5</v>
      </c>
      <c r="J20">
        <v>6</v>
      </c>
      <c r="K20">
        <v>7</v>
      </c>
      <c r="L20">
        <v>10</v>
      </c>
      <c r="M20">
        <v>4</v>
      </c>
    </row>
    <row r="21" spans="1:13" x14ac:dyDescent="0.25">
      <c r="A21" t="s">
        <v>43</v>
      </c>
      <c r="B21">
        <v>7</v>
      </c>
      <c r="C21">
        <v>6</v>
      </c>
      <c r="D21">
        <v>3</v>
      </c>
      <c r="E21">
        <v>5</v>
      </c>
      <c r="F21">
        <v>4</v>
      </c>
      <c r="G21">
        <v>3</v>
      </c>
      <c r="H21">
        <v>5</v>
      </c>
      <c r="J21">
        <v>6</v>
      </c>
      <c r="K21">
        <v>3</v>
      </c>
      <c r="L21">
        <v>5</v>
      </c>
      <c r="M21">
        <v>3</v>
      </c>
    </row>
    <row r="22" spans="1:13" x14ac:dyDescent="0.25">
      <c r="A22" t="s">
        <v>76</v>
      </c>
      <c r="B22">
        <v>4</v>
      </c>
      <c r="C22">
        <v>2</v>
      </c>
      <c r="D22">
        <v>15</v>
      </c>
      <c r="E22">
        <v>3</v>
      </c>
      <c r="F22">
        <v>2</v>
      </c>
      <c r="J22">
        <v>3</v>
      </c>
      <c r="K22">
        <v>3</v>
      </c>
      <c r="M22">
        <v>15</v>
      </c>
    </row>
    <row r="23" spans="1:13" x14ac:dyDescent="0.25">
      <c r="A23" t="s">
        <v>24</v>
      </c>
      <c r="B23">
        <v>4</v>
      </c>
      <c r="C23">
        <v>2</v>
      </c>
      <c r="E23">
        <v>5</v>
      </c>
      <c r="F23">
        <v>18</v>
      </c>
      <c r="G23">
        <v>18</v>
      </c>
      <c r="H23">
        <v>18</v>
      </c>
    </row>
    <row r="24" spans="1:13" x14ac:dyDescent="0.25">
      <c r="A24" t="s">
        <v>77</v>
      </c>
    </row>
    <row r="27" spans="1:13" x14ac:dyDescent="0.25">
      <c r="A27" s="51" t="s">
        <v>71</v>
      </c>
      <c r="B27" s="51">
        <f>SUM(B29:B42)</f>
        <v>93</v>
      </c>
      <c r="C27" s="51">
        <f t="shared" ref="C27:M27" si="1">SUM(C29:C42)</f>
        <v>84</v>
      </c>
      <c r="D27" s="51">
        <f t="shared" si="1"/>
        <v>95</v>
      </c>
      <c r="E27" s="51">
        <f t="shared" si="1"/>
        <v>84</v>
      </c>
      <c r="F27" s="51">
        <f t="shared" si="1"/>
        <v>90</v>
      </c>
      <c r="G27" s="51">
        <f t="shared" si="1"/>
        <v>75</v>
      </c>
      <c r="H27" s="51">
        <f t="shared" si="1"/>
        <v>60</v>
      </c>
      <c r="I27" s="51"/>
      <c r="J27" s="51">
        <f t="shared" si="1"/>
        <v>98</v>
      </c>
      <c r="K27" s="51">
        <f t="shared" si="1"/>
        <v>88</v>
      </c>
      <c r="L27" s="51">
        <f t="shared" si="1"/>
        <v>76</v>
      </c>
      <c r="M27" s="51">
        <f t="shared" si="1"/>
        <v>90</v>
      </c>
    </row>
    <row r="29" spans="1:13" x14ac:dyDescent="0.25">
      <c r="A29" t="s">
        <v>78</v>
      </c>
      <c r="B29">
        <v>4</v>
      </c>
      <c r="C29">
        <v>2</v>
      </c>
      <c r="D29">
        <v>15</v>
      </c>
      <c r="E29">
        <v>3</v>
      </c>
      <c r="F29">
        <v>2</v>
      </c>
      <c r="J29">
        <v>3</v>
      </c>
      <c r="K29">
        <v>3</v>
      </c>
      <c r="M29">
        <v>15</v>
      </c>
    </row>
    <row r="30" spans="1:13" x14ac:dyDescent="0.25">
      <c r="A30" t="s">
        <v>79</v>
      </c>
      <c r="B30">
        <v>4</v>
      </c>
      <c r="C30">
        <v>4</v>
      </c>
      <c r="D30">
        <v>5</v>
      </c>
      <c r="E30">
        <v>3</v>
      </c>
      <c r="G30">
        <v>3</v>
      </c>
      <c r="H30">
        <v>5</v>
      </c>
      <c r="J30">
        <v>6</v>
      </c>
      <c r="K30">
        <v>3</v>
      </c>
      <c r="L30">
        <v>3</v>
      </c>
      <c r="M30">
        <v>6</v>
      </c>
    </row>
    <row r="31" spans="1:13" x14ac:dyDescent="0.25">
      <c r="A31" t="s">
        <v>80</v>
      </c>
      <c r="B31">
        <v>4</v>
      </c>
      <c r="C31">
        <v>4</v>
      </c>
      <c r="E31">
        <v>5</v>
      </c>
      <c r="F31">
        <v>18</v>
      </c>
      <c r="G31">
        <v>18</v>
      </c>
      <c r="H31">
        <v>18</v>
      </c>
      <c r="M31">
        <v>15</v>
      </c>
    </row>
    <row r="32" spans="1:13" x14ac:dyDescent="0.25">
      <c r="A32" t="s">
        <v>81</v>
      </c>
      <c r="B32">
        <v>4</v>
      </c>
      <c r="C32">
        <v>4</v>
      </c>
      <c r="D32">
        <v>5</v>
      </c>
      <c r="E32">
        <v>3</v>
      </c>
      <c r="F32">
        <v>2</v>
      </c>
      <c r="J32">
        <v>6</v>
      </c>
      <c r="K32">
        <v>4</v>
      </c>
      <c r="M32">
        <v>4</v>
      </c>
    </row>
    <row r="33" spans="1:13" x14ac:dyDescent="0.25">
      <c r="A33" t="s">
        <v>82</v>
      </c>
      <c r="C33">
        <v>2</v>
      </c>
      <c r="E33">
        <v>2</v>
      </c>
      <c r="F33">
        <v>5</v>
      </c>
      <c r="G33">
        <v>10</v>
      </c>
      <c r="H33">
        <v>5</v>
      </c>
      <c r="J33">
        <v>6</v>
      </c>
    </row>
    <row r="34" spans="1:13" x14ac:dyDescent="0.25">
      <c r="A34" t="s">
        <v>40</v>
      </c>
      <c r="B34">
        <v>7</v>
      </c>
      <c r="C34">
        <v>4</v>
      </c>
      <c r="D34">
        <v>18</v>
      </c>
      <c r="E34">
        <v>3</v>
      </c>
      <c r="F34">
        <v>2</v>
      </c>
      <c r="J34">
        <v>6</v>
      </c>
      <c r="K34">
        <v>15</v>
      </c>
      <c r="M34">
        <v>12</v>
      </c>
    </row>
    <row r="35" spans="1:13" x14ac:dyDescent="0.25">
      <c r="A35" t="s">
        <v>83</v>
      </c>
      <c r="B35">
        <v>7</v>
      </c>
      <c r="C35">
        <v>18</v>
      </c>
      <c r="D35">
        <v>5</v>
      </c>
      <c r="E35">
        <v>9</v>
      </c>
      <c r="F35">
        <v>9</v>
      </c>
      <c r="G35">
        <v>10</v>
      </c>
      <c r="H35">
        <v>5</v>
      </c>
      <c r="J35">
        <v>10</v>
      </c>
      <c r="K35">
        <v>7</v>
      </c>
      <c r="L35">
        <v>10</v>
      </c>
      <c r="M35">
        <v>10</v>
      </c>
    </row>
    <row r="36" spans="1:13" x14ac:dyDescent="0.25">
      <c r="A36" t="s">
        <v>84</v>
      </c>
      <c r="B36">
        <v>4</v>
      </c>
      <c r="C36">
        <v>3</v>
      </c>
      <c r="E36">
        <v>2</v>
      </c>
      <c r="F36">
        <v>4</v>
      </c>
      <c r="H36">
        <v>4</v>
      </c>
      <c r="L36">
        <v>15</v>
      </c>
    </row>
    <row r="37" spans="1:13" x14ac:dyDescent="0.25">
      <c r="A37" t="s">
        <v>74</v>
      </c>
      <c r="B37">
        <v>4</v>
      </c>
      <c r="C37">
        <v>5</v>
      </c>
      <c r="D37">
        <v>3</v>
      </c>
      <c r="E37">
        <v>5</v>
      </c>
      <c r="F37">
        <v>4</v>
      </c>
      <c r="G37">
        <v>3</v>
      </c>
      <c r="H37">
        <v>4</v>
      </c>
      <c r="J37">
        <v>10</v>
      </c>
      <c r="K37">
        <v>3</v>
      </c>
      <c r="L37">
        <v>3</v>
      </c>
      <c r="M37">
        <v>3</v>
      </c>
    </row>
    <row r="38" spans="1:13" x14ac:dyDescent="0.25">
      <c r="A38" t="s">
        <v>85</v>
      </c>
      <c r="K38">
        <v>30</v>
      </c>
      <c r="L38">
        <v>15</v>
      </c>
    </row>
    <row r="39" spans="1:13" x14ac:dyDescent="0.25">
      <c r="A39" t="s">
        <v>86</v>
      </c>
      <c r="B39">
        <v>5</v>
      </c>
      <c r="C39">
        <v>3</v>
      </c>
      <c r="D39">
        <v>15</v>
      </c>
      <c r="E39">
        <v>3</v>
      </c>
      <c r="F39">
        <v>2</v>
      </c>
      <c r="J39">
        <v>3</v>
      </c>
      <c r="K39">
        <v>7</v>
      </c>
      <c r="M39">
        <v>4</v>
      </c>
    </row>
    <row r="40" spans="1:13" x14ac:dyDescent="0.25">
      <c r="A40" t="s">
        <v>60</v>
      </c>
      <c r="B40">
        <v>43</v>
      </c>
      <c r="C40">
        <v>30</v>
      </c>
      <c r="D40">
        <v>26</v>
      </c>
      <c r="E40">
        <v>28</v>
      </c>
      <c r="F40">
        <v>22</v>
      </c>
      <c r="G40">
        <v>13</v>
      </c>
      <c r="H40">
        <v>14</v>
      </c>
      <c r="J40">
        <v>42</v>
      </c>
      <c r="K40">
        <v>13</v>
      </c>
      <c r="L40">
        <v>15</v>
      </c>
      <c r="M40">
        <v>17</v>
      </c>
    </row>
    <row r="41" spans="1:13" x14ac:dyDescent="0.25">
      <c r="A41" t="s">
        <v>24</v>
      </c>
    </row>
    <row r="42" spans="1:13" x14ac:dyDescent="0.25">
      <c r="A42" t="s">
        <v>87</v>
      </c>
      <c r="B42">
        <v>7</v>
      </c>
      <c r="C42">
        <v>5</v>
      </c>
      <c r="D42">
        <v>3</v>
      </c>
      <c r="E42">
        <v>18</v>
      </c>
      <c r="F42">
        <v>20</v>
      </c>
      <c r="G42">
        <v>18</v>
      </c>
      <c r="H42">
        <v>5</v>
      </c>
      <c r="J42">
        <v>6</v>
      </c>
      <c r="K42">
        <v>3</v>
      </c>
      <c r="L42">
        <v>15</v>
      </c>
      <c r="M4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2"/>
  <sheetViews>
    <sheetView tabSelected="1" workbookViewId="0">
      <pane xSplit="1" topLeftCell="B1" activePane="topRight" state="frozen"/>
      <selection pane="topRight" activeCell="E21" sqref="E21"/>
    </sheetView>
  </sheetViews>
  <sheetFormatPr defaultRowHeight="15.75" x14ac:dyDescent="0.25"/>
  <cols>
    <col min="1" max="1" width="13.5" customWidth="1"/>
  </cols>
  <sheetData>
    <row r="2" spans="1:8" x14ac:dyDescent="0.25">
      <c r="A2" s="50" t="s">
        <v>59</v>
      </c>
      <c r="B2" s="50" t="s">
        <v>88</v>
      </c>
      <c r="C2" s="50" t="s">
        <v>21</v>
      </c>
      <c r="D2" s="50" t="s">
        <v>19</v>
      </c>
      <c r="E2" s="50" t="s">
        <v>73</v>
      </c>
      <c r="F2" s="50" t="s">
        <v>149</v>
      </c>
      <c r="G2" s="50"/>
      <c r="H2" s="50" t="s">
        <v>67</v>
      </c>
    </row>
    <row r="3" spans="1:8" x14ac:dyDescent="0.25">
      <c r="A3" s="51" t="s">
        <v>71</v>
      </c>
      <c r="B3" s="51">
        <f>SUM(B5:B10)</f>
        <v>95</v>
      </c>
      <c r="C3" s="51">
        <f t="shared" ref="C3:H3" si="0">SUM(C5:C10)</f>
        <v>95</v>
      </c>
      <c r="D3" s="51">
        <f t="shared" si="0"/>
        <v>95</v>
      </c>
      <c r="E3" s="51">
        <f t="shared" si="0"/>
        <v>95</v>
      </c>
      <c r="F3" s="53">
        <f t="shared" si="0"/>
        <v>0</v>
      </c>
      <c r="G3" s="51"/>
      <c r="H3" s="51">
        <f t="shared" si="0"/>
        <v>90</v>
      </c>
    </row>
    <row r="5" spans="1:8" x14ac:dyDescent="0.25">
      <c r="A5" t="s">
        <v>21</v>
      </c>
      <c r="B5">
        <v>2</v>
      </c>
      <c r="C5">
        <v>85</v>
      </c>
      <c r="F5" s="52"/>
      <c r="H5">
        <v>1</v>
      </c>
    </row>
    <row r="6" spans="1:8" x14ac:dyDescent="0.25">
      <c r="A6" t="s">
        <v>72</v>
      </c>
      <c r="B6">
        <v>2</v>
      </c>
      <c r="D6">
        <v>5</v>
      </c>
      <c r="F6" s="52"/>
      <c r="H6">
        <v>9</v>
      </c>
    </row>
    <row r="7" spans="1:8" x14ac:dyDescent="0.25">
      <c r="A7" t="s">
        <v>19</v>
      </c>
      <c r="B7">
        <v>1</v>
      </c>
      <c r="D7">
        <v>85</v>
      </c>
      <c r="E7">
        <v>2</v>
      </c>
      <c r="F7" s="52"/>
      <c r="H7">
        <v>80</v>
      </c>
    </row>
    <row r="8" spans="1:8" x14ac:dyDescent="0.25">
      <c r="A8" t="s">
        <v>73</v>
      </c>
      <c r="E8">
        <v>85</v>
      </c>
      <c r="F8" s="52"/>
    </row>
    <row r="9" spans="1:8" x14ac:dyDescent="0.25">
      <c r="A9" t="s">
        <v>75</v>
      </c>
      <c r="E9">
        <v>3</v>
      </c>
      <c r="F9" s="52"/>
    </row>
    <row r="10" spans="1:8" x14ac:dyDescent="0.25">
      <c r="A10" t="s">
        <v>24</v>
      </c>
      <c r="B10">
        <v>90</v>
      </c>
      <c r="C10">
        <v>10</v>
      </c>
      <c r="D10">
        <v>5</v>
      </c>
      <c r="E10">
        <v>5</v>
      </c>
      <c r="F10" s="52"/>
    </row>
    <row r="13" spans="1:8" x14ac:dyDescent="0.25">
      <c r="A13" s="51" t="s">
        <v>71</v>
      </c>
      <c r="B13" s="51">
        <f>SUM(B15:B22)</f>
        <v>97</v>
      </c>
      <c r="C13" s="51">
        <f t="shared" ref="C13:H13" si="1">SUM(C15:C22)</f>
        <v>95</v>
      </c>
      <c r="D13" s="51">
        <f t="shared" si="1"/>
        <v>93</v>
      </c>
      <c r="E13" s="51">
        <f t="shared" si="1"/>
        <v>93</v>
      </c>
      <c r="F13" s="51"/>
      <c r="G13" s="51"/>
      <c r="H13" s="51">
        <f t="shared" si="1"/>
        <v>93</v>
      </c>
    </row>
    <row r="15" spans="1:8" x14ac:dyDescent="0.25">
      <c r="A15" t="s">
        <v>89</v>
      </c>
      <c r="H15">
        <v>10</v>
      </c>
    </row>
    <row r="16" spans="1:8" x14ac:dyDescent="0.25">
      <c r="A16" t="s">
        <v>80</v>
      </c>
      <c r="B16">
        <v>90</v>
      </c>
      <c r="C16">
        <v>50</v>
      </c>
      <c r="D16">
        <v>5</v>
      </c>
      <c r="E16">
        <v>65</v>
      </c>
      <c r="H16">
        <v>10</v>
      </c>
    </row>
    <row r="17" spans="1:8" x14ac:dyDescent="0.25">
      <c r="A17" t="s">
        <v>81</v>
      </c>
    </row>
    <row r="18" spans="1:8" x14ac:dyDescent="0.25">
      <c r="A18" t="s">
        <v>82</v>
      </c>
      <c r="B18">
        <v>2</v>
      </c>
      <c r="D18">
        <v>85</v>
      </c>
      <c r="H18">
        <v>70</v>
      </c>
    </row>
    <row r="19" spans="1:8" x14ac:dyDescent="0.25">
      <c r="A19" t="s">
        <v>84</v>
      </c>
      <c r="B19">
        <v>3</v>
      </c>
      <c r="C19">
        <v>5</v>
      </c>
      <c r="E19">
        <v>25</v>
      </c>
    </row>
    <row r="20" spans="1:8" x14ac:dyDescent="0.25">
      <c r="A20" t="s">
        <v>85</v>
      </c>
    </row>
    <row r="21" spans="1:8" x14ac:dyDescent="0.25">
      <c r="A21" t="s">
        <v>24</v>
      </c>
    </row>
    <row r="22" spans="1:8" x14ac:dyDescent="0.25">
      <c r="A22" t="s">
        <v>87</v>
      </c>
      <c r="B22">
        <v>2</v>
      </c>
      <c r="C22">
        <v>40</v>
      </c>
      <c r="D22">
        <v>3</v>
      </c>
      <c r="E22">
        <v>3</v>
      </c>
      <c r="H2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"/>
  <sheetViews>
    <sheetView workbookViewId="0">
      <pane xSplit="1" topLeftCell="B1" activePane="topRight" state="frozen"/>
      <selection pane="topRight" activeCell="L3" sqref="L3"/>
    </sheetView>
  </sheetViews>
  <sheetFormatPr defaultRowHeight="15.75" x14ac:dyDescent="0.25"/>
  <cols>
    <col min="1" max="1" width="13.5" customWidth="1"/>
    <col min="4" max="4" width="16.5" customWidth="1"/>
    <col min="5" max="5" width="14.375" customWidth="1"/>
    <col min="6" max="6" width="12.625" customWidth="1"/>
    <col min="7" max="7" width="12.25" customWidth="1"/>
    <col min="8" max="8" width="12.375" customWidth="1"/>
    <col min="9" max="9" width="12" customWidth="1"/>
    <col min="10" max="10" width="14.25" customWidth="1"/>
    <col min="11" max="11" width="12.625" customWidth="1"/>
    <col min="12" max="12" width="12.125" customWidth="1"/>
    <col min="13" max="13" width="10.75" customWidth="1"/>
    <col min="14" max="14" width="11.5" customWidth="1"/>
    <col min="15" max="15" width="10.25" customWidth="1"/>
  </cols>
  <sheetData>
    <row r="2" spans="1:17" x14ac:dyDescent="0.25">
      <c r="A2" s="50" t="s">
        <v>59</v>
      </c>
      <c r="B2" s="50" t="s">
        <v>90</v>
      </c>
      <c r="C2" s="50" t="s">
        <v>88</v>
      </c>
      <c r="D2" s="50" t="s">
        <v>153</v>
      </c>
      <c r="E2" s="50" t="s">
        <v>152</v>
      </c>
      <c r="F2" s="50" t="s">
        <v>91</v>
      </c>
      <c r="G2" s="50" t="s">
        <v>65</v>
      </c>
      <c r="H2" s="50" t="s">
        <v>66</v>
      </c>
      <c r="I2" s="50" t="s">
        <v>92</v>
      </c>
      <c r="J2" s="50" t="s">
        <v>93</v>
      </c>
      <c r="K2" s="50" t="s">
        <v>150</v>
      </c>
      <c r="L2" s="50" t="s">
        <v>151</v>
      </c>
      <c r="M2" s="50" t="s">
        <v>94</v>
      </c>
      <c r="N2" s="50" t="s">
        <v>95</v>
      </c>
      <c r="O2" s="50" t="s">
        <v>96</v>
      </c>
      <c r="P2" s="50"/>
      <c r="Q2" s="50" t="s">
        <v>97</v>
      </c>
    </row>
    <row r="3" spans="1:17" x14ac:dyDescent="0.25">
      <c r="A3" s="51" t="s">
        <v>71</v>
      </c>
      <c r="B3" s="51">
        <f>SUM(B5:B18)</f>
        <v>93</v>
      </c>
      <c r="C3" s="51">
        <f>SUM(C5:C18)</f>
        <v>92</v>
      </c>
      <c r="D3" s="51">
        <f>SUM(D5:D18)</f>
        <v>92</v>
      </c>
      <c r="E3" s="51">
        <f>SUM(E5:E18)</f>
        <v>93</v>
      </c>
      <c r="F3" s="51">
        <f>SUM(F5:F18)</f>
        <v>92</v>
      </c>
      <c r="G3" s="51">
        <f>SUM(G5:G18)</f>
        <v>90</v>
      </c>
      <c r="H3" s="51">
        <f>SUM(H5:H18)</f>
        <v>92</v>
      </c>
      <c r="I3" s="51">
        <f>SUM(I5:I18)</f>
        <v>95</v>
      </c>
      <c r="J3" s="51">
        <f>SUM(J5:J18)</f>
        <v>93</v>
      </c>
      <c r="K3" s="53">
        <f>SUM(K5:K18)</f>
        <v>98</v>
      </c>
      <c r="L3" s="53">
        <f>SUM(L5:L18)</f>
        <v>99</v>
      </c>
      <c r="M3" s="51">
        <f>SUM(M5:M18)</f>
        <v>100</v>
      </c>
      <c r="N3" s="51">
        <f>SUM(N5:N18)</f>
        <v>100</v>
      </c>
      <c r="O3" s="51">
        <f>SUM(O5:O18)</f>
        <v>100</v>
      </c>
      <c r="P3" s="51"/>
      <c r="Q3" s="51">
        <f>SUM(Q5:Q18)</f>
        <v>95</v>
      </c>
    </row>
    <row r="4" spans="1:17" x14ac:dyDescent="0.25">
      <c r="K4" s="52"/>
      <c r="L4" s="52"/>
    </row>
    <row r="5" spans="1:17" x14ac:dyDescent="0.25">
      <c r="A5" t="s">
        <v>21</v>
      </c>
      <c r="D5">
        <v>6</v>
      </c>
      <c r="F5">
        <v>2</v>
      </c>
      <c r="I5">
        <v>4</v>
      </c>
      <c r="J5">
        <v>2</v>
      </c>
      <c r="K5" s="52"/>
      <c r="L5" s="52"/>
      <c r="M5">
        <v>1</v>
      </c>
      <c r="N5">
        <v>1</v>
      </c>
      <c r="Q5">
        <v>5</v>
      </c>
    </row>
    <row r="6" spans="1:17" x14ac:dyDescent="0.25">
      <c r="A6" t="s">
        <v>98</v>
      </c>
      <c r="K6" s="52"/>
      <c r="L6" s="52">
        <v>2</v>
      </c>
      <c r="M6">
        <v>3</v>
      </c>
      <c r="N6">
        <v>5</v>
      </c>
      <c r="O6">
        <v>9</v>
      </c>
    </row>
    <row r="7" spans="1:17" x14ac:dyDescent="0.25">
      <c r="A7" t="s">
        <v>12</v>
      </c>
      <c r="K7" s="52"/>
      <c r="L7" s="52"/>
      <c r="M7">
        <v>1</v>
      </c>
      <c r="N7">
        <v>1</v>
      </c>
    </row>
    <row r="8" spans="1:17" x14ac:dyDescent="0.25">
      <c r="A8" t="s">
        <v>72</v>
      </c>
      <c r="B8">
        <v>80</v>
      </c>
      <c r="C8">
        <v>1</v>
      </c>
      <c r="D8">
        <v>2</v>
      </c>
      <c r="E8">
        <v>91</v>
      </c>
      <c r="F8">
        <v>6</v>
      </c>
      <c r="I8">
        <v>2</v>
      </c>
      <c r="J8">
        <v>1</v>
      </c>
      <c r="K8" s="52"/>
      <c r="L8" s="52">
        <v>2</v>
      </c>
      <c r="M8">
        <v>1</v>
      </c>
      <c r="N8">
        <v>1</v>
      </c>
      <c r="Q8">
        <v>2</v>
      </c>
    </row>
    <row r="9" spans="1:17" x14ac:dyDescent="0.25">
      <c r="A9" t="s">
        <v>99</v>
      </c>
      <c r="K9" s="52"/>
      <c r="L9" s="52"/>
      <c r="M9">
        <v>2</v>
      </c>
      <c r="N9">
        <v>3</v>
      </c>
      <c r="O9">
        <v>1</v>
      </c>
    </row>
    <row r="10" spans="1:17" x14ac:dyDescent="0.25">
      <c r="A10" t="s">
        <v>100</v>
      </c>
      <c r="I10">
        <v>12</v>
      </c>
      <c r="J10">
        <v>10</v>
      </c>
      <c r="K10" s="52">
        <v>10</v>
      </c>
      <c r="L10" s="52">
        <v>10</v>
      </c>
      <c r="M10">
        <v>7</v>
      </c>
      <c r="N10">
        <v>7</v>
      </c>
      <c r="O10">
        <v>5</v>
      </c>
      <c r="Q10">
        <v>10</v>
      </c>
    </row>
    <row r="11" spans="1:17" x14ac:dyDescent="0.25">
      <c r="A11" t="s">
        <v>101</v>
      </c>
      <c r="B11">
        <v>2</v>
      </c>
      <c r="F11">
        <v>2</v>
      </c>
      <c r="G11">
        <v>4</v>
      </c>
      <c r="H11">
        <v>2</v>
      </c>
      <c r="I11">
        <v>74</v>
      </c>
      <c r="J11">
        <v>74</v>
      </c>
      <c r="K11" s="52">
        <v>78</v>
      </c>
      <c r="L11" s="52">
        <v>78</v>
      </c>
      <c r="M11">
        <v>70</v>
      </c>
      <c r="N11">
        <v>75</v>
      </c>
      <c r="O11">
        <v>85</v>
      </c>
      <c r="Q11">
        <v>70</v>
      </c>
    </row>
    <row r="12" spans="1:17" x14ac:dyDescent="0.25">
      <c r="A12" t="s">
        <v>102</v>
      </c>
      <c r="K12" s="52"/>
      <c r="L12" s="52"/>
      <c r="M12">
        <v>8</v>
      </c>
      <c r="N12">
        <v>2</v>
      </c>
    </row>
    <row r="13" spans="1:17" x14ac:dyDescent="0.25">
      <c r="A13" t="s">
        <v>19</v>
      </c>
      <c r="D13">
        <v>4</v>
      </c>
      <c r="F13">
        <v>6</v>
      </c>
      <c r="G13">
        <v>1</v>
      </c>
      <c r="I13">
        <v>1</v>
      </c>
      <c r="J13">
        <v>4</v>
      </c>
      <c r="K13" s="52">
        <v>4</v>
      </c>
      <c r="L13" s="52">
        <v>3</v>
      </c>
      <c r="M13">
        <v>1</v>
      </c>
      <c r="Q13">
        <v>5</v>
      </c>
    </row>
    <row r="14" spans="1:17" x14ac:dyDescent="0.25">
      <c r="A14" t="s">
        <v>73</v>
      </c>
      <c r="B14">
        <v>10</v>
      </c>
      <c r="C14">
        <v>74</v>
      </c>
      <c r="D14">
        <v>80</v>
      </c>
      <c r="F14">
        <v>75</v>
      </c>
      <c r="G14">
        <v>85</v>
      </c>
      <c r="H14">
        <v>90</v>
      </c>
      <c r="K14" s="52">
        <v>1</v>
      </c>
      <c r="L14" s="52">
        <v>1</v>
      </c>
      <c r="M14">
        <v>2</v>
      </c>
      <c r="N14">
        <v>2</v>
      </c>
    </row>
    <row r="15" spans="1:17" x14ac:dyDescent="0.25">
      <c r="A15" t="s">
        <v>75</v>
      </c>
      <c r="C15">
        <v>16</v>
      </c>
      <c r="E15">
        <v>2</v>
      </c>
      <c r="I15">
        <v>1</v>
      </c>
      <c r="K15" s="52">
        <v>1</v>
      </c>
      <c r="L15" s="52">
        <v>1</v>
      </c>
      <c r="M15">
        <v>2</v>
      </c>
      <c r="N15">
        <v>2</v>
      </c>
    </row>
    <row r="16" spans="1:17" x14ac:dyDescent="0.25">
      <c r="A16" t="s">
        <v>48</v>
      </c>
      <c r="K16" s="52"/>
      <c r="L16" s="52">
        <v>1</v>
      </c>
    </row>
    <row r="17" spans="1:17" x14ac:dyDescent="0.25">
      <c r="A17" t="s">
        <v>24</v>
      </c>
      <c r="B17">
        <v>1</v>
      </c>
      <c r="C17">
        <v>1</v>
      </c>
      <c r="F17">
        <v>1</v>
      </c>
      <c r="I17">
        <v>1</v>
      </c>
      <c r="J17">
        <v>2</v>
      </c>
      <c r="K17" s="52">
        <v>4</v>
      </c>
      <c r="L17" s="52">
        <v>1</v>
      </c>
      <c r="Q17">
        <v>3</v>
      </c>
    </row>
    <row r="18" spans="1:17" x14ac:dyDescent="0.25">
      <c r="A18" t="s">
        <v>14</v>
      </c>
      <c r="K18" s="52"/>
      <c r="L18" s="52"/>
      <c r="M18">
        <v>2</v>
      </c>
      <c r="N18">
        <v>1</v>
      </c>
    </row>
    <row r="21" spans="1:17" x14ac:dyDescent="0.25">
      <c r="A21" s="51" t="s">
        <v>71</v>
      </c>
      <c r="B21" s="51">
        <f>SUM(B23:B31)</f>
        <v>10</v>
      </c>
      <c r="C21" s="51">
        <f t="shared" ref="C21:Q21" si="0">SUM(C23:C31)</f>
        <v>9</v>
      </c>
      <c r="D21" s="51">
        <f t="shared" si="0"/>
        <v>16</v>
      </c>
      <c r="E21" s="51">
        <f t="shared" si="0"/>
        <v>3</v>
      </c>
      <c r="F21" s="51">
        <f t="shared" si="0"/>
        <v>13</v>
      </c>
      <c r="G21" s="51">
        <f t="shared" si="0"/>
        <v>9</v>
      </c>
      <c r="H21" s="51">
        <f t="shared" si="0"/>
        <v>4</v>
      </c>
      <c r="I21" s="51">
        <f t="shared" si="0"/>
        <v>89</v>
      </c>
      <c r="J21" s="51">
        <f t="shared" si="0"/>
        <v>92</v>
      </c>
      <c r="K21" s="53">
        <f t="shared" si="0"/>
        <v>89</v>
      </c>
      <c r="L21" s="53">
        <f t="shared" si="0"/>
        <v>89</v>
      </c>
      <c r="M21" s="51">
        <f t="shared" si="0"/>
        <v>95</v>
      </c>
      <c r="N21" s="51">
        <f t="shared" si="0"/>
        <v>95</v>
      </c>
      <c r="O21" s="51">
        <f t="shared" si="0"/>
        <v>99</v>
      </c>
      <c r="P21" s="51"/>
      <c r="Q21" s="51">
        <f t="shared" si="0"/>
        <v>92</v>
      </c>
    </row>
    <row r="23" spans="1:17" x14ac:dyDescent="0.25">
      <c r="A23" t="s">
        <v>103</v>
      </c>
      <c r="K23" s="52"/>
      <c r="L23" s="52">
        <v>2</v>
      </c>
      <c r="M23">
        <v>1</v>
      </c>
      <c r="N23">
        <v>5</v>
      </c>
      <c r="O23">
        <v>9</v>
      </c>
    </row>
    <row r="24" spans="1:17" x14ac:dyDescent="0.25">
      <c r="A24" t="s">
        <v>81</v>
      </c>
      <c r="I24">
        <v>12</v>
      </c>
      <c r="J24">
        <v>10</v>
      </c>
      <c r="K24" s="52"/>
      <c r="L24" s="52"/>
      <c r="M24">
        <v>7</v>
      </c>
      <c r="N24">
        <v>7</v>
      </c>
      <c r="O24">
        <v>5</v>
      </c>
      <c r="Q24">
        <v>10</v>
      </c>
    </row>
    <row r="25" spans="1:17" x14ac:dyDescent="0.25">
      <c r="A25" t="s">
        <v>82</v>
      </c>
      <c r="B25">
        <v>2</v>
      </c>
      <c r="C25">
        <v>1</v>
      </c>
      <c r="D25">
        <v>4</v>
      </c>
      <c r="F25">
        <v>6</v>
      </c>
      <c r="G25">
        <v>2</v>
      </c>
      <c r="I25">
        <v>1</v>
      </c>
      <c r="J25">
        <v>6</v>
      </c>
      <c r="K25" s="52">
        <v>4</v>
      </c>
      <c r="L25" s="52">
        <v>3</v>
      </c>
      <c r="M25">
        <v>4</v>
      </c>
      <c r="N25">
        <v>2</v>
      </c>
      <c r="Q25">
        <v>6</v>
      </c>
    </row>
    <row r="26" spans="1:17" x14ac:dyDescent="0.25">
      <c r="A26" t="s">
        <v>84</v>
      </c>
      <c r="B26">
        <v>2</v>
      </c>
      <c r="C26">
        <v>6</v>
      </c>
      <c r="D26">
        <v>6</v>
      </c>
      <c r="E26">
        <v>3</v>
      </c>
      <c r="F26">
        <v>2</v>
      </c>
      <c r="G26">
        <v>3</v>
      </c>
      <c r="H26">
        <v>1</v>
      </c>
      <c r="K26" s="52">
        <v>1</v>
      </c>
      <c r="L26" s="52">
        <v>1</v>
      </c>
      <c r="M26">
        <v>2</v>
      </c>
      <c r="N26">
        <v>1</v>
      </c>
    </row>
    <row r="27" spans="1:17" x14ac:dyDescent="0.25">
      <c r="A27" t="s">
        <v>85</v>
      </c>
      <c r="K27" s="52">
        <v>1</v>
      </c>
      <c r="L27" s="52">
        <v>1</v>
      </c>
      <c r="M27">
        <v>2</v>
      </c>
      <c r="N27">
        <v>1</v>
      </c>
    </row>
    <row r="28" spans="1:17" x14ac:dyDescent="0.25">
      <c r="A28" t="s">
        <v>104</v>
      </c>
      <c r="B28">
        <v>2</v>
      </c>
      <c r="F28">
        <v>2</v>
      </c>
      <c r="G28">
        <v>4</v>
      </c>
      <c r="H28">
        <v>2</v>
      </c>
      <c r="I28">
        <v>74</v>
      </c>
      <c r="J28">
        <v>70</v>
      </c>
      <c r="K28" s="52">
        <v>78</v>
      </c>
      <c r="L28" s="52">
        <v>78</v>
      </c>
      <c r="M28">
        <v>70</v>
      </c>
      <c r="N28">
        <v>75</v>
      </c>
      <c r="O28">
        <v>85</v>
      </c>
      <c r="Q28">
        <v>70</v>
      </c>
    </row>
    <row r="29" spans="1:17" x14ac:dyDescent="0.25">
      <c r="A29" t="s">
        <v>60</v>
      </c>
      <c r="K29" s="52"/>
      <c r="L29" s="52"/>
      <c r="M29">
        <v>5</v>
      </c>
      <c r="N29">
        <v>2</v>
      </c>
    </row>
    <row r="30" spans="1:17" x14ac:dyDescent="0.25">
      <c r="A30" t="s">
        <v>24</v>
      </c>
      <c r="B30">
        <v>1</v>
      </c>
      <c r="C30">
        <v>1</v>
      </c>
      <c r="F30">
        <v>1</v>
      </c>
      <c r="I30">
        <v>1</v>
      </c>
      <c r="J30">
        <v>2</v>
      </c>
      <c r="K30" s="52">
        <v>4</v>
      </c>
      <c r="L30" s="52">
        <v>1</v>
      </c>
      <c r="Q30">
        <v>2</v>
      </c>
    </row>
    <row r="31" spans="1:17" x14ac:dyDescent="0.25">
      <c r="A31" t="s">
        <v>87</v>
      </c>
      <c r="B31">
        <v>3</v>
      </c>
      <c r="C31">
        <v>1</v>
      </c>
      <c r="D31">
        <v>6</v>
      </c>
      <c r="F31">
        <v>2</v>
      </c>
      <c r="H31">
        <v>1</v>
      </c>
      <c r="I31">
        <v>1</v>
      </c>
      <c r="J31">
        <v>4</v>
      </c>
      <c r="K31" s="52">
        <v>1</v>
      </c>
      <c r="L31" s="52">
        <v>3</v>
      </c>
      <c r="M31">
        <v>4</v>
      </c>
      <c r="N31">
        <v>2</v>
      </c>
      <c r="Q31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xSplit="1" topLeftCell="H1" activePane="topRight" state="frozen"/>
      <selection activeCell="A9" sqref="A9"/>
      <selection pane="topRight" activeCell="S17" sqref="S17"/>
    </sheetView>
  </sheetViews>
  <sheetFormatPr defaultRowHeight="15.75" x14ac:dyDescent="0.25"/>
  <cols>
    <col min="1" max="1" width="15" style="41" customWidth="1"/>
    <col min="2" max="4" width="12.5" style="41" customWidth="1"/>
    <col min="5" max="5" width="12.5" style="38" customWidth="1"/>
    <col min="6" max="7" width="12.5" style="36" customWidth="1"/>
    <col min="8" max="10" width="12.5" style="38" customWidth="1"/>
    <col min="11" max="11" width="12.5" customWidth="1"/>
    <col min="12" max="13" width="12.5" style="36" customWidth="1"/>
    <col min="14" max="17" width="12.5" style="38" customWidth="1"/>
  </cols>
  <sheetData>
    <row r="1" spans="1:17" ht="52.5" customHeight="1" thickBot="1" x14ac:dyDescent="0.3">
      <c r="A1" s="26" t="s">
        <v>105</v>
      </c>
      <c r="B1" s="26" t="s">
        <v>106</v>
      </c>
      <c r="C1" s="26" t="s">
        <v>107</v>
      </c>
      <c r="D1" s="26" t="s">
        <v>108</v>
      </c>
      <c r="E1" s="44" t="s">
        <v>109</v>
      </c>
      <c r="F1" s="42" t="s">
        <v>110</v>
      </c>
      <c r="G1" s="42" t="s">
        <v>111</v>
      </c>
      <c r="H1" s="44" t="s">
        <v>112</v>
      </c>
      <c r="I1" s="44" t="s">
        <v>113</v>
      </c>
      <c r="J1" s="44" t="s">
        <v>114</v>
      </c>
      <c r="K1" s="26" t="s">
        <v>115</v>
      </c>
      <c r="L1" s="42" t="s">
        <v>116</v>
      </c>
      <c r="M1" s="42" t="s">
        <v>117</v>
      </c>
      <c r="N1" s="44" t="s">
        <v>118</v>
      </c>
      <c r="O1" s="44" t="s">
        <v>119</v>
      </c>
      <c r="P1" s="44" t="s">
        <v>120</v>
      </c>
      <c r="Q1" s="44" t="s">
        <v>120</v>
      </c>
    </row>
    <row r="2" spans="1:17" ht="16.5" thickTop="1" x14ac:dyDescent="0.25">
      <c r="A2" s="27" t="s">
        <v>121</v>
      </c>
      <c r="B2" s="28">
        <v>175750</v>
      </c>
      <c r="C2" s="28">
        <v>1600</v>
      </c>
      <c r="D2" s="29"/>
      <c r="E2" s="44"/>
      <c r="F2" s="43">
        <v>9</v>
      </c>
      <c r="G2" s="43">
        <v>12</v>
      </c>
      <c r="H2" s="49">
        <f>(F2*(B2/2)+B2)</f>
        <v>966625</v>
      </c>
      <c r="I2" s="49">
        <f>IF(G2&gt;=F2,SUM(G2*(B2/2)+B2),H2)</f>
        <v>1230250</v>
      </c>
      <c r="J2" s="44" t="str">
        <f>IF(H2&lt;=B2+C2,"Yes","-")</f>
        <v>-</v>
      </c>
      <c r="K2" s="30"/>
      <c r="L2" s="43">
        <v>5</v>
      </c>
      <c r="M2" s="43">
        <v>10</v>
      </c>
      <c r="N2" s="45">
        <f>L2*B2</f>
        <v>878750</v>
      </c>
      <c r="O2" s="45">
        <f>IF((M2*B2&gt;=N2),M2*B2,N2)</f>
        <v>1757500</v>
      </c>
      <c r="P2" s="44" t="str">
        <f>IF(SUM(H2-(N2/2))&lt;=B2+C2,"Yes","-")</f>
        <v>-</v>
      </c>
      <c r="Q2" s="44" t="str">
        <f>IF(SUM(I2-(O2/2))&lt;=B2+C2,"Yes","-")</f>
        <v>-</v>
      </c>
    </row>
    <row r="3" spans="1:17" x14ac:dyDescent="0.25">
      <c r="A3" s="30" t="s">
        <v>122</v>
      </c>
      <c r="B3" s="31">
        <v>650</v>
      </c>
      <c r="C3" s="32"/>
      <c r="D3" s="33">
        <v>26572</v>
      </c>
      <c r="E3" s="48">
        <f>IF((B3&gt;0),(D3/(B3/2)),0)</f>
        <v>81.760000000000005</v>
      </c>
      <c r="F3" s="42"/>
      <c r="G3" s="42"/>
      <c r="H3" s="49">
        <f t="shared" ref="H3:H33" si="0">(F3*(B3/2)+B3)</f>
        <v>650</v>
      </c>
      <c r="I3" s="49">
        <f t="shared" ref="I3:I33" si="1">IF(G3&gt;=F3,SUM(G3*(B3/2)+B3),H3)</f>
        <v>650</v>
      </c>
      <c r="J3" s="44" t="str">
        <f t="shared" ref="J3:J33" si="2">IF(H3&lt;=B3+C3,"Yes","-")</f>
        <v>Yes</v>
      </c>
      <c r="K3" s="34">
        <v>14522400</v>
      </c>
      <c r="L3" s="42"/>
      <c r="M3" s="42"/>
      <c r="N3" s="45">
        <f t="shared" ref="N3:N33" si="3">L3*B3</f>
        <v>0</v>
      </c>
      <c r="O3" s="45">
        <f t="shared" ref="O3:O33" si="4">IF((M3*B3&gt;=N3),M3*B3,N3)</f>
        <v>0</v>
      </c>
      <c r="P3" s="44" t="str">
        <f t="shared" ref="P3:P33" si="5">IF(SUM(H3-(N3/2))&lt;=B3+C3,"Yes","-")</f>
        <v>Yes</v>
      </c>
      <c r="Q3" s="44" t="str">
        <f t="shared" ref="Q3:Q33" si="6">IF(SUM(I3-(O3/2))&lt;=B3+C3,"Yes","-")</f>
        <v>Yes</v>
      </c>
    </row>
    <row r="4" spans="1:17" x14ac:dyDescent="0.25">
      <c r="A4" s="30" t="s">
        <v>67</v>
      </c>
      <c r="B4" s="33">
        <v>2050</v>
      </c>
      <c r="C4" s="31">
        <v>60</v>
      </c>
      <c r="D4" s="33">
        <v>233567</v>
      </c>
      <c r="E4" s="48">
        <f t="shared" ref="E4:E33" si="7">IF((B4&gt;0),(D4/(B4/2)),0)</f>
        <v>227.87024390243903</v>
      </c>
      <c r="F4" s="43">
        <v>0.1</v>
      </c>
      <c r="G4" s="42"/>
      <c r="H4" s="49">
        <f t="shared" si="0"/>
        <v>2152.5</v>
      </c>
      <c r="I4" s="49">
        <f t="shared" si="1"/>
        <v>2152.5</v>
      </c>
      <c r="J4" s="44" t="str">
        <f t="shared" si="2"/>
        <v>-</v>
      </c>
      <c r="K4" s="34">
        <v>27131000</v>
      </c>
      <c r="L4" s="42"/>
      <c r="M4" s="42"/>
      <c r="N4" s="45">
        <f t="shared" si="3"/>
        <v>0</v>
      </c>
      <c r="O4" s="45">
        <f t="shared" si="4"/>
        <v>0</v>
      </c>
      <c r="P4" s="44" t="str">
        <f t="shared" si="5"/>
        <v>-</v>
      </c>
      <c r="Q4" s="44" t="str">
        <f t="shared" si="6"/>
        <v>-</v>
      </c>
    </row>
    <row r="5" spans="1:17" x14ac:dyDescent="0.25">
      <c r="A5" s="46" t="s">
        <v>123</v>
      </c>
      <c r="B5" s="31">
        <v>30</v>
      </c>
      <c r="C5" s="32"/>
      <c r="D5" s="31">
        <v>366</v>
      </c>
      <c r="E5" s="48">
        <f t="shared" si="7"/>
        <v>24.4</v>
      </c>
      <c r="F5" s="42"/>
      <c r="G5" s="42"/>
      <c r="H5" s="49">
        <f t="shared" si="0"/>
        <v>30</v>
      </c>
      <c r="I5" s="49">
        <f t="shared" si="1"/>
        <v>30</v>
      </c>
      <c r="J5" s="44" t="str">
        <f t="shared" si="2"/>
        <v>Yes</v>
      </c>
      <c r="K5" s="33">
        <v>86920</v>
      </c>
      <c r="L5" s="42"/>
      <c r="M5" s="42"/>
      <c r="N5" s="45">
        <f t="shared" si="3"/>
        <v>0</v>
      </c>
      <c r="O5" s="45">
        <f t="shared" si="4"/>
        <v>0</v>
      </c>
      <c r="P5" s="44" t="str">
        <f t="shared" si="5"/>
        <v>Yes</v>
      </c>
      <c r="Q5" s="44" t="str">
        <f t="shared" si="6"/>
        <v>Yes</v>
      </c>
    </row>
    <row r="6" spans="1:17" x14ac:dyDescent="0.25">
      <c r="A6" s="30" t="s">
        <v>124</v>
      </c>
      <c r="B6" s="33">
        <v>1600</v>
      </c>
      <c r="C6" s="31">
        <v>85</v>
      </c>
      <c r="D6" s="33">
        <v>231588</v>
      </c>
      <c r="E6" s="48">
        <f t="shared" si="7"/>
        <v>289.48500000000001</v>
      </c>
      <c r="F6" s="43">
        <v>0.11</v>
      </c>
      <c r="G6" s="42"/>
      <c r="H6" s="49">
        <f t="shared" si="0"/>
        <v>1688</v>
      </c>
      <c r="I6" s="49">
        <f t="shared" si="1"/>
        <v>1688</v>
      </c>
      <c r="J6" s="44" t="str">
        <f t="shared" si="2"/>
        <v>-</v>
      </c>
      <c r="K6" s="34">
        <v>37525648</v>
      </c>
      <c r="L6" s="43">
        <v>10</v>
      </c>
      <c r="M6" s="42"/>
      <c r="N6" s="45">
        <f t="shared" si="3"/>
        <v>16000</v>
      </c>
      <c r="O6" s="45">
        <f t="shared" si="4"/>
        <v>16000</v>
      </c>
      <c r="P6" s="44" t="str">
        <f t="shared" si="5"/>
        <v>Yes</v>
      </c>
      <c r="Q6" s="44" t="str">
        <f t="shared" si="6"/>
        <v>Yes</v>
      </c>
    </row>
    <row r="7" spans="1:17" x14ac:dyDescent="0.25">
      <c r="A7" s="47" t="s">
        <v>68</v>
      </c>
      <c r="B7" s="31">
        <v>400</v>
      </c>
      <c r="C7" s="32"/>
      <c r="D7" s="33">
        <v>13860</v>
      </c>
      <c r="E7" s="48">
        <f t="shared" si="7"/>
        <v>69.3</v>
      </c>
      <c r="F7" s="42"/>
      <c r="G7" s="42"/>
      <c r="H7" s="49">
        <f t="shared" si="0"/>
        <v>400</v>
      </c>
      <c r="I7" s="49">
        <f t="shared" si="1"/>
        <v>400</v>
      </c>
      <c r="J7" s="44" t="str">
        <f t="shared" si="2"/>
        <v>Yes</v>
      </c>
      <c r="K7" s="33">
        <v>90960</v>
      </c>
      <c r="L7" s="42"/>
      <c r="M7" s="42"/>
      <c r="N7" s="45">
        <f t="shared" si="3"/>
        <v>0</v>
      </c>
      <c r="O7" s="45">
        <f t="shared" si="4"/>
        <v>0</v>
      </c>
      <c r="P7" s="44" t="str">
        <f t="shared" si="5"/>
        <v>Yes</v>
      </c>
      <c r="Q7" s="44" t="str">
        <f t="shared" si="6"/>
        <v>Yes</v>
      </c>
    </row>
    <row r="8" spans="1:17" x14ac:dyDescent="0.25">
      <c r="A8" s="46" t="s">
        <v>69</v>
      </c>
      <c r="B8" s="31">
        <v>160</v>
      </c>
      <c r="C8" s="32"/>
      <c r="D8" s="33">
        <v>8655</v>
      </c>
      <c r="E8" s="48">
        <f t="shared" si="7"/>
        <v>108.1875</v>
      </c>
      <c r="F8" s="42"/>
      <c r="G8" s="42"/>
      <c r="H8" s="49">
        <f t="shared" si="0"/>
        <v>160</v>
      </c>
      <c r="I8" s="49">
        <f t="shared" si="1"/>
        <v>160</v>
      </c>
      <c r="J8" s="44" t="str">
        <f t="shared" si="2"/>
        <v>Yes</v>
      </c>
      <c r="K8" s="33">
        <v>181010</v>
      </c>
      <c r="L8" s="42"/>
      <c r="M8" s="42"/>
      <c r="N8" s="45">
        <f t="shared" si="3"/>
        <v>0</v>
      </c>
      <c r="O8" s="45">
        <f t="shared" si="4"/>
        <v>0</v>
      </c>
      <c r="P8" s="44" t="str">
        <f t="shared" si="5"/>
        <v>Yes</v>
      </c>
      <c r="Q8" s="44" t="str">
        <f t="shared" si="6"/>
        <v>Yes</v>
      </c>
    </row>
    <row r="9" spans="1:17" x14ac:dyDescent="0.25">
      <c r="A9" s="30" t="s">
        <v>70</v>
      </c>
      <c r="B9" s="31">
        <v>800</v>
      </c>
      <c r="C9" s="31">
        <v>70</v>
      </c>
      <c r="D9" s="33">
        <v>131664</v>
      </c>
      <c r="E9" s="48">
        <f t="shared" si="7"/>
        <v>329.16</v>
      </c>
      <c r="F9" s="43">
        <v>0.18</v>
      </c>
      <c r="G9" s="42"/>
      <c r="H9" s="49">
        <f t="shared" si="0"/>
        <v>872</v>
      </c>
      <c r="I9" s="49">
        <f t="shared" si="1"/>
        <v>872</v>
      </c>
      <c r="J9" s="44" t="str">
        <f t="shared" si="2"/>
        <v>-</v>
      </c>
      <c r="K9" s="34">
        <v>57189100</v>
      </c>
      <c r="L9" s="42"/>
      <c r="M9" s="42"/>
      <c r="N9" s="45">
        <f t="shared" si="3"/>
        <v>0</v>
      </c>
      <c r="O9" s="45">
        <f t="shared" si="4"/>
        <v>0</v>
      </c>
      <c r="P9" s="44" t="str">
        <f t="shared" si="5"/>
        <v>-</v>
      </c>
      <c r="Q9" s="44" t="str">
        <f t="shared" si="6"/>
        <v>-</v>
      </c>
    </row>
    <row r="10" spans="1:17" x14ac:dyDescent="0.25">
      <c r="A10" s="47" t="s">
        <v>125</v>
      </c>
      <c r="B10" s="31">
        <v>210</v>
      </c>
      <c r="C10" s="32"/>
      <c r="D10" s="33">
        <v>6286</v>
      </c>
      <c r="E10" s="48">
        <f t="shared" si="7"/>
        <v>59.866666666666667</v>
      </c>
      <c r="F10" s="42"/>
      <c r="G10" s="42"/>
      <c r="H10" s="49">
        <f t="shared" si="0"/>
        <v>210</v>
      </c>
      <c r="I10" s="49">
        <f t="shared" si="1"/>
        <v>210</v>
      </c>
      <c r="J10" s="44" t="str">
        <f t="shared" si="2"/>
        <v>Yes</v>
      </c>
      <c r="K10" s="33">
        <v>36680</v>
      </c>
      <c r="L10" s="42"/>
      <c r="M10" s="42"/>
      <c r="N10" s="45">
        <f t="shared" si="3"/>
        <v>0</v>
      </c>
      <c r="O10" s="45">
        <f t="shared" si="4"/>
        <v>0</v>
      </c>
      <c r="P10" s="44" t="str">
        <f t="shared" si="5"/>
        <v>Yes</v>
      </c>
      <c r="Q10" s="44" t="str">
        <f t="shared" si="6"/>
        <v>Yes</v>
      </c>
    </row>
    <row r="11" spans="1:17" x14ac:dyDescent="0.25">
      <c r="A11" s="32" t="s">
        <v>126</v>
      </c>
      <c r="B11" s="31">
        <v>260</v>
      </c>
      <c r="C11" s="32"/>
      <c r="D11" s="33">
        <v>49409</v>
      </c>
      <c r="E11" s="48">
        <f t="shared" si="7"/>
        <v>380.06923076923078</v>
      </c>
      <c r="F11" s="42"/>
      <c r="G11" s="42"/>
      <c r="H11" s="49">
        <f t="shared" si="0"/>
        <v>260</v>
      </c>
      <c r="I11" s="49">
        <f t="shared" si="1"/>
        <v>260</v>
      </c>
      <c r="J11" s="44" t="str">
        <f t="shared" si="2"/>
        <v>Yes</v>
      </c>
      <c r="K11" s="34">
        <v>94080000</v>
      </c>
      <c r="L11" s="42"/>
      <c r="M11" s="42"/>
      <c r="N11" s="45">
        <f t="shared" si="3"/>
        <v>0</v>
      </c>
      <c r="O11" s="45">
        <f t="shared" si="4"/>
        <v>0</v>
      </c>
      <c r="P11" s="44" t="str">
        <f t="shared" si="5"/>
        <v>Yes</v>
      </c>
      <c r="Q11" s="44" t="str">
        <f t="shared" si="6"/>
        <v>Yes</v>
      </c>
    </row>
    <row r="12" spans="1:17" x14ac:dyDescent="0.25">
      <c r="A12" s="46" t="s">
        <v>127</v>
      </c>
      <c r="B12" s="31">
        <v>20</v>
      </c>
      <c r="C12" s="32"/>
      <c r="D12" s="31">
        <v>244</v>
      </c>
      <c r="E12" s="48">
        <f t="shared" si="7"/>
        <v>24.4</v>
      </c>
      <c r="F12" s="42"/>
      <c r="G12" s="42"/>
      <c r="H12" s="49">
        <f t="shared" si="0"/>
        <v>20</v>
      </c>
      <c r="I12" s="49">
        <f t="shared" si="1"/>
        <v>20</v>
      </c>
      <c r="J12" s="44" t="str">
        <f t="shared" si="2"/>
        <v>Yes</v>
      </c>
      <c r="K12" s="33">
        <v>4770</v>
      </c>
      <c r="L12" s="42"/>
      <c r="M12" s="42"/>
      <c r="N12" s="45">
        <f t="shared" si="3"/>
        <v>0</v>
      </c>
      <c r="O12" s="45">
        <f t="shared" si="4"/>
        <v>0</v>
      </c>
      <c r="P12" s="44" t="str">
        <f t="shared" si="5"/>
        <v>Yes</v>
      </c>
      <c r="Q12" s="44" t="str">
        <f t="shared" si="6"/>
        <v>Yes</v>
      </c>
    </row>
    <row r="13" spans="1:17" x14ac:dyDescent="0.25">
      <c r="A13" s="32" t="s">
        <v>128</v>
      </c>
      <c r="B13" s="31">
        <v>360</v>
      </c>
      <c r="C13" s="32"/>
      <c r="D13" s="33">
        <v>90298</v>
      </c>
      <c r="E13" s="48">
        <f t="shared" si="7"/>
        <v>501.65555555555557</v>
      </c>
      <c r="F13" s="42"/>
      <c r="G13" s="42"/>
      <c r="H13" s="49">
        <f t="shared" si="0"/>
        <v>360</v>
      </c>
      <c r="I13" s="49">
        <f t="shared" si="1"/>
        <v>360</v>
      </c>
      <c r="J13" s="44" t="str">
        <f t="shared" si="2"/>
        <v>Yes</v>
      </c>
      <c r="K13" s="34">
        <v>112687000</v>
      </c>
      <c r="L13" s="42"/>
      <c r="M13" s="42"/>
      <c r="N13" s="45">
        <f t="shared" si="3"/>
        <v>0</v>
      </c>
      <c r="O13" s="45">
        <f t="shared" si="4"/>
        <v>0</v>
      </c>
      <c r="P13" s="44" t="str">
        <f t="shared" si="5"/>
        <v>Yes</v>
      </c>
      <c r="Q13" s="44" t="str">
        <f t="shared" si="6"/>
        <v>Yes</v>
      </c>
    </row>
    <row r="14" spans="1:17" x14ac:dyDescent="0.25">
      <c r="A14" s="32" t="s">
        <v>129</v>
      </c>
      <c r="B14" s="33">
        <v>14000</v>
      </c>
      <c r="C14" s="31">
        <v>700</v>
      </c>
      <c r="D14" s="33">
        <v>6745648</v>
      </c>
      <c r="E14" s="48">
        <f t="shared" si="7"/>
        <v>963.66399999999999</v>
      </c>
      <c r="F14" s="43">
        <v>0.11</v>
      </c>
      <c r="G14" s="42"/>
      <c r="H14" s="49">
        <f t="shared" si="0"/>
        <v>14770</v>
      </c>
      <c r="I14" s="49">
        <f t="shared" si="1"/>
        <v>14770</v>
      </c>
      <c r="J14" s="44" t="str">
        <f t="shared" si="2"/>
        <v>-</v>
      </c>
      <c r="K14" s="34">
        <v>189765000</v>
      </c>
      <c r="L14" s="43">
        <v>75</v>
      </c>
      <c r="M14" s="43">
        <v>100</v>
      </c>
      <c r="N14" s="45">
        <f t="shared" si="3"/>
        <v>1050000</v>
      </c>
      <c r="O14" s="45">
        <f t="shared" si="4"/>
        <v>1400000</v>
      </c>
      <c r="P14" s="44" t="str">
        <f t="shared" si="5"/>
        <v>Yes</v>
      </c>
      <c r="Q14" s="44" t="str">
        <f t="shared" si="6"/>
        <v>Yes</v>
      </c>
    </row>
    <row r="15" spans="1:17" x14ac:dyDescent="0.25">
      <c r="A15" s="46" t="s">
        <v>130</v>
      </c>
      <c r="B15" s="33">
        <v>1100</v>
      </c>
      <c r="C15" s="31">
        <v>75</v>
      </c>
      <c r="D15" s="33">
        <v>9067</v>
      </c>
      <c r="E15" s="48">
        <f t="shared" si="7"/>
        <v>16.485454545454544</v>
      </c>
      <c r="F15" s="43">
        <v>0.2</v>
      </c>
      <c r="G15" s="42"/>
      <c r="H15" s="49">
        <f t="shared" si="0"/>
        <v>1210</v>
      </c>
      <c r="I15" s="49">
        <f t="shared" si="1"/>
        <v>1210</v>
      </c>
      <c r="J15" s="44" t="str">
        <f t="shared" si="2"/>
        <v>-</v>
      </c>
      <c r="K15" s="33">
        <v>87640</v>
      </c>
      <c r="L15" s="42"/>
      <c r="M15" s="42"/>
      <c r="N15" s="45">
        <f t="shared" si="3"/>
        <v>0</v>
      </c>
      <c r="O15" s="45">
        <f t="shared" si="4"/>
        <v>0</v>
      </c>
      <c r="P15" s="44" t="str">
        <f t="shared" si="5"/>
        <v>-</v>
      </c>
      <c r="Q15" s="44" t="str">
        <f t="shared" si="6"/>
        <v>-</v>
      </c>
    </row>
    <row r="16" spans="1:17" x14ac:dyDescent="0.25">
      <c r="A16" s="46" t="s">
        <v>131</v>
      </c>
      <c r="B16" s="31">
        <v>550</v>
      </c>
      <c r="C16" s="32"/>
      <c r="D16" s="33">
        <v>5962</v>
      </c>
      <c r="E16" s="48">
        <f t="shared" si="7"/>
        <v>21.68</v>
      </c>
      <c r="F16" s="42"/>
      <c r="G16" s="42"/>
      <c r="H16" s="49">
        <f t="shared" si="0"/>
        <v>550</v>
      </c>
      <c r="I16" s="49">
        <f t="shared" si="1"/>
        <v>550</v>
      </c>
      <c r="J16" s="44" t="str">
        <f t="shared" si="2"/>
        <v>Yes</v>
      </c>
      <c r="K16" s="33">
        <v>160230</v>
      </c>
      <c r="L16" s="42"/>
      <c r="M16" s="42"/>
      <c r="N16" s="45">
        <f t="shared" si="3"/>
        <v>0</v>
      </c>
      <c r="O16" s="45">
        <f t="shared" si="4"/>
        <v>0</v>
      </c>
      <c r="P16" s="44" t="str">
        <f t="shared" si="5"/>
        <v>Yes</v>
      </c>
      <c r="Q16" s="44" t="str">
        <f t="shared" si="6"/>
        <v>Yes</v>
      </c>
    </row>
    <row r="17" spans="1:17" x14ac:dyDescent="0.25">
      <c r="A17" s="46" t="s">
        <v>132</v>
      </c>
      <c r="B17" s="31">
        <v>900</v>
      </c>
      <c r="C17" s="31">
        <v>85</v>
      </c>
      <c r="D17" s="33">
        <v>20348</v>
      </c>
      <c r="E17" s="48">
        <f t="shared" si="7"/>
        <v>45.217777777777776</v>
      </c>
      <c r="F17" s="43">
        <v>0.2</v>
      </c>
      <c r="G17" s="42"/>
      <c r="H17" s="49">
        <f t="shared" si="0"/>
        <v>990</v>
      </c>
      <c r="I17" s="49">
        <f t="shared" si="1"/>
        <v>990</v>
      </c>
      <c r="J17" s="44" t="str">
        <f t="shared" si="2"/>
        <v>-</v>
      </c>
      <c r="K17" s="33">
        <v>292950</v>
      </c>
      <c r="L17" s="43">
        <v>0.2</v>
      </c>
      <c r="M17" s="42"/>
      <c r="N17" s="45">
        <f t="shared" si="3"/>
        <v>180</v>
      </c>
      <c r="O17" s="45">
        <f t="shared" si="4"/>
        <v>180</v>
      </c>
      <c r="P17" s="44" t="str">
        <f t="shared" si="5"/>
        <v>Yes</v>
      </c>
      <c r="Q17" s="44" t="str">
        <f t="shared" si="6"/>
        <v>Yes</v>
      </c>
    </row>
    <row r="18" spans="1:17" x14ac:dyDescent="0.25">
      <c r="A18" s="46" t="s">
        <v>133</v>
      </c>
      <c r="B18" s="31">
        <v>190</v>
      </c>
      <c r="C18" s="32"/>
      <c r="D18" s="33">
        <v>5553</v>
      </c>
      <c r="E18" s="48">
        <f t="shared" si="7"/>
        <v>58.452631578947368</v>
      </c>
      <c r="F18" s="43">
        <v>0.1</v>
      </c>
      <c r="G18" s="42"/>
      <c r="H18" s="49">
        <f t="shared" si="0"/>
        <v>199.5</v>
      </c>
      <c r="I18" s="49">
        <f t="shared" si="1"/>
        <v>199.5</v>
      </c>
      <c r="J18" s="44" t="str">
        <f t="shared" si="2"/>
        <v>-</v>
      </c>
      <c r="K18" s="33">
        <v>582970</v>
      </c>
      <c r="L18" s="43">
        <v>0.1</v>
      </c>
      <c r="M18" s="43">
        <v>0.2</v>
      </c>
      <c r="N18" s="45">
        <f t="shared" si="3"/>
        <v>19</v>
      </c>
      <c r="O18" s="45">
        <f t="shared" si="4"/>
        <v>38</v>
      </c>
      <c r="P18" s="44" t="str">
        <f t="shared" si="5"/>
        <v>Yes</v>
      </c>
      <c r="Q18" s="44" t="str">
        <f t="shared" si="6"/>
        <v>Yes</v>
      </c>
    </row>
    <row r="19" spans="1:17" x14ac:dyDescent="0.25">
      <c r="A19" s="47" t="s">
        <v>134</v>
      </c>
      <c r="B19" s="31">
        <v>130</v>
      </c>
      <c r="C19" s="32"/>
      <c r="D19" s="33">
        <v>4238</v>
      </c>
      <c r="E19" s="48">
        <f t="shared" si="7"/>
        <v>65.2</v>
      </c>
      <c r="F19" s="42"/>
      <c r="G19" s="42"/>
      <c r="H19" s="49">
        <f t="shared" si="0"/>
        <v>130</v>
      </c>
      <c r="I19" s="49">
        <f t="shared" si="1"/>
        <v>130</v>
      </c>
      <c r="J19" s="44" t="str">
        <f t="shared" si="2"/>
        <v>Yes</v>
      </c>
      <c r="K19" s="33">
        <v>739460</v>
      </c>
      <c r="L19" s="42"/>
      <c r="M19" s="42"/>
      <c r="N19" s="45">
        <f t="shared" si="3"/>
        <v>0</v>
      </c>
      <c r="O19" s="45">
        <f t="shared" si="4"/>
        <v>0</v>
      </c>
      <c r="P19" s="44" t="str">
        <f t="shared" si="5"/>
        <v>Yes</v>
      </c>
      <c r="Q19" s="44" t="str">
        <f t="shared" si="6"/>
        <v>Yes</v>
      </c>
    </row>
    <row r="20" spans="1:17" x14ac:dyDescent="0.25">
      <c r="A20" s="32" t="s">
        <v>135</v>
      </c>
      <c r="B20" s="33">
        <v>8000</v>
      </c>
      <c r="C20" s="31">
        <v>540</v>
      </c>
      <c r="D20" s="33">
        <v>7845120</v>
      </c>
      <c r="E20" s="48">
        <f t="shared" si="7"/>
        <v>1961.28</v>
      </c>
      <c r="F20" s="43">
        <v>0.14000000000000001</v>
      </c>
      <c r="G20" s="42"/>
      <c r="H20" s="49">
        <f t="shared" si="0"/>
        <v>8560</v>
      </c>
      <c r="I20" s="49">
        <f t="shared" si="1"/>
        <v>8560</v>
      </c>
      <c r="J20" s="44" t="str">
        <f t="shared" si="2"/>
        <v>-</v>
      </c>
      <c r="K20" s="34">
        <v>359571000</v>
      </c>
      <c r="L20" s="43">
        <v>20</v>
      </c>
      <c r="M20" s="43">
        <v>40</v>
      </c>
      <c r="N20" s="45">
        <f t="shared" si="3"/>
        <v>160000</v>
      </c>
      <c r="O20" s="45">
        <f t="shared" si="4"/>
        <v>320000</v>
      </c>
      <c r="P20" s="44" t="str">
        <f t="shared" si="5"/>
        <v>Yes</v>
      </c>
      <c r="Q20" s="44" t="str">
        <f t="shared" si="6"/>
        <v>Yes</v>
      </c>
    </row>
    <row r="21" spans="1:17" x14ac:dyDescent="0.25">
      <c r="A21" s="46" t="s">
        <v>136</v>
      </c>
      <c r="B21" s="31">
        <v>150</v>
      </c>
      <c r="C21" s="32"/>
      <c r="D21" s="31">
        <v>614</v>
      </c>
      <c r="E21" s="48">
        <f t="shared" si="7"/>
        <v>8.1866666666666674</v>
      </c>
      <c r="F21" s="42"/>
      <c r="G21" s="42"/>
      <c r="H21" s="49">
        <f t="shared" si="0"/>
        <v>150</v>
      </c>
      <c r="I21" s="49">
        <f t="shared" si="1"/>
        <v>150</v>
      </c>
      <c r="J21" s="44" t="str">
        <f t="shared" si="2"/>
        <v>Yes</v>
      </c>
      <c r="K21" s="33">
        <v>58600</v>
      </c>
      <c r="L21" s="42"/>
      <c r="M21" s="42"/>
      <c r="N21" s="45">
        <f t="shared" si="3"/>
        <v>0</v>
      </c>
      <c r="O21" s="45">
        <f t="shared" si="4"/>
        <v>0</v>
      </c>
      <c r="P21" s="44" t="str">
        <f t="shared" si="5"/>
        <v>Yes</v>
      </c>
      <c r="Q21" s="44" t="str">
        <f t="shared" si="6"/>
        <v>Yes</v>
      </c>
    </row>
    <row r="22" spans="1:17" x14ac:dyDescent="0.25">
      <c r="A22" s="46" t="s">
        <v>137</v>
      </c>
      <c r="B22" s="31">
        <v>300</v>
      </c>
      <c r="C22" s="32"/>
      <c r="D22" s="33">
        <v>2741</v>
      </c>
      <c r="E22" s="48">
        <f t="shared" si="7"/>
        <v>18.273333333333333</v>
      </c>
      <c r="F22" s="43">
        <v>0.1</v>
      </c>
      <c r="G22" s="42"/>
      <c r="H22" s="49">
        <f t="shared" si="0"/>
        <v>315</v>
      </c>
      <c r="I22" s="49">
        <f t="shared" si="1"/>
        <v>315</v>
      </c>
      <c r="J22" s="44" t="str">
        <f t="shared" si="2"/>
        <v>-</v>
      </c>
      <c r="K22" s="33">
        <v>107140</v>
      </c>
      <c r="L22" s="43">
        <v>1</v>
      </c>
      <c r="M22" s="42"/>
      <c r="N22" s="45">
        <f t="shared" si="3"/>
        <v>300</v>
      </c>
      <c r="O22" s="45">
        <f t="shared" si="4"/>
        <v>300</v>
      </c>
      <c r="P22" s="44" t="str">
        <f t="shared" si="5"/>
        <v>Yes</v>
      </c>
      <c r="Q22" s="44" t="str">
        <f t="shared" si="6"/>
        <v>Yes</v>
      </c>
    </row>
    <row r="23" spans="1:17" x14ac:dyDescent="0.25">
      <c r="A23" s="46" t="s">
        <v>148</v>
      </c>
      <c r="B23" s="31">
        <v>670</v>
      </c>
      <c r="C23" s="31">
        <v>180</v>
      </c>
      <c r="D23" s="33">
        <v>12376</v>
      </c>
      <c r="E23" s="48">
        <f t="shared" ref="E23" si="8">IF((B23&gt;0),(D23/(B23/2)),0)</f>
        <v>36.943283582089549</v>
      </c>
      <c r="F23" s="43"/>
      <c r="G23" s="42"/>
      <c r="H23" s="49">
        <f t="shared" ref="H23" si="9">(F23*(B23/2)+B23)</f>
        <v>670</v>
      </c>
      <c r="I23" s="49">
        <f t="shared" ref="I23" si="10">IF(G23&gt;=F23,SUM(G23*(B23/2)+B23),H23)</f>
        <v>670</v>
      </c>
      <c r="J23" s="44" t="str">
        <f t="shared" ref="J23" si="11">IF(H23&lt;=B23+C23,"Yes","-")</f>
        <v>Yes</v>
      </c>
      <c r="K23" s="33">
        <v>187500</v>
      </c>
      <c r="L23" s="43"/>
      <c r="M23" s="42"/>
      <c r="N23" s="45">
        <f t="shared" ref="N23" si="12">L23*B23</f>
        <v>0</v>
      </c>
      <c r="O23" s="45">
        <f t="shared" ref="O23" si="13">IF((M23*B23&gt;=N23),M23*B23,N23)</f>
        <v>0</v>
      </c>
      <c r="P23" s="44" t="str">
        <f t="shared" ref="P23" si="14">IF(SUM(H23-(N23/2))&lt;=B23+C23,"Yes","-")</f>
        <v>Yes</v>
      </c>
      <c r="Q23" s="44" t="str">
        <f t="shared" ref="Q23" si="15">IF(SUM(I23-(O23/2))&lt;=B23+C23,"Yes","-")</f>
        <v>Yes</v>
      </c>
    </row>
    <row r="24" spans="1:17" x14ac:dyDescent="0.25">
      <c r="A24" s="46" t="s">
        <v>138</v>
      </c>
      <c r="B24" s="31">
        <v>750</v>
      </c>
      <c r="C24" s="31">
        <v>90</v>
      </c>
      <c r="D24" s="33">
        <v>19297</v>
      </c>
      <c r="E24" s="48">
        <f t="shared" si="7"/>
        <v>51.458666666666666</v>
      </c>
      <c r="F24" s="43">
        <v>0.25</v>
      </c>
      <c r="G24" s="42"/>
      <c r="H24" s="49">
        <f t="shared" si="0"/>
        <v>843.75</v>
      </c>
      <c r="I24" s="49">
        <f t="shared" si="1"/>
        <v>843.75</v>
      </c>
      <c r="J24" s="44" t="str">
        <f t="shared" si="2"/>
        <v>-</v>
      </c>
      <c r="K24" s="33">
        <v>309380</v>
      </c>
      <c r="L24" s="43">
        <v>1</v>
      </c>
      <c r="M24" s="42"/>
      <c r="N24" s="45">
        <f t="shared" si="3"/>
        <v>750</v>
      </c>
      <c r="O24" s="45">
        <f t="shared" si="4"/>
        <v>750</v>
      </c>
      <c r="P24" s="44" t="str">
        <f t="shared" si="5"/>
        <v>Yes</v>
      </c>
      <c r="Q24" s="44" t="str">
        <f t="shared" si="6"/>
        <v>Yes</v>
      </c>
    </row>
    <row r="25" spans="1:17" x14ac:dyDescent="0.25">
      <c r="A25" s="46" t="s">
        <v>139</v>
      </c>
      <c r="B25" s="31">
        <v>500</v>
      </c>
      <c r="C25" s="32"/>
      <c r="D25" s="33">
        <v>26558</v>
      </c>
      <c r="E25" s="48">
        <f t="shared" si="7"/>
        <v>106.232</v>
      </c>
      <c r="F25" s="42"/>
      <c r="G25" s="42"/>
      <c r="H25" s="49">
        <f t="shared" si="0"/>
        <v>500</v>
      </c>
      <c r="I25" s="49">
        <f t="shared" si="1"/>
        <v>500</v>
      </c>
      <c r="J25" s="44" t="str">
        <f t="shared" si="2"/>
        <v>Yes</v>
      </c>
      <c r="K25" s="33">
        <v>575680</v>
      </c>
      <c r="L25" s="42"/>
      <c r="M25" s="42"/>
      <c r="N25" s="45">
        <f t="shared" si="3"/>
        <v>0</v>
      </c>
      <c r="O25" s="45">
        <f t="shared" si="4"/>
        <v>0</v>
      </c>
      <c r="P25" s="44" t="str">
        <f t="shared" si="5"/>
        <v>Yes</v>
      </c>
      <c r="Q25" s="44" t="str">
        <f t="shared" si="6"/>
        <v>Yes</v>
      </c>
    </row>
    <row r="26" spans="1:17" x14ac:dyDescent="0.25">
      <c r="A26" s="32" t="s">
        <v>140</v>
      </c>
      <c r="B26" s="31">
        <v>450</v>
      </c>
      <c r="C26" s="32"/>
      <c r="D26" s="33">
        <v>469439</v>
      </c>
      <c r="E26" s="48">
        <f t="shared" si="7"/>
        <v>2086.3955555555553</v>
      </c>
      <c r="F26" s="42"/>
      <c r="G26" s="42"/>
      <c r="H26" s="49">
        <f t="shared" si="0"/>
        <v>450</v>
      </c>
      <c r="I26" s="49">
        <f t="shared" si="1"/>
        <v>450</v>
      </c>
      <c r="J26" s="44" t="str">
        <f t="shared" si="2"/>
        <v>Yes</v>
      </c>
      <c r="K26" s="34">
        <v>527129000</v>
      </c>
      <c r="L26" s="42"/>
      <c r="M26" s="42"/>
      <c r="N26" s="45">
        <f t="shared" si="3"/>
        <v>0</v>
      </c>
      <c r="O26" s="45">
        <f t="shared" si="4"/>
        <v>0</v>
      </c>
      <c r="P26" s="44" t="str">
        <f t="shared" si="5"/>
        <v>Yes</v>
      </c>
      <c r="Q26" s="44" t="str">
        <f t="shared" si="6"/>
        <v>Yes</v>
      </c>
    </row>
    <row r="27" spans="1:17" x14ac:dyDescent="0.25">
      <c r="A27" s="32" t="s">
        <v>141</v>
      </c>
      <c r="B27" s="31">
        <v>600</v>
      </c>
      <c r="C27" s="31">
        <v>80</v>
      </c>
      <c r="D27" s="33">
        <v>612195</v>
      </c>
      <c r="E27" s="48">
        <f t="shared" si="7"/>
        <v>2040.65</v>
      </c>
      <c r="F27" s="43">
        <v>0.27</v>
      </c>
      <c r="G27" s="43">
        <v>10</v>
      </c>
      <c r="H27" s="49">
        <f t="shared" si="0"/>
        <v>681</v>
      </c>
      <c r="I27" s="49">
        <f t="shared" si="1"/>
        <v>3600</v>
      </c>
      <c r="J27" s="44" t="str">
        <f t="shared" si="2"/>
        <v>-</v>
      </c>
      <c r="K27" s="34">
        <v>471171300</v>
      </c>
      <c r="L27" s="42"/>
      <c r="M27" s="42"/>
      <c r="N27" s="45">
        <f t="shared" si="3"/>
        <v>0</v>
      </c>
      <c r="O27" s="45">
        <f t="shared" si="4"/>
        <v>0</v>
      </c>
      <c r="P27" s="44" t="str">
        <f t="shared" si="5"/>
        <v>-</v>
      </c>
      <c r="Q27" s="44" t="str">
        <f t="shared" si="6"/>
        <v>-</v>
      </c>
    </row>
    <row r="28" spans="1:17" x14ac:dyDescent="0.25">
      <c r="A28" s="46" t="s">
        <v>142</v>
      </c>
      <c r="B28" s="31">
        <v>200</v>
      </c>
      <c r="C28" s="32"/>
      <c r="D28" s="33">
        <v>7782</v>
      </c>
      <c r="E28" s="48">
        <f t="shared" si="7"/>
        <v>77.819999999999993</v>
      </c>
      <c r="F28" s="42"/>
      <c r="G28" s="42"/>
      <c r="H28" s="49">
        <f t="shared" si="0"/>
        <v>200</v>
      </c>
      <c r="I28" s="49">
        <f t="shared" si="1"/>
        <v>200</v>
      </c>
      <c r="J28" s="44" t="str">
        <f t="shared" si="2"/>
        <v>Yes</v>
      </c>
      <c r="K28" s="33">
        <v>31800</v>
      </c>
      <c r="L28" s="42"/>
      <c r="M28" s="42"/>
      <c r="N28" s="45">
        <f t="shared" si="3"/>
        <v>0</v>
      </c>
      <c r="O28" s="45">
        <f t="shared" si="4"/>
        <v>0</v>
      </c>
      <c r="P28" s="44" t="str">
        <f t="shared" si="5"/>
        <v>Yes</v>
      </c>
      <c r="Q28" s="44" t="str">
        <f t="shared" si="6"/>
        <v>Yes</v>
      </c>
    </row>
    <row r="29" spans="1:17" x14ac:dyDescent="0.25">
      <c r="A29" s="46" t="s">
        <v>143</v>
      </c>
      <c r="B29" s="31">
        <v>10</v>
      </c>
      <c r="C29" s="32"/>
      <c r="D29" s="31">
        <v>544</v>
      </c>
      <c r="E29" s="48">
        <f t="shared" si="7"/>
        <v>108.8</v>
      </c>
      <c r="F29" s="42"/>
      <c r="G29" s="42"/>
      <c r="H29" s="49">
        <f t="shared" si="0"/>
        <v>10</v>
      </c>
      <c r="I29" s="49">
        <f t="shared" si="1"/>
        <v>10</v>
      </c>
      <c r="J29" s="44" t="str">
        <f t="shared" si="2"/>
        <v>Yes</v>
      </c>
      <c r="K29" s="33">
        <v>64670</v>
      </c>
      <c r="L29" s="43">
        <v>20</v>
      </c>
      <c r="M29" s="43">
        <v>40</v>
      </c>
      <c r="N29" s="45">
        <f t="shared" si="3"/>
        <v>200</v>
      </c>
      <c r="O29" s="45">
        <f t="shared" si="4"/>
        <v>400</v>
      </c>
      <c r="P29" s="44" t="str">
        <f t="shared" si="5"/>
        <v>Yes</v>
      </c>
      <c r="Q29" s="44" t="str">
        <f t="shared" si="6"/>
        <v>Yes</v>
      </c>
    </row>
    <row r="30" spans="1:17" x14ac:dyDescent="0.25">
      <c r="A30" s="32" t="s">
        <v>144</v>
      </c>
      <c r="B30" s="33">
        <v>3600</v>
      </c>
      <c r="C30" s="31">
        <v>200</v>
      </c>
      <c r="D30" s="33">
        <v>20213317</v>
      </c>
      <c r="E30" s="48">
        <f t="shared" si="7"/>
        <v>11229.620555555555</v>
      </c>
      <c r="F30" s="43">
        <v>0.12</v>
      </c>
      <c r="G30" s="42"/>
      <c r="H30" s="49">
        <f t="shared" si="0"/>
        <v>3816</v>
      </c>
      <c r="I30" s="49">
        <f t="shared" si="1"/>
        <v>3816</v>
      </c>
      <c r="J30" s="44" t="str">
        <f t="shared" si="2"/>
        <v>-</v>
      </c>
      <c r="K30" s="34">
        <v>1712000000</v>
      </c>
      <c r="L30" s="42"/>
      <c r="M30" s="42"/>
      <c r="N30" s="45">
        <f t="shared" si="3"/>
        <v>0</v>
      </c>
      <c r="O30" s="45">
        <f t="shared" si="4"/>
        <v>0</v>
      </c>
      <c r="P30" s="44" t="str">
        <f t="shared" si="5"/>
        <v>-</v>
      </c>
      <c r="Q30" s="44" t="str">
        <f t="shared" si="6"/>
        <v>-</v>
      </c>
    </row>
    <row r="31" spans="1:17" x14ac:dyDescent="0.25">
      <c r="A31" s="46" t="s">
        <v>145</v>
      </c>
      <c r="B31" s="31">
        <v>320</v>
      </c>
      <c r="C31" s="32"/>
      <c r="D31" s="33">
        <v>2616</v>
      </c>
      <c r="E31" s="48">
        <f t="shared" si="7"/>
        <v>16.350000000000001</v>
      </c>
      <c r="F31" s="42"/>
      <c r="G31" s="42"/>
      <c r="H31" s="49">
        <f t="shared" si="0"/>
        <v>320</v>
      </c>
      <c r="I31" s="49">
        <f t="shared" si="1"/>
        <v>320</v>
      </c>
      <c r="J31" s="44" t="str">
        <f t="shared" si="2"/>
        <v>Yes</v>
      </c>
      <c r="K31" s="33">
        <v>55880</v>
      </c>
      <c r="L31" s="42"/>
      <c r="M31" s="42"/>
      <c r="N31" s="45">
        <f t="shared" si="3"/>
        <v>0</v>
      </c>
      <c r="O31" s="45">
        <f t="shared" si="4"/>
        <v>0</v>
      </c>
      <c r="P31" s="44" t="str">
        <f t="shared" si="5"/>
        <v>Yes</v>
      </c>
      <c r="Q31" s="44" t="str">
        <f t="shared" si="6"/>
        <v>Yes</v>
      </c>
    </row>
    <row r="32" spans="1:17" x14ac:dyDescent="0.25">
      <c r="A32" s="46" t="s">
        <v>146</v>
      </c>
      <c r="B32" s="31">
        <v>700</v>
      </c>
      <c r="C32" s="30"/>
      <c r="D32" s="33">
        <v>15914</v>
      </c>
      <c r="E32" s="48">
        <f t="shared" si="7"/>
        <v>45.46857142857143</v>
      </c>
      <c r="F32" s="42"/>
      <c r="G32" s="42"/>
      <c r="H32" s="49">
        <f t="shared" si="0"/>
        <v>700</v>
      </c>
      <c r="I32" s="49">
        <f t="shared" si="1"/>
        <v>700</v>
      </c>
      <c r="J32" s="44" t="str">
        <f t="shared" si="2"/>
        <v>Yes</v>
      </c>
      <c r="K32" s="33">
        <v>125980</v>
      </c>
      <c r="L32" s="42"/>
      <c r="M32" s="42"/>
      <c r="N32" s="45">
        <f t="shared" si="3"/>
        <v>0</v>
      </c>
      <c r="O32" s="45">
        <f t="shared" si="4"/>
        <v>0</v>
      </c>
      <c r="P32" s="44" t="str">
        <f t="shared" si="5"/>
        <v>Yes</v>
      </c>
      <c r="Q32" s="44" t="str">
        <f t="shared" si="6"/>
        <v>Yes</v>
      </c>
    </row>
    <row r="33" spans="1:17" x14ac:dyDescent="0.25">
      <c r="A33" s="47" t="s">
        <v>147</v>
      </c>
      <c r="B33" s="31">
        <v>110</v>
      </c>
      <c r="C33" s="32"/>
      <c r="D33" s="33">
        <v>9653</v>
      </c>
      <c r="E33" s="48">
        <f t="shared" si="7"/>
        <v>175.5090909090909</v>
      </c>
      <c r="F33" s="42"/>
      <c r="G33" s="42"/>
      <c r="H33" s="49">
        <f t="shared" si="0"/>
        <v>110</v>
      </c>
      <c r="I33" s="49">
        <f t="shared" si="1"/>
        <v>110</v>
      </c>
      <c r="J33" s="44" t="str">
        <f t="shared" si="2"/>
        <v>Yes</v>
      </c>
      <c r="K33" s="33">
        <v>751900</v>
      </c>
      <c r="L33" s="42"/>
      <c r="M33" s="42"/>
      <c r="N33" s="45">
        <f t="shared" si="3"/>
        <v>0</v>
      </c>
      <c r="O33" s="45">
        <f t="shared" si="4"/>
        <v>0</v>
      </c>
      <c r="P33" s="44" t="str">
        <f t="shared" si="5"/>
        <v>Yes</v>
      </c>
      <c r="Q33" s="44" t="str">
        <f t="shared" si="6"/>
        <v>Yes</v>
      </c>
    </row>
    <row r="34" spans="1:17" x14ac:dyDescent="0.25">
      <c r="A34" s="39"/>
      <c r="B34" s="39"/>
      <c r="C34" s="40"/>
      <c r="D34" s="39"/>
      <c r="E34" s="37"/>
      <c r="F34" s="35"/>
      <c r="G34" s="35"/>
      <c r="H34" s="37"/>
      <c r="I34" s="37"/>
      <c r="J34" s="37"/>
      <c r="K34" s="24"/>
      <c r="L34" s="35"/>
      <c r="M34" s="35"/>
      <c r="N34" s="37"/>
      <c r="O34" s="37"/>
      <c r="P34" s="37"/>
      <c r="Q34" s="37"/>
    </row>
    <row r="35" spans="1:17" x14ac:dyDescent="0.25">
      <c r="A35" s="40"/>
      <c r="B35" s="39"/>
      <c r="C35" s="40"/>
      <c r="D35" s="39"/>
      <c r="E35" s="37"/>
      <c r="F35" s="35"/>
      <c r="G35" s="35"/>
      <c r="H35" s="37"/>
      <c r="I35" s="37"/>
      <c r="J35" s="37"/>
      <c r="K35" s="25"/>
      <c r="L35" s="35"/>
      <c r="M35" s="35"/>
      <c r="N35" s="37"/>
      <c r="O35" s="37"/>
      <c r="P35" s="37"/>
      <c r="Q35" s="37"/>
    </row>
    <row r="36" spans="1:17" x14ac:dyDescent="0.25">
      <c r="A36" s="39"/>
      <c r="B36" s="39"/>
      <c r="C36" s="40"/>
      <c r="D36" s="39"/>
      <c r="E36" s="37"/>
      <c r="F36" s="35"/>
      <c r="G36" s="35"/>
      <c r="H36" s="37"/>
      <c r="I36" s="37"/>
      <c r="J36" s="37"/>
      <c r="K36" s="24"/>
      <c r="L36" s="35"/>
      <c r="M36" s="35"/>
      <c r="N36" s="37"/>
      <c r="O36" s="37"/>
      <c r="P36" s="37"/>
      <c r="Q36" s="37"/>
    </row>
    <row r="37" spans="1:17" x14ac:dyDescent="0.25">
      <c r="A37" s="39"/>
      <c r="B37" s="39"/>
      <c r="C37" s="40"/>
      <c r="D37" s="39"/>
      <c r="E37" s="37"/>
      <c r="F37" s="35"/>
      <c r="G37" s="35"/>
      <c r="H37" s="37"/>
      <c r="I37" s="37"/>
      <c r="J37" s="37"/>
      <c r="K37" s="24"/>
      <c r="L37" s="35"/>
      <c r="M37" s="35"/>
      <c r="N37" s="37"/>
      <c r="O37" s="37"/>
      <c r="P37" s="37"/>
      <c r="Q37" s="37"/>
    </row>
    <row r="38" spans="1:17" x14ac:dyDescent="0.25">
      <c r="A38" s="39"/>
      <c r="B38" s="39"/>
      <c r="C38" s="40"/>
      <c r="D38" s="39"/>
      <c r="E38" s="37"/>
      <c r="F38" s="35"/>
      <c r="G38" s="35"/>
      <c r="H38" s="37"/>
      <c r="I38" s="37"/>
      <c r="J38" s="37"/>
      <c r="K38" s="24"/>
      <c r="L38" s="35"/>
      <c r="M38" s="35"/>
      <c r="N38" s="37"/>
      <c r="O38" s="37"/>
      <c r="P38" s="37"/>
      <c r="Q38" s="37"/>
    </row>
    <row r="39" spans="1:17" x14ac:dyDescent="0.25">
      <c r="A39" s="39"/>
      <c r="B39" s="39"/>
      <c r="C39" s="40"/>
      <c r="D39" s="39"/>
      <c r="E39" s="37"/>
      <c r="F39" s="35"/>
      <c r="G39" s="35"/>
      <c r="H39" s="37"/>
      <c r="I39" s="37"/>
      <c r="J39" s="37"/>
      <c r="K39" s="25"/>
      <c r="L39" s="35"/>
      <c r="M39" s="35"/>
      <c r="N39" s="37"/>
      <c r="O39" s="37"/>
      <c r="P39" s="37"/>
      <c r="Q39" s="37"/>
    </row>
    <row r="40" spans="1:17" x14ac:dyDescent="0.25">
      <c r="A40" s="39"/>
      <c r="B40" s="39"/>
      <c r="C40" s="40"/>
      <c r="D40" s="39"/>
      <c r="E40" s="37"/>
      <c r="F40" s="35"/>
      <c r="G40" s="35"/>
      <c r="H40" s="37"/>
      <c r="I40" s="37"/>
      <c r="J40" s="37"/>
      <c r="K40" s="24"/>
      <c r="L40" s="35"/>
      <c r="M40" s="35"/>
      <c r="N40" s="37"/>
      <c r="O40" s="37"/>
      <c r="P40" s="37"/>
      <c r="Q40" s="37"/>
    </row>
    <row r="41" spans="1:17" x14ac:dyDescent="0.25">
      <c r="A41" s="39"/>
      <c r="B41" s="39"/>
      <c r="C41" s="40"/>
      <c r="D41" s="39"/>
      <c r="E41" s="37"/>
      <c r="F41" s="35"/>
      <c r="G41" s="35"/>
      <c r="H41" s="37"/>
      <c r="I41" s="37"/>
      <c r="J41" s="37"/>
      <c r="K41" s="24"/>
      <c r="L41" s="35"/>
      <c r="M41" s="35"/>
      <c r="N41" s="37"/>
      <c r="O41" s="37"/>
      <c r="P41" s="37"/>
      <c r="Q41" s="37"/>
    </row>
    <row r="42" spans="1:17" x14ac:dyDescent="0.25">
      <c r="A42" s="39"/>
      <c r="B42" s="39"/>
      <c r="C42" s="40"/>
      <c r="D42" s="39"/>
      <c r="E42" s="37"/>
      <c r="F42" s="35"/>
      <c r="G42" s="35"/>
      <c r="H42" s="37"/>
      <c r="I42" s="37"/>
      <c r="J42" s="37"/>
      <c r="K42" s="25"/>
      <c r="L42" s="35"/>
      <c r="M42" s="35"/>
      <c r="N42" s="37"/>
      <c r="O42" s="37"/>
      <c r="P42" s="37"/>
      <c r="Q42" s="37"/>
    </row>
    <row r="43" spans="1:17" x14ac:dyDescent="0.25">
      <c r="A43" s="40"/>
      <c r="B43" s="39"/>
      <c r="C43" s="39"/>
      <c r="D43" s="39"/>
      <c r="E43" s="37"/>
      <c r="F43" s="35"/>
      <c r="G43" s="35"/>
      <c r="H43" s="37"/>
      <c r="I43" s="37"/>
      <c r="J43" s="37"/>
      <c r="K43" s="25"/>
      <c r="L43" s="35"/>
      <c r="M43" s="35"/>
      <c r="N43" s="37"/>
      <c r="O43" s="37"/>
      <c r="P43" s="37"/>
      <c r="Q43" s="37"/>
    </row>
    <row r="44" spans="1:17" x14ac:dyDescent="0.25">
      <c r="A44" s="40"/>
      <c r="B44" s="39"/>
      <c r="C44" s="39"/>
      <c r="D44" s="39"/>
      <c r="E44" s="37"/>
      <c r="F44" s="35"/>
      <c r="G44" s="35"/>
      <c r="H44" s="37"/>
      <c r="I44" s="37"/>
      <c r="J44" s="37"/>
      <c r="K44" s="25"/>
      <c r="L44" s="35"/>
      <c r="M44" s="35"/>
      <c r="N44" s="37"/>
      <c r="O44" s="37"/>
      <c r="P44" s="37"/>
      <c r="Q44" s="37"/>
    </row>
    <row r="45" spans="1:17" x14ac:dyDescent="0.25">
      <c r="A45" s="39"/>
      <c r="B45" s="39"/>
      <c r="C45" s="39"/>
      <c r="D45" s="39"/>
      <c r="E45" s="37"/>
      <c r="F45" s="35"/>
      <c r="G45" s="35"/>
      <c r="H45" s="37"/>
      <c r="I45" s="37"/>
      <c r="J45" s="37"/>
      <c r="K45" s="23"/>
      <c r="L45" s="35"/>
      <c r="M45" s="35"/>
      <c r="N45" s="37"/>
      <c r="O45" s="37"/>
      <c r="P45" s="37"/>
      <c r="Q45" s="37"/>
    </row>
    <row r="46" spans="1:17" x14ac:dyDescent="0.25">
      <c r="A46" s="39"/>
      <c r="B46" s="39"/>
      <c r="C46" s="39"/>
      <c r="D46" s="39"/>
      <c r="E46" s="37"/>
      <c r="F46" s="35"/>
      <c r="G46" s="35"/>
      <c r="H46" s="37"/>
      <c r="I46" s="37"/>
      <c r="J46" s="37"/>
      <c r="K46" s="23"/>
      <c r="L46" s="35"/>
      <c r="M46" s="35"/>
      <c r="N46" s="37"/>
      <c r="O46" s="37"/>
      <c r="P46" s="37"/>
      <c r="Q46" s="37"/>
    </row>
    <row r="47" spans="1:17" x14ac:dyDescent="0.25">
      <c r="A47" s="39"/>
      <c r="B47" s="39"/>
      <c r="C47" s="39"/>
      <c r="D47" s="39"/>
      <c r="E47" s="37"/>
      <c r="F47" s="35"/>
      <c r="G47" s="35"/>
      <c r="H47" s="37"/>
      <c r="I47" s="37"/>
      <c r="J47" s="37"/>
      <c r="K47" s="23"/>
      <c r="L47" s="35"/>
      <c r="M47" s="35"/>
      <c r="N47" s="37"/>
      <c r="O47" s="37"/>
      <c r="P47" s="37"/>
      <c r="Q47" s="37"/>
    </row>
    <row r="48" spans="1:17" x14ac:dyDescent="0.25">
      <c r="A48" s="39"/>
      <c r="B48" s="39"/>
      <c r="C48" s="39"/>
      <c r="D48" s="39"/>
      <c r="E48" s="37"/>
      <c r="F48" s="35"/>
      <c r="G48" s="35"/>
      <c r="H48" s="37"/>
      <c r="I48" s="37"/>
      <c r="J48" s="37"/>
      <c r="K48" s="23"/>
      <c r="L48" s="35"/>
      <c r="M48" s="35"/>
      <c r="N48" s="37"/>
      <c r="O48" s="37"/>
      <c r="P48" s="37"/>
      <c r="Q48" s="37"/>
    </row>
    <row r="49" spans="1:17" x14ac:dyDescent="0.25">
      <c r="A49" s="39"/>
      <c r="B49" s="39"/>
      <c r="C49" s="39"/>
      <c r="D49" s="39"/>
      <c r="E49" s="37"/>
      <c r="F49" s="35"/>
      <c r="G49" s="35"/>
      <c r="H49" s="37"/>
      <c r="I49" s="37"/>
      <c r="J49" s="37"/>
      <c r="K49" s="23"/>
      <c r="L49" s="35"/>
      <c r="M49" s="35"/>
      <c r="N49" s="37"/>
      <c r="O49" s="37"/>
      <c r="P49" s="37"/>
      <c r="Q49" s="37"/>
    </row>
    <row r="50" spans="1:17" x14ac:dyDescent="0.25">
      <c r="A50" s="40"/>
      <c r="B50" s="39"/>
      <c r="C50" s="39"/>
      <c r="D50" s="39"/>
      <c r="E50" s="37"/>
      <c r="F50" s="35"/>
      <c r="G50" s="35"/>
      <c r="H50" s="37"/>
      <c r="I50" s="37"/>
      <c r="J50" s="37"/>
      <c r="K50" s="25"/>
      <c r="L50" s="35"/>
      <c r="M50" s="35"/>
      <c r="N50" s="37"/>
      <c r="O50" s="37"/>
      <c r="P50" s="37"/>
      <c r="Q50" s="37"/>
    </row>
    <row r="51" spans="1:17" x14ac:dyDescent="0.25">
      <c r="A51" s="39"/>
      <c r="B51" s="39"/>
      <c r="C51" s="39"/>
      <c r="D51" s="39"/>
      <c r="E51" s="37"/>
      <c r="F51" s="35"/>
      <c r="G51" s="35"/>
      <c r="H51" s="37"/>
      <c r="I51" s="37"/>
      <c r="J51" s="37"/>
      <c r="K51" s="23"/>
      <c r="L51" s="35"/>
      <c r="M51" s="35"/>
      <c r="N51" s="37"/>
      <c r="O51" s="37"/>
      <c r="P51" s="37"/>
      <c r="Q51" s="37"/>
    </row>
    <row r="52" spans="1:17" x14ac:dyDescent="0.25">
      <c r="A52" s="39"/>
      <c r="B52" s="39"/>
      <c r="C52" s="39"/>
      <c r="D52" s="39"/>
      <c r="E52" s="37"/>
      <c r="F52" s="35"/>
      <c r="G52" s="35"/>
      <c r="H52" s="37"/>
      <c r="I52" s="37"/>
      <c r="J52" s="37"/>
      <c r="K52" s="23"/>
      <c r="L52" s="35"/>
      <c r="M52" s="35"/>
      <c r="N52" s="37"/>
      <c r="O52" s="37"/>
      <c r="P52" s="37"/>
      <c r="Q52" s="37"/>
    </row>
    <row r="53" spans="1:17" x14ac:dyDescent="0.25">
      <c r="A53" s="39"/>
      <c r="B53" s="39"/>
      <c r="C53" s="39"/>
      <c r="D53" s="39"/>
      <c r="E53" s="37"/>
      <c r="F53" s="35"/>
      <c r="G53" s="35"/>
      <c r="H53" s="37"/>
      <c r="I53" s="37"/>
      <c r="J53" s="37"/>
      <c r="K53" s="23"/>
      <c r="L53" s="35"/>
      <c r="M53" s="35"/>
      <c r="N53" s="37"/>
      <c r="O53" s="37"/>
      <c r="P53" s="37"/>
      <c r="Q53" s="37"/>
    </row>
    <row r="54" spans="1:17" x14ac:dyDescent="0.25">
      <c r="A54" s="39"/>
      <c r="B54" s="39"/>
      <c r="C54" s="39"/>
      <c r="D54" s="39"/>
      <c r="E54" s="37"/>
      <c r="F54" s="35"/>
      <c r="G54" s="35"/>
      <c r="H54" s="37"/>
      <c r="I54" s="37"/>
      <c r="J54" s="37"/>
      <c r="K54" s="23"/>
      <c r="L54" s="35"/>
      <c r="M54" s="35"/>
      <c r="N54" s="37"/>
      <c r="O54" s="37"/>
      <c r="P54" s="37"/>
      <c r="Q54" s="37"/>
    </row>
    <row r="55" spans="1:17" x14ac:dyDescent="0.25">
      <c r="A55" s="40"/>
      <c r="B55" s="39"/>
      <c r="C55" s="39"/>
      <c r="D55" s="39"/>
      <c r="E55" s="37"/>
      <c r="F55" s="35"/>
      <c r="G55" s="35"/>
      <c r="H55" s="37"/>
      <c r="I55" s="37"/>
      <c r="J55" s="37"/>
      <c r="K55" s="25"/>
      <c r="L55" s="35"/>
      <c r="M55" s="35"/>
      <c r="N55" s="37"/>
      <c r="O55" s="37"/>
      <c r="P55" s="37"/>
      <c r="Q55" s="37"/>
    </row>
    <row r="56" spans="1:17" x14ac:dyDescent="0.25">
      <c r="A56" s="39"/>
      <c r="B56" s="39"/>
      <c r="C56" s="39"/>
      <c r="D56" s="39"/>
      <c r="E56" s="37"/>
      <c r="F56" s="35"/>
      <c r="G56" s="35"/>
      <c r="H56" s="37"/>
      <c r="I56" s="37"/>
      <c r="J56" s="37"/>
      <c r="K56" s="23"/>
      <c r="L56" s="35"/>
      <c r="M56" s="35"/>
      <c r="N56" s="37"/>
      <c r="O56" s="37"/>
      <c r="P56" s="37"/>
      <c r="Q56" s="37"/>
    </row>
    <row r="57" spans="1:17" x14ac:dyDescent="0.25">
      <c r="A57" s="39"/>
      <c r="B57" s="39"/>
      <c r="C57" s="39"/>
      <c r="D57" s="39"/>
      <c r="E57" s="37"/>
      <c r="F57" s="35"/>
      <c r="G57" s="35"/>
      <c r="H57" s="37"/>
      <c r="I57" s="37"/>
      <c r="J57" s="37"/>
      <c r="K57" s="23"/>
      <c r="L57" s="35"/>
      <c r="M57" s="35"/>
      <c r="N57" s="37"/>
      <c r="O57" s="37"/>
      <c r="P57" s="37"/>
      <c r="Q57" s="37"/>
    </row>
    <row r="58" spans="1:17" x14ac:dyDescent="0.25">
      <c r="A58" s="40"/>
      <c r="B58" s="39"/>
      <c r="C58" s="39"/>
      <c r="D58" s="39"/>
      <c r="E58" s="37"/>
      <c r="F58" s="35"/>
      <c r="G58" s="35"/>
      <c r="H58" s="37"/>
      <c r="I58" s="37"/>
      <c r="J58" s="37"/>
      <c r="K58" s="25"/>
      <c r="L58" s="35"/>
      <c r="M58" s="35"/>
      <c r="N58" s="37"/>
      <c r="O58" s="37"/>
      <c r="P58" s="37"/>
      <c r="Q58" s="37"/>
    </row>
    <row r="59" spans="1:17" x14ac:dyDescent="0.25">
      <c r="A59" s="39"/>
      <c r="B59" s="39"/>
      <c r="C59" s="39"/>
      <c r="D59" s="39"/>
      <c r="E59" s="37"/>
      <c r="F59" s="35"/>
      <c r="G59" s="35"/>
      <c r="H59" s="37"/>
      <c r="I59" s="37"/>
      <c r="J59" s="37"/>
      <c r="K59" s="23"/>
      <c r="L59" s="35"/>
      <c r="M59" s="35"/>
      <c r="N59" s="37"/>
      <c r="O59" s="37"/>
      <c r="P59" s="37"/>
      <c r="Q59" s="37"/>
    </row>
    <row r="60" spans="1:17" x14ac:dyDescent="0.25">
      <c r="A60" s="40"/>
      <c r="B60" s="39"/>
      <c r="C60" s="40"/>
      <c r="D60" s="40"/>
      <c r="E60" s="37"/>
      <c r="F60" s="35"/>
      <c r="G60" s="35"/>
      <c r="H60" s="37"/>
      <c r="I60" s="37"/>
      <c r="J60" s="37"/>
      <c r="K60" s="25"/>
      <c r="L60" s="35"/>
      <c r="M60" s="35"/>
      <c r="N60" s="37"/>
      <c r="O60" s="37"/>
      <c r="P60" s="37"/>
      <c r="Q60" s="37"/>
    </row>
    <row r="61" spans="1:17" x14ac:dyDescent="0.25">
      <c r="A61" s="40"/>
      <c r="B61" s="40"/>
      <c r="C61" s="40"/>
      <c r="D61" s="40"/>
      <c r="E61" s="37"/>
      <c r="F61" s="35"/>
      <c r="G61" s="35"/>
      <c r="H61" s="37"/>
      <c r="I61" s="37"/>
      <c r="J61" s="37"/>
      <c r="K61" s="25"/>
      <c r="L61" s="35"/>
      <c r="M61" s="35"/>
      <c r="N61" s="37"/>
      <c r="O61" s="37"/>
      <c r="P61" s="37"/>
      <c r="Q61" s="37"/>
    </row>
    <row r="62" spans="1:17" x14ac:dyDescent="0.25">
      <c r="A62" s="40"/>
      <c r="B62" s="40"/>
      <c r="C62" s="40"/>
      <c r="D62" s="40"/>
      <c r="E62" s="37"/>
      <c r="F62" s="35"/>
      <c r="G62" s="35"/>
      <c r="H62" s="37"/>
      <c r="I62" s="37"/>
      <c r="J62" s="37"/>
      <c r="K62" s="25"/>
      <c r="L62" s="35"/>
      <c r="M62" s="35"/>
      <c r="N62" s="37"/>
      <c r="O62" s="37"/>
      <c r="P62" s="37"/>
      <c r="Q62" s="37"/>
    </row>
    <row r="63" spans="1:17" x14ac:dyDescent="0.25">
      <c r="A63" s="40"/>
      <c r="B63" s="40"/>
      <c r="C63" s="40"/>
      <c r="D63" s="40"/>
      <c r="E63" s="37"/>
      <c r="F63" s="35"/>
      <c r="G63" s="35"/>
      <c r="H63" s="37"/>
      <c r="I63" s="37"/>
      <c r="J63" s="37"/>
      <c r="K63" s="25"/>
      <c r="L63" s="35"/>
      <c r="M63" s="35"/>
      <c r="N63" s="37"/>
      <c r="O63" s="37"/>
      <c r="P63" s="37"/>
      <c r="Q63" s="37"/>
    </row>
    <row r="64" spans="1:17" x14ac:dyDescent="0.25">
      <c r="A64" s="39"/>
      <c r="B64" s="39"/>
      <c r="C64" s="39"/>
      <c r="D64" s="39"/>
      <c r="E64" s="37"/>
      <c r="F64" s="35"/>
      <c r="G64" s="35"/>
      <c r="H64" s="37"/>
      <c r="I64" s="37"/>
      <c r="J64" s="37"/>
      <c r="K64" s="25"/>
      <c r="L64" s="35"/>
      <c r="M64" s="35"/>
      <c r="N64" s="37"/>
      <c r="O64" s="37"/>
      <c r="P64" s="37"/>
      <c r="Q64" s="37"/>
    </row>
    <row r="65" spans="1:17" x14ac:dyDescent="0.25">
      <c r="A65" s="39"/>
      <c r="B65" s="39"/>
      <c r="C65" s="39"/>
      <c r="D65" s="39"/>
      <c r="E65" s="37"/>
      <c r="F65" s="35"/>
      <c r="G65" s="35"/>
      <c r="H65" s="37"/>
      <c r="I65" s="37"/>
      <c r="J65" s="37"/>
      <c r="K65" s="23"/>
      <c r="L65" s="35"/>
      <c r="M65" s="35"/>
      <c r="N65" s="37"/>
      <c r="O65" s="37"/>
      <c r="P65" s="37"/>
      <c r="Q65" s="37"/>
    </row>
    <row r="66" spans="1:17" x14ac:dyDescent="0.25">
      <c r="A66" s="39"/>
      <c r="B66" s="39"/>
      <c r="C66" s="39"/>
      <c r="D66" s="39"/>
      <c r="E66" s="37"/>
      <c r="F66" s="35"/>
      <c r="G66" s="35"/>
      <c r="H66" s="37"/>
      <c r="I66" s="37"/>
      <c r="J66" s="37"/>
      <c r="K66" s="23"/>
      <c r="L66" s="35"/>
      <c r="M66" s="35"/>
      <c r="N66" s="37"/>
      <c r="O66" s="37"/>
      <c r="P66" s="37"/>
      <c r="Q66" s="37"/>
    </row>
    <row r="67" spans="1:17" x14ac:dyDescent="0.25">
      <c r="A67" s="39"/>
      <c r="B67" s="39"/>
      <c r="C67" s="39"/>
      <c r="D67" s="39"/>
      <c r="E67" s="37"/>
      <c r="F67" s="35"/>
      <c r="G67" s="35"/>
      <c r="H67" s="37"/>
      <c r="I67" s="37"/>
      <c r="J67" s="37"/>
      <c r="K67" s="23"/>
      <c r="L67" s="35"/>
      <c r="M67" s="35"/>
      <c r="N67" s="37"/>
      <c r="O67" s="37"/>
      <c r="P67" s="37"/>
      <c r="Q67" s="37"/>
    </row>
    <row r="68" spans="1:17" x14ac:dyDescent="0.25">
      <c r="A68" s="39"/>
      <c r="B68" s="39"/>
      <c r="C68" s="39"/>
      <c r="D68" s="39"/>
      <c r="E68" s="37"/>
      <c r="F68" s="35"/>
      <c r="G68" s="35"/>
      <c r="H68" s="37"/>
      <c r="I68" s="37"/>
      <c r="J68" s="37"/>
      <c r="K68" s="23"/>
      <c r="L68" s="35"/>
      <c r="M68" s="35"/>
      <c r="N68" s="37"/>
      <c r="O68" s="37"/>
      <c r="P68" s="37"/>
      <c r="Q68" s="37"/>
    </row>
    <row r="69" spans="1:17" x14ac:dyDescent="0.25">
      <c r="A69" s="39"/>
      <c r="B69" s="39"/>
      <c r="C69" s="39"/>
      <c r="D69" s="39"/>
      <c r="E69" s="37"/>
      <c r="F69" s="35"/>
      <c r="G69" s="35"/>
      <c r="H69" s="37"/>
      <c r="I69" s="37"/>
      <c r="J69" s="37"/>
      <c r="K69" s="23"/>
      <c r="L69" s="35"/>
      <c r="M69" s="35"/>
      <c r="N69" s="37"/>
      <c r="O69" s="37"/>
      <c r="P69" s="37"/>
      <c r="Q69" s="37"/>
    </row>
    <row r="70" spans="1:17" x14ac:dyDescent="0.25">
      <c r="A70" s="39"/>
      <c r="B70" s="39"/>
      <c r="C70" s="39"/>
      <c r="D70" s="39"/>
      <c r="E70" s="37"/>
      <c r="F70" s="35"/>
      <c r="G70" s="35"/>
      <c r="H70" s="37"/>
      <c r="I70" s="37"/>
      <c r="J70" s="37"/>
      <c r="K70" s="23"/>
      <c r="L70" s="35"/>
      <c r="M70" s="35"/>
      <c r="N70" s="37"/>
      <c r="O70" s="37"/>
      <c r="P70" s="37"/>
      <c r="Q70" s="37"/>
    </row>
    <row r="71" spans="1:17" x14ac:dyDescent="0.25">
      <c r="A71" s="40"/>
      <c r="B71" s="40"/>
      <c r="C71" s="40"/>
      <c r="D71" s="40"/>
      <c r="E71" s="37"/>
      <c r="F71" s="35"/>
      <c r="G71" s="35"/>
      <c r="H71" s="37"/>
      <c r="I71" s="37"/>
      <c r="J71" s="37"/>
      <c r="K71" s="23"/>
      <c r="L71" s="35"/>
      <c r="M71" s="35"/>
      <c r="N71" s="37"/>
      <c r="O71" s="37"/>
      <c r="P71" s="37"/>
      <c r="Q71" s="37"/>
    </row>
    <row r="72" spans="1:17" x14ac:dyDescent="0.25">
      <c r="A72" s="39"/>
      <c r="B72" s="39"/>
      <c r="C72" s="39"/>
      <c r="D72" s="39"/>
      <c r="E72" s="37"/>
      <c r="F72" s="35"/>
      <c r="G72" s="35"/>
      <c r="H72" s="37"/>
      <c r="I72" s="37"/>
      <c r="J72" s="37"/>
      <c r="K72" s="23"/>
      <c r="L72" s="35"/>
      <c r="M72" s="35"/>
      <c r="N72" s="37"/>
      <c r="O72" s="37"/>
      <c r="P72" s="37"/>
      <c r="Q72" s="37"/>
    </row>
    <row r="73" spans="1:17" x14ac:dyDescent="0.25">
      <c r="A73" s="39"/>
      <c r="B73" s="39"/>
      <c r="C73" s="39"/>
      <c r="D73" s="39"/>
      <c r="E73" s="37"/>
      <c r="F73" s="35"/>
      <c r="G73" s="35"/>
      <c r="H73" s="37"/>
      <c r="I73" s="37"/>
      <c r="J73" s="37"/>
      <c r="K73" s="23"/>
      <c r="L73" s="35"/>
      <c r="M73" s="35"/>
      <c r="N73" s="37"/>
      <c r="O73" s="37"/>
      <c r="P73" s="37"/>
      <c r="Q73" s="37"/>
    </row>
    <row r="74" spans="1:17" x14ac:dyDescent="0.25">
      <c r="A74" s="39"/>
      <c r="B74" s="39"/>
      <c r="C74" s="39"/>
      <c r="D74" s="39"/>
      <c r="E74" s="37"/>
      <c r="F74" s="35"/>
      <c r="G74" s="35"/>
      <c r="H74" s="37"/>
      <c r="I74" s="37"/>
      <c r="J74" s="37"/>
      <c r="K74" s="23"/>
      <c r="L74" s="35"/>
      <c r="M74" s="35"/>
      <c r="N74" s="37"/>
      <c r="O74" s="37"/>
      <c r="P74" s="37"/>
      <c r="Q74" s="37"/>
    </row>
    <row r="75" spans="1:17" x14ac:dyDescent="0.25">
      <c r="A75" s="39"/>
      <c r="B75" s="39"/>
      <c r="C75" s="40"/>
      <c r="D75" s="39"/>
      <c r="E75" s="37"/>
      <c r="F75" s="35"/>
      <c r="G75" s="35"/>
      <c r="H75" s="37"/>
      <c r="I75" s="37"/>
      <c r="J75" s="37"/>
      <c r="K75" s="23"/>
      <c r="L75" s="35"/>
      <c r="M75" s="35"/>
      <c r="N75" s="37"/>
      <c r="O75" s="37"/>
      <c r="P75" s="37"/>
      <c r="Q75" s="3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molar Mass</vt:lpstr>
      <vt:lpstr>Surface</vt:lpstr>
      <vt:lpstr>Ocean</vt:lpstr>
      <vt:lpstr>Atmo</vt:lpstr>
      <vt:lpstr>Exo Bands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2020-03-27T00:59:48Z</dcterms:modified>
  <cp:category/>
  <cp:contentStatus/>
</cp:coreProperties>
</file>