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RationalResources\"/>
    </mc:Choice>
  </mc:AlternateContent>
  <bookViews>
    <workbookView xWindow="31620" yWindow="0" windowWidth="17700" windowHeight="10485"/>
  </bookViews>
  <sheets>
    <sheet name="Calc (Kg)" sheetId="6" r:id="rId1"/>
    <sheet name="Calc (Moles)" sheetId="7" r:id="rId2"/>
    <sheet name="Database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1" i="1" l="1"/>
  <c r="D31" i="1"/>
  <c r="D8" i="6" l="1"/>
  <c r="E85" i="1"/>
  <c r="E84" i="1"/>
  <c r="E30" i="1"/>
  <c r="E14" i="1" l="1"/>
  <c r="F25" i="1"/>
  <c r="E25" i="1"/>
  <c r="F36" i="1"/>
  <c r="E36" i="1"/>
  <c r="F16" i="1" l="1"/>
  <c r="E16" i="1"/>
  <c r="E43" i="1"/>
  <c r="F43" i="1"/>
  <c r="E40" i="1"/>
  <c r="E24" i="1"/>
  <c r="F24" i="1" s="1"/>
  <c r="F40" i="1"/>
  <c r="E34" i="1" l="1"/>
  <c r="E35" i="1"/>
  <c r="F34" i="1"/>
  <c r="F35" i="1"/>
  <c r="E47" i="1"/>
  <c r="F47" i="1"/>
  <c r="F18" i="1"/>
  <c r="E18" i="1"/>
  <c r="F29" i="1"/>
  <c r="E29" i="1"/>
  <c r="F76" i="1"/>
  <c r="E76" i="1"/>
  <c r="E108" i="1" l="1"/>
  <c r="E109" i="1"/>
  <c r="F21" i="1" l="1"/>
  <c r="E21" i="1"/>
  <c r="F32" i="1" l="1"/>
  <c r="F78" i="1" l="1"/>
  <c r="E78" i="1"/>
  <c r="F83" i="1" l="1"/>
  <c r="F9" i="1"/>
  <c r="D9" i="1"/>
  <c r="D83" i="1"/>
  <c r="E83" i="1"/>
  <c r="E38" i="1"/>
  <c r="D38" i="1"/>
  <c r="F38" i="1" s="1"/>
  <c r="E82" i="1"/>
  <c r="F82" i="1" s="1"/>
  <c r="E64" i="1"/>
  <c r="F64" i="1" s="1"/>
  <c r="E60" i="1"/>
  <c r="F60" i="1" s="1"/>
  <c r="E9" i="1"/>
  <c r="E86" i="1" l="1"/>
  <c r="E54" i="1" l="1"/>
  <c r="D54" i="1"/>
  <c r="E28" i="1"/>
  <c r="E31" i="1"/>
  <c r="E46" i="1"/>
  <c r="F46" i="1" s="1"/>
  <c r="E45" i="1"/>
  <c r="F45" i="1" s="1"/>
  <c r="E94" i="1"/>
  <c r="F54" i="1" l="1"/>
  <c r="E103" i="1"/>
  <c r="C18" i="7" l="1"/>
  <c r="D18" i="7"/>
  <c r="E18" i="7"/>
  <c r="F18" i="7"/>
  <c r="B18" i="7"/>
  <c r="D9" i="7"/>
  <c r="E9" i="7"/>
  <c r="F9" i="7"/>
  <c r="B9" i="7"/>
  <c r="C9" i="7"/>
  <c r="B8" i="7"/>
  <c r="C17" i="7"/>
  <c r="D17" i="7"/>
  <c r="E17" i="7"/>
  <c r="F17" i="7"/>
  <c r="B17" i="7"/>
  <c r="C8" i="7"/>
  <c r="D8" i="7"/>
  <c r="E8" i="7"/>
  <c r="F8" i="7"/>
  <c r="E74" i="1" l="1"/>
  <c r="E73" i="1"/>
  <c r="E32" i="1"/>
  <c r="E41" i="1"/>
  <c r="F41" i="1" s="1"/>
  <c r="E62" i="1"/>
  <c r="F20" i="1"/>
  <c r="F23" i="1"/>
  <c r="F81" i="1"/>
  <c r="E22" i="1"/>
  <c r="F22" i="1" s="1"/>
  <c r="E80" i="1"/>
  <c r="E72" i="1"/>
  <c r="E20" i="1"/>
  <c r="E23" i="1"/>
  <c r="E27" i="1"/>
  <c r="E55" i="1"/>
  <c r="F55" i="1" s="1"/>
  <c r="E19" i="1"/>
  <c r="E17" i="1"/>
  <c r="E71" i="1"/>
  <c r="E66" i="1"/>
  <c r="E69" i="1"/>
  <c r="E77" i="1"/>
  <c r="E81" i="1"/>
  <c r="E52" i="1"/>
  <c r="E53" i="1"/>
  <c r="C15" i="6" l="1"/>
  <c r="D15" i="6"/>
  <c r="E15" i="6"/>
  <c r="F15" i="6"/>
  <c r="C8" i="6"/>
  <c r="E8" i="6"/>
  <c r="F8" i="6"/>
  <c r="B15" i="6"/>
  <c r="B8" i="6"/>
  <c r="E119" i="1"/>
  <c r="E120" i="1"/>
  <c r="E121" i="1"/>
  <c r="E122" i="1"/>
  <c r="E123" i="1"/>
  <c r="E111" i="1"/>
  <c r="E112" i="1"/>
  <c r="E113" i="1"/>
  <c r="E114" i="1"/>
  <c r="E115" i="1"/>
  <c r="E116" i="1"/>
  <c r="E117" i="1"/>
  <c r="E118" i="1"/>
  <c r="E90" i="1"/>
  <c r="E91" i="1"/>
  <c r="E92" i="1"/>
  <c r="E93" i="1"/>
  <c r="E95" i="1"/>
  <c r="E96" i="1"/>
  <c r="E97" i="1"/>
  <c r="E98" i="1"/>
  <c r="E99" i="1"/>
  <c r="E100" i="1"/>
  <c r="E101" i="1"/>
  <c r="E102" i="1"/>
  <c r="E104" i="1"/>
  <c r="E105" i="1"/>
  <c r="E106" i="1"/>
  <c r="E107" i="1"/>
  <c r="E110" i="1"/>
  <c r="E89" i="1"/>
  <c r="D6" i="1" l="1"/>
  <c r="E6" i="1"/>
  <c r="E5" i="1"/>
  <c r="E7" i="1"/>
  <c r="D9" i="6"/>
  <c r="E9" i="6"/>
  <c r="C16" i="6"/>
  <c r="F9" i="6"/>
  <c r="C10" i="7"/>
  <c r="D10" i="7"/>
  <c r="E10" i="7"/>
  <c r="F10" i="7"/>
  <c r="F19" i="7"/>
  <c r="D63" i="1"/>
  <c r="F6" i="1" l="1"/>
  <c r="C19" i="7"/>
  <c r="E11" i="7"/>
  <c r="C11" i="7"/>
  <c r="F11" i="7"/>
  <c r="D11" i="7"/>
  <c r="C20" i="7" l="1"/>
  <c r="E2" i="1"/>
  <c r="F2" i="1" l="1"/>
  <c r="E11" i="1" l="1"/>
  <c r="F11" i="1" s="1"/>
  <c r="D57" i="1"/>
  <c r="E57" i="1"/>
  <c r="E10" i="1"/>
  <c r="E61" i="1"/>
  <c r="F61" i="1" s="1"/>
  <c r="F10" i="1"/>
  <c r="F57" i="1" l="1"/>
  <c r="E3" i="1"/>
  <c r="E68" i="1" l="1"/>
  <c r="F68" i="1" s="1"/>
  <c r="F3" i="1"/>
  <c r="D59" i="1"/>
  <c r="D5" i="1"/>
  <c r="B19" i="7"/>
  <c r="B20" i="7" s="1"/>
  <c r="E79" i="1"/>
  <c r="D70" i="1"/>
  <c r="E26" i="1"/>
  <c r="E70" i="1"/>
  <c r="E56" i="1"/>
  <c r="E75" i="1"/>
  <c r="E59" i="1"/>
  <c r="E33" i="1"/>
  <c r="D56" i="1"/>
  <c r="E19" i="7" s="1"/>
  <c r="B10" i="7"/>
  <c r="E51" i="1"/>
  <c r="E50" i="1"/>
  <c r="E58" i="1"/>
  <c r="E42" i="1"/>
  <c r="E44" i="1"/>
  <c r="E48" i="1"/>
  <c r="B9" i="6" s="1"/>
  <c r="E49" i="1"/>
  <c r="E37" i="1"/>
  <c r="E13" i="1"/>
  <c r="E63" i="1"/>
  <c r="E67" i="1"/>
  <c r="E12" i="1"/>
  <c r="D19" i="7"/>
  <c r="E20" i="7" l="1"/>
  <c r="E16" i="6"/>
  <c r="F20" i="7"/>
  <c r="F16" i="6"/>
  <c r="D20" i="7"/>
  <c r="D16" i="6"/>
  <c r="B16" i="6"/>
  <c r="B21" i="7"/>
  <c r="B11" i="7"/>
  <c r="B12" i="7"/>
  <c r="F14" i="1"/>
  <c r="C9" i="6"/>
  <c r="B10" i="6" s="1"/>
  <c r="F56" i="1"/>
  <c r="F48" i="1"/>
  <c r="F49" i="1"/>
  <c r="F13" i="1"/>
  <c r="F37" i="1"/>
  <c r="F70" i="1"/>
  <c r="F33" i="1"/>
  <c r="F44" i="1"/>
  <c r="F86" i="1"/>
  <c r="F63" i="1"/>
  <c r="F67" i="1"/>
  <c r="F12" i="1"/>
  <c r="F5" i="1"/>
  <c r="F42" i="1"/>
  <c r="F50" i="1"/>
  <c r="F51" i="1"/>
  <c r="F59" i="1"/>
  <c r="F26" i="1"/>
  <c r="F75" i="1"/>
  <c r="E4" i="1"/>
  <c r="E39" i="1"/>
  <c r="E15" i="1"/>
  <c r="B17" i="6" l="1"/>
  <c r="C20" i="6" s="1"/>
  <c r="C24" i="7"/>
  <c r="B24" i="7"/>
  <c r="D58" i="1"/>
  <c r="F58" i="1" s="1"/>
  <c r="F15" i="1"/>
  <c r="F39" i="1"/>
  <c r="D4" i="1"/>
  <c r="F4" i="1" s="1"/>
  <c r="B20" i="6" l="1"/>
</calcChain>
</file>

<file path=xl/sharedStrings.xml><?xml version="1.0" encoding="utf-8"?>
<sst xmlns="http://schemas.openxmlformats.org/spreadsheetml/2006/main" count="247" uniqueCount="205">
  <si>
    <t>Resource</t>
  </si>
  <si>
    <t>Real world chemical</t>
  </si>
  <si>
    <t>moles</t>
  </si>
  <si>
    <t>molar mass</t>
  </si>
  <si>
    <t>unit mass (from configs)</t>
  </si>
  <si>
    <t>Units</t>
  </si>
  <si>
    <t>LiquidFuel</t>
  </si>
  <si>
    <t>Dodecane (C12H26)</t>
  </si>
  <si>
    <t>Oxidizer</t>
  </si>
  <si>
    <t>O2</t>
  </si>
  <si>
    <t>MonoPropellant</t>
  </si>
  <si>
    <t>Hydrazine (N2H4)</t>
  </si>
  <si>
    <t>ArgonGas</t>
  </si>
  <si>
    <t>Ar</t>
  </si>
  <si>
    <t>XenonGas</t>
  </si>
  <si>
    <t>Xe</t>
  </si>
  <si>
    <t>H2</t>
  </si>
  <si>
    <t>CO2</t>
  </si>
  <si>
    <t>Methane</t>
  </si>
  <si>
    <t>CH4</t>
  </si>
  <si>
    <t>Ammonia</t>
  </si>
  <si>
    <t>NH3</t>
  </si>
  <si>
    <t>N2</t>
  </si>
  <si>
    <t>H2O</t>
  </si>
  <si>
    <t>LqdCO2</t>
  </si>
  <si>
    <t>LqdMethane</t>
  </si>
  <si>
    <t>LqdAmmonia</t>
  </si>
  <si>
    <t>Gypsum</t>
  </si>
  <si>
    <t>Gypsum (CaSO4+2H2O)</t>
  </si>
  <si>
    <t>Hydrates</t>
  </si>
  <si>
    <t>Ferrihydrite (Fe2O3+0.5(H2O))</t>
  </si>
  <si>
    <t>Minerals</t>
  </si>
  <si>
    <t>Quartz (SiO2)</t>
  </si>
  <si>
    <t>ExoticMinerals</t>
  </si>
  <si>
    <t>Xenotime (YPO4)</t>
  </si>
  <si>
    <t>MetalOre</t>
  </si>
  <si>
    <t>RareMetals</t>
  </si>
  <si>
    <t>Silicates</t>
  </si>
  <si>
    <t>Substrate</t>
  </si>
  <si>
    <t>?</t>
  </si>
  <si>
    <t>Alumina</t>
  </si>
  <si>
    <t>Monazite</t>
  </si>
  <si>
    <t>Al2O3</t>
  </si>
  <si>
    <t>Phosphorus</t>
  </si>
  <si>
    <t>P</t>
  </si>
  <si>
    <t>Lanthanum var (LaPO4)</t>
  </si>
  <si>
    <t>Platinum (Pt)</t>
  </si>
  <si>
    <t>Iron (Fe)</t>
  </si>
  <si>
    <t>Carbon</t>
  </si>
  <si>
    <t>C</t>
  </si>
  <si>
    <t>Aluminium</t>
  </si>
  <si>
    <t>Al</t>
  </si>
  <si>
    <t>Rock</t>
  </si>
  <si>
    <t>CarbonDioxide</t>
  </si>
  <si>
    <t>Nitrogen</t>
  </si>
  <si>
    <t>Ore</t>
  </si>
  <si>
    <t>Oxygen</t>
  </si>
  <si>
    <t>Blutonium</t>
  </si>
  <si>
    <t>Gemstones</t>
  </si>
  <si>
    <t>GrayWater</t>
  </si>
  <si>
    <t>Hexagen</t>
  </si>
  <si>
    <t>Hydrokerbon</t>
  </si>
  <si>
    <t>Minerite</t>
  </si>
  <si>
    <t>Nitronite</t>
  </si>
  <si>
    <t>Oxium</t>
  </si>
  <si>
    <t>PreciousMetals</t>
  </si>
  <si>
    <t>Zeonium</t>
  </si>
  <si>
    <t>Explodium</t>
  </si>
  <si>
    <t>Hydrogen</t>
  </si>
  <si>
    <t>Propellium</t>
  </si>
  <si>
    <t>Pb</t>
  </si>
  <si>
    <t>Slag</t>
  </si>
  <si>
    <t>Inputs</t>
  </si>
  <si>
    <t>Outputs</t>
  </si>
  <si>
    <t>Net kg/s</t>
  </si>
  <si>
    <t>Gross kg/s</t>
  </si>
  <si>
    <t>Mass (kg)</t>
  </si>
  <si>
    <t>I/O Ratio</t>
  </si>
  <si>
    <t>Bias</t>
  </si>
  <si>
    <t>LqdOxygen</t>
  </si>
  <si>
    <t>LqdNitrogen</t>
  </si>
  <si>
    <t>LqdHydrogen</t>
  </si>
  <si>
    <t>SolidFuel</t>
  </si>
  <si>
    <t>Metal(s)</t>
  </si>
  <si>
    <t>Amonium Perchlorate</t>
  </si>
  <si>
    <t>NH4ClO4</t>
  </si>
  <si>
    <t>Aluminum</t>
  </si>
  <si>
    <t>Iron Oxide</t>
  </si>
  <si>
    <t>PBAN (binder, fuel)</t>
  </si>
  <si>
    <t>Epoxy</t>
  </si>
  <si>
    <t>Notation</t>
  </si>
  <si>
    <t>mass (g/mol)</t>
  </si>
  <si>
    <t>%</t>
  </si>
  <si>
    <t>FeO</t>
  </si>
  <si>
    <t>Moles</t>
  </si>
  <si>
    <t>Mass (g/mol)</t>
  </si>
  <si>
    <t>Gross (g/mol)</t>
  </si>
  <si>
    <t>Ratio (for cfg)</t>
  </si>
  <si>
    <t>Convert-O-Tron (Moles)</t>
  </si>
  <si>
    <t>Convert-O-Tron (Kilograms)</t>
  </si>
  <si>
    <t>Density (kg)</t>
  </si>
  <si>
    <t>Net (g/mol)</t>
  </si>
  <si>
    <t>Blue items are drop-down selectors. Orange fields are inputs. Only type into the orange fields.</t>
  </si>
  <si>
    <t>Name (dropdown)</t>
  </si>
  <si>
    <t>__WBI__</t>
  </si>
  <si>
    <t>Atmosphere</t>
  </si>
  <si>
    <t>CompressedAtmosphere</t>
  </si>
  <si>
    <t>ElectroPlasma</t>
  </si>
  <si>
    <t>Raptium</t>
  </si>
  <si>
    <t>RHK1</t>
  </si>
  <si>
    <t>FusionPellets</t>
  </si>
  <si>
    <t>Equipment</t>
  </si>
  <si>
    <t>Konkrete</t>
  </si>
  <si>
    <t>Aurum</t>
  </si>
  <si>
    <t>SRMFuel</t>
  </si>
  <si>
    <t>Compost</t>
  </si>
  <si>
    <t>FreshAir</t>
  </si>
  <si>
    <t>StaleAir</t>
  </si>
  <si>
    <t>ResearchKits</t>
  </si>
  <si>
    <t>Snacks</t>
  </si>
  <si>
    <t>Soil</t>
  </si>
  <si>
    <t>Water (CRP)</t>
  </si>
  <si>
    <t>Water (WBI)</t>
  </si>
  <si>
    <t>Dirt</t>
  </si>
  <si>
    <t>Materialkits</t>
  </si>
  <si>
    <t>SpecializedParts</t>
  </si>
  <si>
    <t>Polymers</t>
  </si>
  <si>
    <t>RefinedExotics</t>
  </si>
  <si>
    <t>Chemicals</t>
  </si>
  <si>
    <t>Colony Supplies</t>
  </si>
  <si>
    <t>EnrichedUranium</t>
  </si>
  <si>
    <t>MetallicOre</t>
  </si>
  <si>
    <t>Organics</t>
  </si>
  <si>
    <t>Recyclables</t>
  </si>
  <si>
    <t>Machinery</t>
  </si>
  <si>
    <t>Uraninite</t>
  </si>
  <si>
    <t>UO2</t>
  </si>
  <si>
    <t>Fertilizer</t>
  </si>
  <si>
    <t>Supplies</t>
  </si>
  <si>
    <t>Sand (SiO2)</t>
  </si>
  <si>
    <t>U</t>
  </si>
  <si>
    <t>Hematite (Fe2O3)</t>
  </si>
  <si>
    <t>Mulch</t>
  </si>
  <si>
    <t>Lithium</t>
  </si>
  <si>
    <t>Li</t>
  </si>
  <si>
    <t>Glykerol</t>
  </si>
  <si>
    <t>RocketParts</t>
  </si>
  <si>
    <t>ScrapMetal</t>
  </si>
  <si>
    <t>HydrazineVodka</t>
  </si>
  <si>
    <t>Coolant</t>
  </si>
  <si>
    <t>LqdDeuterium</t>
  </si>
  <si>
    <t>LqdHe3</t>
  </si>
  <si>
    <t>3He</t>
  </si>
  <si>
    <t>D / 2H</t>
  </si>
  <si>
    <t>NuclearSaltWater</t>
  </si>
  <si>
    <t>FissionPellets</t>
  </si>
  <si>
    <t>MetallicHydrogen</t>
  </si>
  <si>
    <t>MMH</t>
  </si>
  <si>
    <t>NTO</t>
  </si>
  <si>
    <t>UDMH</t>
  </si>
  <si>
    <t>Hydrazine</t>
  </si>
  <si>
    <t>N2H4</t>
  </si>
  <si>
    <t>UH25</t>
  </si>
  <si>
    <t>Hydrazine + UDMH (50:50)</t>
  </si>
  <si>
    <t>Hydrazine + UDMH (25:75)</t>
  </si>
  <si>
    <t>H2NN(CH3)2</t>
  </si>
  <si>
    <t>Spodumene</t>
  </si>
  <si>
    <t>LiAl(SiO3)2</t>
  </si>
  <si>
    <t>Radical Metasilicate (SiO3)</t>
  </si>
  <si>
    <t>Glycerol (C3H8O3)</t>
  </si>
  <si>
    <t>Depleted [Fuel/Uranium]</t>
  </si>
  <si>
    <t>Deuterium</t>
  </si>
  <si>
    <t>NuclearFuel</t>
  </si>
  <si>
    <t>NuclearWaste</t>
  </si>
  <si>
    <t>Silicon</t>
  </si>
  <si>
    <t>Si</t>
  </si>
  <si>
    <t>Chlorine</t>
  </si>
  <si>
    <t>Fluorine</t>
  </si>
  <si>
    <t>F2</t>
  </si>
  <si>
    <t>Cl2</t>
  </si>
  <si>
    <t>N2O4</t>
  </si>
  <si>
    <r>
      <t>CH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(NH)NH</t>
    </r>
    <r>
      <rPr>
        <vertAlign val="subscript"/>
        <sz val="12"/>
        <color theme="1"/>
        <rFont val="Calibri"/>
        <family val="2"/>
        <scheme val="minor"/>
      </rPr>
      <t>2</t>
    </r>
  </si>
  <si>
    <t>LqdHe</t>
  </si>
  <si>
    <t>Helium-3</t>
  </si>
  <si>
    <t>Helium</t>
  </si>
  <si>
    <t>He / 4He</t>
  </si>
  <si>
    <t>Kerosene</t>
  </si>
  <si>
    <t>Ethanol</t>
  </si>
  <si>
    <t>C2H6O</t>
  </si>
  <si>
    <t>CarbonMonoxide</t>
  </si>
  <si>
    <t>LqdCO</t>
  </si>
  <si>
    <t>CO</t>
  </si>
  <si>
    <t>H2O2</t>
  </si>
  <si>
    <t>HTP</t>
  </si>
  <si>
    <t>Ethanol75</t>
  </si>
  <si>
    <t>C2H6O[3] + H2O[1]</t>
  </si>
  <si>
    <t>Aerozine50</t>
  </si>
  <si>
    <t>Does not support most of CRP (KSPI-E) or any of WBI.</t>
  </si>
  <si>
    <t>Supports stock, CRP (greater fractions of NFT, USI, RealFuels) and WBI.</t>
  </si>
  <si>
    <t>Does not support most of CRP (KSPI-E)</t>
  </si>
  <si>
    <t>Supports stock and CRP (only popular resources where correlated IRL resources can be found).</t>
  </si>
  <si>
    <t>Food (TAC)</t>
  </si>
  <si>
    <t>Waste</t>
  </si>
  <si>
    <t>WasteWater</t>
  </si>
  <si>
    <t>D+He3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</si>
</sst>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0.00\ &quot;kg/mol&quot;"/>
    <numFmt numFmtId="165" formatCode="#,##0.000\ &quot;kg/unit&quot;"/>
    <numFmt numFmtId="166" formatCode="#,##0.00\ &quot;g/mol&quot;"/>
    <numFmt numFmtId="167" formatCode="#,##0.000"/>
    <numFmt numFmtId="168" formatCode="0.0000"/>
    <numFmt numFmtId="169" formatCode="0.0000000"/>
    <numFmt numFmtId="170" formatCode="0.00000"/>
    <numFmt numFmtId="171" formatCode="#,##0.0000&quot;:1&quot;"/>
  </numFmts>
  <fonts count="1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indexed="8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9">
    <xf numFmtId="0" fontId="0" fillId="0" borderId="0"/>
    <xf numFmtId="0" fontId="4" fillId="3" borderId="1" applyNumberFormat="0" applyAlignment="0" applyProtection="0"/>
    <xf numFmtId="0" fontId="5" fillId="4" borderId="1" applyNumberFormat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5" borderId="0" applyNumberFormat="0" applyBorder="0" applyAlignment="0" applyProtection="0"/>
    <xf numFmtId="0" fontId="9" fillId="4" borderId="4" applyNumberFormat="0" applyAlignment="0" applyProtection="0"/>
    <xf numFmtId="0" fontId="10" fillId="0" borderId="5" applyNumberFormat="0" applyFill="0" applyAlignment="0" applyProtection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4" fillId="3" borderId="1" xfId="1"/>
    <xf numFmtId="0" fontId="5" fillId="4" borderId="1" xfId="2"/>
    <xf numFmtId="0" fontId="5" fillId="4" borderId="1" xfId="2" applyAlignment="1">
      <alignment horizontal="left"/>
    </xf>
    <xf numFmtId="0" fontId="10" fillId="0" borderId="5" xfId="7"/>
    <xf numFmtId="10" fontId="0" fillId="0" borderId="0" xfId="0" applyNumberFormat="1"/>
    <xf numFmtId="9" fontId="0" fillId="0" borderId="0" xfId="0" applyNumberFormat="1"/>
    <xf numFmtId="168" fontId="5" fillId="4" borderId="1" xfId="2" applyNumberFormat="1"/>
    <xf numFmtId="165" fontId="8" fillId="5" borderId="0" xfId="5" applyNumberFormat="1"/>
    <xf numFmtId="168" fontId="9" fillId="4" borderId="4" xfId="6" applyNumberFormat="1"/>
    <xf numFmtId="0" fontId="12" fillId="2" borderId="0" xfId="0" applyFont="1" applyFill="1"/>
    <xf numFmtId="0" fontId="11" fillId="0" borderId="0" xfId="8"/>
    <xf numFmtId="168" fontId="0" fillId="0" borderId="0" xfId="0" applyNumberFormat="1"/>
    <xf numFmtId="0" fontId="13" fillId="0" borderId="0" xfId="0" applyFont="1" applyFill="1" applyAlignment="1"/>
    <xf numFmtId="166" fontId="0" fillId="0" borderId="0" xfId="0" applyNumberFormat="1"/>
    <xf numFmtId="169" fontId="5" fillId="4" borderId="1" xfId="2" applyNumberFormat="1"/>
    <xf numFmtId="170" fontId="5" fillId="4" borderId="1" xfId="2" applyNumberFormat="1"/>
    <xf numFmtId="171" fontId="5" fillId="4" borderId="1" xfId="2" applyNumberFormat="1" applyAlignment="1"/>
    <xf numFmtId="0" fontId="7" fillId="0" borderId="3" xfId="4" applyAlignment="1">
      <alignment horizontal="center"/>
    </xf>
    <xf numFmtId="165" fontId="6" fillId="0" borderId="2" xfId="3" applyNumberFormat="1" applyAlignment="1">
      <alignment horizontal="center"/>
    </xf>
    <xf numFmtId="0" fontId="6" fillId="0" borderId="2" xfId="3" applyAlignment="1">
      <alignment horizontal="center"/>
    </xf>
  </cellXfs>
  <cellStyles count="9">
    <cellStyle name="Calculation" xfId="2" builtinId="22"/>
    <cellStyle name="Explanatory Text" xfId="8" builtinId="53"/>
    <cellStyle name="Good" xfId="5" builtinId="26"/>
    <cellStyle name="Heading 1" xfId="4" builtinId="16"/>
    <cellStyle name="Heading 2" xfId="3" builtinId="17"/>
    <cellStyle name="Input" xfId="1" builtinId="20"/>
    <cellStyle name="Linked Cell" xfId="7" builtinId="24"/>
    <cellStyle name="Normal" xfId="0" builtinId="0"/>
    <cellStyle name="Output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3" sqref="D3"/>
    </sheetView>
  </sheetViews>
  <sheetFormatPr defaultRowHeight="15.75" x14ac:dyDescent="0.25"/>
  <cols>
    <col min="1" max="6" width="18.625" customWidth="1"/>
  </cols>
  <sheetData>
    <row r="1" spans="1:6" ht="20.25" thickBot="1" x14ac:dyDescent="0.35">
      <c r="A1" s="35" t="s">
        <v>99</v>
      </c>
      <c r="B1" s="35"/>
      <c r="C1" s="35"/>
      <c r="D1" s="35"/>
      <c r="E1" s="35"/>
      <c r="F1" s="35"/>
    </row>
    <row r="2" spans="1:6" ht="16.5" thickTop="1" x14ac:dyDescent="0.25">
      <c r="A2" s="28" t="s">
        <v>102</v>
      </c>
    </row>
    <row r="3" spans="1:6" x14ac:dyDescent="0.25">
      <c r="A3" s="28" t="s">
        <v>198</v>
      </c>
    </row>
    <row r="4" spans="1:6" x14ac:dyDescent="0.25">
      <c r="A4" s="28" t="s">
        <v>199</v>
      </c>
    </row>
    <row r="5" spans="1:6" ht="18" thickBot="1" x14ac:dyDescent="0.35">
      <c r="A5" s="36" t="s">
        <v>72</v>
      </c>
      <c r="B5" s="36"/>
      <c r="C5" s="36"/>
      <c r="D5" s="36"/>
      <c r="E5" s="36"/>
      <c r="F5" s="36"/>
    </row>
    <row r="6" spans="1:6" ht="16.5" thickTop="1" x14ac:dyDescent="0.25">
      <c r="A6" s="25" t="s">
        <v>97</v>
      </c>
      <c r="B6" s="18">
        <v>0</v>
      </c>
      <c r="C6" s="18">
        <v>0.2</v>
      </c>
      <c r="D6" s="18">
        <v>0</v>
      </c>
      <c r="E6" s="18">
        <v>0</v>
      </c>
      <c r="F6" s="18">
        <v>0</v>
      </c>
    </row>
    <row r="7" spans="1:6" x14ac:dyDescent="0.25">
      <c r="A7" s="7" t="s">
        <v>103</v>
      </c>
      <c r="B7" s="27" t="s">
        <v>121</v>
      </c>
      <c r="C7" s="27" t="s">
        <v>122</v>
      </c>
      <c r="D7" s="27"/>
      <c r="E7" s="27"/>
      <c r="F7" s="27"/>
    </row>
    <row r="8" spans="1:6" ht="16.5" thickBot="1" x14ac:dyDescent="0.3">
      <c r="A8" s="7" t="s">
        <v>76</v>
      </c>
      <c r="B8" s="21">
        <f>IFERROR(VLOOKUP(B7,Database!$A$2:$E$123,5,FALSE),"-")</f>
        <v>1</v>
      </c>
      <c r="C8" s="21">
        <f>IFERROR(VLOOKUP(C7,Database!$A$2:$E$123,5,FALSE),"-")</f>
        <v>5</v>
      </c>
      <c r="D8" s="21" t="str">
        <f>IFERROR(VLOOKUP(D7,Database!$A$2:$E$123,5,FALSE),"-")</f>
        <v>-</v>
      </c>
      <c r="E8" s="21" t="str">
        <f>IFERROR(VLOOKUP(E7,Database!$A$2:$E$123,5,FALSE),"-")</f>
        <v>-</v>
      </c>
      <c r="F8" s="21" t="str">
        <f>IFERROR(VLOOKUP(F7,Database!$A$2:$E$123,5,FALSE),"-")</f>
        <v>-</v>
      </c>
    </row>
    <row r="9" spans="1:6" ht="16.5" thickTop="1" x14ac:dyDescent="0.25">
      <c r="A9" s="7" t="s">
        <v>75</v>
      </c>
      <c r="B9" s="24">
        <f t="shared" ref="B9:E9" si="0">IFERROR(B6*B8,"-")</f>
        <v>0</v>
      </c>
      <c r="C9" s="24">
        <f t="shared" si="0"/>
        <v>1</v>
      </c>
      <c r="D9" s="24" t="str">
        <f t="shared" si="0"/>
        <v>-</v>
      </c>
      <c r="E9" s="24" t="str">
        <f t="shared" si="0"/>
        <v>-</v>
      </c>
      <c r="F9" s="24" t="str">
        <f>IFERROR(F6*F8,"-")</f>
        <v>-</v>
      </c>
    </row>
    <row r="10" spans="1:6" x14ac:dyDescent="0.25">
      <c r="A10" s="7" t="s">
        <v>74</v>
      </c>
      <c r="B10" s="33">
        <f>SUM(B9:F9)</f>
        <v>1</v>
      </c>
      <c r="C10" s="29"/>
      <c r="D10" s="29"/>
      <c r="E10" s="29"/>
      <c r="F10" s="29"/>
    </row>
    <row r="12" spans="1:6" ht="18" thickBot="1" x14ac:dyDescent="0.35">
      <c r="A12" s="36" t="s">
        <v>73</v>
      </c>
      <c r="B12" s="36"/>
      <c r="C12" s="36"/>
      <c r="D12" s="36"/>
      <c r="E12" s="36"/>
      <c r="F12" s="36"/>
    </row>
    <row r="13" spans="1:6" ht="16.5" thickTop="1" x14ac:dyDescent="0.25">
      <c r="A13" s="25" t="s">
        <v>97</v>
      </c>
      <c r="B13" s="18">
        <v>1.4550000000000001</v>
      </c>
      <c r="C13" s="18">
        <v>9.7000000000000003E-2</v>
      </c>
      <c r="D13" s="18">
        <v>0</v>
      </c>
      <c r="E13" s="18">
        <v>0</v>
      </c>
      <c r="F13" s="18">
        <v>0</v>
      </c>
    </row>
    <row r="14" spans="1:6" x14ac:dyDescent="0.25">
      <c r="A14" s="7" t="s">
        <v>103</v>
      </c>
      <c r="B14" s="27" t="s">
        <v>69</v>
      </c>
      <c r="C14" s="27" t="s">
        <v>8</v>
      </c>
      <c r="D14" s="27"/>
      <c r="E14" s="27"/>
      <c r="F14" s="27"/>
    </row>
    <row r="15" spans="1:6" ht="16.5" thickBot="1" x14ac:dyDescent="0.3">
      <c r="A15" s="7" t="s">
        <v>76</v>
      </c>
      <c r="B15" s="21">
        <f>IFERROR(VLOOKUP(B14,Database!$A$2:$E$123,5,FALSE),"-")</f>
        <v>0.35399999999999998</v>
      </c>
      <c r="C15" s="21">
        <f>IFERROR(VLOOKUP(C14,Database!$A$2:$E$123,5,FALSE),"-")</f>
        <v>5</v>
      </c>
      <c r="D15" s="21" t="str">
        <f>IFERROR(VLOOKUP(D14,Database!$A$2:$E$123,5,FALSE),"-")</f>
        <v>-</v>
      </c>
      <c r="E15" s="21" t="str">
        <f>IFERROR(VLOOKUP(E14,Database!$A$2:$E$123,5,FALSE),"-")</f>
        <v>-</v>
      </c>
      <c r="F15" s="21" t="str">
        <f>IFERROR(VLOOKUP(F14,Database!$A$2:$E$123,5,FALSE),"-")</f>
        <v>-</v>
      </c>
    </row>
    <row r="16" spans="1:6" ht="16.5" thickTop="1" x14ac:dyDescent="0.25">
      <c r="A16" s="7" t="s">
        <v>75</v>
      </c>
      <c r="B16" s="32">
        <f t="shared" ref="B16:E16" si="1">IFERROR(B13*B15,"-")</f>
        <v>0.51507000000000003</v>
      </c>
      <c r="C16" s="24">
        <f t="shared" si="1"/>
        <v>0.48499999999999999</v>
      </c>
      <c r="D16" s="32" t="str">
        <f t="shared" si="1"/>
        <v>-</v>
      </c>
      <c r="E16" s="24" t="str">
        <f t="shared" si="1"/>
        <v>-</v>
      </c>
      <c r="F16" s="24" t="str">
        <f>IFERROR(F13*F15,"-")</f>
        <v>-</v>
      </c>
    </row>
    <row r="17" spans="1:6" x14ac:dyDescent="0.25">
      <c r="A17" s="7" t="s">
        <v>74</v>
      </c>
      <c r="B17" s="33">
        <f>SUM(B16:F16)</f>
        <v>1.00007</v>
      </c>
      <c r="C17" s="29"/>
      <c r="D17" s="29"/>
      <c r="E17" s="29"/>
      <c r="F17" s="29"/>
    </row>
    <row r="19" spans="1:6" ht="18" thickBot="1" x14ac:dyDescent="0.35">
      <c r="A19" s="37" t="s">
        <v>77</v>
      </c>
      <c r="B19" s="37"/>
      <c r="C19" s="37"/>
      <c r="D19" s="37"/>
      <c r="E19" s="37"/>
      <c r="F19" s="37"/>
    </row>
    <row r="20" spans="1:6" ht="16.5" thickTop="1" x14ac:dyDescent="0.25">
      <c r="A20" s="7" t="s">
        <v>78</v>
      </c>
      <c r="B20" s="20" t="str">
        <f>IF($B$10&gt;$B$17,"Input excesive",IF($B$10&lt;$B$17,"Output excessive","Equal"))</f>
        <v>Output excessive</v>
      </c>
      <c r="C20" s="34">
        <f>IF($B$10&gt;$B$17,B10/B17,IF($B$10&lt;$B$17,B17/B10,1))</f>
        <v>1.00007</v>
      </c>
    </row>
    <row r="21" spans="1:6" x14ac:dyDescent="0.25">
      <c r="A21" s="7"/>
    </row>
  </sheetData>
  <mergeCells count="4">
    <mergeCell ref="A1:F1"/>
    <mergeCell ref="A5:F5"/>
    <mergeCell ref="A12:F12"/>
    <mergeCell ref="A19:F1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Database!$A$2:$A$123</xm:f>
          </x14:formula1>
          <xm:sqref>B7:F7</xm:sqref>
        </x14:dataValidation>
        <x14:dataValidation type="list" allowBlank="1" showInputMessage="1" showErrorMessage="1">
          <x14:formula1>
            <xm:f>Database!$A$2:$A$123</xm:f>
          </x14:formula1>
          <xm:sqref>B14:F14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3" sqref="E3"/>
    </sheetView>
  </sheetViews>
  <sheetFormatPr defaultRowHeight="15.75" x14ac:dyDescent="0.25"/>
  <cols>
    <col min="1" max="6" width="18.625" customWidth="1"/>
  </cols>
  <sheetData>
    <row r="1" spans="1:6" ht="20.25" thickBot="1" x14ac:dyDescent="0.35">
      <c r="A1" s="35" t="s">
        <v>98</v>
      </c>
      <c r="B1" s="35"/>
      <c r="C1" s="35"/>
      <c r="D1" s="35"/>
      <c r="E1" s="35"/>
      <c r="F1" s="35"/>
    </row>
    <row r="2" spans="1:6" ht="16.5" thickTop="1" x14ac:dyDescent="0.25">
      <c r="A2" s="28" t="s">
        <v>102</v>
      </c>
    </row>
    <row r="3" spans="1:6" x14ac:dyDescent="0.25">
      <c r="A3" s="28" t="s">
        <v>200</v>
      </c>
    </row>
    <row r="4" spans="1:6" x14ac:dyDescent="0.25">
      <c r="A4" s="28" t="s">
        <v>197</v>
      </c>
    </row>
    <row r="5" spans="1:6" ht="18" thickBot="1" x14ac:dyDescent="0.35">
      <c r="A5" s="36" t="s">
        <v>72</v>
      </c>
      <c r="B5" s="36"/>
      <c r="C5" s="36"/>
      <c r="D5" s="36"/>
      <c r="E5" s="36"/>
      <c r="F5" s="36"/>
    </row>
    <row r="6" spans="1:6" ht="16.5" thickTop="1" x14ac:dyDescent="0.25">
      <c r="A6" s="7" t="s">
        <v>94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</row>
    <row r="7" spans="1:6" x14ac:dyDescent="0.25">
      <c r="A7" s="7" t="s">
        <v>103</v>
      </c>
      <c r="B7" s="27"/>
      <c r="C7" s="27"/>
      <c r="D7" s="27"/>
      <c r="E7" s="27"/>
      <c r="F7" s="27"/>
    </row>
    <row r="8" spans="1:6" ht="16.5" thickBot="1" x14ac:dyDescent="0.3">
      <c r="A8" s="7" t="s">
        <v>95</v>
      </c>
      <c r="B8" s="21" t="str">
        <f>IFERROR(VLOOKUP(B7,Database!$A$2:$E$86,4,FALSE),"-")</f>
        <v>-</v>
      </c>
      <c r="C8" s="21" t="str">
        <f>IFERROR(VLOOKUP(C7,Database!$A$2:$E$86,4,FALSE),"-")</f>
        <v>-</v>
      </c>
      <c r="D8" s="21" t="str">
        <f>IFERROR(VLOOKUP(D7,Database!$A$2:$E$86,4,FALSE),"-")</f>
        <v>-</v>
      </c>
      <c r="E8" s="21" t="str">
        <f>IFERROR(VLOOKUP(E7,Database!$A$2:$E$86,4,FALSE),"-")</f>
        <v>-</v>
      </c>
      <c r="F8" s="21" t="str">
        <f>IFERROR(VLOOKUP(F7,Database!$A$2:$E$86,4,FALSE),"-")</f>
        <v>-</v>
      </c>
    </row>
    <row r="9" spans="1:6" ht="17.25" thickTop="1" thickBot="1" x14ac:dyDescent="0.3">
      <c r="A9" s="7" t="s">
        <v>100</v>
      </c>
      <c r="B9" s="21" t="str">
        <f>IFERROR(VLOOKUP(B7,Database!$A$2:$E$86,5,FALSE),"-")</f>
        <v>-</v>
      </c>
      <c r="C9" s="21" t="str">
        <f>IFERROR(VLOOKUP(C7,Database!$A$2:$E$86,5,FALSE),"-")</f>
        <v>-</v>
      </c>
      <c r="D9" s="21" t="str">
        <f>IFERROR(VLOOKUP(D7,Database!$A$2:$E$86,5,FALSE),"-")</f>
        <v>-</v>
      </c>
      <c r="E9" s="21" t="str">
        <f>IFERROR(VLOOKUP(E7,Database!$A$2:$E$86,5,FALSE),"-")</f>
        <v>-</v>
      </c>
      <c r="F9" s="21" t="str">
        <f>IFERROR(VLOOKUP(F7,Database!$A$2:$E$86,5,FALSE),"-")</f>
        <v>-</v>
      </c>
    </row>
    <row r="10" spans="1:6" ht="16.5" thickTop="1" x14ac:dyDescent="0.25">
      <c r="A10" s="7" t="s">
        <v>96</v>
      </c>
      <c r="B10" s="19">
        <f>IFERROR(B6*B8,0)</f>
        <v>0</v>
      </c>
      <c r="C10" s="19" t="str">
        <f>IFERROR(C6*C8,"-")</f>
        <v>-</v>
      </c>
      <c r="D10" s="19" t="str">
        <f>IFERROR(D6*D8,"-")</f>
        <v>-</v>
      </c>
      <c r="E10" s="19" t="str">
        <f>IFERROR(E6*E8,"-")</f>
        <v>-</v>
      </c>
      <c r="F10" s="19" t="str">
        <f>IFERROR(F6*F8,"-")</f>
        <v>-</v>
      </c>
    </row>
    <row r="11" spans="1:6" x14ac:dyDescent="0.25">
      <c r="A11" s="25" t="s">
        <v>97</v>
      </c>
      <c r="B11" s="26" t="str">
        <f>IFERROR(B10/(B9*1000),"-")</f>
        <v>-</v>
      </c>
      <c r="C11" s="26" t="str">
        <f>IFERROR(C10/(C9*1000),"-")</f>
        <v>-</v>
      </c>
      <c r="D11" s="26" t="str">
        <f>IFERROR(D10/(D9*1000),"-")</f>
        <v>-</v>
      </c>
      <c r="E11" s="26" t="str">
        <f>IFERROR(E10/(E9*1000),"-")</f>
        <v>-</v>
      </c>
      <c r="F11" s="26" t="str">
        <f>IFERROR(F10/(F9*1000),"-")</f>
        <v>-</v>
      </c>
    </row>
    <row r="12" spans="1:6" x14ac:dyDescent="0.25">
      <c r="A12" s="7" t="s">
        <v>101</v>
      </c>
      <c r="B12" s="24">
        <f>SUM(B10:F10)</f>
        <v>0</v>
      </c>
    </row>
    <row r="14" spans="1:6" ht="18" thickBot="1" x14ac:dyDescent="0.35">
      <c r="A14" s="36" t="s">
        <v>73</v>
      </c>
      <c r="B14" s="36"/>
      <c r="C14" s="36"/>
      <c r="D14" s="36"/>
      <c r="E14" s="36"/>
      <c r="F14" s="36"/>
    </row>
    <row r="15" spans="1:6" ht="16.5" thickTop="1" x14ac:dyDescent="0.25">
      <c r="A15" s="7" t="s">
        <v>94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</row>
    <row r="16" spans="1:6" x14ac:dyDescent="0.25">
      <c r="A16" s="7" t="s">
        <v>103</v>
      </c>
      <c r="B16" s="27"/>
      <c r="C16" s="27"/>
      <c r="D16" s="27"/>
      <c r="E16" s="27"/>
      <c r="F16" s="27"/>
    </row>
    <row r="17" spans="1:6" ht="16.5" thickBot="1" x14ac:dyDescent="0.3">
      <c r="A17" s="7" t="s">
        <v>95</v>
      </c>
      <c r="B17" s="21" t="str">
        <f>IFERROR(VLOOKUP(B16,Database!$A$2:$E$86,4,FALSE),"-")</f>
        <v>-</v>
      </c>
      <c r="C17" s="21" t="str">
        <f>IFERROR(VLOOKUP(C16,Database!$A$2:$E$86,4,FALSE),"-")</f>
        <v>-</v>
      </c>
      <c r="D17" s="21" t="str">
        <f>IFERROR(VLOOKUP(D16,Database!$A$2:$E$86,4,FALSE),"-")</f>
        <v>-</v>
      </c>
      <c r="E17" s="21" t="str">
        <f>IFERROR(VLOOKUP(E16,Database!$A$2:$E$86,4,FALSE),"-")</f>
        <v>-</v>
      </c>
      <c r="F17" s="21" t="str">
        <f>IFERROR(VLOOKUP(F16,Database!$A$2:$E$86,4,FALSE),"-")</f>
        <v>-</v>
      </c>
    </row>
    <row r="18" spans="1:6" ht="17.25" thickTop="1" thickBot="1" x14ac:dyDescent="0.3">
      <c r="A18" s="7" t="s">
        <v>100</v>
      </c>
      <c r="B18" s="21" t="str">
        <f>IFERROR(VLOOKUP(B16,Database!$A$2:$E$86,5,FALSE),"-")</f>
        <v>-</v>
      </c>
      <c r="C18" s="21" t="str">
        <f>IFERROR(VLOOKUP(C16,Database!$A$2:$E$86,5,FALSE),"-")</f>
        <v>-</v>
      </c>
      <c r="D18" s="21" t="str">
        <f>IFERROR(VLOOKUP(D16,Database!$A$2:$E$86,5,FALSE),"-")</f>
        <v>-</v>
      </c>
      <c r="E18" s="21" t="str">
        <f>IFERROR(VLOOKUP(E16,Database!$A$2:$E$86,5,FALSE),"-")</f>
        <v>-</v>
      </c>
      <c r="F18" s="21" t="str">
        <f>IFERROR(VLOOKUP(F16,Database!$A$2:$E$86,5,FALSE),"-")</f>
        <v>-</v>
      </c>
    </row>
    <row r="19" spans="1:6" ht="16.5" thickTop="1" x14ac:dyDescent="0.25">
      <c r="A19" s="7" t="s">
        <v>96</v>
      </c>
      <c r="B19" s="19">
        <f>IFERROR(B15*B17,0)</f>
        <v>0</v>
      </c>
      <c r="C19" s="19" t="str">
        <f>IFERROR(C15*C17,"-")</f>
        <v>-</v>
      </c>
      <c r="D19" s="19" t="str">
        <f t="shared" ref="D19:F19" si="0">IFERROR(D15*D17,"-")</f>
        <v>-</v>
      </c>
      <c r="E19" s="19" t="str">
        <f t="shared" si="0"/>
        <v>-</v>
      </c>
      <c r="F19" s="19" t="str">
        <f t="shared" si="0"/>
        <v>-</v>
      </c>
    </row>
    <row r="20" spans="1:6" x14ac:dyDescent="0.25">
      <c r="A20" s="25" t="s">
        <v>97</v>
      </c>
      <c r="B20" s="26" t="str">
        <f>IFERROR(B19/(B18*1000),"-")</f>
        <v>-</v>
      </c>
      <c r="C20" s="26" t="str">
        <f>IFERROR(C19/(C18*1000),"-")</f>
        <v>-</v>
      </c>
      <c r="D20" s="26" t="str">
        <f>IFERROR(D19/(D18*1000),"-")</f>
        <v>-</v>
      </c>
      <c r="E20" s="26" t="str">
        <f>IFERROR(E19/(E18*1000),"-")</f>
        <v>-</v>
      </c>
      <c r="F20" s="26" t="str">
        <f>IFERROR(F19/(F18*1000),"-")</f>
        <v>-</v>
      </c>
    </row>
    <row r="21" spans="1:6" x14ac:dyDescent="0.25">
      <c r="A21" s="7" t="s">
        <v>101</v>
      </c>
      <c r="B21" s="24">
        <f>SUM(B19:F19)</f>
        <v>0</v>
      </c>
    </row>
    <row r="22" spans="1:6" x14ac:dyDescent="0.25">
      <c r="A22" s="7"/>
    </row>
    <row r="23" spans="1:6" ht="18" thickBot="1" x14ac:dyDescent="0.35">
      <c r="A23" s="37" t="s">
        <v>77</v>
      </c>
      <c r="B23" s="37"/>
      <c r="C23" s="37"/>
      <c r="D23" s="37"/>
      <c r="E23" s="37"/>
      <c r="F23" s="37"/>
    </row>
    <row r="24" spans="1:6" ht="16.5" thickTop="1" x14ac:dyDescent="0.25">
      <c r="A24" s="7" t="s">
        <v>78</v>
      </c>
      <c r="B24" s="20" t="str">
        <f>IF($B$12&gt;$B$21,"Input excesive",IF($B$12&lt;$B$21,"Output excessive","Equal"))</f>
        <v>Equal</v>
      </c>
      <c r="C24" s="34">
        <f>IF($B$12&gt;$B$21,B12/B21,IF($B$12&lt;$B$21,B21/B12,1))</f>
        <v>1</v>
      </c>
    </row>
    <row r="25" spans="1:6" x14ac:dyDescent="0.25">
      <c r="A25" s="7"/>
    </row>
  </sheetData>
  <mergeCells count="4">
    <mergeCell ref="A1:F1"/>
    <mergeCell ref="A14:F14"/>
    <mergeCell ref="A5:F5"/>
    <mergeCell ref="A23:F2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Database!$A$2:$A$123</xm:f>
          </x14:formula1>
          <xm:sqref>B16:F16</xm:sqref>
        </x14:dataValidation>
        <x14:dataValidation type="list" allowBlank="1" showInputMessage="1" showErrorMessage="1">
          <x14:formula1>
            <xm:f>Database!$A$2:$A$123</xm:f>
          </x14:formula1>
          <xm:sqref>B7:F7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>
      <pane xSplit="1" topLeftCell="B1" activePane="topRight" state="frozen"/>
      <selection pane="topRight" activeCell="B7" sqref="B7"/>
    </sheetView>
  </sheetViews>
  <sheetFormatPr defaultColWidth="11" defaultRowHeight="15.75" x14ac:dyDescent="0.25"/>
  <cols>
    <col min="1" max="1" width="15.25" customWidth="1"/>
    <col min="2" max="2" width="26.75" customWidth="1"/>
    <col min="3" max="3" width="13.625" customWidth="1"/>
    <col min="4" max="4" width="17" customWidth="1"/>
    <col min="5" max="5" width="18.125" customWidth="1"/>
    <col min="6" max="6" width="19" customWidth="1"/>
    <col min="7" max="7" width="11.625" bestFit="1" customWidth="1"/>
  </cols>
  <sheetData>
    <row r="1" spans="1:12" ht="47.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2" x14ac:dyDescent="0.25">
      <c r="A2" s="1" t="s">
        <v>55</v>
      </c>
      <c r="B2" s="1" t="s">
        <v>70</v>
      </c>
      <c r="C2" s="1">
        <v>1</v>
      </c>
      <c r="D2" s="5">
        <v>207.2</v>
      </c>
      <c r="E2" s="4">
        <f>0.01*1000</f>
        <v>10</v>
      </c>
      <c r="F2" s="6">
        <f>C2*D2/(E2 * 1000)</f>
        <v>2.0719999999999999E-2</v>
      </c>
      <c r="G2" s="8"/>
      <c r="I2" t="s">
        <v>0</v>
      </c>
      <c r="J2" t="s">
        <v>90</v>
      </c>
      <c r="K2" t="s">
        <v>91</v>
      </c>
      <c r="L2" t="s">
        <v>92</v>
      </c>
    </row>
    <row r="3" spans="1:12" x14ac:dyDescent="0.25">
      <c r="A3" s="1" t="s">
        <v>6</v>
      </c>
      <c r="B3" s="1" t="s">
        <v>7</v>
      </c>
      <c r="C3" s="1">
        <v>1</v>
      </c>
      <c r="D3" s="5">
        <v>170.34</v>
      </c>
      <c r="E3" s="4">
        <f>0.005*1000</f>
        <v>5</v>
      </c>
      <c r="F3" s="6">
        <f>C3*D3/(E3 * 1000)</f>
        <v>3.4068000000000001E-2</v>
      </c>
      <c r="I3" t="s">
        <v>84</v>
      </c>
      <c r="J3" t="s">
        <v>85</v>
      </c>
      <c r="K3">
        <v>117.49</v>
      </c>
      <c r="L3" s="22">
        <v>0.69599999999999995</v>
      </c>
    </row>
    <row r="4" spans="1:12" x14ac:dyDescent="0.25">
      <c r="A4" s="13" t="s">
        <v>8</v>
      </c>
      <c r="B4" s="13" t="s">
        <v>9</v>
      </c>
      <c r="C4" s="13">
        <v>1</v>
      </c>
      <c r="D4" s="14">
        <f>16*2</f>
        <v>32</v>
      </c>
      <c r="E4" s="15">
        <f>0.005*1000</f>
        <v>5</v>
      </c>
      <c r="F4" s="16">
        <f>C4*D4/(E4 * 1000)</f>
        <v>6.4000000000000003E-3</v>
      </c>
      <c r="I4" t="s">
        <v>86</v>
      </c>
      <c r="J4" t="s">
        <v>51</v>
      </c>
      <c r="K4">
        <v>26.98</v>
      </c>
      <c r="L4" s="23">
        <v>0.16</v>
      </c>
    </row>
    <row r="5" spans="1:12" x14ac:dyDescent="0.25">
      <c r="A5" s="1" t="s">
        <v>10</v>
      </c>
      <c r="B5" s="1" t="s">
        <v>11</v>
      </c>
      <c r="C5" s="1">
        <v>1</v>
      </c>
      <c r="D5" s="5">
        <f>(14.007*2)+(1.008*4)</f>
        <v>32.045999999999999</v>
      </c>
      <c r="E5" s="4">
        <f>0.004*1000</f>
        <v>4</v>
      </c>
      <c r="F5" s="6">
        <f t="shared" ref="F5:F6" si="0">C5*D5/(E5 * 1000)</f>
        <v>8.0114999999999995E-3</v>
      </c>
      <c r="I5" t="s">
        <v>87</v>
      </c>
      <c r="J5" t="s">
        <v>93</v>
      </c>
      <c r="K5">
        <v>71.84</v>
      </c>
      <c r="L5" s="22">
        <v>0.4</v>
      </c>
    </row>
    <row r="6" spans="1:12" x14ac:dyDescent="0.25">
      <c r="A6" s="1" t="s">
        <v>14</v>
      </c>
      <c r="B6" s="1" t="s">
        <v>15</v>
      </c>
      <c r="C6" s="1">
        <v>1</v>
      </c>
      <c r="D6" s="5">
        <f>131.29</f>
        <v>131.29</v>
      </c>
      <c r="E6" s="4">
        <f>0.0001*1000</f>
        <v>0.1</v>
      </c>
      <c r="F6" s="6">
        <f t="shared" si="0"/>
        <v>1.3129</v>
      </c>
      <c r="L6" s="22"/>
    </row>
    <row r="7" spans="1:12" x14ac:dyDescent="0.25">
      <c r="A7" s="1" t="s">
        <v>82</v>
      </c>
      <c r="B7" s="1"/>
      <c r="C7" s="1">
        <v>1</v>
      </c>
      <c r="D7" s="5"/>
      <c r="E7" s="4">
        <f>0.0075*1000</f>
        <v>7.5</v>
      </c>
      <c r="F7" s="6"/>
      <c r="L7" s="22"/>
    </row>
    <row r="8" spans="1:12" x14ac:dyDescent="0.25">
      <c r="I8" t="s">
        <v>88</v>
      </c>
      <c r="J8" t="s">
        <v>39</v>
      </c>
      <c r="L8" s="23">
        <v>0.12</v>
      </c>
    </row>
    <row r="9" spans="1:12" x14ac:dyDescent="0.25">
      <c r="A9" s="1" t="s">
        <v>196</v>
      </c>
      <c r="B9" s="1" t="s">
        <v>163</v>
      </c>
      <c r="C9" s="1">
        <v>1</v>
      </c>
      <c r="D9" s="5">
        <f>SUM(($D$38*0.5)+($D$82*0.5))</f>
        <v>46.073</v>
      </c>
      <c r="E9" s="4">
        <f>0.0009*1000</f>
        <v>0.9</v>
      </c>
      <c r="F9" s="6">
        <f>C9*D9/(E9 * 1000)</f>
        <v>5.1192222222222222E-2</v>
      </c>
      <c r="I9" t="s">
        <v>89</v>
      </c>
      <c r="J9" t="s">
        <v>39</v>
      </c>
      <c r="L9" s="22">
        <v>1.9599999999999999E-2</v>
      </c>
    </row>
    <row r="10" spans="1:12" x14ac:dyDescent="0.25">
      <c r="A10" s="1" t="s">
        <v>40</v>
      </c>
      <c r="B10" s="1" t="s">
        <v>42</v>
      </c>
      <c r="C10" s="1">
        <v>1</v>
      </c>
      <c r="D10" s="5">
        <v>101.96</v>
      </c>
      <c r="E10" s="4">
        <f>0.00398*1000</f>
        <v>3.98</v>
      </c>
      <c r="F10" s="6">
        <f>C10*D10/(E10 * 1000)</f>
        <v>2.5618090452261304E-2</v>
      </c>
    </row>
    <row r="11" spans="1:12" x14ac:dyDescent="0.25">
      <c r="A11" s="1" t="s">
        <v>50</v>
      </c>
      <c r="B11" s="1" t="s">
        <v>51</v>
      </c>
      <c r="C11" s="1">
        <v>1</v>
      </c>
      <c r="D11" s="5">
        <v>26.98</v>
      </c>
      <c r="E11" s="4">
        <f>0.00277*1000</f>
        <v>2.77</v>
      </c>
      <c r="F11" s="6">
        <f>C11*D11/(E11 * 1000)</f>
        <v>9.7400722021660658E-3</v>
      </c>
    </row>
    <row r="12" spans="1:12" x14ac:dyDescent="0.25">
      <c r="A12" s="1" t="s">
        <v>20</v>
      </c>
      <c r="B12" s="1" t="s">
        <v>21</v>
      </c>
      <c r="C12" s="1">
        <v>1</v>
      </c>
      <c r="D12" s="5">
        <v>17.03</v>
      </c>
      <c r="E12" s="4">
        <f>0.000000769*1000</f>
        <v>7.6899999999999994E-4</v>
      </c>
      <c r="F12" s="6">
        <f>C12*D12/(E12 * 1000)</f>
        <v>22.145643693107935</v>
      </c>
    </row>
    <row r="13" spans="1:12" x14ac:dyDescent="0.25">
      <c r="A13" s="1" t="s">
        <v>12</v>
      </c>
      <c r="B13" s="1" t="s">
        <v>13</v>
      </c>
      <c r="C13" s="1">
        <v>1</v>
      </c>
      <c r="D13" s="5">
        <v>39.950000000000003</v>
      </c>
      <c r="E13" s="4">
        <f>0.000001784*1000</f>
        <v>1.784E-3</v>
      </c>
      <c r="F13" s="6">
        <f>C13*D13/(E13 * 1000)</f>
        <v>22.393497757847534</v>
      </c>
    </row>
    <row r="14" spans="1:12" x14ac:dyDescent="0.25">
      <c r="A14" s="1" t="s">
        <v>48</v>
      </c>
      <c r="B14" s="1" t="s">
        <v>49</v>
      </c>
      <c r="C14" s="1">
        <v>1</v>
      </c>
      <c r="D14" s="5">
        <v>12.01</v>
      </c>
      <c r="E14" s="4">
        <f>0.0021*1000</f>
        <v>2.1</v>
      </c>
      <c r="F14" s="6">
        <f t="shared" ref="F14" si="1">C14*D14/(E14 * 1000)</f>
        <v>5.7190476190476193E-3</v>
      </c>
    </row>
    <row r="15" spans="1:12" x14ac:dyDescent="0.25">
      <c r="A15" s="1" t="s">
        <v>53</v>
      </c>
      <c r="B15" s="1" t="s">
        <v>17</v>
      </c>
      <c r="C15" s="1">
        <v>1</v>
      </c>
      <c r="D15" s="5">
        <v>44.01</v>
      </c>
      <c r="E15" s="4">
        <f>0.000001951*1000</f>
        <v>1.951E-3</v>
      </c>
      <c r="F15" s="6">
        <f t="shared" ref="F15:F38" si="2">C15*D15/(E15 * 1000)</f>
        <v>22.557662737057917</v>
      </c>
    </row>
    <row r="16" spans="1:12" x14ac:dyDescent="0.25">
      <c r="A16" s="1" t="s">
        <v>189</v>
      </c>
      <c r="B16" s="1" t="s">
        <v>191</v>
      </c>
      <c r="C16" s="1">
        <v>1</v>
      </c>
      <c r="D16" s="5">
        <v>28.01</v>
      </c>
      <c r="E16" s="4">
        <f>0.00000125*1000</f>
        <v>1.25E-3</v>
      </c>
      <c r="F16" s="6">
        <f t="shared" si="2"/>
        <v>22.408000000000001</v>
      </c>
    </row>
    <row r="17" spans="1:6" x14ac:dyDescent="0.25">
      <c r="A17" s="1" t="s">
        <v>128</v>
      </c>
      <c r="B17" s="1"/>
      <c r="C17" s="1">
        <v>1</v>
      </c>
      <c r="D17" s="5"/>
      <c r="E17" s="4">
        <f>0.0025*1000</f>
        <v>2.5</v>
      </c>
      <c r="F17" s="6"/>
    </row>
    <row r="18" spans="1:6" x14ac:dyDescent="0.25">
      <c r="A18" s="1" t="s">
        <v>176</v>
      </c>
      <c r="B18" s="1" t="s">
        <v>179</v>
      </c>
      <c r="C18" s="1">
        <v>1</v>
      </c>
      <c r="D18" s="5">
        <v>35.450000000000003</v>
      </c>
      <c r="E18" s="4">
        <f>0.0032*1000</f>
        <v>3.2</v>
      </c>
      <c r="F18" s="6">
        <f t="shared" si="2"/>
        <v>1.1078125000000001E-2</v>
      </c>
    </row>
    <row r="19" spans="1:6" x14ac:dyDescent="0.25">
      <c r="A19" s="1" t="s">
        <v>129</v>
      </c>
      <c r="B19" s="1"/>
      <c r="C19" s="1">
        <v>1</v>
      </c>
      <c r="D19" s="5"/>
      <c r="E19" s="4">
        <f>0.001556*1000</f>
        <v>1.556</v>
      </c>
      <c r="F19" s="6"/>
    </row>
    <row r="20" spans="1:6" x14ac:dyDescent="0.25">
      <c r="A20" s="1" t="s">
        <v>170</v>
      </c>
      <c r="B20" s="1" t="s">
        <v>140</v>
      </c>
      <c r="C20" s="1">
        <v>1</v>
      </c>
      <c r="D20" s="5">
        <v>238.03</v>
      </c>
      <c r="E20" s="4">
        <f>0.01097*1000</f>
        <v>10.97</v>
      </c>
      <c r="F20" s="6">
        <f t="shared" si="2"/>
        <v>2.1698268003646309E-2</v>
      </c>
    </row>
    <row r="21" spans="1:6" x14ac:dyDescent="0.25">
      <c r="A21" s="1" t="s">
        <v>171</v>
      </c>
      <c r="B21" s="1" t="s">
        <v>153</v>
      </c>
      <c r="C21" s="1">
        <v>1</v>
      </c>
      <c r="D21" s="5">
        <v>2.0139999999999998</v>
      </c>
      <c r="E21" s="4">
        <f>0.00000018*1000</f>
        <v>1.7999999999999998E-4</v>
      </c>
      <c r="F21" s="6">
        <f t="shared" si="2"/>
        <v>11.188888888888888</v>
      </c>
    </row>
    <row r="22" spans="1:6" x14ac:dyDescent="0.25">
      <c r="A22" s="1" t="s">
        <v>123</v>
      </c>
      <c r="B22" s="1" t="s">
        <v>139</v>
      </c>
      <c r="C22" s="1">
        <v>1</v>
      </c>
      <c r="D22" s="5">
        <v>60.08</v>
      </c>
      <c r="E22" s="4">
        <f>0.0016*1000</f>
        <v>1.6</v>
      </c>
      <c r="F22" s="6">
        <f t="shared" si="2"/>
        <v>3.755E-2</v>
      </c>
    </row>
    <row r="23" spans="1:6" x14ac:dyDescent="0.25">
      <c r="A23" s="1" t="s">
        <v>130</v>
      </c>
      <c r="B23" s="1" t="s">
        <v>140</v>
      </c>
      <c r="C23" s="1">
        <v>1</v>
      </c>
      <c r="D23" s="5">
        <v>238.03</v>
      </c>
      <c r="E23" s="4">
        <f>0.01097*1000</f>
        <v>10.97</v>
      </c>
      <c r="F23" s="6">
        <f t="shared" si="2"/>
        <v>2.1698268003646309E-2</v>
      </c>
    </row>
    <row r="24" spans="1:6" x14ac:dyDescent="0.25">
      <c r="A24" s="1" t="s">
        <v>187</v>
      </c>
      <c r="B24" s="1" t="s">
        <v>188</v>
      </c>
      <c r="C24" s="1">
        <v>1</v>
      </c>
      <c r="D24" s="5">
        <v>46.07</v>
      </c>
      <c r="E24" s="4">
        <f>0.000789*1000</f>
        <v>0.78900000000000003</v>
      </c>
      <c r="F24" s="6">
        <f t="shared" ref="F24:F25" si="3">C24*D24/(E24 * 1000)</f>
        <v>5.8390367553865653E-2</v>
      </c>
    </row>
    <row r="25" spans="1:6" x14ac:dyDescent="0.25">
      <c r="A25" s="1" t="s">
        <v>194</v>
      </c>
      <c r="B25" s="1" t="s">
        <v>195</v>
      </c>
      <c r="C25" s="1">
        <v>1</v>
      </c>
      <c r="D25" s="5">
        <v>61.206800000000001</v>
      </c>
      <c r="E25" s="4">
        <f>0.00084175*1000</f>
        <v>0.84175</v>
      </c>
      <c r="F25" s="6">
        <f t="shared" si="3"/>
        <v>7.2713751113751113E-2</v>
      </c>
    </row>
    <row r="26" spans="1:6" x14ac:dyDescent="0.25">
      <c r="A26" s="1" t="s">
        <v>33</v>
      </c>
      <c r="B26" s="1" t="s">
        <v>34</v>
      </c>
      <c r="C26" s="1">
        <v>1</v>
      </c>
      <c r="D26" s="5">
        <v>183.88</v>
      </c>
      <c r="E26" s="4">
        <f>0.0025*1000</f>
        <v>2.5</v>
      </c>
      <c r="F26" s="6">
        <f t="shared" si="2"/>
        <v>7.3551999999999992E-2</v>
      </c>
    </row>
    <row r="27" spans="1:6" x14ac:dyDescent="0.25">
      <c r="A27" s="1" t="s">
        <v>137</v>
      </c>
      <c r="B27" s="1"/>
      <c r="C27" s="1">
        <v>1</v>
      </c>
      <c r="D27" s="5"/>
      <c r="E27" s="4">
        <f>0.001*1000</f>
        <v>1</v>
      </c>
      <c r="F27" s="6"/>
    </row>
    <row r="28" spans="1:6" x14ac:dyDescent="0.25">
      <c r="A28" s="1" t="s">
        <v>155</v>
      </c>
      <c r="B28" s="1"/>
      <c r="C28" s="1">
        <v>1</v>
      </c>
      <c r="D28" s="5"/>
      <c r="E28" s="4">
        <f>0.001*1000</f>
        <v>1</v>
      </c>
      <c r="F28" s="6"/>
    </row>
    <row r="29" spans="1:6" x14ac:dyDescent="0.25">
      <c r="A29" s="1" t="s">
        <v>177</v>
      </c>
      <c r="B29" s="1" t="s">
        <v>178</v>
      </c>
      <c r="C29" s="1">
        <v>1</v>
      </c>
      <c r="D29" s="5">
        <v>19</v>
      </c>
      <c r="E29" s="4">
        <f>0.0032*1000</f>
        <v>3.2</v>
      </c>
      <c r="F29" s="6">
        <f t="shared" si="2"/>
        <v>5.9375000000000001E-3</v>
      </c>
    </row>
    <row r="30" spans="1:6" x14ac:dyDescent="0.25">
      <c r="A30" s="1" t="s">
        <v>201</v>
      </c>
      <c r="B30" s="1"/>
      <c r="C30" s="1"/>
      <c r="D30" s="5"/>
      <c r="E30" s="4">
        <f xml:space="preserve"> 0.00028102905982906*1000</f>
        <v>0.28102905982906001</v>
      </c>
      <c r="F30" s="6"/>
    </row>
    <row r="31" spans="1:6" x14ac:dyDescent="0.25">
      <c r="A31" s="1" t="s">
        <v>110</v>
      </c>
      <c r="B31" s="1" t="s">
        <v>204</v>
      </c>
      <c r="C31" s="1">
        <v>1</v>
      </c>
      <c r="D31" s="5">
        <f>5.03</f>
        <v>5.03</v>
      </c>
      <c r="E31" s="4">
        <f>0.000216*1000</f>
        <v>0.216</v>
      </c>
      <c r="F31" s="6">
        <f t="shared" si="2"/>
        <v>2.3287037037037037E-2</v>
      </c>
    </row>
    <row r="32" spans="1:6" x14ac:dyDescent="0.25">
      <c r="A32" s="1" t="s">
        <v>145</v>
      </c>
      <c r="B32" s="1" t="s">
        <v>169</v>
      </c>
      <c r="C32" s="1">
        <v>1</v>
      </c>
      <c r="D32" s="5">
        <v>92.09</v>
      </c>
      <c r="E32" s="4">
        <f>0.012*1000</f>
        <v>12</v>
      </c>
      <c r="F32" s="6">
        <f t="shared" si="2"/>
        <v>7.6741666666666668E-3</v>
      </c>
    </row>
    <row r="33" spans="1:7" x14ac:dyDescent="0.25">
      <c r="A33" s="1" t="s">
        <v>27</v>
      </c>
      <c r="B33" s="1" t="s">
        <v>28</v>
      </c>
      <c r="C33" s="1">
        <v>1</v>
      </c>
      <c r="D33" s="5">
        <v>172.14</v>
      </c>
      <c r="E33" s="4">
        <f>0.0055*1000</f>
        <v>5.5</v>
      </c>
      <c r="F33" s="6">
        <f t="shared" si="2"/>
        <v>3.1298181818181815E-2</v>
      </c>
    </row>
    <row r="34" spans="1:7" x14ac:dyDescent="0.25">
      <c r="A34" s="1" t="s">
        <v>183</v>
      </c>
      <c r="B34" s="1" t="s">
        <v>152</v>
      </c>
      <c r="C34" s="1">
        <v>1</v>
      </c>
      <c r="D34" s="5">
        <v>3.016</v>
      </c>
      <c r="E34" s="4">
        <f>0.000000125*1000</f>
        <v>1.25E-4</v>
      </c>
      <c r="F34" s="6">
        <f t="shared" ref="F34:F36" si="4">C34*D34/(E34 * 1000)</f>
        <v>24.128</v>
      </c>
    </row>
    <row r="35" spans="1:7" x14ac:dyDescent="0.25">
      <c r="A35" s="1" t="s">
        <v>184</v>
      </c>
      <c r="B35" s="1" t="s">
        <v>185</v>
      </c>
      <c r="C35" s="1">
        <v>1</v>
      </c>
      <c r="D35" s="5">
        <v>4.0019999999999998</v>
      </c>
      <c r="E35" s="4">
        <f>0.0000001786*1000</f>
        <v>1.786E-4</v>
      </c>
      <c r="F35" s="6">
        <f t="shared" si="4"/>
        <v>22.407614781634937</v>
      </c>
    </row>
    <row r="36" spans="1:7" x14ac:dyDescent="0.25">
      <c r="A36" s="1" t="s">
        <v>193</v>
      </c>
      <c r="B36" s="1" t="s">
        <v>192</v>
      </c>
      <c r="C36" s="1">
        <v>1</v>
      </c>
      <c r="D36" s="5">
        <v>34.01</v>
      </c>
      <c r="E36" s="4">
        <f>0.001431*1000</f>
        <v>1.431</v>
      </c>
      <c r="F36" s="6">
        <f t="shared" si="4"/>
        <v>2.3766596785464708E-2</v>
      </c>
    </row>
    <row r="37" spans="1:7" x14ac:dyDescent="0.25">
      <c r="A37" s="1" t="s">
        <v>29</v>
      </c>
      <c r="B37" s="1" t="s">
        <v>30</v>
      </c>
      <c r="C37" s="1">
        <v>1</v>
      </c>
      <c r="D37" s="5">
        <v>168.69</v>
      </c>
      <c r="E37" s="4">
        <f>0.0015*1000</f>
        <v>1.5</v>
      </c>
      <c r="F37" s="6">
        <f t="shared" si="2"/>
        <v>0.11246</v>
      </c>
    </row>
    <row r="38" spans="1:7" x14ac:dyDescent="0.25">
      <c r="A38" s="1" t="s">
        <v>160</v>
      </c>
      <c r="B38" s="1" t="s">
        <v>161</v>
      </c>
      <c r="C38" s="1">
        <v>1</v>
      </c>
      <c r="D38" s="5">
        <f>(14.007*2)+(1.008*4)</f>
        <v>32.045999999999999</v>
      </c>
      <c r="E38" s="4">
        <f>0.001004*1000</f>
        <v>1.004</v>
      </c>
      <c r="F38" s="6">
        <f t="shared" si="2"/>
        <v>3.1918326693227091E-2</v>
      </c>
    </row>
    <row r="39" spans="1:7" x14ac:dyDescent="0.25">
      <c r="A39" s="1" t="s">
        <v>68</v>
      </c>
      <c r="B39" s="1" t="s">
        <v>16</v>
      </c>
      <c r="C39" s="1">
        <v>1</v>
      </c>
      <c r="D39" s="5">
        <v>2.02</v>
      </c>
      <c r="E39" s="4">
        <f>0.0000000899*1000</f>
        <v>8.9900000000000003E-5</v>
      </c>
      <c r="F39" s="6">
        <f t="shared" ref="F39:F51" si="5">C39*D39/(E39 * 1000)</f>
        <v>22.469410456062288</v>
      </c>
      <c r="G39" s="8"/>
    </row>
    <row r="40" spans="1:7" x14ac:dyDescent="0.25">
      <c r="A40" s="1" t="s">
        <v>186</v>
      </c>
      <c r="B40" s="1" t="s">
        <v>7</v>
      </c>
      <c r="C40" s="1">
        <v>1</v>
      </c>
      <c r="D40" s="5">
        <v>170.34</v>
      </c>
      <c r="E40" s="4">
        <f>0.00082*1000</f>
        <v>0.82</v>
      </c>
      <c r="F40" s="6">
        <f t="shared" ref="F40" si="6">C40*D40/(E40 * 1000)</f>
        <v>0.20773170731707319</v>
      </c>
      <c r="G40" s="8"/>
    </row>
    <row r="41" spans="1:7" x14ac:dyDescent="0.25">
      <c r="A41" s="1" t="s">
        <v>143</v>
      </c>
      <c r="B41" s="1" t="s">
        <v>144</v>
      </c>
      <c r="C41" s="1">
        <v>1</v>
      </c>
      <c r="D41" s="5">
        <v>6.94</v>
      </c>
      <c r="E41" s="4">
        <f xml:space="preserve"> 0.000534*1000</f>
        <v>0.53399999999999992</v>
      </c>
      <c r="F41" s="6">
        <f t="shared" si="5"/>
        <v>1.2996254681647943E-2</v>
      </c>
      <c r="G41" s="8"/>
    </row>
    <row r="42" spans="1:7" x14ac:dyDescent="0.25">
      <c r="A42" s="1" t="s">
        <v>26</v>
      </c>
      <c r="B42" s="1" t="s">
        <v>21</v>
      </c>
      <c r="C42" s="1">
        <v>1</v>
      </c>
      <c r="D42" s="5">
        <v>17.03</v>
      </c>
      <c r="E42" s="4">
        <f>0.0007021*1000</f>
        <v>0.70209999999999995</v>
      </c>
      <c r="F42" s="6">
        <f t="shared" si="5"/>
        <v>2.4255804016521866E-2</v>
      </c>
    </row>
    <row r="43" spans="1:7" x14ac:dyDescent="0.25">
      <c r="A43" s="1" t="s">
        <v>190</v>
      </c>
      <c r="B43" s="1" t="s">
        <v>191</v>
      </c>
      <c r="C43" s="1">
        <v>1</v>
      </c>
      <c r="D43" s="5">
        <v>28.01</v>
      </c>
      <c r="E43" s="4">
        <f>0.00079*1000</f>
        <v>0.79</v>
      </c>
      <c r="F43" s="6">
        <f t="shared" ref="F43" si="7">C43*D43/(E43 * 1000)</f>
        <v>3.5455696202531646E-2</v>
      </c>
    </row>
    <row r="44" spans="1:7" x14ac:dyDescent="0.25">
      <c r="A44" s="1" t="s">
        <v>24</v>
      </c>
      <c r="B44" s="1" t="s">
        <v>17</v>
      </c>
      <c r="C44" s="1">
        <v>1</v>
      </c>
      <c r="D44" s="5">
        <v>44.01</v>
      </c>
      <c r="E44" s="4">
        <f>0.00117325*1000</f>
        <v>1.1732500000000001</v>
      </c>
      <c r="F44" s="6">
        <f t="shared" si="5"/>
        <v>3.7511186874067751E-2</v>
      </c>
    </row>
    <row r="45" spans="1:7" x14ac:dyDescent="0.25">
      <c r="A45" s="1" t="s">
        <v>150</v>
      </c>
      <c r="B45" s="1" t="s">
        <v>153</v>
      </c>
      <c r="C45" s="1">
        <v>1</v>
      </c>
      <c r="D45" s="5">
        <v>2.0139999999999998</v>
      </c>
      <c r="E45" s="4">
        <f>0.0001624*1000</f>
        <v>0.16239999999999999</v>
      </c>
      <c r="F45" s="6">
        <f t="shared" si="5"/>
        <v>1.2401477832512315E-2</v>
      </c>
    </row>
    <row r="46" spans="1:7" x14ac:dyDescent="0.25">
      <c r="A46" s="1" t="s">
        <v>151</v>
      </c>
      <c r="B46" s="1" t="s">
        <v>152</v>
      </c>
      <c r="C46" s="1">
        <v>1</v>
      </c>
      <c r="D46" s="5">
        <v>3.016</v>
      </c>
      <c r="E46" s="4">
        <f>0.000059*1000</f>
        <v>5.8999999999999997E-2</v>
      </c>
      <c r="F46" s="6">
        <f>C46*D46/(E46 * 1000)</f>
        <v>5.1118644067796613E-2</v>
      </c>
    </row>
    <row r="47" spans="1:7" x14ac:dyDescent="0.25">
      <c r="A47" s="1" t="s">
        <v>182</v>
      </c>
      <c r="B47" s="1" t="s">
        <v>185</v>
      </c>
      <c r="C47" s="1">
        <v>1</v>
      </c>
      <c r="D47" s="5">
        <v>4.0019999999999998</v>
      </c>
      <c r="E47" s="4">
        <f>0.0001786*1000</f>
        <v>0.17860000000000001</v>
      </c>
      <c r="F47" s="6">
        <f t="shared" ref="F47" si="8">C47*D47/(E47 * 1000)</f>
        <v>2.2407614781634933E-2</v>
      </c>
    </row>
    <row r="48" spans="1:7" x14ac:dyDescent="0.25">
      <c r="A48" s="1" t="s">
        <v>81</v>
      </c>
      <c r="B48" s="1" t="s">
        <v>16</v>
      </c>
      <c r="C48" s="1">
        <v>1</v>
      </c>
      <c r="D48" s="5">
        <v>2.02</v>
      </c>
      <c r="E48" s="4">
        <f>0.00007085*1000</f>
        <v>7.0849999999999996E-2</v>
      </c>
      <c r="F48" s="6">
        <f>C48*D48/(E48 * 1000)</f>
        <v>2.8510938602681724E-2</v>
      </c>
    </row>
    <row r="49" spans="1:6" x14ac:dyDescent="0.25">
      <c r="A49" s="1" t="s">
        <v>25</v>
      </c>
      <c r="B49" s="1" t="s">
        <v>19</v>
      </c>
      <c r="C49" s="1">
        <v>1</v>
      </c>
      <c r="D49" s="5">
        <v>16.05</v>
      </c>
      <c r="E49" s="4">
        <f>0.00042561*1000</f>
        <v>0.42560999999999999</v>
      </c>
      <c r="F49" s="6">
        <f t="shared" si="5"/>
        <v>3.7710580108550079E-2</v>
      </c>
    </row>
    <row r="50" spans="1:6" x14ac:dyDescent="0.25">
      <c r="A50" s="1" t="s">
        <v>79</v>
      </c>
      <c r="B50" s="9" t="s">
        <v>9</v>
      </c>
      <c r="C50" s="9">
        <v>1</v>
      </c>
      <c r="D50" s="10">
        <v>32</v>
      </c>
      <c r="E50" s="11">
        <f>0.001141*1000</f>
        <v>1.141</v>
      </c>
      <c r="F50" s="12">
        <f t="shared" si="5"/>
        <v>2.8045574057843997E-2</v>
      </c>
    </row>
    <row r="51" spans="1:6" x14ac:dyDescent="0.25">
      <c r="A51" s="1" t="s">
        <v>80</v>
      </c>
      <c r="B51" s="1" t="s">
        <v>22</v>
      </c>
      <c r="C51" s="1">
        <v>1</v>
      </c>
      <c r="D51" s="5">
        <v>28.01</v>
      </c>
      <c r="E51" s="4">
        <f>0.000824907*1000</f>
        <v>0.82490700000000006</v>
      </c>
      <c r="F51" s="6">
        <f t="shared" si="5"/>
        <v>3.3955342844708553E-2</v>
      </c>
    </row>
    <row r="52" spans="1:6" x14ac:dyDescent="0.25">
      <c r="A52" s="1" t="s">
        <v>134</v>
      </c>
      <c r="B52" s="1"/>
      <c r="C52" s="1">
        <v>1</v>
      </c>
      <c r="D52" s="5"/>
      <c r="E52" s="4">
        <f>0.00378*1000</f>
        <v>3.78</v>
      </c>
      <c r="F52" s="6"/>
    </row>
    <row r="53" spans="1:6" x14ac:dyDescent="0.25">
      <c r="A53" s="1" t="s">
        <v>124</v>
      </c>
      <c r="B53" s="1"/>
      <c r="C53" s="1">
        <v>1</v>
      </c>
      <c r="D53" s="5"/>
      <c r="E53" s="4">
        <f>0.001*1000</f>
        <v>1</v>
      </c>
      <c r="F53" s="6"/>
    </row>
    <row r="54" spans="1:6" x14ac:dyDescent="0.25">
      <c r="A54" s="1" t="s">
        <v>156</v>
      </c>
      <c r="B54" s="1" t="s">
        <v>16</v>
      </c>
      <c r="C54" s="1">
        <v>1</v>
      </c>
      <c r="D54" s="5">
        <f>D48</f>
        <v>2.02</v>
      </c>
      <c r="E54" s="4">
        <f>0.007085*1000</f>
        <v>7.085</v>
      </c>
      <c r="F54" s="6">
        <f t="shared" ref="F54:F61" si="9">C54*D54/(E54 * 1000)</f>
        <v>2.851093860268172E-4</v>
      </c>
    </row>
    <row r="55" spans="1:6" x14ac:dyDescent="0.25">
      <c r="A55" s="1" t="s">
        <v>131</v>
      </c>
      <c r="B55" s="1" t="s">
        <v>141</v>
      </c>
      <c r="C55" s="1">
        <v>1</v>
      </c>
      <c r="D55" s="5">
        <v>159.69</v>
      </c>
      <c r="E55" s="4">
        <f>0.0055*1000</f>
        <v>5.5</v>
      </c>
      <c r="F55" s="6">
        <f t="shared" si="9"/>
        <v>2.9034545454545455E-2</v>
      </c>
    </row>
    <row r="56" spans="1:6" x14ac:dyDescent="0.25">
      <c r="A56" s="1" t="s">
        <v>35</v>
      </c>
      <c r="B56" s="1" t="s">
        <v>47</v>
      </c>
      <c r="C56" s="1">
        <v>1</v>
      </c>
      <c r="D56" s="5">
        <f>55.845*2</f>
        <v>111.69</v>
      </c>
      <c r="E56" s="4">
        <f>0.026*1000</f>
        <v>26</v>
      </c>
      <c r="F56" s="6">
        <f t="shared" si="9"/>
        <v>4.2957692307692306E-3</v>
      </c>
    </row>
    <row r="57" spans="1:6" x14ac:dyDescent="0.25">
      <c r="A57" s="1" t="s">
        <v>83</v>
      </c>
      <c r="B57" s="1" t="s">
        <v>47</v>
      </c>
      <c r="C57" s="1">
        <v>1</v>
      </c>
      <c r="D57" s="5">
        <f>55.845*2</f>
        <v>111.69</v>
      </c>
      <c r="E57" s="4">
        <f>0.0078*1000</f>
        <v>7.8</v>
      </c>
      <c r="F57" s="6">
        <f t="shared" si="9"/>
        <v>1.4319230769230768E-2</v>
      </c>
    </row>
    <row r="58" spans="1:6" x14ac:dyDescent="0.25">
      <c r="A58" s="1" t="s">
        <v>18</v>
      </c>
      <c r="B58" s="1" t="s">
        <v>19</v>
      </c>
      <c r="C58" s="1">
        <v>1</v>
      </c>
      <c r="D58" s="5">
        <f>12.02+4*1.008</f>
        <v>16.052</v>
      </c>
      <c r="E58" s="4">
        <f>0.000000717*1000</f>
        <v>7.1699999999999997E-4</v>
      </c>
      <c r="F58" s="6">
        <f t="shared" si="9"/>
        <v>22.387726638772666</v>
      </c>
    </row>
    <row r="59" spans="1:6" x14ac:dyDescent="0.25">
      <c r="A59" s="1" t="s">
        <v>31</v>
      </c>
      <c r="B59" s="1" t="s">
        <v>32</v>
      </c>
      <c r="C59" s="1">
        <v>1</v>
      </c>
      <c r="D59" s="5">
        <f>(28.086*2)+(16*2)</f>
        <v>88.171999999999997</v>
      </c>
      <c r="E59" s="4">
        <f>0.0027*1000</f>
        <v>2.7</v>
      </c>
      <c r="F59" s="6">
        <f t="shared" si="9"/>
        <v>3.2656296296296294E-2</v>
      </c>
    </row>
    <row r="60" spans="1:6" ht="18.75" x14ac:dyDescent="0.25">
      <c r="A60" s="1" t="s">
        <v>157</v>
      </c>
      <c r="B60" s="1" t="s">
        <v>181</v>
      </c>
      <c r="C60" s="1">
        <v>1</v>
      </c>
      <c r="D60" s="5">
        <v>46.07</v>
      </c>
      <c r="E60" s="4">
        <f>0.00088*1000</f>
        <v>0.88</v>
      </c>
      <c r="F60" s="6">
        <f t="shared" si="9"/>
        <v>5.2352272727272726E-2</v>
      </c>
    </row>
    <row r="61" spans="1:6" x14ac:dyDescent="0.25">
      <c r="A61" s="1" t="s">
        <v>41</v>
      </c>
      <c r="B61" s="1" t="s">
        <v>45</v>
      </c>
      <c r="C61" s="1">
        <v>1</v>
      </c>
      <c r="D61" s="5">
        <v>233.88</v>
      </c>
      <c r="E61" s="4">
        <f>0.005*1000</f>
        <v>5</v>
      </c>
      <c r="F61" s="6">
        <f t="shared" si="9"/>
        <v>4.6775999999999998E-2</v>
      </c>
    </row>
    <row r="62" spans="1:6" x14ac:dyDescent="0.25">
      <c r="A62" s="1" t="s">
        <v>142</v>
      </c>
      <c r="B62" s="1"/>
      <c r="C62" s="1">
        <v>1</v>
      </c>
      <c r="D62" s="5"/>
      <c r="E62" s="4">
        <f>0.001*1000</f>
        <v>1</v>
      </c>
      <c r="F62" s="6"/>
    </row>
    <row r="63" spans="1:6" x14ac:dyDescent="0.25">
      <c r="A63" s="1" t="s">
        <v>54</v>
      </c>
      <c r="B63" s="1" t="s">
        <v>22</v>
      </c>
      <c r="C63" s="1">
        <v>1</v>
      </c>
      <c r="D63" s="5">
        <f>14.007*2</f>
        <v>28.013999999999999</v>
      </c>
      <c r="E63" s="4">
        <f>0.000001251*1000</f>
        <v>1.2509999999999999E-3</v>
      </c>
      <c r="F63" s="6">
        <f>C63*D63/(E63 * 1000)</f>
        <v>22.393285371702639</v>
      </c>
    </row>
    <row r="64" spans="1:6" x14ac:dyDescent="0.25">
      <c r="A64" s="1" t="s">
        <v>158</v>
      </c>
      <c r="B64" s="1" t="s">
        <v>180</v>
      </c>
      <c r="C64" s="1">
        <v>1</v>
      </c>
      <c r="D64" s="5">
        <v>92.04</v>
      </c>
      <c r="E64" s="4">
        <f>0.00145*1000</f>
        <v>1.45</v>
      </c>
      <c r="F64" s="6">
        <f>C64*D64/(E64 * 1000)</f>
        <v>6.3475862068965522E-2</v>
      </c>
    </row>
    <row r="65" spans="1:6" x14ac:dyDescent="0.25">
      <c r="A65" s="1" t="s">
        <v>154</v>
      </c>
      <c r="B65" s="1"/>
      <c r="C65" s="1">
        <v>1</v>
      </c>
      <c r="D65" s="5"/>
      <c r="E65" s="4">
        <v>1.0499999999999999E-3</v>
      </c>
      <c r="F65" s="6"/>
    </row>
    <row r="66" spans="1:6" x14ac:dyDescent="0.25">
      <c r="A66" s="1" t="s">
        <v>132</v>
      </c>
      <c r="B66" s="1"/>
      <c r="C66" s="1">
        <v>1</v>
      </c>
      <c r="D66" s="5"/>
      <c r="E66" s="4">
        <f>0.001*1000</f>
        <v>1</v>
      </c>
      <c r="F66" s="6"/>
    </row>
    <row r="67" spans="1:6" x14ac:dyDescent="0.25">
      <c r="A67" s="1" t="s">
        <v>56</v>
      </c>
      <c r="B67" s="1" t="s">
        <v>9</v>
      </c>
      <c r="C67" s="1">
        <v>1</v>
      </c>
      <c r="D67" s="5">
        <v>32</v>
      </c>
      <c r="E67" s="4">
        <f>0.00000141*1000</f>
        <v>1.41E-3</v>
      </c>
      <c r="F67" s="6">
        <f>C67*D67/(E67 * 1000)</f>
        <v>22.695035460992909</v>
      </c>
    </row>
    <row r="68" spans="1:6" x14ac:dyDescent="0.25">
      <c r="A68" s="1" t="s">
        <v>43</v>
      </c>
      <c r="B68" s="1" t="s">
        <v>44</v>
      </c>
      <c r="C68" s="1">
        <v>1</v>
      </c>
      <c r="D68" s="5">
        <v>30.97</v>
      </c>
      <c r="E68" s="17">
        <f>$E$3</f>
        <v>5</v>
      </c>
      <c r="F68" s="6">
        <f>C68*D68/(E68 * 1000)</f>
        <v>6.1939999999999999E-3</v>
      </c>
    </row>
    <row r="69" spans="1:6" x14ac:dyDescent="0.25">
      <c r="A69" s="1" t="s">
        <v>126</v>
      </c>
      <c r="B69" s="1"/>
      <c r="C69" s="1">
        <v>1</v>
      </c>
      <c r="D69" s="5"/>
      <c r="E69" s="4">
        <f>0.00104*1000</f>
        <v>1.0399999999999998</v>
      </c>
      <c r="F69" s="6"/>
    </row>
    <row r="70" spans="1:6" x14ac:dyDescent="0.25">
      <c r="A70" s="1" t="s">
        <v>36</v>
      </c>
      <c r="B70" s="1" t="s">
        <v>46</v>
      </c>
      <c r="C70" s="1">
        <v>1</v>
      </c>
      <c r="D70" s="5">
        <f>195.078</f>
        <v>195.078</v>
      </c>
      <c r="E70" s="4">
        <f>0.0078*1000</f>
        <v>7.8</v>
      </c>
      <c r="F70" s="6">
        <f>C70*D70/(E70 * 1000)</f>
        <v>2.5010000000000001E-2</v>
      </c>
    </row>
    <row r="71" spans="1:6" x14ac:dyDescent="0.25">
      <c r="A71" s="1" t="s">
        <v>133</v>
      </c>
      <c r="B71" s="1"/>
      <c r="C71" s="1">
        <v>1</v>
      </c>
      <c r="D71" s="5"/>
      <c r="E71" s="4">
        <f>0.00378*1000</f>
        <v>3.78</v>
      </c>
      <c r="F71" s="6"/>
    </row>
    <row r="72" spans="1:6" x14ac:dyDescent="0.25">
      <c r="A72" s="1" t="s">
        <v>127</v>
      </c>
      <c r="B72" s="1"/>
      <c r="C72" s="1">
        <v>1</v>
      </c>
      <c r="D72" s="5"/>
      <c r="E72" s="4">
        <f>0.0052*1000</f>
        <v>5.2</v>
      </c>
      <c r="F72" s="6"/>
    </row>
    <row r="73" spans="1:6" x14ac:dyDescent="0.25">
      <c r="A73" s="1" t="s">
        <v>146</v>
      </c>
      <c r="B73" s="1"/>
      <c r="C73" s="1">
        <v>1</v>
      </c>
      <c r="D73" s="5"/>
      <c r="E73" s="4">
        <f>0.0025*1000</f>
        <v>2.5</v>
      </c>
      <c r="F73" s="6"/>
    </row>
    <row r="74" spans="1:6" x14ac:dyDescent="0.25">
      <c r="A74" s="1" t="s">
        <v>147</v>
      </c>
      <c r="B74" s="1"/>
      <c r="C74" s="1">
        <v>1</v>
      </c>
      <c r="D74" s="5"/>
      <c r="E74" s="4">
        <f>0.004*1000</f>
        <v>4</v>
      </c>
      <c r="F74" s="6"/>
    </row>
    <row r="75" spans="1:6" x14ac:dyDescent="0.25">
      <c r="A75" s="1" t="s">
        <v>37</v>
      </c>
      <c r="B75" s="1" t="s">
        <v>168</v>
      </c>
      <c r="C75" s="1">
        <v>1</v>
      </c>
      <c r="D75" s="5">
        <v>76.08</v>
      </c>
      <c r="E75" s="4">
        <f>0.0025*1000</f>
        <v>2.5</v>
      </c>
      <c r="F75" s="6">
        <f>C75*D75/(E75 * 1000)</f>
        <v>3.0432000000000001E-2</v>
      </c>
    </row>
    <row r="76" spans="1:6" x14ac:dyDescent="0.25">
      <c r="A76" s="1" t="s">
        <v>174</v>
      </c>
      <c r="B76" s="1" t="s">
        <v>175</v>
      </c>
      <c r="C76" s="1">
        <v>1</v>
      </c>
      <c r="D76" s="5">
        <v>28.09</v>
      </c>
      <c r="E76" s="4">
        <f>0.002329*1000</f>
        <v>2.3289999999999997</v>
      </c>
      <c r="F76" s="6">
        <f>C76*D76/(E76 * 1000)</f>
        <v>1.2060970373550882E-2</v>
      </c>
    </row>
    <row r="77" spans="1:6" x14ac:dyDescent="0.25">
      <c r="A77" s="1" t="s">
        <v>125</v>
      </c>
      <c r="B77" s="1"/>
      <c r="C77" s="1">
        <v>1</v>
      </c>
      <c r="D77" s="5"/>
      <c r="E77" s="4">
        <f>0.00378*1000</f>
        <v>3.78</v>
      </c>
      <c r="F77" s="6"/>
    </row>
    <row r="78" spans="1:6" x14ac:dyDescent="0.25">
      <c r="A78" s="1" t="s">
        <v>166</v>
      </c>
      <c r="B78" s="1" t="s">
        <v>167</v>
      </c>
      <c r="C78" s="1">
        <v>1</v>
      </c>
      <c r="D78" s="5">
        <v>186.09</v>
      </c>
      <c r="E78" s="4">
        <f>0.0031*1000</f>
        <v>3.1</v>
      </c>
      <c r="F78" s="6">
        <f t="shared" ref="F78" si="10">C78*D78/(E78 * 1000)</f>
        <v>6.0029032258064517E-2</v>
      </c>
    </row>
    <row r="79" spans="1:6" x14ac:dyDescent="0.25">
      <c r="A79" s="1" t="s">
        <v>38</v>
      </c>
      <c r="B79" s="1"/>
      <c r="C79" s="1">
        <v>1</v>
      </c>
      <c r="D79" s="5"/>
      <c r="E79" s="4">
        <f>0.0016*1000</f>
        <v>1.6</v>
      </c>
      <c r="F79" s="6"/>
    </row>
    <row r="80" spans="1:6" x14ac:dyDescent="0.25">
      <c r="A80" s="1" t="s">
        <v>138</v>
      </c>
      <c r="B80" s="1"/>
      <c r="C80" s="1">
        <v>1</v>
      </c>
      <c r="D80" s="5"/>
      <c r="E80" s="4">
        <f>0.001*1000</f>
        <v>1</v>
      </c>
      <c r="F80" s="6"/>
    </row>
    <row r="81" spans="1:6" x14ac:dyDescent="0.25">
      <c r="A81" s="1" t="s">
        <v>135</v>
      </c>
      <c r="B81" s="1" t="s">
        <v>136</v>
      </c>
      <c r="C81" s="1">
        <v>1</v>
      </c>
      <c r="D81" s="5">
        <v>270.02999999999997</v>
      </c>
      <c r="E81" s="4">
        <f>0.0075*1000</f>
        <v>7.5</v>
      </c>
      <c r="F81" s="6">
        <f>C81*D81/(E81 * 1000)</f>
        <v>3.6003999999999994E-2</v>
      </c>
    </row>
    <row r="82" spans="1:6" x14ac:dyDescent="0.25">
      <c r="A82" s="1" t="s">
        <v>159</v>
      </c>
      <c r="B82" s="1" t="s">
        <v>165</v>
      </c>
      <c r="C82" s="1">
        <v>1</v>
      </c>
      <c r="D82" s="5">
        <v>60.1</v>
      </c>
      <c r="E82" s="4">
        <f>0.000791*1000</f>
        <v>0.79100000000000004</v>
      </c>
      <c r="F82" s="6">
        <f>C82*D82/(E82 * 1000)</f>
        <v>7.5979772439949439E-2</v>
      </c>
    </row>
    <row r="83" spans="1:6" x14ac:dyDescent="0.25">
      <c r="A83" s="1" t="s">
        <v>162</v>
      </c>
      <c r="B83" s="1" t="s">
        <v>164</v>
      </c>
      <c r="C83" s="1">
        <v>1</v>
      </c>
      <c r="D83" s="5">
        <f>SUM(($D$38*0.25)+($D$82*0.75))</f>
        <v>53.086500000000001</v>
      </c>
      <c r="E83" s="4">
        <f>0.000829*1000</f>
        <v>0.82899999999999996</v>
      </c>
      <c r="F83" s="6">
        <f>C83*D83/(E83 * 1000)</f>
        <v>6.4036791314837152E-2</v>
      </c>
    </row>
    <row r="84" spans="1:6" x14ac:dyDescent="0.25">
      <c r="A84" s="1" t="s">
        <v>202</v>
      </c>
      <c r="B84" s="1"/>
      <c r="C84" s="1">
        <v>1</v>
      </c>
      <c r="D84" s="5"/>
      <c r="E84" s="4">
        <f>0.00075*1000</f>
        <v>0.75</v>
      </c>
      <c r="F84" s="6"/>
    </row>
    <row r="85" spans="1:6" x14ac:dyDescent="0.25">
      <c r="A85" s="1" t="s">
        <v>203</v>
      </c>
      <c r="B85" s="1"/>
      <c r="C85" s="1">
        <v>1</v>
      </c>
      <c r="D85" s="5"/>
      <c r="E85" s="4">
        <f>0.001005*1000</f>
        <v>1.0050000000000001</v>
      </c>
      <c r="F85" s="6"/>
    </row>
    <row r="86" spans="1:6" x14ac:dyDescent="0.25">
      <c r="A86" s="1" t="s">
        <v>121</v>
      </c>
      <c r="B86" s="1" t="s">
        <v>23</v>
      </c>
      <c r="C86" s="1">
        <v>1</v>
      </c>
      <c r="D86" s="5">
        <v>18.02</v>
      </c>
      <c r="E86" s="4">
        <f>0.001*1000</f>
        <v>1</v>
      </c>
      <c r="F86" s="6">
        <f>C86*D86/(E86 * 1000)</f>
        <v>1.8020000000000001E-2</v>
      </c>
    </row>
    <row r="88" spans="1:6" x14ac:dyDescent="0.25">
      <c r="A88" s="1" t="s">
        <v>104</v>
      </c>
    </row>
    <row r="89" spans="1:6" x14ac:dyDescent="0.25">
      <c r="A89" s="30" t="s">
        <v>105</v>
      </c>
      <c r="D89" s="31"/>
      <c r="E89" s="4">
        <f t="shared" ref="E89:E123" si="11">F89*1000</f>
        <v>5</v>
      </c>
      <c r="F89" s="6">
        <v>5.0000000000000001E-3</v>
      </c>
    </row>
    <row r="90" spans="1:6" x14ac:dyDescent="0.25">
      <c r="A90" s="30" t="s">
        <v>113</v>
      </c>
      <c r="E90" s="4">
        <f t="shared" si="11"/>
        <v>19.3</v>
      </c>
      <c r="F90" s="6">
        <v>1.9300000000000001E-2</v>
      </c>
    </row>
    <row r="91" spans="1:6" x14ac:dyDescent="0.25">
      <c r="A91" s="30" t="s">
        <v>57</v>
      </c>
      <c r="E91" s="4">
        <f t="shared" si="11"/>
        <v>54.4</v>
      </c>
      <c r="F91" s="6">
        <v>5.4399999999999997E-2</v>
      </c>
    </row>
    <row r="92" spans="1:6" x14ac:dyDescent="0.25">
      <c r="A92" s="30" t="s">
        <v>106</v>
      </c>
      <c r="E92" s="4">
        <f t="shared" si="11"/>
        <v>5</v>
      </c>
      <c r="F92" s="6">
        <v>5.0000000000000001E-3</v>
      </c>
    </row>
    <row r="93" spans="1:6" x14ac:dyDescent="0.25">
      <c r="A93" s="30" t="s">
        <v>115</v>
      </c>
      <c r="E93" s="4">
        <f t="shared" si="11"/>
        <v>7</v>
      </c>
      <c r="F93" s="6">
        <v>7.0000000000000001E-3</v>
      </c>
    </row>
    <row r="94" spans="1:6" x14ac:dyDescent="0.25">
      <c r="A94" s="30" t="s">
        <v>149</v>
      </c>
      <c r="E94" s="4">
        <f t="shared" si="11"/>
        <v>0.53399999999999992</v>
      </c>
      <c r="F94" s="6">
        <v>5.3399999999999997E-4</v>
      </c>
    </row>
    <row r="95" spans="1:6" x14ac:dyDescent="0.25">
      <c r="A95" s="30" t="s">
        <v>107</v>
      </c>
      <c r="E95" s="4">
        <f t="shared" si="11"/>
        <v>6.0000000000000005E-2</v>
      </c>
      <c r="F95" s="6">
        <v>6.0000000000000002E-5</v>
      </c>
    </row>
    <row r="96" spans="1:6" x14ac:dyDescent="0.25">
      <c r="A96" s="30" t="s">
        <v>111</v>
      </c>
      <c r="E96" s="4">
        <f t="shared" si="11"/>
        <v>2.5</v>
      </c>
      <c r="F96" s="6">
        <v>2.5000000000000001E-3</v>
      </c>
    </row>
    <row r="97" spans="1:6" x14ac:dyDescent="0.25">
      <c r="A97" s="30" t="s">
        <v>67</v>
      </c>
      <c r="E97" s="4">
        <f t="shared" si="11"/>
        <v>5.0108799999999993</v>
      </c>
      <c r="F97" s="6">
        <v>5.0108799999999997E-3</v>
      </c>
    </row>
    <row r="98" spans="1:6" x14ac:dyDescent="0.25">
      <c r="A98" s="30" t="s">
        <v>116</v>
      </c>
      <c r="E98" s="4">
        <f t="shared" si="11"/>
        <v>4.3499999999999996</v>
      </c>
      <c r="F98" s="6">
        <v>4.3499999999999997E-3</v>
      </c>
    </row>
    <row r="99" spans="1:6" x14ac:dyDescent="0.25">
      <c r="A99" s="30" t="s">
        <v>110</v>
      </c>
      <c r="E99" s="4">
        <f t="shared" si="11"/>
        <v>0.216</v>
      </c>
      <c r="F99" s="6">
        <v>2.1599999999999999E-4</v>
      </c>
    </row>
    <row r="100" spans="1:6" x14ac:dyDescent="0.25">
      <c r="A100" s="30" t="s">
        <v>58</v>
      </c>
      <c r="E100" s="4">
        <f t="shared" si="11"/>
        <v>23.125</v>
      </c>
      <c r="F100" s="6">
        <v>2.3125E-2</v>
      </c>
    </row>
    <row r="101" spans="1:6" x14ac:dyDescent="0.25">
      <c r="A101" s="30" t="s">
        <v>59</v>
      </c>
      <c r="E101" s="4">
        <f t="shared" si="11"/>
        <v>5.25</v>
      </c>
      <c r="F101" s="6">
        <v>5.2500000000000003E-3</v>
      </c>
    </row>
    <row r="102" spans="1:6" x14ac:dyDescent="0.25">
      <c r="A102" s="30" t="s">
        <v>60</v>
      </c>
      <c r="E102" s="4">
        <f t="shared" si="11"/>
        <v>5</v>
      </c>
      <c r="F102" s="6">
        <v>5.0000000000000001E-3</v>
      </c>
    </row>
    <row r="103" spans="1:6" x14ac:dyDescent="0.25">
      <c r="A103" s="30" t="s">
        <v>148</v>
      </c>
      <c r="E103" s="4">
        <f t="shared" si="11"/>
        <v>1</v>
      </c>
      <c r="F103" s="6">
        <v>1E-3</v>
      </c>
    </row>
    <row r="104" spans="1:6" x14ac:dyDescent="0.25">
      <c r="A104" s="30" t="s">
        <v>61</v>
      </c>
      <c r="E104" s="4">
        <f t="shared" si="11"/>
        <v>12.5</v>
      </c>
      <c r="F104" s="6">
        <v>1.2500000000000001E-2</v>
      </c>
    </row>
    <row r="105" spans="1:6" x14ac:dyDescent="0.25">
      <c r="A105" s="30" t="s">
        <v>112</v>
      </c>
      <c r="E105" s="4">
        <f t="shared" si="11"/>
        <v>2.4</v>
      </c>
      <c r="F105" s="6">
        <v>2.3999999999999998E-3</v>
      </c>
    </row>
    <row r="106" spans="1:6" x14ac:dyDescent="0.25">
      <c r="A106" s="30" t="s">
        <v>62</v>
      </c>
      <c r="E106" s="4">
        <f t="shared" si="11"/>
        <v>13.5</v>
      </c>
      <c r="F106" s="6">
        <v>1.35E-2</v>
      </c>
    </row>
    <row r="107" spans="1:6" x14ac:dyDescent="0.25">
      <c r="A107" s="30" t="s">
        <v>63</v>
      </c>
      <c r="E107" s="4">
        <f t="shared" si="11"/>
        <v>8.6</v>
      </c>
      <c r="F107" s="6">
        <v>8.6E-3</v>
      </c>
    </row>
    <row r="108" spans="1:6" x14ac:dyDescent="0.25">
      <c r="A108" s="30" t="s">
        <v>172</v>
      </c>
      <c r="E108" s="4">
        <f t="shared" si="11"/>
        <v>19.099999999999998</v>
      </c>
      <c r="F108" s="6">
        <v>1.9099999999999999E-2</v>
      </c>
    </row>
    <row r="109" spans="1:6" x14ac:dyDescent="0.25">
      <c r="A109" s="30" t="s">
        <v>173</v>
      </c>
      <c r="E109" s="4">
        <f t="shared" si="11"/>
        <v>10.97</v>
      </c>
      <c r="F109" s="6">
        <v>1.0970000000000001E-2</v>
      </c>
    </row>
    <row r="110" spans="1:6" x14ac:dyDescent="0.25">
      <c r="A110" s="30" t="s">
        <v>64</v>
      </c>
      <c r="B110" s="1"/>
      <c r="C110" s="1"/>
      <c r="D110" s="3"/>
      <c r="E110" s="4">
        <f t="shared" si="11"/>
        <v>5.7050000000000001</v>
      </c>
      <c r="F110" s="6">
        <v>5.705E-3</v>
      </c>
    </row>
    <row r="111" spans="1:6" x14ac:dyDescent="0.25">
      <c r="A111" s="30" t="s">
        <v>65</v>
      </c>
      <c r="B111" s="1"/>
      <c r="C111" s="1"/>
      <c r="D111" s="3"/>
      <c r="E111" s="4">
        <f t="shared" si="11"/>
        <v>13.5</v>
      </c>
      <c r="F111" s="6">
        <v>1.35E-2</v>
      </c>
    </row>
    <row r="112" spans="1:6" x14ac:dyDescent="0.25">
      <c r="A112" s="30" t="s">
        <v>69</v>
      </c>
      <c r="B112" s="1"/>
      <c r="C112" s="1"/>
      <c r="D112" s="3"/>
      <c r="E112" s="4">
        <f t="shared" si="11"/>
        <v>0.35399999999999998</v>
      </c>
      <c r="F112" s="6">
        <v>3.5399999999999999E-4</v>
      </c>
    </row>
    <row r="113" spans="1:6" x14ac:dyDescent="0.25">
      <c r="A113" s="30" t="s">
        <v>108</v>
      </c>
      <c r="B113" s="1"/>
      <c r="C113" s="1"/>
      <c r="D113" s="3"/>
      <c r="E113" s="4">
        <f t="shared" si="11"/>
        <v>2.12805</v>
      </c>
      <c r="F113" s="6">
        <v>2.1280499999999998E-3</v>
      </c>
    </row>
    <row r="114" spans="1:6" x14ac:dyDescent="0.25">
      <c r="A114" s="30" t="s">
        <v>118</v>
      </c>
      <c r="B114" s="1"/>
      <c r="C114" s="1"/>
      <c r="D114" s="3"/>
      <c r="E114" s="4">
        <f t="shared" si="11"/>
        <v>1.08</v>
      </c>
      <c r="F114" s="6">
        <v>1.08E-3</v>
      </c>
    </row>
    <row r="115" spans="1:6" x14ac:dyDescent="0.25">
      <c r="A115" s="30" t="s">
        <v>109</v>
      </c>
      <c r="B115" s="1"/>
      <c r="C115" s="1"/>
      <c r="D115" s="3"/>
      <c r="E115" s="4">
        <f t="shared" si="11"/>
        <v>4.1000000000000005</v>
      </c>
      <c r="F115" s="6">
        <v>4.1000000000000003E-3</v>
      </c>
    </row>
    <row r="116" spans="1:6" x14ac:dyDescent="0.25">
      <c r="A116" s="30" t="s">
        <v>52</v>
      </c>
      <c r="E116" s="4">
        <f t="shared" si="11"/>
        <v>12.5</v>
      </c>
      <c r="F116" s="6">
        <v>1.2500000000000001E-2</v>
      </c>
    </row>
    <row r="117" spans="1:6" x14ac:dyDescent="0.25">
      <c r="A117" s="30" t="s">
        <v>71</v>
      </c>
      <c r="E117" s="4">
        <f t="shared" si="11"/>
        <v>4.5999999999999996</v>
      </c>
      <c r="F117" s="6">
        <v>4.5999999999999999E-3</v>
      </c>
    </row>
    <row r="118" spans="1:6" x14ac:dyDescent="0.25">
      <c r="A118" s="30" t="s">
        <v>119</v>
      </c>
      <c r="E118" s="4">
        <f t="shared" si="11"/>
        <v>1</v>
      </c>
      <c r="F118" s="6">
        <v>1E-3</v>
      </c>
    </row>
    <row r="119" spans="1:6" x14ac:dyDescent="0.25">
      <c r="A119" s="30" t="s">
        <v>120</v>
      </c>
      <c r="E119" s="4">
        <f t="shared" si="11"/>
        <v>1</v>
      </c>
      <c r="F119" s="6">
        <v>1E-3</v>
      </c>
    </row>
    <row r="120" spans="1:6" x14ac:dyDescent="0.25">
      <c r="A120" s="30" t="s">
        <v>114</v>
      </c>
      <c r="E120" s="4">
        <f t="shared" si="11"/>
        <v>7.5</v>
      </c>
      <c r="F120" s="6">
        <v>7.4999999999999997E-3</v>
      </c>
    </row>
    <row r="121" spans="1:6" x14ac:dyDescent="0.25">
      <c r="A121" s="30" t="s">
        <v>117</v>
      </c>
      <c r="E121" s="4">
        <f t="shared" si="11"/>
        <v>4.3499999999999996</v>
      </c>
      <c r="F121" s="6">
        <v>4.3499999999999997E-3</v>
      </c>
    </row>
    <row r="122" spans="1:6" x14ac:dyDescent="0.25">
      <c r="A122" s="30" t="s">
        <v>122</v>
      </c>
      <c r="E122" s="4">
        <f t="shared" si="11"/>
        <v>5</v>
      </c>
      <c r="F122" s="6">
        <v>5.0000000000000001E-3</v>
      </c>
    </row>
    <row r="123" spans="1:6" x14ac:dyDescent="0.25">
      <c r="A123" s="30" t="s">
        <v>66</v>
      </c>
      <c r="E123" s="4">
        <f t="shared" si="11"/>
        <v>5</v>
      </c>
      <c r="F123" s="6">
        <v>5.0000000000000001E-3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 (Kg)</vt:lpstr>
      <vt:lpstr>Calc (Moles)</vt:lpstr>
      <vt:lpstr>Database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Cassidy</dc:creator>
  <cp:keywords/>
  <dc:description/>
  <cp:lastModifiedBy>Jadon Wade</cp:lastModifiedBy>
  <cp:revision/>
  <dcterms:created xsi:type="dcterms:W3CDTF">2019-06-13T01:25:21Z</dcterms:created>
  <dcterms:modified xsi:type="dcterms:W3CDTF">2023-05-03T23:40:49Z</dcterms:modified>
  <cp:category/>
  <cp:contentStatus/>
</cp:coreProperties>
</file>