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 activeTab="3"/>
  </bookViews>
  <sheets>
    <sheet name="Engine Config Calc" sheetId="2" r:id="rId1"/>
    <sheet name="Database" sheetId="3" r:id="rId2"/>
    <sheet name="Samples" sheetId="1" r:id="rId3"/>
    <sheet name="Energy calcs" sheetId="4" r:id="rId4"/>
  </sheets>
  <definedNames>
    <definedName name="_xlnm.Print_Area" localSheetId="1">#REF!</definedName>
    <definedName name="_xlnm.Print_Area" localSheetId="0">#REF!</definedName>
    <definedName name="_xlnm.Print_Area" localSheetId="2">#REF!</definedName>
    <definedName name="_xlnm.Sheet_Title" localSheetId="1">"Sheet3"</definedName>
    <definedName name="_xlnm.Sheet_Title" localSheetId="0">"Sheet2"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D28" i="4" l="1"/>
  <c r="D69" i="4"/>
  <c r="E69" i="4"/>
  <c r="D71" i="4"/>
  <c r="E71" i="4"/>
  <c r="D70" i="4"/>
  <c r="E70" i="4"/>
  <c r="E62" i="4"/>
  <c r="D62" i="4"/>
  <c r="E64" i="4"/>
  <c r="D64" i="4"/>
  <c r="E63" i="4"/>
  <c r="D63" i="4"/>
  <c r="D66" i="4"/>
  <c r="D68" i="4"/>
  <c r="E68" i="4"/>
  <c r="E67" i="4"/>
  <c r="D67" i="4"/>
  <c r="E66" i="4"/>
  <c r="E58" i="4"/>
  <c r="E61" i="4"/>
  <c r="E59" i="4"/>
  <c r="E60" i="4"/>
  <c r="D58" i="4"/>
  <c r="D61" i="4"/>
  <c r="D59" i="4"/>
  <c r="D60" i="4"/>
  <c r="D38" i="4"/>
  <c r="E38" i="4" s="1"/>
  <c r="E43" i="4" s="1"/>
  <c r="C44" i="4"/>
  <c r="D41" i="4"/>
  <c r="D40" i="4"/>
  <c r="D39" i="4"/>
  <c r="D37" i="4"/>
  <c r="E37" i="4" s="1"/>
  <c r="C43" i="4" s="1"/>
  <c r="J57" i="3"/>
  <c r="J51" i="3"/>
  <c r="J47" i="3"/>
  <c r="J44" i="3"/>
  <c r="J43" i="3"/>
  <c r="J42" i="3"/>
  <c r="J41" i="3"/>
  <c r="J39" i="3"/>
  <c r="J25" i="3"/>
  <c r="J18" i="3"/>
  <c r="C45" i="4" l="1"/>
  <c r="C47" i="4" s="1"/>
  <c r="H16" i="4"/>
  <c r="G17" i="4" s="1"/>
  <c r="B30" i="3"/>
  <c r="B31" i="3"/>
  <c r="B15" i="3"/>
  <c r="B16" i="3"/>
  <c r="B21" i="3"/>
  <c r="E47" i="4" l="1"/>
  <c r="E48" i="4" s="1"/>
  <c r="C48" i="4"/>
  <c r="H17" i="4"/>
  <c r="H18" i="4" s="1"/>
  <c r="B28" i="4"/>
  <c r="B30" i="4" s="1"/>
  <c r="C28" i="4" l="1"/>
  <c r="B26" i="4"/>
  <c r="B6" i="4"/>
  <c r="C6" i="4" s="1"/>
  <c r="D21" i="4"/>
  <c r="B13" i="4"/>
  <c r="E13" i="4" s="1"/>
  <c r="C13" i="4" s="1"/>
  <c r="C11" i="4" s="1"/>
  <c r="D16" i="4" s="1"/>
  <c r="C21" i="4"/>
  <c r="J8" i="4"/>
  <c r="D6" i="4" l="1"/>
  <c r="E6" i="4" s="1"/>
  <c r="D48" i="2"/>
  <c r="D51" i="2" s="1"/>
  <c r="B48" i="2"/>
  <c r="B51" i="2" s="1"/>
  <c r="C48" i="2"/>
  <c r="D41" i="2"/>
  <c r="D44" i="2" s="1"/>
  <c r="C41" i="2"/>
  <c r="C44" i="2" s="1"/>
  <c r="B41" i="2"/>
  <c r="C32" i="2"/>
  <c r="C35" i="2" s="1"/>
  <c r="D64" i="2"/>
  <c r="D67" i="2" s="1"/>
  <c r="C64" i="2"/>
  <c r="C67" i="2" s="1"/>
  <c r="B64" i="2"/>
  <c r="B67" i="2" s="1"/>
  <c r="D57" i="2"/>
  <c r="D60" i="2" s="1"/>
  <c r="C57" i="2"/>
  <c r="C60" i="2" s="1"/>
  <c r="B57" i="2"/>
  <c r="B60" i="2" s="1"/>
  <c r="I31" i="2"/>
  <c r="I63" i="2" s="1"/>
  <c r="I24" i="2"/>
  <c r="I56" i="2" s="1"/>
  <c r="D32" i="2"/>
  <c r="D35" i="2" s="1"/>
  <c r="B32" i="2"/>
  <c r="B35" i="2" s="1"/>
  <c r="D25" i="2"/>
  <c r="D28" i="2" s="1"/>
  <c r="C25" i="2"/>
  <c r="C28" i="2" s="1"/>
  <c r="B25" i="2"/>
  <c r="B28" i="2" s="1"/>
  <c r="I40" i="2" l="1"/>
  <c r="I47" i="2"/>
  <c r="C51" i="2"/>
  <c r="B44" i="2"/>
  <c r="B37" i="3"/>
  <c r="B13" i="3" l="1"/>
  <c r="B29" i="3"/>
  <c r="B32" i="3"/>
  <c r="B33" i="3"/>
  <c r="B34" i="3"/>
  <c r="B35" i="3"/>
  <c r="B36" i="3"/>
  <c r="D18" i="2" l="1"/>
  <c r="C18" i="2"/>
  <c r="B17" i="3" l="1"/>
  <c r="B54" i="3"/>
  <c r="B18" i="3"/>
  <c r="B52" i="3" l="1"/>
  <c r="D21" i="2" l="1"/>
  <c r="C21" i="2"/>
  <c r="B12" i="3" l="1"/>
  <c r="B14" i="3"/>
  <c r="B19" i="3"/>
  <c r="B20" i="3"/>
  <c r="B22" i="3"/>
  <c r="B23" i="3"/>
  <c r="B24" i="3"/>
  <c r="B25" i="3"/>
  <c r="B26" i="3"/>
  <c r="B27" i="3"/>
  <c r="B28" i="3"/>
  <c r="B38" i="3"/>
  <c r="B18" i="2" s="1"/>
  <c r="B21" i="2" s="1"/>
  <c r="B41" i="3"/>
  <c r="B42" i="3"/>
  <c r="B43" i="3"/>
  <c r="B44" i="3"/>
  <c r="B45" i="3"/>
  <c r="B46" i="3"/>
  <c r="B47" i="3"/>
  <c r="B48" i="3"/>
  <c r="B49" i="3"/>
  <c r="B50" i="3"/>
  <c r="B51" i="3"/>
  <c r="B53" i="3"/>
  <c r="B11" i="3"/>
  <c r="B9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0" i="2" l="1"/>
  <c r="C13" i="2"/>
  <c r="C11" i="2"/>
  <c r="C12" i="2"/>
  <c r="C9" i="2"/>
  <c r="D9" i="2"/>
  <c r="C19" i="2" l="1"/>
  <c r="D19" i="2"/>
  <c r="D20" i="2" s="1"/>
  <c r="B19" i="2"/>
  <c r="B20" i="2" s="1"/>
  <c r="E19" i="2"/>
  <c r="G17" i="2" s="1"/>
  <c r="H17" i="2" s="1"/>
  <c r="E58" i="2"/>
  <c r="G56" i="2" s="1"/>
  <c r="H56" i="2" s="1"/>
  <c r="D58" i="2"/>
  <c r="D59" i="2" s="1"/>
  <c r="C58" i="2"/>
  <c r="C59" i="2" s="1"/>
  <c r="B58" i="2"/>
  <c r="B59" i="2" s="1"/>
  <c r="C33" i="2"/>
  <c r="C34" i="2" s="1"/>
  <c r="E49" i="2"/>
  <c r="G47" i="2" s="1"/>
  <c r="H47" i="2" s="1"/>
  <c r="B33" i="2"/>
  <c r="B34" i="2" s="1"/>
  <c r="B49" i="2"/>
  <c r="B50" i="2" s="1"/>
  <c r="D33" i="2"/>
  <c r="D34" i="2" s="1"/>
  <c r="C49" i="2"/>
  <c r="C50" i="2" s="1"/>
  <c r="D49" i="2"/>
  <c r="D50" i="2" s="1"/>
  <c r="E33" i="2"/>
  <c r="G31" i="2" s="1"/>
  <c r="H31" i="2" s="1"/>
  <c r="C65" i="2"/>
  <c r="C66" i="2" s="1"/>
  <c r="D65" i="2"/>
  <c r="D66" i="2" s="1"/>
  <c r="B65" i="2"/>
  <c r="B66" i="2" s="1"/>
  <c r="E65" i="2"/>
  <c r="G63" i="2" s="1"/>
  <c r="H63" i="2" s="1"/>
  <c r="D42" i="2"/>
  <c r="D43" i="2" s="1"/>
  <c r="E42" i="2"/>
  <c r="G40" i="2" s="1"/>
  <c r="H40" i="2" s="1"/>
  <c r="D26" i="2"/>
  <c r="D27" i="2" s="1"/>
  <c r="C26" i="2"/>
  <c r="C27" i="2" s="1"/>
  <c r="C42" i="2"/>
  <c r="C43" i="2" s="1"/>
  <c r="B26" i="2"/>
  <c r="B27" i="2" s="1"/>
  <c r="E26" i="2"/>
  <c r="G24" i="2" s="1"/>
  <c r="H24" i="2" s="1"/>
  <c r="B42" i="2"/>
  <c r="B43" i="2" s="1"/>
  <c r="E9" i="2"/>
  <c r="E66" i="2" l="1"/>
  <c r="E43" i="2"/>
  <c r="E34" i="2"/>
  <c r="E27" i="2"/>
  <c r="E50" i="2"/>
  <c r="E59" i="2"/>
  <c r="C20" i="2"/>
  <c r="E20" i="2"/>
  <c r="G9" i="2" l="1"/>
  <c r="H9" i="2" s="1"/>
</calcChain>
</file>

<file path=xl/comments1.xml><?xml version="1.0" encoding="utf-8"?>
<comments xmlns="http://schemas.openxmlformats.org/spreadsheetml/2006/main">
  <authors>
    <author>Jadon Wade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temperature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gas constant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Molar mass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Isentropic heat expansion factor. Dry air usually 1.398; scalar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Exhaust pressure at nozzle exit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Inlet gas pressure</t>
        </r>
      </text>
    </comment>
  </commentList>
</comments>
</file>

<file path=xl/sharedStrings.xml><?xml version="1.0" encoding="utf-8"?>
<sst xmlns="http://schemas.openxmlformats.org/spreadsheetml/2006/main" count="376" uniqueCount="236">
  <si>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</si>
  <si>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</si>
  <si>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</si>
  <si>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</si>
  <si>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</si>
  <si>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</si>
  <si>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</si>
  <si>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</si>
  <si>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</si>
  <si>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</si>
  <si>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</si>
  <si>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</si>
  <si>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</si>
  <si>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</si>
  <si>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</si>
  <si>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</si>
  <si>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</si>
  <si>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</si>
  <si>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</si>
  <si>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</si>
  <si>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</si>
  <si>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</si>
  <si>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</si>
  <si>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</si>
  <si>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</si>
  <si>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</si>
  <si>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</si>
  <si>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</si>
  <si>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</si>
  <si>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</si>
  <si>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</si>
  <si>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</si>
  <si>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</si>
  <si>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</si>
  <si>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</si>
  <si>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</si>
  <si>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</si>
  <si>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</si>
  <si>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</si>
  <si>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</si>
  <si>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</si>
  <si>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</si>
  <si>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</si>
  <si>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</si>
  <si>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</si>
  <si>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</si>
  <si>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</si>
  <si>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</si>
  <si>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</si>
  <si>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</si>
  <si>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</si>
  <si>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</si>
  <si>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</si>
  <si>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</si>
  <si>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</si>
  <si>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</si>
  <si>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</si>
  <si>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</si>
  <si>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</si>
  <si>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</si>
  <si>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</si>
  <si>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</si>
  <si>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</si>
  <si>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</si>
  <si>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</si>
  <si>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</si>
  <si>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</si>
  <si>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</si>
  <si>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</si>
  <si>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</si>
  <si>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</si>
  <si>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</si>
  <si>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</si>
  <si>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</si>
  <si>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</si>
  <si>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</si>
  <si>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</si>
  <si>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</si>
  <si>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</si>
  <si>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</si>
  <si>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</si>
  <si>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</si>
  <si>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</si>
  <si>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</si>
  <si>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</si>
  <si>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</si>
  <si>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</si>
  <si>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</si>
  <si>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</si>
  <si>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</si>
  <si>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</si>
  <si>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</si>
  <si>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</si>
  <si>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</si>
  <si>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</si>
  <si>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</si>
  <si>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</si>
  <si>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</si>
  <si>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</si>
  <si>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</si>
  <si>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</si>
  <si>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</si>
  <si>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</si>
  <si>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</si>
  <si>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</si>
  <si>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</si>
  <si>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</si>
  <si>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</si>
  <si>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Real Fuels</t>
  </si>
  <si>
    <t>Classic Stock</t>
  </si>
  <si>
    <t>~ Re-input</t>
  </si>
  <si>
    <t>EC Target</t>
  </si>
  <si>
    <t>ARI-73</t>
  </si>
  <si>
    <t>ARI-75</t>
  </si>
  <si>
    <t>c</t>
  </si>
  <si>
    <t>Lightcraft</t>
  </si>
  <si>
    <t>Thrust (N)</t>
  </si>
  <si>
    <t>ElectricCharge (kW or kWh)</t>
  </si>
  <si>
    <t>Thrust (Vac, kN)</t>
  </si>
  <si>
    <t>TWR</t>
  </si>
  <si>
    <t>Weight (t)</t>
  </si>
  <si>
    <t>Basic</t>
  </si>
  <si>
    <t>Advanced</t>
  </si>
  <si>
    <t>Isp (s)</t>
  </si>
  <si>
    <t>Extra</t>
  </si>
  <si>
    <t>Reactor to engine</t>
  </si>
  <si>
    <t>Esp (J/kg)</t>
  </si>
  <si>
    <t>Kerosene</t>
  </si>
  <si>
    <t>Ethanol</t>
  </si>
  <si>
    <t>Ethanol75</t>
  </si>
  <si>
    <t>LqdNitrogen</t>
  </si>
  <si>
    <t>Fuel Ratio</t>
  </si>
  <si>
    <t>#1</t>
  </si>
  <si>
    <t>#2</t>
  </si>
  <si>
    <t>Hydrogen</t>
  </si>
  <si>
    <t>R</t>
  </si>
  <si>
    <t>Ve</t>
  </si>
  <si>
    <t>(1-(Pe^Z)/P)</t>
  </si>
  <si>
    <t>(2y/y-1)</t>
  </si>
  <si>
    <t>(T*R)/M</t>
  </si>
  <si>
    <t>P</t>
  </si>
  <si>
    <t>Pe</t>
  </si>
  <si>
    <t>y</t>
  </si>
  <si>
    <t>M</t>
  </si>
  <si>
    <t>T</t>
  </si>
  <si>
    <t>Exhaust gas velocity</t>
  </si>
  <si>
    <t>Alumina</t>
  </si>
  <si>
    <t>Al2O3</t>
  </si>
  <si>
    <t>Aluminium</t>
  </si>
  <si>
    <t>Al</t>
  </si>
  <si>
    <t>Ammonia</t>
  </si>
  <si>
    <t>NH3</t>
  </si>
  <si>
    <t>Ar</t>
  </si>
  <si>
    <t>Carbon</t>
  </si>
  <si>
    <t>C</t>
  </si>
  <si>
    <t>CarbonDioxide</t>
  </si>
  <si>
    <t>CO2</t>
  </si>
  <si>
    <t>CarbonMonoxide</t>
  </si>
  <si>
    <t>CO</t>
  </si>
  <si>
    <t>Chlorine</t>
  </si>
  <si>
    <t>Cl2</t>
  </si>
  <si>
    <t>Depleted [Fuel/Uranium]</t>
  </si>
  <si>
    <t>U</t>
  </si>
  <si>
    <t>Deuterium</t>
  </si>
  <si>
    <t>D / 2H</t>
  </si>
  <si>
    <t>Dirt</t>
  </si>
  <si>
    <t>Sand (SiO2)</t>
  </si>
  <si>
    <t>C2H6O</t>
  </si>
  <si>
    <t>C2H6O[3] + H2O[1]</t>
  </si>
  <si>
    <t>ExoticMinerals</t>
  </si>
  <si>
    <t>Xenotime (YPO4)</t>
  </si>
  <si>
    <t>Fluorine</t>
  </si>
  <si>
    <t>F2</t>
  </si>
  <si>
    <t>D+He3</t>
  </si>
  <si>
    <t>Glykerol</t>
  </si>
  <si>
    <t>Glycerol (C3H8O3)</t>
  </si>
  <si>
    <t>Gypsum</t>
  </si>
  <si>
    <t>Gypsum (CaSO4+2H2O)</t>
  </si>
  <si>
    <t>Helium-3</t>
  </si>
  <si>
    <t>3He</t>
  </si>
  <si>
    <t>Helium</t>
  </si>
  <si>
    <t>He / 4He</t>
  </si>
  <si>
    <t>HTP</t>
  </si>
  <si>
    <t>H2O2</t>
  </si>
  <si>
    <t>Hydrates</t>
  </si>
  <si>
    <t>Ferrihydrite (Fe2O3+0.5(H2O))</t>
  </si>
  <si>
    <t>Hydrazine</t>
  </si>
  <si>
    <t>N2H4</t>
  </si>
  <si>
    <t>H2</t>
  </si>
  <si>
    <t>Dodecane (C12H26)</t>
  </si>
  <si>
    <t>Li</t>
  </si>
  <si>
    <t>LqdCO</t>
  </si>
  <si>
    <t>LqdHe</t>
  </si>
  <si>
    <t>CH4</t>
  </si>
  <si>
    <t>O2</t>
  </si>
  <si>
    <t>N2</t>
  </si>
  <si>
    <t>MetallicOre</t>
  </si>
  <si>
    <t>Hematite (Fe2O3)</t>
  </si>
  <si>
    <t>MetalOre</t>
  </si>
  <si>
    <t>Iron (Fe)</t>
  </si>
  <si>
    <t>Methane</t>
  </si>
  <si>
    <t>Minerals</t>
  </si>
  <si>
    <t>Quartz (SiO2)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</si>
  <si>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0"/>
        <color indexed="8"/>
        <rFont val="Sans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</si>
  <si>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Monazite</t>
  </si>
  <si>
    <t>Lanthanum var (LaPO4)</t>
  </si>
  <si>
    <t>Nitrogen</t>
  </si>
  <si>
    <t>N2O4</t>
  </si>
  <si>
    <t>Oxygen</t>
  </si>
  <si>
    <t>Phosphorus</t>
  </si>
  <si>
    <t>RareMetals</t>
  </si>
  <si>
    <t>Platinum (Pt)</t>
  </si>
  <si>
    <t>Silicates</t>
  </si>
  <si>
    <t>Radical Metasilicate (SiO3)</t>
  </si>
  <si>
    <t>Silicon</t>
  </si>
  <si>
    <t>Si</t>
  </si>
  <si>
    <t>Spodumene</t>
  </si>
  <si>
    <t>LiAl(SiO3)2</t>
  </si>
  <si>
    <t>Uraninite</t>
  </si>
  <si>
    <t>UO2</t>
  </si>
  <si>
    <t>H2NN(CH3)2</t>
  </si>
  <si>
    <t>Hydrazine + UDMH (25:75)</t>
  </si>
  <si>
    <t>H2O</t>
  </si>
  <si>
    <t>Chem Symbol</t>
  </si>
  <si>
    <t>Moles</t>
  </si>
  <si>
    <t>Molar mass</t>
  </si>
  <si>
    <t>Isp (Ns)</t>
  </si>
  <si>
    <t>LH2</t>
  </si>
  <si>
    <t>RRNF Ratios</t>
  </si>
  <si>
    <t>Water</t>
  </si>
  <si>
    <t>Fresh Air</t>
  </si>
  <si>
    <t>Thrust mult</t>
  </si>
  <si>
    <t>Thrust mult exp</t>
  </si>
  <si>
    <t>Ve (%c)</t>
  </si>
  <si>
    <t>(Stale/Comp) Atm</t>
  </si>
  <si>
    <t>Energy Calculators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</si>
</sst>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_-;\-* #,##0.00_-;_-* &quot;-&quot;??_-;_-@_-"/>
    <numFmt numFmtId="164" formatCode="0.0"/>
    <numFmt numFmtId="165" formatCode="0.000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000_-;\-* #,##0.0000_-;_-* &quot;-&quot;??_-;_-@_-"/>
    <numFmt numFmtId="170" formatCode="General\ &quot;J/mol-1 /K-1&quot;"/>
    <numFmt numFmtId="171" formatCode="0\ &quot;K&quot;"/>
    <numFmt numFmtId="172" formatCode="#,##0.00\ &quot;g/mol&quot;"/>
    <numFmt numFmtId="177" formatCode="0.00\ &quot;m/s&quot;"/>
    <numFmt numFmtId="181" formatCode="0\ &quot;atm&quot;"/>
    <numFmt numFmtId="182" formatCode="0.00\ &quot;Pa&quot;"/>
    <numFmt numFmtId="186" formatCode="0.00\ &quot;Ns&quot;"/>
    <numFmt numFmtId="187" formatCode="0.00\ &quot;g/mol&quot;"/>
    <numFmt numFmtId="189" formatCode="0.000\ &quot;kg/mol&quot;"/>
    <numFmt numFmtId="197" formatCode="0.0\ &quot;kN&quot;"/>
    <numFmt numFmtId="199" formatCode="0\ &quot;Ns&quot;"/>
    <numFmt numFmtId="200" formatCode="0.00&quot;x&quot;"/>
  </numFmts>
  <fonts count="2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70C0"/>
      <name val="Calibri"/>
      <family val="2"/>
      <scheme val="minor"/>
    </font>
    <font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rgb="FF7F7F7F"/>
      </top>
      <bottom/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  <xf numFmtId="0" fontId="18" fillId="0" borderId="0"/>
  </cellStyleXfs>
  <cellXfs count="76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1" fontId="3" fillId="6" borderId="3" xfId="3" applyNumberFormat="1" applyFont="1" applyFill="1" applyAlignment="1"/>
    <xf numFmtId="0" fontId="9" fillId="6" borderId="0" xfId="0" applyFont="1" applyFill="1" applyAlignment="1"/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0" fontId="17" fillId="0" borderId="0" xfId="6" applyFont="1"/>
    <xf numFmtId="167" fontId="3" fillId="2" borderId="3" xfId="10" applyNumberFormat="1" applyFont="1" applyFill="1" applyBorder="1" applyAlignment="1"/>
    <xf numFmtId="11" fontId="3" fillId="2" borderId="3" xfId="3" applyNumberFormat="1"/>
    <xf numFmtId="43" fontId="4" fillId="3" borderId="3" xfId="10" applyFont="1" applyFill="1" applyBorder="1"/>
    <xf numFmtId="169" fontId="4" fillId="3" borderId="3" xfId="10" applyNumberFormat="1" applyFont="1" applyFill="1" applyBorder="1" applyAlignment="1"/>
    <xf numFmtId="11" fontId="3" fillId="2" borderId="3" xfId="3" applyNumberFormat="1" applyFont="1"/>
    <xf numFmtId="168" fontId="4" fillId="3" borderId="3" xfId="10" applyNumberFormat="1" applyFont="1" applyFill="1" applyBorder="1"/>
    <xf numFmtId="0" fontId="13" fillId="3" borderId="5" xfId="8"/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8" fillId="0" borderId="0" xfId="11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1" fontId="3" fillId="2" borderId="3" xfId="3" applyNumberFormat="1"/>
    <xf numFmtId="170" fontId="6" fillId="0" borderId="0" xfId="6" applyNumberFormat="1"/>
    <xf numFmtId="181" fontId="3" fillId="2" borderId="3" xfId="3" applyNumberFormat="1"/>
    <xf numFmtId="182" fontId="5" fillId="0" borderId="4" xfId="5" applyNumberFormat="1"/>
    <xf numFmtId="2" fontId="4" fillId="3" borderId="3" xfId="4" applyNumberFormat="1"/>
    <xf numFmtId="177" fontId="13" fillId="3" borderId="5" xfId="8" applyNumberFormat="1"/>
    <xf numFmtId="0" fontId="18" fillId="0" borderId="0" xfId="11" applyFont="1"/>
    <xf numFmtId="186" fontId="13" fillId="3" borderId="5" xfId="8" applyNumberFormat="1"/>
    <xf numFmtId="187" fontId="5" fillId="0" borderId="4" xfId="5" applyNumberFormat="1"/>
    <xf numFmtId="189" fontId="5" fillId="0" borderId="4" xfId="5" applyNumberFormat="1"/>
    <xf numFmtId="2" fontId="9" fillId="0" borderId="0" xfId="0" applyNumberFormat="1" applyFont="1"/>
    <xf numFmtId="164" fontId="9" fillId="0" borderId="0" xfId="0" applyNumberFormat="1" applyFont="1"/>
    <xf numFmtId="0" fontId="23" fillId="0" borderId="0" xfId="0" applyFont="1"/>
    <xf numFmtId="0" fontId="24" fillId="0" borderId="0" xfId="0" applyFont="1"/>
    <xf numFmtId="197" fontId="9" fillId="0" borderId="0" xfId="0" applyNumberFormat="1" applyFont="1"/>
    <xf numFmtId="199" fontId="9" fillId="0" borderId="0" xfId="0" applyNumberFormat="1" applyFont="1"/>
    <xf numFmtId="200" fontId="9" fillId="0" borderId="0" xfId="0" applyNumberFormat="1" applyFont="1"/>
    <xf numFmtId="197" fontId="3" fillId="2" borderId="3" xfId="3" applyNumberFormat="1"/>
    <xf numFmtId="2" fontId="3" fillId="2" borderId="3" xfId="3" applyNumberFormat="1"/>
    <xf numFmtId="200" fontId="4" fillId="3" borderId="3" xfId="4" applyNumberFormat="1"/>
    <xf numFmtId="197" fontId="13" fillId="3" borderId="5" xfId="8" applyNumberFormat="1"/>
    <xf numFmtId="197" fontId="5" fillId="0" borderId="4" xfId="5" applyNumberFormat="1"/>
    <xf numFmtId="0" fontId="2" fillId="0" borderId="2" xfId="2"/>
    <xf numFmtId="0" fontId="1" fillId="0" borderId="1" xfId="1" applyAlignment="1">
      <alignment horizontal="center"/>
    </xf>
  </cellXfs>
  <cellStyles count="12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Input" xfId="3" builtinId="20"/>
    <cellStyle name="Linked Cell" xfId="5" builtinId="24"/>
    <cellStyle name="Normal" xfId="0" builtinId="0"/>
    <cellStyle name="Normal 2" xfId="11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7"/>
  <sheetViews>
    <sheetView zoomScaleNormal="100" workbookViewId="0">
      <selection activeCell="E3" sqref="E3"/>
    </sheetView>
  </sheetViews>
  <sheetFormatPr defaultRowHeight="15.75"/>
  <cols>
    <col min="1" max="5" width="19.710937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44" t="s">
        <v>23</v>
      </c>
      <c r="B1" s="44"/>
      <c r="C1" s="44"/>
      <c r="D1" s="44"/>
      <c r="E1" s="44"/>
    </row>
    <row r="2" spans="1:15" ht="16.5" thickTop="1">
      <c r="A2" s="18" t="s">
        <v>71</v>
      </c>
      <c r="B2"/>
      <c r="C2"/>
      <c r="D2"/>
      <c r="E2"/>
    </row>
    <row r="3" spans="1:15">
      <c r="A3" s="18" t="s">
        <v>73</v>
      </c>
      <c r="B3"/>
      <c r="C3"/>
      <c r="D3"/>
      <c r="E3"/>
    </row>
    <row r="4" spans="1:15">
      <c r="A4" s="18" t="s">
        <v>94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39</v>
      </c>
      <c r="B6" s="2" t="s">
        <v>22</v>
      </c>
      <c r="C6" s="2" t="s">
        <v>24</v>
      </c>
      <c r="D6" s="5"/>
      <c r="E6" s="5"/>
      <c r="F6" s="5"/>
    </row>
    <row r="7" spans="1:15">
      <c r="A7" s="19" t="s">
        <v>70</v>
      </c>
      <c r="B7" s="9">
        <v>4248</v>
      </c>
      <c r="C7" s="9">
        <v>25</v>
      </c>
      <c r="D7" s="5"/>
      <c r="E7" s="5"/>
      <c r="F7" s="5"/>
    </row>
    <row r="8" spans="1:15" ht="18" thickBot="1">
      <c r="A8" s="2" t="s">
        <v>40</v>
      </c>
      <c r="B8" s="2" t="s">
        <v>3</v>
      </c>
      <c r="C8" s="2" t="s">
        <v>25</v>
      </c>
      <c r="D8" s="5" t="s">
        <v>37</v>
      </c>
      <c r="E8" s="5" t="s">
        <v>126</v>
      </c>
      <c r="G8" s="43" t="s">
        <v>76</v>
      </c>
      <c r="H8" s="43"/>
    </row>
    <row r="9" spans="1:15" ht="16.5" thickTop="1">
      <c r="B9" s="6">
        <f>B7*9.8066</f>
        <v>41658.436799999996</v>
      </c>
      <c r="C9" s="10">
        <f>IFERROR(C7*1000/B9,0)</f>
        <v>0.60011853349235611</v>
      </c>
      <c r="D9" s="10">
        <f>C7*1000*B9/2</f>
        <v>520730459.99999994</v>
      </c>
      <c r="E9" s="10">
        <f>IFERROR(D9/C9,0)</f>
        <v>867712678.30979705</v>
      </c>
      <c r="G9" s="16">
        <f>SUM(B20:E20)</f>
        <v>0.60011853349235611</v>
      </c>
      <c r="H9" s="6" t="str">
        <f>IF($C$9&gt;$G$9,"Input excesive",IF($C$9&lt;$G$9,"Output excessive","Equal"))</f>
        <v>Equal</v>
      </c>
    </row>
    <row r="10" spans="1:15">
      <c r="A10" s="2" t="s">
        <v>32</v>
      </c>
      <c r="B10" s="2">
        <v>1.5</v>
      </c>
      <c r="C10" s="10">
        <f>IFERROR(C7*1000/B10/B9,0)</f>
        <v>0.40007902232823744</v>
      </c>
      <c r="E10" s="5"/>
    </row>
    <row r="11" spans="1:15">
      <c r="A11" s="2" t="s">
        <v>33</v>
      </c>
      <c r="B11" s="2">
        <v>1.2</v>
      </c>
      <c r="C11" s="10">
        <f>IFERROR(C7*1000/B11/B9,0)</f>
        <v>0.50009877791029689</v>
      </c>
      <c r="E11" s="5"/>
    </row>
    <row r="12" spans="1:15">
      <c r="A12" s="2" t="s">
        <v>56</v>
      </c>
      <c r="B12" s="2">
        <v>3.7</v>
      </c>
      <c r="C12" s="10">
        <f>IFERROR(C7*1000/B12/B9,0)</f>
        <v>0.16219419824117734</v>
      </c>
      <c r="E12" s="5"/>
    </row>
    <row r="13" spans="1:15">
      <c r="A13" s="2" t="s">
        <v>57</v>
      </c>
      <c r="B13" s="2">
        <v>1.33</v>
      </c>
      <c r="C13" s="10">
        <f>IFERROR(C7*1000/B13/B9,0)</f>
        <v>0.45121694247545574</v>
      </c>
      <c r="E13" s="5"/>
    </row>
    <row r="14" spans="1:15">
      <c r="E14" s="5"/>
      <c r="M14" s="2" t="s">
        <v>22</v>
      </c>
      <c r="N14" s="2" t="s">
        <v>95</v>
      </c>
      <c r="O14" s="2" t="s">
        <v>107</v>
      </c>
    </row>
    <row r="15" spans="1:15" ht="20.25" thickBot="1">
      <c r="A15" s="44" t="s">
        <v>36</v>
      </c>
      <c r="B15" s="44"/>
      <c r="C15" s="44"/>
      <c r="D15" s="44"/>
      <c r="E15" s="44"/>
      <c r="G15"/>
      <c r="H15"/>
      <c r="I15"/>
    </row>
    <row r="16" spans="1:15" ht="17.25" thickTop="1" thickBot="1">
      <c r="A16" s="19" t="s">
        <v>69</v>
      </c>
      <c r="B16" s="20">
        <v>1</v>
      </c>
      <c r="C16" s="20">
        <v>15</v>
      </c>
      <c r="D16" s="20">
        <v>0</v>
      </c>
      <c r="E16" s="21">
        <v>0</v>
      </c>
      <c r="G16" s="26" t="s">
        <v>93</v>
      </c>
      <c r="H16" s="26" t="s">
        <v>110</v>
      </c>
      <c r="I16" s="26" t="s">
        <v>111</v>
      </c>
      <c r="K16" s="2" t="s">
        <v>99</v>
      </c>
      <c r="L16" s="2" t="s">
        <v>100</v>
      </c>
      <c r="M16" s="2">
        <v>4000</v>
      </c>
      <c r="N16" s="2">
        <v>420</v>
      </c>
      <c r="O16" s="28">
        <v>300</v>
      </c>
    </row>
    <row r="17" spans="1:15">
      <c r="A17" s="1" t="s">
        <v>68</v>
      </c>
      <c r="B17" s="17" t="s">
        <v>29</v>
      </c>
      <c r="C17" s="17" t="s">
        <v>67</v>
      </c>
      <c r="D17" s="17"/>
      <c r="E17" s="18" t="s">
        <v>35</v>
      </c>
      <c r="G17" s="24">
        <f>IFERROR(E19/I17,"-")</f>
        <v>0</v>
      </c>
      <c r="H17" s="25" t="str">
        <f>IFERROR(E16/G17,"-")</f>
        <v>-</v>
      </c>
      <c r="I17" s="27">
        <v>9</v>
      </c>
      <c r="L17" s="2" t="s">
        <v>112</v>
      </c>
      <c r="M17" s="2">
        <v>3000</v>
      </c>
      <c r="N17" s="2">
        <v>180</v>
      </c>
      <c r="O17" s="28">
        <v>150</v>
      </c>
    </row>
    <row r="18" spans="1:15" ht="16.5" thickBot="1">
      <c r="A18" s="1" t="s">
        <v>27</v>
      </c>
      <c r="B18" s="11">
        <f>IFERROR(VLOOKUP(B17,Database!$A$2:$B$54,2,0),"-")</f>
        <v>5</v>
      </c>
      <c r="C18" s="11">
        <f>IFERROR(VLOOKUP(C17,Database!$A$2:$B$54,2,0),"-")</f>
        <v>5</v>
      </c>
      <c r="D18" s="11" t="str">
        <f>IFERROR(VLOOKUP(D17,Database!$A$2:$B$54,2,0),"-")</f>
        <v>-</v>
      </c>
      <c r="E18" s="12">
        <v>0</v>
      </c>
      <c r="M18" s="2">
        <v>900</v>
      </c>
      <c r="N18" s="2">
        <v>180</v>
      </c>
      <c r="O18" s="28">
        <v>150</v>
      </c>
    </row>
    <row r="19" spans="1:15" ht="16.5" thickTop="1">
      <c r="A19" s="19" t="s">
        <v>77</v>
      </c>
      <c r="B19" s="16">
        <f>IFERROR($C$9*B16/SUM(B21:D21),"-")</f>
        <v>7.5014816686544512E-3</v>
      </c>
      <c r="C19" s="16">
        <f>IFERROR($C$9*C16/SUM(B21:D21),"-")</f>
        <v>0.11252222502981676</v>
      </c>
      <c r="D19" s="16">
        <f>IFERROR($C$9*D16/SUM(B21:D21),"-")</f>
        <v>0</v>
      </c>
      <c r="E19" s="16">
        <f>IFERROR($C$9*E16/SUM(B21:D21),0)</f>
        <v>0</v>
      </c>
      <c r="K19" s="2" t="s">
        <v>96</v>
      </c>
      <c r="L19" s="2" t="s">
        <v>101</v>
      </c>
      <c r="M19" s="2">
        <v>3000</v>
      </c>
      <c r="N19" s="2">
        <v>300</v>
      </c>
      <c r="O19" s="28">
        <v>864</v>
      </c>
    </row>
    <row r="20" spans="1:15">
      <c r="A20" s="2" t="s">
        <v>74</v>
      </c>
      <c r="B20" s="6">
        <f>IFERROR(B18*B19,"-")</f>
        <v>3.7507408343272257E-2</v>
      </c>
      <c r="C20" s="6">
        <f t="shared" ref="C20:D20" si="0">IFERROR(C18*C19,"-")</f>
        <v>0.56261112514908385</v>
      </c>
      <c r="D20" s="6" t="str">
        <f t="shared" si="0"/>
        <v>-</v>
      </c>
      <c r="E20" s="6">
        <f>E18*E19</f>
        <v>0</v>
      </c>
      <c r="K20" s="45" t="s">
        <v>97</v>
      </c>
      <c r="L20" s="2" t="s">
        <v>113</v>
      </c>
      <c r="M20" s="2">
        <v>800</v>
      </c>
      <c r="N20" s="2">
        <v>250</v>
      </c>
      <c r="O20" s="28">
        <v>180</v>
      </c>
    </row>
    <row r="21" spans="1:15">
      <c r="A21" s="2" t="s">
        <v>75</v>
      </c>
      <c r="B21" s="6">
        <f>IFERROR(B16*B18,"-")</f>
        <v>5</v>
      </c>
      <c r="C21" s="6">
        <f t="shared" ref="C21:D21" si="1">IFERROR(C16*C18,"-")</f>
        <v>75</v>
      </c>
      <c r="D21" s="6" t="str">
        <f t="shared" si="1"/>
        <v>-</v>
      </c>
      <c r="E21" s="6"/>
      <c r="K21" s="45"/>
      <c r="L21" s="2" t="s">
        <v>102</v>
      </c>
      <c r="M21" s="2">
        <v>800</v>
      </c>
      <c r="N21" s="2">
        <v>500</v>
      </c>
      <c r="O21" s="28">
        <v>450</v>
      </c>
    </row>
    <row r="22" spans="1:15">
      <c r="A22" s="5"/>
      <c r="G22"/>
      <c r="H22"/>
      <c r="I22"/>
      <c r="K22" s="45"/>
      <c r="L22" s="2" t="s">
        <v>103</v>
      </c>
      <c r="M22" s="2">
        <v>4000</v>
      </c>
      <c r="N22" s="2">
        <v>210</v>
      </c>
      <c r="O22" s="28">
        <v>900</v>
      </c>
    </row>
    <row r="23" spans="1:15" ht="16.5" thickBot="1">
      <c r="A23" s="19" t="s">
        <v>69</v>
      </c>
      <c r="B23" s="20">
        <v>6.0979999999999999</v>
      </c>
      <c r="C23" s="20">
        <v>15</v>
      </c>
      <c r="D23" s="20">
        <v>0</v>
      </c>
      <c r="E23" s="21">
        <v>6.0030000000000001</v>
      </c>
      <c r="G23" s="26" t="s">
        <v>93</v>
      </c>
      <c r="H23" s="26" t="s">
        <v>110</v>
      </c>
      <c r="I23" s="26" t="s">
        <v>111</v>
      </c>
      <c r="K23" s="45"/>
      <c r="L23" s="2" t="s">
        <v>104</v>
      </c>
      <c r="M23" s="2">
        <v>450</v>
      </c>
      <c r="N23" s="2">
        <v>1250</v>
      </c>
      <c r="O23" s="28">
        <v>900</v>
      </c>
    </row>
    <row r="24" spans="1:15" ht="16.5" thickBot="1">
      <c r="A24" s="1" t="s">
        <v>68</v>
      </c>
      <c r="B24" s="17" t="s">
        <v>127</v>
      </c>
      <c r="C24" s="17" t="s">
        <v>67</v>
      </c>
      <c r="D24" s="17"/>
      <c r="E24" s="18" t="s">
        <v>35</v>
      </c>
      <c r="G24" s="24">
        <f>IFERROR(E26/I24,"-")</f>
        <v>3.3356438382644077E-3</v>
      </c>
      <c r="H24" s="25">
        <f>IFERROR(E23/G24,"-")</f>
        <v>1799.6525681601138</v>
      </c>
      <c r="I24" s="23">
        <f>I17</f>
        <v>9</v>
      </c>
      <c r="K24" s="45" t="s">
        <v>98</v>
      </c>
      <c r="L24" s="2" t="s">
        <v>105</v>
      </c>
      <c r="M24" s="2">
        <v>300</v>
      </c>
      <c r="N24" s="2">
        <v>375</v>
      </c>
      <c r="O24" s="28">
        <v>360</v>
      </c>
    </row>
    <row r="25" spans="1:15" ht="17.25" thickTop="1" thickBot="1">
      <c r="A25" s="1" t="s">
        <v>27</v>
      </c>
      <c r="B25" s="11">
        <f>IFERROR(VLOOKUP(B24,Database!$A$2:$B$54,2,0),"-")</f>
        <v>0.82</v>
      </c>
      <c r="C25" s="11">
        <f>IFERROR(VLOOKUP(C24,Database!$A$2:$B$54,2,0),"-")</f>
        <v>5</v>
      </c>
      <c r="D25" s="11" t="str">
        <f>IFERROR(VLOOKUP(D24,Database!$A$2:$B$54,2,0),"-")</f>
        <v>-</v>
      </c>
      <c r="E25" s="12">
        <v>0</v>
      </c>
      <c r="K25" s="45"/>
      <c r="L25" s="2" t="s">
        <v>106</v>
      </c>
      <c r="M25" s="2">
        <v>3000</v>
      </c>
      <c r="N25" s="2">
        <v>375</v>
      </c>
      <c r="O25" s="28">
        <v>720</v>
      </c>
    </row>
    <row r="26" spans="1:15" ht="16.5" thickTop="1">
      <c r="A26" s="19" t="s">
        <v>77</v>
      </c>
      <c r="B26" s="16">
        <f>IFERROR($C$10*B23/SUM(B28:D28),"-")</f>
        <v>3.0495886245481791E-2</v>
      </c>
      <c r="C26" s="16">
        <f>IFERROR($C$10*C23/SUM(B28:D28),"-")</f>
        <v>7.5014479121388464E-2</v>
      </c>
      <c r="D26" s="16">
        <f>IFERROR($C$10*D23/SUM(B28:D28),"-")</f>
        <v>0</v>
      </c>
      <c r="E26" s="16">
        <f>IFERROR($C$10*E23/SUM(B28:D28),0)</f>
        <v>3.002079454437967E-2</v>
      </c>
    </row>
    <row r="27" spans="1:15">
      <c r="A27" s="2" t="s">
        <v>74</v>
      </c>
      <c r="B27" s="6">
        <f>IFERROR(B25*B26,"-")</f>
        <v>2.5006626721295066E-2</v>
      </c>
      <c r="C27" s="6">
        <f t="shared" ref="C27:D27" si="2">IFERROR(C25*C26,"-")</f>
        <v>0.37507239560694233</v>
      </c>
      <c r="D27" s="6" t="str">
        <f t="shared" si="2"/>
        <v>-</v>
      </c>
      <c r="E27" s="6">
        <f>E25*E26</f>
        <v>0</v>
      </c>
    </row>
    <row r="28" spans="1:15">
      <c r="A28" s="2" t="s">
        <v>75</v>
      </c>
      <c r="B28" s="6">
        <f>IFERROR(B23*B25,"-")</f>
        <v>5.0003599999999997</v>
      </c>
      <c r="C28" s="6">
        <f t="shared" ref="C28:D28" si="3">IFERROR(C23*C25,"-")</f>
        <v>75</v>
      </c>
      <c r="D28" s="6" t="str">
        <f t="shared" si="3"/>
        <v>-</v>
      </c>
      <c r="E28" s="6"/>
    </row>
    <row r="29" spans="1:15">
      <c r="G29"/>
      <c r="H29"/>
      <c r="I29"/>
    </row>
    <row r="30" spans="1:15" ht="16.5" thickBot="1">
      <c r="A30" s="19" t="s">
        <v>69</v>
      </c>
      <c r="B30" s="20">
        <v>1</v>
      </c>
      <c r="C30" s="20">
        <v>0</v>
      </c>
      <c r="D30" s="20">
        <v>0</v>
      </c>
      <c r="E30" s="21">
        <v>0</v>
      </c>
      <c r="G30" s="26" t="s">
        <v>93</v>
      </c>
      <c r="H30" s="26" t="s">
        <v>110</v>
      </c>
      <c r="I30" s="26" t="s">
        <v>111</v>
      </c>
    </row>
    <row r="31" spans="1:15" ht="16.5" thickBot="1">
      <c r="A31" s="1" t="s">
        <v>68</v>
      </c>
      <c r="B31" s="17"/>
      <c r="C31" s="17"/>
      <c r="D31" s="17"/>
      <c r="E31" s="18" t="s">
        <v>35</v>
      </c>
      <c r="G31" s="24">
        <f>IFERROR(E33/I31,"-")</f>
        <v>0</v>
      </c>
      <c r="H31" s="25" t="str">
        <f>IFERROR(E30/G31,"-")</f>
        <v>-</v>
      </c>
      <c r="I31" s="23">
        <f>I17</f>
        <v>9</v>
      </c>
    </row>
    <row r="32" spans="1:15" ht="17.25" thickTop="1" thickBot="1">
      <c r="A32" s="1" t="s">
        <v>27</v>
      </c>
      <c r="B32" s="11" t="str">
        <f>IFERROR(VLOOKUP(B31,Database!$A$2:$B$54,2,0),"-")</f>
        <v>-</v>
      </c>
      <c r="C32" s="11" t="str">
        <f>IFERROR(VLOOKUP(C31,Database!$A$2:$B$54,2,0),"-")</f>
        <v>-</v>
      </c>
      <c r="D32" s="11" t="str">
        <f>IFERROR(VLOOKUP(D31,Database!$A$2:$B$54,2,0),"-")</f>
        <v>-</v>
      </c>
      <c r="E32" s="12">
        <v>0</v>
      </c>
    </row>
    <row r="33" spans="1:9" ht="16.5" thickTop="1">
      <c r="A33" s="19" t="s">
        <v>77</v>
      </c>
      <c r="B33" s="16" t="str">
        <f>IFERROR($C$11*B30/SUM(B35:D35),"-")</f>
        <v>-</v>
      </c>
      <c r="C33" s="16" t="str">
        <f>IFERROR($C$11*C30/SUM(B35:D35),"-")</f>
        <v>-</v>
      </c>
      <c r="D33" s="16" t="str">
        <f>IFERROR($C$11*D30/SUM(B35:D35),"-")</f>
        <v>-</v>
      </c>
      <c r="E33" s="16">
        <f>IFERROR($C$11*E30/SUM(B35:D35),0)</f>
        <v>0</v>
      </c>
    </row>
    <row r="34" spans="1:9">
      <c r="A34" s="2" t="s">
        <v>74</v>
      </c>
      <c r="B34" s="6" t="str">
        <f>IFERROR(B32*B33,"-")</f>
        <v>-</v>
      </c>
      <c r="C34" s="6" t="str">
        <f t="shared" ref="C34:D34" si="4">IFERROR(C32*C33,"-")</f>
        <v>-</v>
      </c>
      <c r="D34" s="6" t="str">
        <f t="shared" si="4"/>
        <v>-</v>
      </c>
      <c r="E34" s="6">
        <f>E32*E33</f>
        <v>0</v>
      </c>
    </row>
    <row r="35" spans="1:9">
      <c r="A35" s="2" t="s">
        <v>75</v>
      </c>
      <c r="B35" s="6" t="str">
        <f>IFERROR(B30*B32,"-")</f>
        <v>-</v>
      </c>
      <c r="C35" s="6" t="str">
        <f t="shared" ref="C35:D35" si="5">IFERROR(C30*C32,"-")</f>
        <v>-</v>
      </c>
      <c r="D35" s="6" t="str">
        <f t="shared" si="5"/>
        <v>-</v>
      </c>
      <c r="E35" s="6"/>
    </row>
    <row r="38" spans="1:9" ht="18" thickBot="1">
      <c r="A38" s="43" t="s">
        <v>108</v>
      </c>
      <c r="B38" s="43"/>
      <c r="C38" s="43"/>
      <c r="D38" s="43"/>
      <c r="E38" s="43"/>
      <c r="G38"/>
      <c r="H38"/>
      <c r="I38"/>
    </row>
    <row r="39" spans="1:9" ht="17.25" thickTop="1" thickBot="1">
      <c r="A39" s="19" t="s">
        <v>69</v>
      </c>
      <c r="B39" s="20">
        <v>0.745</v>
      </c>
      <c r="C39" s="20">
        <v>0.255</v>
      </c>
      <c r="D39" s="20">
        <v>0</v>
      </c>
      <c r="E39" s="21">
        <v>0</v>
      </c>
      <c r="G39" s="26" t="s">
        <v>93</v>
      </c>
      <c r="H39" s="26" t="s">
        <v>110</v>
      </c>
      <c r="I39" s="22" t="s">
        <v>92</v>
      </c>
    </row>
    <row r="40" spans="1:9" ht="16.5" thickBot="1">
      <c r="A40" s="1" t="s">
        <v>68</v>
      </c>
      <c r="B40" s="17"/>
      <c r="C40" s="17"/>
      <c r="D40" s="17"/>
      <c r="E40" s="18" t="s">
        <v>35</v>
      </c>
      <c r="G40" s="24">
        <f>IFERROR(E42/I40,"-")</f>
        <v>0</v>
      </c>
      <c r="H40" s="25" t="str">
        <f>IFERROR(E39/G40,"-")</f>
        <v>-</v>
      </c>
      <c r="I40" s="23">
        <f>I31</f>
        <v>9</v>
      </c>
    </row>
    <row r="41" spans="1:9" ht="17.25" thickTop="1" thickBot="1">
      <c r="A41" s="1" t="s">
        <v>27</v>
      </c>
      <c r="B41" s="11" t="str">
        <f>IFERROR(VLOOKUP(B40,Database!$A$2:$B$54,2,0),"-")</f>
        <v>-</v>
      </c>
      <c r="C41" s="11" t="str">
        <f>IFERROR(VLOOKUP(C40,Database!$A$2:$B$54,2,0),"-")</f>
        <v>-</v>
      </c>
      <c r="D41" s="11" t="str">
        <f>IFERROR(VLOOKUP(D40,Database!$A$2:$B$54,2,0),"-")</f>
        <v>-</v>
      </c>
      <c r="E41" s="12">
        <v>0</v>
      </c>
    </row>
    <row r="42" spans="1:9" ht="16.5" thickTop="1">
      <c r="A42" s="19" t="s">
        <v>77</v>
      </c>
      <c r="B42" s="16" t="str">
        <f>IFERROR($C$10*B39/SUM(B44:D44),"-")</f>
        <v>-</v>
      </c>
      <c r="C42" s="16" t="str">
        <f>IFERROR($C$10*C39/SUM(B44:D44),"-")</f>
        <v>-</v>
      </c>
      <c r="D42" s="16" t="str">
        <f>IFERROR($C$10*D39/SUM(B44:D44),"-")</f>
        <v>-</v>
      </c>
      <c r="E42" s="16">
        <f>IFERROR($C$10*E39/SUM(B44:D44),0)</f>
        <v>0</v>
      </c>
    </row>
    <row r="43" spans="1:9">
      <c r="A43" s="2" t="s">
        <v>74</v>
      </c>
      <c r="B43" s="6" t="str">
        <f>IFERROR(B41*B42,"-")</f>
        <v>-</v>
      </c>
      <c r="C43" s="6" t="str">
        <f t="shared" ref="C43:D43" si="6">IFERROR(C41*C42,"-")</f>
        <v>-</v>
      </c>
      <c r="D43" s="6" t="str">
        <f t="shared" si="6"/>
        <v>-</v>
      </c>
      <c r="E43" s="6">
        <f>E41*E42</f>
        <v>0</v>
      </c>
    </row>
    <row r="44" spans="1:9">
      <c r="A44" s="2" t="s">
        <v>75</v>
      </c>
      <c r="B44" s="6" t="str">
        <f>IFERROR(B39*B41,"-")</f>
        <v>-</v>
      </c>
      <c r="C44" s="6" t="str">
        <f t="shared" ref="C44:D44" si="7">IFERROR(C39*C41,"-")</f>
        <v>-</v>
      </c>
      <c r="D44" s="6" t="str">
        <f t="shared" si="7"/>
        <v>-</v>
      </c>
      <c r="E44" s="6"/>
    </row>
    <row r="45" spans="1:9">
      <c r="G45"/>
      <c r="H45"/>
      <c r="I45"/>
    </row>
    <row r="46" spans="1:9" ht="16.5" thickBot="1">
      <c r="A46" s="19" t="s">
        <v>69</v>
      </c>
      <c r="B46" s="20">
        <v>0.434</v>
      </c>
      <c r="C46" s="20">
        <v>0.56599999999999995</v>
      </c>
      <c r="D46" s="20">
        <v>0</v>
      </c>
      <c r="E46" s="21">
        <v>0</v>
      </c>
      <c r="G46" s="26" t="s">
        <v>93</v>
      </c>
      <c r="H46" s="26" t="s">
        <v>110</v>
      </c>
      <c r="I46" s="22" t="s">
        <v>92</v>
      </c>
    </row>
    <row r="47" spans="1:9" ht="16.5" thickBot="1">
      <c r="A47" s="1" t="s">
        <v>68</v>
      </c>
      <c r="B47" s="17"/>
      <c r="C47" s="17"/>
      <c r="D47" s="17"/>
      <c r="E47" s="18" t="s">
        <v>35</v>
      </c>
      <c r="G47" s="24">
        <f>E49/I47</f>
        <v>0</v>
      </c>
      <c r="H47" s="25" t="str">
        <f>IFERROR(E46/G47,"-")</f>
        <v>-</v>
      </c>
      <c r="I47" s="23">
        <f>I31</f>
        <v>9</v>
      </c>
    </row>
    <row r="48" spans="1:9" ht="17.25" thickTop="1" thickBot="1">
      <c r="A48" s="1" t="s">
        <v>27</v>
      </c>
      <c r="B48" s="11" t="str">
        <f>IFERROR(VLOOKUP(B47,Database!$A$2:$B$54,2,0),"-")</f>
        <v>-</v>
      </c>
      <c r="C48" s="11" t="str">
        <f>IFERROR(VLOOKUP(C47,Database!$A$2:$B$54,2,0),"-")</f>
        <v>-</v>
      </c>
      <c r="D48" s="11" t="str">
        <f>IFERROR(VLOOKUP(D47,Database!$A$2:$B$54,2,0),"-")</f>
        <v>-</v>
      </c>
      <c r="E48" s="12">
        <v>0</v>
      </c>
    </row>
    <row r="49" spans="1:9" ht="16.5" thickTop="1">
      <c r="A49" s="19" t="s">
        <v>77</v>
      </c>
      <c r="B49" s="16" t="str">
        <f>IFERROR($C$11*B46/SUM(B51:D51),"-")</f>
        <v>-</v>
      </c>
      <c r="C49" s="16" t="str">
        <f>IFERROR($C$11*C46/SUM(B51:D51),"-")</f>
        <v>-</v>
      </c>
      <c r="D49" s="16" t="str">
        <f>IFERROR($C$11*D46/SUM(B51:D51),"-")</f>
        <v>-</v>
      </c>
      <c r="E49" s="16">
        <f>IFERROR($C$11*E46/SUM(B51:D51),0)</f>
        <v>0</v>
      </c>
    </row>
    <row r="50" spans="1:9">
      <c r="A50" s="2" t="s">
        <v>74</v>
      </c>
      <c r="B50" s="6" t="str">
        <f>IFERROR(B48*B49,"-")</f>
        <v>-</v>
      </c>
      <c r="C50" s="6" t="str">
        <f t="shared" ref="C50:D50" si="8">IFERROR(C48*C49,"-")</f>
        <v>-</v>
      </c>
      <c r="D50" s="6" t="str">
        <f t="shared" si="8"/>
        <v>-</v>
      </c>
      <c r="E50" s="6">
        <f>E48*E49</f>
        <v>0</v>
      </c>
    </row>
    <row r="51" spans="1:9">
      <c r="A51" s="2" t="s">
        <v>75</v>
      </c>
      <c r="B51" s="6" t="str">
        <f>IFERROR(B46*B48,"-")</f>
        <v>-</v>
      </c>
      <c r="C51" s="6" t="str">
        <f t="shared" ref="C51:D51" si="9">IFERROR(C46*C48,"-")</f>
        <v>-</v>
      </c>
      <c r="D51" s="6" t="str">
        <f t="shared" si="9"/>
        <v>-</v>
      </c>
      <c r="E51" s="6"/>
    </row>
    <row r="54" spans="1:9" ht="18" thickBot="1">
      <c r="A54" s="43" t="s">
        <v>109</v>
      </c>
      <c r="B54" s="43"/>
      <c r="C54" s="43"/>
      <c r="D54" s="43"/>
      <c r="E54" s="43"/>
      <c r="G54"/>
      <c r="H54"/>
      <c r="I54"/>
    </row>
    <row r="55" spans="1:9" ht="17.25" thickTop="1" thickBot="1">
      <c r="A55" s="19" t="s">
        <v>69</v>
      </c>
      <c r="B55" s="20">
        <v>1</v>
      </c>
      <c r="C55" s="20">
        <v>0</v>
      </c>
      <c r="D55" s="20">
        <v>0</v>
      </c>
      <c r="E55" s="21">
        <v>3.6991999999999998</v>
      </c>
      <c r="G55" s="26" t="s">
        <v>93</v>
      </c>
      <c r="H55" s="26" t="s">
        <v>110</v>
      </c>
      <c r="I55" s="26" t="s">
        <v>111</v>
      </c>
    </row>
    <row r="56" spans="1:9" ht="16.5" thickBot="1">
      <c r="A56" s="1" t="s">
        <v>68</v>
      </c>
      <c r="B56" s="17" t="s">
        <v>56</v>
      </c>
      <c r="C56" s="17" t="s">
        <v>30</v>
      </c>
      <c r="D56" s="17"/>
      <c r="E56" s="18" t="s">
        <v>35</v>
      </c>
      <c r="G56" s="24">
        <f>IFERROR(E58/I56,"-")</f>
        <v>0.18832039489446428</v>
      </c>
      <c r="H56" s="25">
        <f>IFERROR(E55/G56,"-")</f>
        <v>19.643119387430399</v>
      </c>
      <c r="I56" s="23">
        <f>I24</f>
        <v>9</v>
      </c>
    </row>
    <row r="57" spans="1:9" ht="17.25" thickTop="1" thickBot="1">
      <c r="A57" s="1" t="s">
        <v>27</v>
      </c>
      <c r="B57" s="11">
        <f>IFERROR(VLOOKUP(B56,Database!$A$2:$B$54,2,0),"-")</f>
        <v>0.35399999999999998</v>
      </c>
      <c r="C57" s="11">
        <f>IFERROR(VLOOKUP(C56,Database!$A$2:$B$54,2,0),"-")</f>
        <v>5</v>
      </c>
      <c r="D57" s="11" t="str">
        <f>IFERROR(VLOOKUP(D56,Database!$A$2:$B$54,2,0),"-")</f>
        <v>-</v>
      </c>
      <c r="E57" s="12">
        <v>0</v>
      </c>
    </row>
    <row r="58" spans="1:9" ht="16.5" thickTop="1">
      <c r="A58" s="19" t="s">
        <v>77</v>
      </c>
      <c r="B58" s="16">
        <f>IFERROR($C$12*B55/SUM(B60:D60),"-")</f>
        <v>0.45817570124626372</v>
      </c>
      <c r="C58" s="16">
        <f>IFERROR($C$12*C55/SUM(B60:D60),"-")</f>
        <v>0</v>
      </c>
      <c r="D58" s="16">
        <f>IFERROR($C$12*D55/SUM(B60:D60),"-")</f>
        <v>0</v>
      </c>
      <c r="E58" s="16">
        <f>IFERROR($C$12*E55/SUM(B60:D60),0)</f>
        <v>1.6948835540501785</v>
      </c>
    </row>
    <row r="59" spans="1:9">
      <c r="A59" s="2" t="s">
        <v>74</v>
      </c>
      <c r="B59" s="6">
        <f>IFERROR(B57*B58,"-")</f>
        <v>0.16219419824117734</v>
      </c>
      <c r="C59" s="6">
        <f t="shared" ref="C59:D59" si="10">IFERROR(C57*C58,"-")</f>
        <v>0</v>
      </c>
      <c r="D59" s="6" t="str">
        <f t="shared" si="10"/>
        <v>-</v>
      </c>
      <c r="E59" s="6">
        <f>E57*E58</f>
        <v>0</v>
      </c>
    </row>
    <row r="60" spans="1:9">
      <c r="A60" s="2" t="s">
        <v>75</v>
      </c>
      <c r="B60" s="6">
        <f>IFERROR(B55*B57,"-")</f>
        <v>0.35399999999999998</v>
      </c>
      <c r="C60" s="6">
        <f t="shared" ref="C60:D60" si="11">IFERROR(C55*C57,"-")</f>
        <v>0</v>
      </c>
      <c r="D60" s="6" t="str">
        <f t="shared" si="11"/>
        <v>-</v>
      </c>
      <c r="E60" s="6"/>
    </row>
    <row r="61" spans="1:9">
      <c r="G61"/>
      <c r="H61"/>
      <c r="I61"/>
    </row>
    <row r="62" spans="1:9" ht="16.5" thickBot="1">
      <c r="A62" s="19" t="s">
        <v>69</v>
      </c>
      <c r="B62" s="20">
        <v>1</v>
      </c>
      <c r="C62" s="20">
        <v>0</v>
      </c>
      <c r="D62" s="20">
        <v>0</v>
      </c>
      <c r="E62" s="21">
        <v>0</v>
      </c>
      <c r="G62" s="26" t="s">
        <v>93</v>
      </c>
      <c r="H62" s="26" t="s">
        <v>110</v>
      </c>
      <c r="I62" s="26" t="s">
        <v>111</v>
      </c>
    </row>
    <row r="63" spans="1:9" ht="16.5" thickBot="1">
      <c r="A63" s="1" t="s">
        <v>68</v>
      </c>
      <c r="B63" s="17" t="s">
        <v>57</v>
      </c>
      <c r="C63" s="17" t="s">
        <v>30</v>
      </c>
      <c r="D63" s="17"/>
      <c r="E63" s="18" t="s">
        <v>35</v>
      </c>
      <c r="G63" s="24">
        <f>IFERROR(E65/I63,"-")</f>
        <v>0</v>
      </c>
      <c r="H63" s="25" t="str">
        <f>IFERROR(E62/G63,"-")</f>
        <v>-</v>
      </c>
      <c r="I63" s="23">
        <f>I31</f>
        <v>9</v>
      </c>
    </row>
    <row r="64" spans="1:9" ht="17.25" thickTop="1" thickBot="1">
      <c r="A64" s="1" t="s">
        <v>27</v>
      </c>
      <c r="B64" s="11">
        <f>IFERROR(VLOOKUP(B63,Database!$A$2:$B$54,2,0),"-")</f>
        <v>2.12805</v>
      </c>
      <c r="C64" s="11">
        <f>IFERROR(VLOOKUP(C63,Database!$A$2:$B$54,2,0),"-")</f>
        <v>5</v>
      </c>
      <c r="D64" s="11" t="str">
        <f>IFERROR(VLOOKUP(D63,Database!$A$2:$B$54,2,0),"-")</f>
        <v>-</v>
      </c>
      <c r="E64" s="12">
        <v>0</v>
      </c>
    </row>
    <row r="65" spans="1:5" ht="16.5" thickTop="1">
      <c r="A65" s="19" t="s">
        <v>77</v>
      </c>
      <c r="B65" s="16">
        <f>IFERROR($C$13*B62/SUM(B67:D67),"-")</f>
        <v>0.21203305489789043</v>
      </c>
      <c r="C65" s="16">
        <f>IFERROR($C$13*C62/SUM(B67:D67),"-")</f>
        <v>0</v>
      </c>
      <c r="D65" s="16">
        <f>IFERROR($C$13*D62/SUM(B67:D67),"-")</f>
        <v>0</v>
      </c>
      <c r="E65" s="16">
        <f>IFERROR($C$13*E62/SUM(B67:D67),0)</f>
        <v>0</v>
      </c>
    </row>
    <row r="66" spans="1:5">
      <c r="A66" s="2" t="s">
        <v>74</v>
      </c>
      <c r="B66" s="6">
        <f>IFERROR(B64*B65,"-")</f>
        <v>0.45121694247545574</v>
      </c>
      <c r="C66" s="6">
        <f t="shared" ref="C66:D66" si="12">IFERROR(C64*C65,"-")</f>
        <v>0</v>
      </c>
      <c r="D66" s="6" t="str">
        <f t="shared" si="12"/>
        <v>-</v>
      </c>
      <c r="E66" s="6">
        <f>E64*E65</f>
        <v>0</v>
      </c>
    </row>
    <row r="67" spans="1:5">
      <c r="A67" s="2" t="s">
        <v>75</v>
      </c>
      <c r="B67" s="6">
        <f>IFERROR(B62*B64,"-")</f>
        <v>2.12805</v>
      </c>
      <c r="C67" s="6">
        <f t="shared" ref="C67:D67" si="13">IFERROR(C62*C64,"-")</f>
        <v>0</v>
      </c>
      <c r="D67" s="6" t="str">
        <f t="shared" si="13"/>
        <v>-</v>
      </c>
      <c r="E67" s="6"/>
    </row>
  </sheetData>
  <mergeCells count="7">
    <mergeCell ref="A54:E54"/>
    <mergeCell ref="A15:E15"/>
    <mergeCell ref="K20:K23"/>
    <mergeCell ref="A1:E1"/>
    <mergeCell ref="A38:E38"/>
    <mergeCell ref="G8:H8"/>
    <mergeCell ref="K24:K2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Database!$A$2:$A$54</xm:f>
          </x14:formula1>
          <xm:sqref>B17:D17 B24:D24 B31:D31 B40:D40 B47:D47 B56:D56 B63:D63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topLeftCell="A22" zoomScaleNormal="100" workbookViewId="0">
      <selection activeCell="J40" sqref="J40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23.42578125" style="2" customWidth="1"/>
    <col min="8" max="8" width="22" style="2" customWidth="1"/>
    <col min="9" max="9" width="9.140625" style="2"/>
    <col min="10" max="10" width="15.5703125" style="2" customWidth="1"/>
    <col min="11" max="256" width="9.140625" style="2"/>
    <col min="257" max="16384" width="9.140625" style="5"/>
  </cols>
  <sheetData>
    <row r="1" spans="1:10" ht="20.25" thickBot="1">
      <c r="A1" s="8" t="s">
        <v>26</v>
      </c>
      <c r="B1" s="8" t="s">
        <v>28</v>
      </c>
      <c r="G1" s="8" t="s">
        <v>26</v>
      </c>
      <c r="H1" s="8" t="s">
        <v>223</v>
      </c>
      <c r="I1" s="8" t="s">
        <v>224</v>
      </c>
      <c r="J1" s="8" t="s">
        <v>225</v>
      </c>
    </row>
    <row r="2" spans="1:10" ht="16.5" thickTop="1">
      <c r="A2" s="2" t="s">
        <v>29</v>
      </c>
      <c r="B2" s="2">
        <v>5</v>
      </c>
      <c r="G2" s="49" t="s">
        <v>146</v>
      </c>
      <c r="H2" s="49" t="s">
        <v>147</v>
      </c>
      <c r="I2" s="49">
        <v>1</v>
      </c>
      <c r="J2" s="50">
        <v>101.96</v>
      </c>
    </row>
    <row r="3" spans="1:10">
      <c r="A3" s="2" t="s">
        <v>30</v>
      </c>
      <c r="B3" s="2">
        <v>5</v>
      </c>
      <c r="G3" s="49" t="s">
        <v>148</v>
      </c>
      <c r="H3" s="49" t="s">
        <v>149</v>
      </c>
      <c r="I3" s="49">
        <v>1</v>
      </c>
      <c r="J3" s="50">
        <v>26.98</v>
      </c>
    </row>
    <row r="4" spans="1:10">
      <c r="A4" s="2" t="s">
        <v>67</v>
      </c>
      <c r="B4" s="2">
        <v>5</v>
      </c>
      <c r="G4" s="49" t="s">
        <v>150</v>
      </c>
      <c r="H4" s="49" t="s">
        <v>151</v>
      </c>
      <c r="I4" s="49">
        <v>1</v>
      </c>
      <c r="J4" s="50">
        <v>17.03</v>
      </c>
    </row>
    <row r="5" spans="1:10">
      <c r="A5" s="2" t="s">
        <v>31</v>
      </c>
      <c r="B5" s="2">
        <v>4</v>
      </c>
      <c r="G5" s="49" t="s">
        <v>45</v>
      </c>
      <c r="H5" s="49" t="s">
        <v>152</v>
      </c>
      <c r="I5" s="49">
        <v>1</v>
      </c>
      <c r="J5" s="50">
        <v>39.950000000000003</v>
      </c>
    </row>
    <row r="6" spans="1:10">
      <c r="A6" s="2" t="s">
        <v>79</v>
      </c>
      <c r="B6" s="2">
        <v>10</v>
      </c>
      <c r="G6" s="49" t="s">
        <v>153</v>
      </c>
      <c r="H6" s="49" t="s">
        <v>154</v>
      </c>
      <c r="I6" s="49">
        <v>1</v>
      </c>
      <c r="J6" s="50">
        <v>12.01</v>
      </c>
    </row>
    <row r="7" spans="1:10">
      <c r="A7" s="2" t="s">
        <v>34</v>
      </c>
      <c r="B7" s="2">
        <v>7.5</v>
      </c>
      <c r="G7" s="49" t="s">
        <v>155</v>
      </c>
      <c r="H7" s="49" t="s">
        <v>156</v>
      </c>
      <c r="I7" s="49">
        <v>1</v>
      </c>
      <c r="J7" s="50">
        <v>44.01</v>
      </c>
    </row>
    <row r="8" spans="1:10">
      <c r="A8" s="2" t="s">
        <v>41</v>
      </c>
      <c r="B8" s="2">
        <v>0.1</v>
      </c>
      <c r="G8" s="49" t="s">
        <v>157</v>
      </c>
      <c r="H8" s="49" t="s">
        <v>158</v>
      </c>
      <c r="I8" s="49">
        <v>1</v>
      </c>
      <c r="J8" s="50">
        <v>28.01</v>
      </c>
    </row>
    <row r="9" spans="1:10">
      <c r="A9"/>
      <c r="G9" s="49" t="s">
        <v>159</v>
      </c>
      <c r="H9" s="49" t="s">
        <v>160</v>
      </c>
      <c r="I9" s="49">
        <v>1</v>
      </c>
      <c r="J9" s="50">
        <v>35.450000000000003</v>
      </c>
    </row>
    <row r="10" spans="1:10" ht="18" thickBot="1">
      <c r="A10" s="7" t="s">
        <v>64</v>
      </c>
      <c r="G10" s="49" t="s">
        <v>161</v>
      </c>
      <c r="H10" s="49" t="s">
        <v>162</v>
      </c>
      <c r="I10" s="49">
        <v>1</v>
      </c>
      <c r="J10" s="50">
        <v>238.03</v>
      </c>
    </row>
    <row r="11" spans="1:10" ht="16.5" thickTop="1">
      <c r="A11" s="2" t="s">
        <v>44</v>
      </c>
      <c r="B11" s="13">
        <f>C11*1000</f>
        <v>1.0000000000000002E-6</v>
      </c>
      <c r="C11" s="14">
        <v>1.0000000000000001E-9</v>
      </c>
      <c r="G11" s="49" t="s">
        <v>163</v>
      </c>
      <c r="H11" s="49" t="s">
        <v>164</v>
      </c>
      <c r="I11" s="49">
        <v>1</v>
      </c>
      <c r="J11" s="50">
        <v>2.0139999999999998</v>
      </c>
    </row>
    <row r="12" spans="1:10">
      <c r="A12" s="2" t="s">
        <v>45</v>
      </c>
      <c r="B12" s="13">
        <f t="shared" ref="B12:B51" si="0">C12*1000</f>
        <v>1.784E-3</v>
      </c>
      <c r="C12" s="14">
        <v>1.784E-6</v>
      </c>
      <c r="G12" s="49" t="s">
        <v>165</v>
      </c>
      <c r="H12" s="49" t="s">
        <v>166</v>
      </c>
      <c r="I12" s="49">
        <v>1</v>
      </c>
      <c r="J12" s="50">
        <v>60.08</v>
      </c>
    </row>
    <row r="13" spans="1:10">
      <c r="A13" s="2" t="s">
        <v>88</v>
      </c>
      <c r="B13" s="13">
        <f t="shared" si="0"/>
        <v>0.9</v>
      </c>
      <c r="C13" s="14">
        <v>8.9999999999999998E-4</v>
      </c>
      <c r="G13" s="49" t="s">
        <v>43</v>
      </c>
      <c r="H13" s="49" t="s">
        <v>162</v>
      </c>
      <c r="I13" s="49">
        <v>1</v>
      </c>
      <c r="J13" s="50">
        <v>238.03</v>
      </c>
    </row>
    <row r="14" spans="1:10">
      <c r="A14" s="2" t="s">
        <v>43</v>
      </c>
      <c r="B14" s="13">
        <f t="shared" si="0"/>
        <v>10.97</v>
      </c>
      <c r="C14" s="14">
        <v>1.0970000000000001E-2</v>
      </c>
      <c r="G14" s="49" t="s">
        <v>128</v>
      </c>
      <c r="H14" s="49" t="s">
        <v>167</v>
      </c>
      <c r="I14" s="49">
        <v>1</v>
      </c>
      <c r="J14" s="50">
        <v>46.07</v>
      </c>
    </row>
    <row r="15" spans="1:10">
      <c r="A15" s="2" t="s">
        <v>128</v>
      </c>
      <c r="B15" s="13">
        <f t="shared" si="0"/>
        <v>0.78900000000000003</v>
      </c>
      <c r="C15" s="14">
        <v>7.8899999999999999E-4</v>
      </c>
      <c r="G15" s="49" t="s">
        <v>129</v>
      </c>
      <c r="H15" s="49" t="s">
        <v>168</v>
      </c>
      <c r="I15" s="49">
        <v>1</v>
      </c>
      <c r="J15" s="50">
        <v>61.206800000000001</v>
      </c>
    </row>
    <row r="16" spans="1:10">
      <c r="A16" s="2" t="s">
        <v>129</v>
      </c>
      <c r="B16" s="13">
        <f t="shared" si="0"/>
        <v>0.84175</v>
      </c>
      <c r="C16" s="14">
        <v>8.4175000000000005E-4</v>
      </c>
      <c r="G16" s="49" t="s">
        <v>169</v>
      </c>
      <c r="H16" s="49" t="s">
        <v>170</v>
      </c>
      <c r="I16" s="49">
        <v>1</v>
      </c>
      <c r="J16" s="50">
        <v>183.88</v>
      </c>
    </row>
    <row r="17" spans="1:10">
      <c r="A17" s="2" t="s">
        <v>85</v>
      </c>
      <c r="B17" s="13">
        <f t="shared" si="0"/>
        <v>1</v>
      </c>
      <c r="C17" s="14">
        <v>1E-3</v>
      </c>
      <c r="G17" s="49" t="s">
        <v>171</v>
      </c>
      <c r="H17" s="49" t="s">
        <v>172</v>
      </c>
      <c r="I17" s="49">
        <v>1</v>
      </c>
      <c r="J17" s="50">
        <v>19</v>
      </c>
    </row>
    <row r="18" spans="1:10">
      <c r="A18" s="2" t="s">
        <v>80</v>
      </c>
      <c r="B18" s="13">
        <f t="shared" si="0"/>
        <v>0.216</v>
      </c>
      <c r="C18" s="14">
        <v>2.1599999999999999E-4</v>
      </c>
      <c r="G18" s="49" t="s">
        <v>80</v>
      </c>
      <c r="H18" s="49" t="s">
        <v>173</v>
      </c>
      <c r="I18" s="49">
        <v>1</v>
      </c>
      <c r="J18" s="50">
        <f>5.03</f>
        <v>5.03</v>
      </c>
    </row>
    <row r="19" spans="1:10">
      <c r="A19" s="2" t="s">
        <v>51</v>
      </c>
      <c r="B19" s="13">
        <f t="shared" si="0"/>
        <v>2.5</v>
      </c>
      <c r="C19" s="14">
        <v>2.5000000000000001E-3</v>
      </c>
      <c r="G19" s="49" t="s">
        <v>174</v>
      </c>
      <c r="H19" s="49" t="s">
        <v>175</v>
      </c>
      <c r="I19" s="49">
        <v>1</v>
      </c>
      <c r="J19" s="50">
        <v>92.09</v>
      </c>
    </row>
    <row r="20" spans="1:10">
      <c r="A20" s="2" t="s">
        <v>52</v>
      </c>
      <c r="B20" s="13">
        <f t="shared" si="0"/>
        <v>5.8</v>
      </c>
      <c r="C20" s="14">
        <v>5.7999999999999996E-3</v>
      </c>
      <c r="G20" s="49" t="s">
        <v>176</v>
      </c>
      <c r="H20" s="49" t="s">
        <v>177</v>
      </c>
      <c r="I20" s="49">
        <v>1</v>
      </c>
      <c r="J20" s="50">
        <v>172.14</v>
      </c>
    </row>
    <row r="21" spans="1:10">
      <c r="A21" s="2" t="s">
        <v>127</v>
      </c>
      <c r="B21" s="13">
        <f t="shared" si="0"/>
        <v>0.82</v>
      </c>
      <c r="C21" s="14">
        <v>8.1999999999999998E-4</v>
      </c>
      <c r="G21" s="49" t="s">
        <v>178</v>
      </c>
      <c r="H21" s="49" t="s">
        <v>179</v>
      </c>
      <c r="I21" s="49">
        <v>1</v>
      </c>
      <c r="J21" s="50">
        <v>3.016</v>
      </c>
    </row>
    <row r="22" spans="1:10">
      <c r="A22" s="2" t="s">
        <v>42</v>
      </c>
      <c r="B22" s="13">
        <f t="shared" si="0"/>
        <v>0.53399999999999992</v>
      </c>
      <c r="C22" s="14">
        <v>5.3399999999999997E-4</v>
      </c>
      <c r="G22" s="49" t="s">
        <v>180</v>
      </c>
      <c r="H22" s="49" t="s">
        <v>181</v>
      </c>
      <c r="I22" s="49">
        <v>1</v>
      </c>
      <c r="J22" s="50">
        <v>4.0019999999999998</v>
      </c>
    </row>
    <row r="23" spans="1:10">
      <c r="A23" s="5" t="s">
        <v>49</v>
      </c>
      <c r="B23" s="13">
        <f t="shared" si="0"/>
        <v>0.70209999999999995</v>
      </c>
      <c r="C23" s="14">
        <v>7.0209999999999999E-4</v>
      </c>
      <c r="G23" s="49" t="s">
        <v>182</v>
      </c>
      <c r="H23" s="49" t="s">
        <v>183</v>
      </c>
      <c r="I23" s="49">
        <v>1</v>
      </c>
      <c r="J23" s="50">
        <v>34.01</v>
      </c>
    </row>
    <row r="24" spans="1:10">
      <c r="A24" s="2" t="s">
        <v>48</v>
      </c>
      <c r="B24" s="13">
        <f t="shared" si="0"/>
        <v>1.1732500000000001</v>
      </c>
      <c r="C24" s="14">
        <v>1.17325E-3</v>
      </c>
      <c r="G24" s="49" t="s">
        <v>184</v>
      </c>
      <c r="H24" s="49" t="s">
        <v>185</v>
      </c>
      <c r="I24" s="49">
        <v>1</v>
      </c>
      <c r="J24" s="50">
        <v>168.69</v>
      </c>
    </row>
    <row r="25" spans="1:10">
      <c r="A25" s="2" t="s">
        <v>47</v>
      </c>
      <c r="B25" s="13">
        <f t="shared" si="0"/>
        <v>0.16239999999999999</v>
      </c>
      <c r="C25" s="14">
        <v>1.6239999999999999E-4</v>
      </c>
      <c r="G25" s="49" t="s">
        <v>186</v>
      </c>
      <c r="H25" s="49" t="s">
        <v>187</v>
      </c>
      <c r="I25" s="49">
        <v>1</v>
      </c>
      <c r="J25" s="50">
        <f>(14.007*2)+(1.008*4)</f>
        <v>32.045999999999999</v>
      </c>
    </row>
    <row r="26" spans="1:10">
      <c r="A26" s="2" t="s">
        <v>50</v>
      </c>
      <c r="B26" s="13">
        <f t="shared" si="0"/>
        <v>5.8999999999999997E-2</v>
      </c>
      <c r="C26" s="14">
        <v>5.8999999999999998E-5</v>
      </c>
      <c r="G26" s="49" t="s">
        <v>134</v>
      </c>
      <c r="H26" s="49" t="s">
        <v>188</v>
      </c>
      <c r="I26" s="49">
        <v>1</v>
      </c>
      <c r="J26" s="50">
        <v>2.02</v>
      </c>
    </row>
    <row r="27" spans="1:10">
      <c r="A27" s="2" t="s">
        <v>32</v>
      </c>
      <c r="B27" s="13">
        <f t="shared" si="0"/>
        <v>7.0849999999999996E-2</v>
      </c>
      <c r="C27" s="14">
        <v>7.0850000000000001E-5</v>
      </c>
      <c r="G27" s="49" t="s">
        <v>127</v>
      </c>
      <c r="H27" s="49" t="s">
        <v>189</v>
      </c>
      <c r="I27" s="49">
        <v>1</v>
      </c>
      <c r="J27" s="50">
        <v>170.34</v>
      </c>
    </row>
    <row r="28" spans="1:10">
      <c r="A28" s="2" t="s">
        <v>33</v>
      </c>
      <c r="B28" s="13">
        <f t="shared" si="0"/>
        <v>0.42560999999999999</v>
      </c>
      <c r="C28" s="14">
        <v>4.2560999999999999E-4</v>
      </c>
      <c r="G28" s="49" t="s">
        <v>42</v>
      </c>
      <c r="H28" s="49" t="s">
        <v>190</v>
      </c>
      <c r="I28" s="49">
        <v>1</v>
      </c>
      <c r="J28" s="50">
        <v>6.94</v>
      </c>
    </row>
    <row r="29" spans="1:10">
      <c r="A29" s="2" t="s">
        <v>89</v>
      </c>
      <c r="B29" s="13">
        <f t="shared" si="0"/>
        <v>1.141</v>
      </c>
      <c r="C29" s="14">
        <v>1.1410000000000001E-3</v>
      </c>
      <c r="G29" s="49" t="s">
        <v>49</v>
      </c>
      <c r="H29" s="49" t="s">
        <v>151</v>
      </c>
      <c r="I29" s="49">
        <v>1</v>
      </c>
      <c r="J29" s="50">
        <v>17.03</v>
      </c>
    </row>
    <row r="30" spans="1:10">
      <c r="A30" s="2" t="s">
        <v>130</v>
      </c>
      <c r="B30" s="13">
        <f t="shared" si="0"/>
        <v>0.82490700000000006</v>
      </c>
      <c r="C30" s="14">
        <v>8.2490700000000005E-4</v>
      </c>
      <c r="G30" s="49" t="s">
        <v>191</v>
      </c>
      <c r="H30" s="49" t="s">
        <v>158</v>
      </c>
      <c r="I30" s="49">
        <v>1</v>
      </c>
      <c r="J30" s="50">
        <v>28.01</v>
      </c>
    </row>
    <row r="31" spans="1:10">
      <c r="A31" s="2" t="s">
        <v>46</v>
      </c>
      <c r="B31" s="13">
        <f t="shared" si="0"/>
        <v>7.8</v>
      </c>
      <c r="C31" s="14">
        <v>7.7999999999999996E-3</v>
      </c>
      <c r="G31" s="49" t="s">
        <v>48</v>
      </c>
      <c r="H31" s="49" t="s">
        <v>156</v>
      </c>
      <c r="I31" s="49">
        <v>1</v>
      </c>
      <c r="J31" s="50">
        <v>44.01</v>
      </c>
    </row>
    <row r="32" spans="1:10">
      <c r="A32" s="2" t="s">
        <v>83</v>
      </c>
      <c r="B32" s="13">
        <f t="shared" si="0"/>
        <v>7.085</v>
      </c>
      <c r="C32" s="14">
        <v>7.0850000000000002E-3</v>
      </c>
      <c r="G32" s="49" t="s">
        <v>47</v>
      </c>
      <c r="H32" s="49" t="s">
        <v>164</v>
      </c>
      <c r="I32" s="49">
        <v>1</v>
      </c>
      <c r="J32" s="50">
        <v>2.0139999999999998</v>
      </c>
    </row>
    <row r="33" spans="1:10">
      <c r="A33" s="2" t="s">
        <v>86</v>
      </c>
      <c r="B33" s="13">
        <f t="shared" si="0"/>
        <v>0.88</v>
      </c>
      <c r="C33" s="14">
        <v>8.8000000000000003E-4</v>
      </c>
      <c r="G33" s="49" t="s">
        <v>50</v>
      </c>
      <c r="H33" s="49" t="s">
        <v>179</v>
      </c>
      <c r="I33" s="49">
        <v>1</v>
      </c>
      <c r="J33" s="50">
        <v>3.016</v>
      </c>
    </row>
    <row r="34" spans="1:10">
      <c r="A34" s="2" t="s">
        <v>87</v>
      </c>
      <c r="B34" s="13">
        <f t="shared" si="0"/>
        <v>1.45</v>
      </c>
      <c r="C34" s="14">
        <v>1.4499999999999999E-3</v>
      </c>
      <c r="G34" s="49" t="s">
        <v>192</v>
      </c>
      <c r="H34" s="49" t="s">
        <v>181</v>
      </c>
      <c r="I34" s="49">
        <v>1</v>
      </c>
      <c r="J34" s="50">
        <v>4.0019999999999998</v>
      </c>
    </row>
    <row r="35" spans="1:10">
      <c r="A35" s="5" t="s">
        <v>84</v>
      </c>
      <c r="B35" s="13">
        <f t="shared" si="0"/>
        <v>1.05</v>
      </c>
      <c r="C35" s="14">
        <v>1.0499999999999999E-3</v>
      </c>
      <c r="G35" s="49" t="s">
        <v>32</v>
      </c>
      <c r="H35" s="49" t="s">
        <v>188</v>
      </c>
      <c r="I35" s="49">
        <v>1</v>
      </c>
      <c r="J35" s="50">
        <v>2.02</v>
      </c>
    </row>
    <row r="36" spans="1:10">
      <c r="A36" s="5" t="s">
        <v>90</v>
      </c>
      <c r="B36" s="13">
        <f t="shared" si="0"/>
        <v>0.79100000000000004</v>
      </c>
      <c r="C36" s="14">
        <v>7.9100000000000004E-4</v>
      </c>
      <c r="G36" s="49" t="s">
        <v>33</v>
      </c>
      <c r="H36" s="49" t="s">
        <v>193</v>
      </c>
      <c r="I36" s="49">
        <v>1</v>
      </c>
      <c r="J36" s="50">
        <v>16.05</v>
      </c>
    </row>
    <row r="37" spans="1:10">
      <c r="A37" s="5" t="s">
        <v>91</v>
      </c>
      <c r="B37" s="13">
        <f t="shared" si="0"/>
        <v>0.82899999999999996</v>
      </c>
      <c r="C37" s="14">
        <v>8.2899999999999998E-4</v>
      </c>
      <c r="G37" s="49" t="s">
        <v>89</v>
      </c>
      <c r="H37" s="51" t="s">
        <v>194</v>
      </c>
      <c r="I37" s="51">
        <v>1</v>
      </c>
      <c r="J37" s="50">
        <v>32</v>
      </c>
    </row>
    <row r="38" spans="1:10">
      <c r="A38" s="2" t="s">
        <v>81</v>
      </c>
      <c r="B38" s="13">
        <f>C38*1000</f>
        <v>1</v>
      </c>
      <c r="C38" s="14">
        <v>1E-3</v>
      </c>
      <c r="G38" s="49" t="s">
        <v>130</v>
      </c>
      <c r="H38" s="49" t="s">
        <v>195</v>
      </c>
      <c r="I38" s="49">
        <v>1</v>
      </c>
      <c r="J38" s="50">
        <v>28.01</v>
      </c>
    </row>
    <row r="39" spans="1:10">
      <c r="A39" s="5"/>
      <c r="B39" s="5"/>
      <c r="C39" s="5"/>
      <c r="G39" s="49" t="s">
        <v>83</v>
      </c>
      <c r="H39" s="49" t="s">
        <v>188</v>
      </c>
      <c r="I39" s="49">
        <v>1</v>
      </c>
      <c r="J39" s="50">
        <f>J35</f>
        <v>2.02</v>
      </c>
    </row>
    <row r="40" spans="1:10" ht="18" thickBot="1">
      <c r="A40" s="7" t="s">
        <v>65</v>
      </c>
      <c r="B40"/>
      <c r="C40" s="15"/>
      <c r="G40" s="49" t="s">
        <v>196</v>
      </c>
      <c r="H40" s="49" t="s">
        <v>197</v>
      </c>
      <c r="I40" s="49">
        <v>1</v>
      </c>
      <c r="J40" s="50">
        <v>159.69</v>
      </c>
    </row>
    <row r="41" spans="1:10" ht="16.5" thickTop="1">
      <c r="A41" s="2" t="s">
        <v>53</v>
      </c>
      <c r="B41" s="13">
        <f t="shared" si="0"/>
        <v>5</v>
      </c>
      <c r="C41" s="14">
        <v>5.0000000000000001E-3</v>
      </c>
      <c r="G41" s="49" t="s">
        <v>198</v>
      </c>
      <c r="H41" s="49" t="s">
        <v>199</v>
      </c>
      <c r="I41" s="49">
        <v>1</v>
      </c>
      <c r="J41" s="50">
        <f>55.845*2</f>
        <v>111.69</v>
      </c>
    </row>
    <row r="42" spans="1:10">
      <c r="A42" s="2" t="s">
        <v>60</v>
      </c>
      <c r="B42" s="13">
        <f t="shared" si="0"/>
        <v>54.4</v>
      </c>
      <c r="C42" s="14">
        <v>5.4399999999999997E-2</v>
      </c>
      <c r="G42" s="49" t="s">
        <v>46</v>
      </c>
      <c r="H42" s="49" t="s">
        <v>199</v>
      </c>
      <c r="I42" s="49">
        <v>1</v>
      </c>
      <c r="J42" s="50">
        <f>55.845*2</f>
        <v>111.69</v>
      </c>
    </row>
    <row r="43" spans="1:10">
      <c r="A43" s="2" t="s">
        <v>54</v>
      </c>
      <c r="B43" s="13">
        <f t="shared" si="0"/>
        <v>5</v>
      </c>
      <c r="C43" s="14">
        <v>5.0000000000000001E-3</v>
      </c>
      <c r="G43" s="49" t="s">
        <v>200</v>
      </c>
      <c r="H43" s="49" t="s">
        <v>193</v>
      </c>
      <c r="I43" s="49">
        <v>1</v>
      </c>
      <c r="J43" s="50">
        <f>12.02+4*1.008</f>
        <v>16.052</v>
      </c>
    </row>
    <row r="44" spans="1:10">
      <c r="A44" s="2" t="s">
        <v>63</v>
      </c>
      <c r="B44" s="13">
        <f t="shared" si="0"/>
        <v>6.0000000000000005E-2</v>
      </c>
      <c r="C44" s="14">
        <v>6.0000000000000002E-5</v>
      </c>
      <c r="G44" s="49" t="s">
        <v>201</v>
      </c>
      <c r="H44" s="49" t="s">
        <v>202</v>
      </c>
      <c r="I44" s="49">
        <v>1</v>
      </c>
      <c r="J44" s="50">
        <f>(28.086*2)+(16*2)</f>
        <v>88.171999999999997</v>
      </c>
    </row>
    <row r="45" spans="1:10" ht="18.75">
      <c r="A45" s="2" t="s">
        <v>58</v>
      </c>
      <c r="B45" s="13">
        <f t="shared" si="0"/>
        <v>5.0108799999999993</v>
      </c>
      <c r="C45" s="14">
        <v>5.0108799999999997E-3</v>
      </c>
      <c r="G45" s="49" t="s">
        <v>86</v>
      </c>
      <c r="H45" s="49" t="s">
        <v>203</v>
      </c>
      <c r="I45" s="49">
        <v>1</v>
      </c>
      <c r="J45" s="50">
        <v>46.07</v>
      </c>
    </row>
    <row r="46" spans="1:10">
      <c r="A46" s="2" t="s">
        <v>61</v>
      </c>
      <c r="B46" s="13">
        <f t="shared" si="0"/>
        <v>5</v>
      </c>
      <c r="C46" s="14">
        <v>5.0000000000000001E-3</v>
      </c>
      <c r="G46" s="49" t="s">
        <v>204</v>
      </c>
      <c r="H46" s="49" t="s">
        <v>205</v>
      </c>
      <c r="I46" s="49">
        <v>1</v>
      </c>
      <c r="J46" s="50">
        <v>233.88</v>
      </c>
    </row>
    <row r="47" spans="1:10">
      <c r="A47" s="2" t="s">
        <v>55</v>
      </c>
      <c r="B47" s="13">
        <f t="shared" si="0"/>
        <v>8.6</v>
      </c>
      <c r="C47" s="14">
        <v>8.6E-3</v>
      </c>
      <c r="G47" s="49" t="s">
        <v>206</v>
      </c>
      <c r="H47" s="49" t="s">
        <v>195</v>
      </c>
      <c r="I47" s="49">
        <v>1</v>
      </c>
      <c r="J47" s="50">
        <f>14.007*2</f>
        <v>28.013999999999999</v>
      </c>
    </row>
    <row r="48" spans="1:10">
      <c r="A48" s="2" t="s">
        <v>59</v>
      </c>
      <c r="B48" s="13">
        <f t="shared" si="0"/>
        <v>5.7050000000000001</v>
      </c>
      <c r="C48" s="14">
        <v>5.705E-3</v>
      </c>
      <c r="G48" s="49" t="s">
        <v>87</v>
      </c>
      <c r="H48" s="49" t="s">
        <v>207</v>
      </c>
      <c r="I48" s="49">
        <v>1</v>
      </c>
      <c r="J48" s="50">
        <v>92.04</v>
      </c>
    </row>
    <row r="49" spans="1:10">
      <c r="A49" s="2" t="s">
        <v>56</v>
      </c>
      <c r="B49" s="13">
        <f t="shared" si="0"/>
        <v>0.35399999999999998</v>
      </c>
      <c r="C49" s="14">
        <v>3.5399999999999999E-4</v>
      </c>
      <c r="G49" s="49" t="s">
        <v>208</v>
      </c>
      <c r="H49" s="49" t="s">
        <v>194</v>
      </c>
      <c r="I49" s="49">
        <v>1</v>
      </c>
      <c r="J49" s="50">
        <v>32</v>
      </c>
    </row>
    <row r="50" spans="1:10">
      <c r="A50" s="2" t="s">
        <v>57</v>
      </c>
      <c r="B50" s="13">
        <f t="shared" si="0"/>
        <v>2.12805</v>
      </c>
      <c r="C50" s="14">
        <v>2.1280499999999998E-3</v>
      </c>
      <c r="G50" s="49" t="s">
        <v>209</v>
      </c>
      <c r="H50" s="49" t="s">
        <v>140</v>
      </c>
      <c r="I50" s="49">
        <v>1</v>
      </c>
      <c r="J50" s="50">
        <v>30.97</v>
      </c>
    </row>
    <row r="51" spans="1:10">
      <c r="A51" s="2" t="s">
        <v>62</v>
      </c>
      <c r="B51" s="13">
        <f t="shared" si="0"/>
        <v>4.1000000000000005</v>
      </c>
      <c r="C51" s="14">
        <v>4.1000000000000003E-3</v>
      </c>
      <c r="G51" s="49" t="s">
        <v>210</v>
      </c>
      <c r="H51" s="49" t="s">
        <v>211</v>
      </c>
      <c r="I51" s="49">
        <v>1</v>
      </c>
      <c r="J51" s="50">
        <f>195.078</f>
        <v>195.078</v>
      </c>
    </row>
    <row r="52" spans="1:10">
      <c r="A52" s="2" t="s">
        <v>78</v>
      </c>
      <c r="B52" s="13">
        <f>C52*1000</f>
        <v>12.5</v>
      </c>
      <c r="C52" s="14">
        <v>1.2500000000000001E-2</v>
      </c>
      <c r="G52" s="49" t="s">
        <v>212</v>
      </c>
      <c r="H52" s="49" t="s">
        <v>213</v>
      </c>
      <c r="I52" s="49">
        <v>1</v>
      </c>
      <c r="J52" s="50">
        <v>76.08</v>
      </c>
    </row>
    <row r="53" spans="1:10">
      <c r="A53" s="2" t="s">
        <v>72</v>
      </c>
      <c r="B53" s="13">
        <f>C53*1000</f>
        <v>7.5</v>
      </c>
      <c r="C53" s="14">
        <v>7.4999999999999997E-3</v>
      </c>
      <c r="G53" s="49" t="s">
        <v>214</v>
      </c>
      <c r="H53" s="49" t="s">
        <v>215</v>
      </c>
      <c r="I53" s="49">
        <v>1</v>
      </c>
      <c r="J53" s="50">
        <v>28.09</v>
      </c>
    </row>
    <row r="54" spans="1:10">
      <c r="A54" s="5" t="s">
        <v>82</v>
      </c>
      <c r="B54" s="13">
        <f>C54*1000</f>
        <v>5</v>
      </c>
      <c r="C54" s="14">
        <v>5.0000000000000001E-3</v>
      </c>
      <c r="G54" s="49" t="s">
        <v>216</v>
      </c>
      <c r="H54" s="49" t="s">
        <v>217</v>
      </c>
      <c r="I54" s="49">
        <v>1</v>
      </c>
      <c r="J54" s="50">
        <v>186.09</v>
      </c>
    </row>
    <row r="55" spans="1:10">
      <c r="G55" s="49" t="s">
        <v>218</v>
      </c>
      <c r="H55" s="49" t="s">
        <v>219</v>
      </c>
      <c r="I55" s="49">
        <v>1</v>
      </c>
      <c r="J55" s="50">
        <v>270.02999999999997</v>
      </c>
    </row>
    <row r="56" spans="1:10">
      <c r="G56" s="49" t="s">
        <v>90</v>
      </c>
      <c r="H56" s="49" t="s">
        <v>220</v>
      </c>
      <c r="I56" s="49">
        <v>1</v>
      </c>
      <c r="J56" s="50">
        <v>60.1</v>
      </c>
    </row>
    <row r="57" spans="1:10">
      <c r="G57" s="49" t="s">
        <v>91</v>
      </c>
      <c r="H57" s="49" t="s">
        <v>221</v>
      </c>
      <c r="I57" s="49">
        <v>1</v>
      </c>
      <c r="J57" s="50">
        <f>SUM(($D$38*0.25)+($D$82*0.75))</f>
        <v>0</v>
      </c>
    </row>
    <row r="58" spans="1:10">
      <c r="G58" s="49" t="s">
        <v>81</v>
      </c>
      <c r="H58" s="49" t="s">
        <v>222</v>
      </c>
      <c r="I58" s="49">
        <v>1</v>
      </c>
      <c r="J58" s="50">
        <v>18.02</v>
      </c>
    </row>
    <row r="78" spans="7:10">
      <c r="G78" s="49"/>
      <c r="H78" s="49"/>
      <c r="I78" s="49"/>
      <c r="J78" s="50"/>
    </row>
  </sheetData>
  <dataValidations disablePrompts="1" count="1">
    <dataValidation type="list" allowBlank="1" showInputMessage="1" showErrorMessage="1" sqref="E2">
      <formula1>$A$11:$A$38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E8" sqref="E8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47" t="s">
        <v>66</v>
      </c>
      <c r="B1" s="47"/>
      <c r="C1" s="47"/>
      <c r="D1" s="47"/>
      <c r="E1" s="47"/>
      <c r="F1" s="47"/>
      <c r="G1" s="47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tabSelected="1" zoomScaleNormal="100" workbookViewId="0">
      <selection activeCell="F18" sqref="F18"/>
    </sheetView>
  </sheetViews>
  <sheetFormatPr defaultRowHeight="15.75"/>
  <cols>
    <col min="1" max="1" width="22" style="5" customWidth="1"/>
    <col min="2" max="2" width="19.42578125" style="5" customWidth="1"/>
    <col min="3" max="3" width="16.7109375" style="5" customWidth="1"/>
    <col min="4" max="4" width="18.42578125" style="5" customWidth="1"/>
    <col min="5" max="5" width="16.7109375" style="5" customWidth="1"/>
    <col min="6" max="6" width="16.140625" style="5" customWidth="1"/>
    <col min="7" max="7" width="14.28515625" style="5" customWidth="1"/>
    <col min="8" max="10" width="9.140625" style="5" customWidth="1"/>
    <col min="11" max="16384" width="9.140625" style="5"/>
  </cols>
  <sheetData>
    <row r="1" spans="1:10" ht="20.25" thickBot="1">
      <c r="A1" s="75" t="s">
        <v>235</v>
      </c>
      <c r="B1" s="75"/>
      <c r="C1" s="75"/>
      <c r="D1" s="75"/>
      <c r="E1" s="75"/>
    </row>
    <row r="2" spans="1:10" ht="18.75" thickTop="1" thickBot="1">
      <c r="A2" s="74" t="s">
        <v>121</v>
      </c>
    </row>
    <row r="3" spans="1:10" ht="16.5" thickTop="1">
      <c r="B3" s="2" t="s">
        <v>123</v>
      </c>
      <c r="C3" s="2" t="s">
        <v>118</v>
      </c>
      <c r="J3" s="5" t="s">
        <v>114</v>
      </c>
    </row>
    <row r="4" spans="1:10">
      <c r="A4"/>
      <c r="B4" s="32">
        <v>825</v>
      </c>
      <c r="C4" s="36">
        <v>60</v>
      </c>
      <c r="J4" s="35">
        <v>299792458</v>
      </c>
    </row>
    <row r="5" spans="1:10">
      <c r="A5"/>
      <c r="B5" s="2" t="s">
        <v>3</v>
      </c>
      <c r="C5" s="2" t="s">
        <v>25</v>
      </c>
      <c r="D5" s="5" t="s">
        <v>37</v>
      </c>
      <c r="E5" s="5" t="s">
        <v>38</v>
      </c>
    </row>
    <row r="6" spans="1:10">
      <c r="A6" s="2"/>
      <c r="B6" s="29">
        <f>B4*9.8066</f>
        <v>8090.4449999999997</v>
      </c>
      <c r="C6" s="29">
        <f>IFERROR(C4*1000/B6,0)</f>
        <v>7.4161557244379024</v>
      </c>
      <c r="D6" s="29">
        <f>C4*1000*B6/2</f>
        <v>242713350</v>
      </c>
      <c r="E6" s="29">
        <f>IFERROR(D6/C6,0)</f>
        <v>32727650.149012499</v>
      </c>
    </row>
    <row r="7" spans="1:10">
      <c r="J7" s="5">
        <v>450000000</v>
      </c>
    </row>
    <row r="8" spans="1:10">
      <c r="J8" s="5">
        <f>1000*3000*600</f>
        <v>1800000000</v>
      </c>
    </row>
    <row r="9" spans="1:10" ht="18" thickBot="1">
      <c r="A9" s="74" t="s">
        <v>122</v>
      </c>
    </row>
    <row r="10" spans="1:10" ht="16.5" thickTop="1">
      <c r="B10" s="2" t="s">
        <v>123</v>
      </c>
      <c r="C10" s="2" t="s">
        <v>118</v>
      </c>
    </row>
    <row r="11" spans="1:10">
      <c r="B11" s="33">
        <v>825</v>
      </c>
      <c r="C11" s="34">
        <f>(C13*B13)/1000</f>
        <v>60</v>
      </c>
    </row>
    <row r="12" spans="1:10">
      <c r="B12" s="2" t="s">
        <v>3</v>
      </c>
      <c r="C12" s="2" t="s">
        <v>25</v>
      </c>
      <c r="D12" s="5" t="s">
        <v>37</v>
      </c>
      <c r="E12" s="5" t="s">
        <v>126</v>
      </c>
    </row>
    <row r="13" spans="1:10">
      <c r="B13" s="29">
        <f>B11*9.8066</f>
        <v>8090.4449999999997</v>
      </c>
      <c r="C13" s="29">
        <f>D13/E13</f>
        <v>7.4161557244379024</v>
      </c>
      <c r="D13" s="33">
        <v>242713350</v>
      </c>
      <c r="E13" s="29">
        <f>IFERROR((B13^2)/2,0)</f>
        <v>32727650.149012499</v>
      </c>
      <c r="G13" s="5" t="s">
        <v>131</v>
      </c>
    </row>
    <row r="14" spans="1:10">
      <c r="B14" s="46" t="s">
        <v>120</v>
      </c>
      <c r="C14" s="46"/>
      <c r="G14" s="5" t="s">
        <v>132</v>
      </c>
      <c r="H14" s="5" t="s">
        <v>133</v>
      </c>
    </row>
    <row r="15" spans="1:10">
      <c r="B15" s="5" t="s">
        <v>23</v>
      </c>
      <c r="C15" s="5" t="s">
        <v>124</v>
      </c>
      <c r="D15" s="5" t="s">
        <v>119</v>
      </c>
      <c r="G15" s="31">
        <v>6.5619999999999998E-2</v>
      </c>
      <c r="H15" s="31">
        <v>0.30642999999999998</v>
      </c>
    </row>
    <row r="16" spans="1:10">
      <c r="B16" s="31">
        <v>3</v>
      </c>
      <c r="C16" s="31"/>
      <c r="D16" s="30">
        <f>C11/(B16*9.80655)</f>
        <v>2.0394532225910234</v>
      </c>
      <c r="H16" s="5">
        <f>1/(G15+H15)</f>
        <v>2.6878107781212202</v>
      </c>
    </row>
    <row r="17" spans="1:8">
      <c r="G17" s="42">
        <f>G15*H16</f>
        <v>0.17637414326031445</v>
      </c>
      <c r="H17" s="42">
        <f>H15*H16</f>
        <v>0.82362585673968547</v>
      </c>
    </row>
    <row r="18" spans="1:8">
      <c r="H18" s="5">
        <f>G17+H17</f>
        <v>0.99999999999999989</v>
      </c>
    </row>
    <row r="19" spans="1:8" ht="18" thickBot="1">
      <c r="A19" s="74" t="s">
        <v>115</v>
      </c>
    </row>
    <row r="20" spans="1:8" ht="16.5" thickTop="1">
      <c r="B20" s="5" t="s">
        <v>37</v>
      </c>
      <c r="C20" s="5" t="s">
        <v>116</v>
      </c>
      <c r="D20" s="5" t="s">
        <v>117</v>
      </c>
    </row>
    <row r="21" spans="1:8">
      <c r="B21" s="40">
        <v>1000000000</v>
      </c>
      <c r="C21" s="30">
        <f>(B21/J4)</f>
        <v>3.3356409519815204</v>
      </c>
      <c r="D21" s="30">
        <f>B21/1000</f>
        <v>1000000</v>
      </c>
    </row>
    <row r="24" spans="1:8" ht="18" thickBot="1">
      <c r="A24" s="74" t="s">
        <v>125</v>
      </c>
    </row>
    <row r="25" spans="1:8" ht="16.5" thickTop="1">
      <c r="B25" s="5" t="s">
        <v>226</v>
      </c>
      <c r="C25" s="2" t="s">
        <v>118</v>
      </c>
    </row>
    <row r="26" spans="1:8">
      <c r="B26" s="38">
        <f>B28/9.8066</f>
        <v>906348.21623351518</v>
      </c>
      <c r="C26" s="31">
        <v>120</v>
      </c>
    </row>
    <row r="27" spans="1:8">
      <c r="B27" s="5" t="s">
        <v>3</v>
      </c>
      <c r="C27" s="5" t="s">
        <v>25</v>
      </c>
      <c r="D27" s="5" t="s">
        <v>37</v>
      </c>
      <c r="E27" s="5" t="s">
        <v>126</v>
      </c>
    </row>
    <row r="28" spans="1:8">
      <c r="B28" s="38">
        <f>(2*E28)^0.5</f>
        <v>8888194.4173155893</v>
      </c>
      <c r="C28" s="39">
        <f>IFERROR(C26*1000/B28,0)</f>
        <v>1.3501054811112287E-2</v>
      </c>
      <c r="D28" s="38">
        <f>C26*B28</f>
        <v>1066583330.0778707</v>
      </c>
      <c r="E28" s="37">
        <v>39500000000000</v>
      </c>
    </row>
    <row r="29" spans="1:8">
      <c r="B29" s="5" t="s">
        <v>233</v>
      </c>
    </row>
    <row r="30" spans="1:8">
      <c r="B30" s="41">
        <f>B28/299792458</f>
        <v>2.9647825287571407E-2</v>
      </c>
    </row>
    <row r="33" spans="1:9" ht="18" thickBot="1">
      <c r="A33" s="74" t="s">
        <v>145</v>
      </c>
    </row>
    <row r="34" spans="1:9" ht="16.5" thickTop="1"/>
    <row r="35" spans="1:9">
      <c r="B35" s="58" t="s">
        <v>144</v>
      </c>
      <c r="C35" s="52">
        <v>2130</v>
      </c>
      <c r="D35" s="48"/>
      <c r="E35" s="48"/>
      <c r="F35"/>
      <c r="G35"/>
    </row>
    <row r="36" spans="1:9">
      <c r="B36" s="58" t="s">
        <v>135</v>
      </c>
      <c r="C36" s="53">
        <v>8.3144621000000001</v>
      </c>
      <c r="D36" s="48"/>
      <c r="E36" s="48"/>
      <c r="F36"/>
      <c r="G36"/>
    </row>
    <row r="37" spans="1:9" ht="16.5" thickBot="1">
      <c r="B37" s="58" t="s">
        <v>143</v>
      </c>
      <c r="C37" s="17" t="s">
        <v>32</v>
      </c>
      <c r="D37" s="60">
        <f>IFERROR(VLOOKUP(C37,Database!$G$2:$J$58,4,FALSE),"-")</f>
        <v>2.02</v>
      </c>
      <c r="E37" s="61">
        <f>D37/1000</f>
        <v>2.0200000000000001E-3</v>
      </c>
      <c r="F37"/>
      <c r="G37"/>
    </row>
    <row r="38" spans="1:9" ht="17.25" thickTop="1" thickBot="1">
      <c r="B38" s="58"/>
      <c r="C38" s="17" t="s">
        <v>81</v>
      </c>
      <c r="D38" s="60">
        <f>IFERROR(VLOOKUP(C38,Database!$G$2:$J$58,4,FALSE),"-")</f>
        <v>18.02</v>
      </c>
      <c r="E38" s="61">
        <f>D38/1000</f>
        <v>1.8020000000000001E-2</v>
      </c>
    </row>
    <row r="39" spans="1:9" ht="17.25" thickTop="1" thickBot="1">
      <c r="B39" s="58" t="s">
        <v>142</v>
      </c>
      <c r="C39" s="18">
        <v>1.3979999999999999</v>
      </c>
      <c r="D39" s="23">
        <f>(C39-1)/C39</f>
        <v>0.284692417739628</v>
      </c>
      <c r="E39" s="48"/>
    </row>
    <row r="40" spans="1:9" ht="17.25" thickTop="1" thickBot="1">
      <c r="B40" s="58" t="s">
        <v>141</v>
      </c>
      <c r="C40" s="54">
        <v>1E-3</v>
      </c>
      <c r="D40" s="55">
        <f>C40*101320</f>
        <v>101.32000000000001</v>
      </c>
      <c r="E40" s="48"/>
    </row>
    <row r="41" spans="1:9" ht="17.25" thickTop="1" thickBot="1">
      <c r="B41" s="58" t="s">
        <v>140</v>
      </c>
      <c r="C41" s="54">
        <v>75</v>
      </c>
      <c r="D41" s="55">
        <f>C41*101320</f>
        <v>7599000</v>
      </c>
      <c r="E41" s="48"/>
    </row>
    <row r="42" spans="1:9" ht="16.5" thickTop="1">
      <c r="B42" s="58"/>
      <c r="C42" s="48"/>
      <c r="D42" s="48"/>
      <c r="E42" s="48"/>
    </row>
    <row r="43" spans="1:9">
      <c r="B43" s="58" t="s">
        <v>139</v>
      </c>
      <c r="C43" s="56">
        <f>(C35*C36)/E37</f>
        <v>8767229.8381188121</v>
      </c>
      <c r="D43" s="48"/>
      <c r="E43" s="56">
        <f>(C35*C36)/E38</f>
        <v>982786.03068812436</v>
      </c>
    </row>
    <row r="44" spans="1:9">
      <c r="B44" s="58" t="s">
        <v>138</v>
      </c>
      <c r="C44" s="56">
        <f>(2*C39)/(C39-1)</f>
        <v>7.0251256281407048</v>
      </c>
      <c r="D44" s="48"/>
      <c r="E44"/>
      <c r="H44" s="62"/>
      <c r="I44" s="62"/>
    </row>
    <row r="45" spans="1:9">
      <c r="B45" s="58" t="s">
        <v>137</v>
      </c>
      <c r="C45" s="56">
        <f>1-(D40^D39)/D41</f>
        <v>0.99999950993942432</v>
      </c>
      <c r="D45" s="48"/>
      <c r="E45"/>
    </row>
    <row r="46" spans="1:9">
      <c r="B46" s="58"/>
      <c r="C46" s="48"/>
      <c r="D46" s="48"/>
      <c r="E46" s="48"/>
    </row>
    <row r="47" spans="1:9">
      <c r="B47" s="58" t="s">
        <v>136</v>
      </c>
      <c r="C47" s="57">
        <f>(C43*C44*C45)^0.5</f>
        <v>7847.9845081588201</v>
      </c>
      <c r="D47" s="48"/>
      <c r="E47" s="57">
        <f>(E43*C44*C45)^0.5</f>
        <v>2627.5829097655283</v>
      </c>
      <c r="G47" s="63"/>
    </row>
    <row r="48" spans="1:9">
      <c r="B48" s="58" t="s">
        <v>226</v>
      </c>
      <c r="C48" s="59">
        <f>C47/9.80655</f>
        <v>800.27986480044672</v>
      </c>
      <c r="D48" s="48"/>
      <c r="E48" s="59">
        <f>E47/9.80655</f>
        <v>267.94162164732023</v>
      </c>
    </row>
    <row r="50" spans="1:6">
      <c r="E50" s="62"/>
      <c r="F50" s="62"/>
    </row>
    <row r="51" spans="1:6">
      <c r="E51" s="62"/>
    </row>
    <row r="52" spans="1:6" ht="18" thickBot="1">
      <c r="A52" s="74" t="s">
        <v>228</v>
      </c>
    </row>
    <row r="53" spans="1:6" ht="16.5" thickTop="1"/>
    <row r="54" spans="1:6">
      <c r="C54" s="5" t="s">
        <v>22</v>
      </c>
      <c r="D54" s="5" t="s">
        <v>95</v>
      </c>
      <c r="E54" s="5" t="s">
        <v>232</v>
      </c>
    </row>
    <row r="55" spans="1:6">
      <c r="D55" s="69">
        <v>60</v>
      </c>
      <c r="E55" s="70">
        <v>0.75</v>
      </c>
    </row>
    <row r="57" spans="1:6">
      <c r="E57" s="5" t="s">
        <v>231</v>
      </c>
    </row>
    <row r="58" spans="1:6" ht="16.5" thickBot="1">
      <c r="B58" s="65" t="s">
        <v>227</v>
      </c>
      <c r="C58" s="67">
        <v>800</v>
      </c>
      <c r="D58" s="73">
        <f>D55</f>
        <v>60</v>
      </c>
      <c r="E58" s="71">
        <f>($C$58/C58)^$E$55</f>
        <v>1</v>
      </c>
    </row>
    <row r="59" spans="1:6" ht="16.5" thickTop="1">
      <c r="B59" s="65" t="s">
        <v>193</v>
      </c>
      <c r="C59" s="67">
        <v>606</v>
      </c>
      <c r="D59" s="72">
        <f>$D$55*(($C$58/C59)^$E$55)</f>
        <v>73.894867118770051</v>
      </c>
      <c r="E59" s="71">
        <f>($C$58/C59)^$E$55</f>
        <v>1.2315811186461676</v>
      </c>
    </row>
    <row r="60" spans="1:6">
      <c r="B60" s="65" t="s">
        <v>151</v>
      </c>
      <c r="C60" s="67">
        <v>400</v>
      </c>
      <c r="D60" s="72">
        <f>$D$55*(($C$58/C60)^$E$55)</f>
        <v>100.90756983044574</v>
      </c>
      <c r="E60" s="71">
        <f>($C$58/C60)^$E$55</f>
        <v>1.681792830507429</v>
      </c>
    </row>
    <row r="61" spans="1:6">
      <c r="B61" s="65" t="s">
        <v>195</v>
      </c>
      <c r="C61" s="67">
        <v>253</v>
      </c>
      <c r="D61" s="72">
        <f>$D$55*(($C$58/C61)^$E$55)</f>
        <v>142.27491989040757</v>
      </c>
      <c r="E61" s="71">
        <f>($C$58/C61)^$E$55</f>
        <v>2.3712486648401261</v>
      </c>
    </row>
    <row r="62" spans="1:6">
      <c r="B62" s="64" t="s">
        <v>222</v>
      </c>
      <c r="C62" s="67">
        <v>370</v>
      </c>
      <c r="D62" s="72">
        <f>$D$55*(($C$58/C62)^$E$55)</f>
        <v>106.98365906113423</v>
      </c>
      <c r="E62" s="71">
        <f>($C$58/C62)^$E$55</f>
        <v>1.7830609843522371</v>
      </c>
    </row>
    <row r="63" spans="1:6">
      <c r="B63" s="64" t="s">
        <v>156</v>
      </c>
      <c r="C63" s="67">
        <v>283</v>
      </c>
      <c r="D63" s="72">
        <f>$D$55*(($C$58/C63)^$E$55)</f>
        <v>130.80637609525397</v>
      </c>
      <c r="E63" s="71">
        <f>($C$58/C63)^$E$55</f>
        <v>2.1801062682542329</v>
      </c>
    </row>
    <row r="64" spans="1:6">
      <c r="B64" s="64" t="s">
        <v>158</v>
      </c>
      <c r="C64" s="67">
        <v>253</v>
      </c>
      <c r="D64" s="72">
        <f>$D$55*(($C$58/C64)^$E$55)</f>
        <v>142.27491989040757</v>
      </c>
      <c r="E64" s="71">
        <f>($C$58/C64)^$E$55</f>
        <v>2.3712486648401261</v>
      </c>
    </row>
    <row r="65" spans="2:5">
      <c r="C65" s="67"/>
      <c r="D65" s="66"/>
      <c r="E65" s="68"/>
    </row>
    <row r="66" spans="2:5" ht="16.5" thickBot="1">
      <c r="B66" s="65" t="s">
        <v>56</v>
      </c>
      <c r="C66" s="67">
        <v>800</v>
      </c>
      <c r="D66" s="73">
        <f>D55</f>
        <v>60</v>
      </c>
      <c r="E66" s="71">
        <f>($C$58/C66)^$E$55</f>
        <v>1</v>
      </c>
    </row>
    <row r="67" spans="2:5" ht="16.5" thickTop="1">
      <c r="B67" s="65" t="s">
        <v>57</v>
      </c>
      <c r="C67" s="67">
        <v>606</v>
      </c>
      <c r="D67" s="72">
        <f>$D$55*(($C$66/C67)^$E$55)</f>
        <v>73.894867118770051</v>
      </c>
      <c r="E67" s="71">
        <f>($C$66/C67)^$E$55</f>
        <v>1.2315811186461676</v>
      </c>
    </row>
    <row r="68" spans="2:5">
      <c r="B68" s="65" t="s">
        <v>230</v>
      </c>
      <c r="C68" s="67">
        <v>253</v>
      </c>
      <c r="D68" s="72">
        <f>$D$55*(($C$66/C68)^$E$55)</f>
        <v>142.27491989040757</v>
      </c>
      <c r="E68" s="71">
        <f>($C$66/C68)^$E$55</f>
        <v>2.3712486648401261</v>
      </c>
    </row>
    <row r="69" spans="2:5">
      <c r="B69" s="64" t="s">
        <v>229</v>
      </c>
      <c r="C69" s="67">
        <v>370</v>
      </c>
      <c r="D69" s="72">
        <f>$D$55*(($C$66/C69)^$E$55)</f>
        <v>106.98365906113423</v>
      </c>
      <c r="E69" s="71">
        <f>($C$66/C69)^$E$55</f>
        <v>1.7830609843522371</v>
      </c>
    </row>
    <row r="70" spans="2:5">
      <c r="B70" s="64" t="s">
        <v>234</v>
      </c>
      <c r="C70" s="67">
        <v>283</v>
      </c>
      <c r="D70" s="72">
        <f>$D$55*(($C$66/C70)^$E$55)</f>
        <v>130.80637609525397</v>
      </c>
      <c r="E70" s="71">
        <f>($C$66/C70)^$E$55</f>
        <v>2.1801062682542329</v>
      </c>
    </row>
    <row r="71" spans="2:5">
      <c r="B71" s="64" t="s">
        <v>55</v>
      </c>
      <c r="C71" s="67">
        <v>253</v>
      </c>
      <c r="D71" s="72">
        <f>$D$55*(($C$66/C71)^$E$55)</f>
        <v>142.27491989040757</v>
      </c>
      <c r="E71" s="71">
        <f>($C$66/C71)^$E$55</f>
        <v>2.3712486648401261</v>
      </c>
    </row>
  </sheetData>
  <mergeCells count="2">
    <mergeCell ref="B14:C14"/>
    <mergeCell ref="A1:E1"/>
  </mergeCell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Database!$G$2:$G$58</xm:f>
          </x14:formula1>
          <xm:sqref>C37:C38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 Config Calc</vt:lpstr>
      <vt:lpstr>Database</vt:lpstr>
      <vt:lpstr>Samples</vt:lpstr>
      <vt:lpstr>Energy calcs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2023-05-03T23:40:26Z</dcterms:modified>
</cp:coreProperties>
</file>