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16740" yWindow="0" windowWidth="18375" windowHeight="8625"/>
  </bookViews>
  <sheets>
    <sheet name="Calculator" sheetId="2" r:id="rId1"/>
    <sheet name="Database" sheetId="3" r:id="rId2"/>
    <sheet name="Samples" sheetId="1" r:id="rId3"/>
  </sheets>
  <definedNames>
    <definedName name="_xlnm.Print_Area" localSheetId="0">#REF!</definedName>
    <definedName name="_xlnm.Print_Area" localSheetId="1">#REF!</definedName>
    <definedName name="_xlnm.Print_Area" localSheetId="2">#REF!</definedName>
    <definedName name="_xlnm.Sheet_Title" localSheetId="0">"Sheet2"</definedName>
    <definedName name="_xlnm.Sheet_Title" localSheetId="1">"Sheet3"</definedName>
    <definedName name="_xlnm.Sheet_Title" localSheetId="2">"Sheet1"</definedName>
  </definedNames>
  <calcPr calcId="152511"/>
</workbook>
</file>

<file path=xl/calcChain.xml><?xml version="1.0" encoding="utf-8"?>
<calcChain xmlns="http://schemas.openxmlformats.org/spreadsheetml/2006/main">
  <c r="D48" i="2" l="1"/>
  <c r="D51" i="2" s="1"/>
  <c r="B48" i="2"/>
  <c r="B51" i="2" s="1"/>
  <c r="C47" i="2"/>
  <c r="C48" i="2" s="1"/>
  <c r="D41" i="2"/>
  <c r="D44" i="2" s="1"/>
  <c r="C41" i="2"/>
  <c r="C44" i="2" s="1"/>
  <c r="B41" i="2"/>
  <c r="C31" i="2"/>
  <c r="C32" i="2" s="1"/>
  <c r="C35" i="2" s="1"/>
  <c r="D64" i="2"/>
  <c r="D67" i="2" s="1"/>
  <c r="C64" i="2"/>
  <c r="C67" i="2" s="1"/>
  <c r="B64" i="2"/>
  <c r="B67" i="2" s="1"/>
  <c r="D57" i="2"/>
  <c r="D60" i="2" s="1"/>
  <c r="C57" i="2"/>
  <c r="C60" i="2" s="1"/>
  <c r="B57" i="2"/>
  <c r="B60" i="2" s="1"/>
  <c r="I31" i="2"/>
  <c r="I63" i="2" s="1"/>
  <c r="I24" i="2"/>
  <c r="I56" i="2" s="1"/>
  <c r="D32" i="2"/>
  <c r="D35" i="2" s="1"/>
  <c r="B32" i="2"/>
  <c r="B35" i="2" s="1"/>
  <c r="D25" i="2"/>
  <c r="D28" i="2" s="1"/>
  <c r="C25" i="2"/>
  <c r="C28" i="2" s="1"/>
  <c r="B25" i="2"/>
  <c r="B28" i="2" s="1"/>
  <c r="I40" i="2" l="1"/>
  <c r="I47" i="2"/>
  <c r="C51" i="2"/>
  <c r="B44" i="2"/>
  <c r="B33" i="3"/>
  <c r="B13" i="3" l="1"/>
  <c r="B26" i="3"/>
  <c r="B27" i="3"/>
  <c r="B28" i="3"/>
  <c r="B29" i="3"/>
  <c r="B30" i="3"/>
  <c r="B31" i="3"/>
  <c r="B32" i="3"/>
  <c r="D18" i="2" l="1"/>
  <c r="C18" i="2"/>
  <c r="B15" i="3" l="1"/>
  <c r="B50" i="3"/>
  <c r="B16" i="3"/>
  <c r="B48" i="3" l="1"/>
  <c r="D21" i="2" l="1"/>
  <c r="C21" i="2"/>
  <c r="B12" i="3" l="1"/>
  <c r="B14" i="3"/>
  <c r="B17" i="3"/>
  <c r="B18" i="3"/>
  <c r="B19" i="3"/>
  <c r="B20" i="3"/>
  <c r="B21" i="3"/>
  <c r="B22" i="3"/>
  <c r="B23" i="3"/>
  <c r="B24" i="3"/>
  <c r="B25" i="3"/>
  <c r="B34" i="3"/>
  <c r="B18" i="2" s="1"/>
  <c r="B21" i="2" s="1"/>
  <c r="B37" i="3"/>
  <c r="B38" i="3"/>
  <c r="B39" i="3"/>
  <c r="B40" i="3"/>
  <c r="B41" i="3"/>
  <c r="B42" i="3"/>
  <c r="B43" i="3"/>
  <c r="B44" i="3"/>
  <c r="B45" i="3"/>
  <c r="B46" i="3"/>
  <c r="B47" i="3"/>
  <c r="B49" i="3"/>
  <c r="B11" i="3"/>
  <c r="B9" i="2" l="1"/>
  <c r="E3" i="1"/>
  <c r="D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C10" i="2" l="1"/>
  <c r="C13" i="2"/>
  <c r="C11" i="2"/>
  <c r="C12" i="2"/>
  <c r="C9" i="2"/>
  <c r="D9" i="2"/>
  <c r="C19" i="2" l="1"/>
  <c r="D19" i="2"/>
  <c r="D20" i="2" s="1"/>
  <c r="B19" i="2"/>
  <c r="B20" i="2" s="1"/>
  <c r="E19" i="2"/>
  <c r="G17" i="2" s="1"/>
  <c r="H17" i="2" s="1"/>
  <c r="E58" i="2"/>
  <c r="G56" i="2" s="1"/>
  <c r="H56" i="2" s="1"/>
  <c r="D58" i="2"/>
  <c r="D59" i="2" s="1"/>
  <c r="C58" i="2"/>
  <c r="C59" i="2" s="1"/>
  <c r="B58" i="2"/>
  <c r="B59" i="2" s="1"/>
  <c r="C33" i="2"/>
  <c r="C34" i="2" s="1"/>
  <c r="E49" i="2"/>
  <c r="G47" i="2" s="1"/>
  <c r="H47" i="2" s="1"/>
  <c r="B33" i="2"/>
  <c r="B34" i="2" s="1"/>
  <c r="B49" i="2"/>
  <c r="B50" i="2" s="1"/>
  <c r="D33" i="2"/>
  <c r="D34" i="2" s="1"/>
  <c r="C49" i="2"/>
  <c r="C50" i="2" s="1"/>
  <c r="D49" i="2"/>
  <c r="D50" i="2" s="1"/>
  <c r="E33" i="2"/>
  <c r="G31" i="2" s="1"/>
  <c r="H31" i="2" s="1"/>
  <c r="C65" i="2"/>
  <c r="C66" i="2" s="1"/>
  <c r="D65" i="2"/>
  <c r="D66" i="2" s="1"/>
  <c r="B65" i="2"/>
  <c r="B66" i="2" s="1"/>
  <c r="E65" i="2"/>
  <c r="G63" i="2" s="1"/>
  <c r="H63" i="2" s="1"/>
  <c r="D42" i="2"/>
  <c r="D43" i="2" s="1"/>
  <c r="E42" i="2"/>
  <c r="G40" i="2" s="1"/>
  <c r="H40" i="2" s="1"/>
  <c r="D26" i="2"/>
  <c r="D27" i="2" s="1"/>
  <c r="C26" i="2"/>
  <c r="C27" i="2" s="1"/>
  <c r="C42" i="2"/>
  <c r="C43" i="2" s="1"/>
  <c r="B26" i="2"/>
  <c r="B27" i="2" s="1"/>
  <c r="E26" i="2"/>
  <c r="G24" i="2" s="1"/>
  <c r="H24" i="2" s="1"/>
  <c r="B42" i="2"/>
  <c r="B43" i="2" s="1"/>
  <c r="E9" i="2"/>
  <c r="E66" i="2" l="1"/>
  <c r="E43" i="2"/>
  <c r="E34" i="2"/>
  <c r="E27" i="2"/>
  <c r="E50" i="2"/>
  <c r="E59" i="2"/>
  <c r="C20" i="2"/>
  <c r="E20" i="2"/>
  <c r="G9" i="2" l="1"/>
  <c r="H9" i="2" s="1"/>
</calcChain>
</file>

<file path=xl/sharedStrings.xml><?xml version="1.0" encoding="utf-8"?>
<sst xmlns="http://schemas.openxmlformats.org/spreadsheetml/2006/main" count="191" uniqueCount="114">
  <si>
    <t>name</t>
  </si>
  <si>
    <t>Thrust(kN)</t>
  </si>
  <si>
    <t>Isp(s)</t>
  </si>
  <si>
    <t>Ve (m/s)</t>
  </si>
  <si>
    <t>flow(kg/s)</t>
  </si>
  <si>
    <t>power(W)</t>
  </si>
  <si>
    <t>J/kg</t>
  </si>
  <si>
    <t>24-77</t>
  </si>
  <si>
    <t>48-7S</t>
  </si>
  <si>
    <t>aerospike</t>
  </si>
  <si>
    <t>LV-1</t>
  </si>
  <si>
    <t>LV-1R</t>
  </si>
  <si>
    <t>LV-909</t>
  </si>
  <si>
    <t>LV-N</t>
  </si>
  <si>
    <t>LF only</t>
  </si>
  <si>
    <t>LV-T30</t>
  </si>
  <si>
    <t>LV-T45</t>
  </si>
  <si>
    <t>mainsail</t>
  </si>
  <si>
    <t>Mk55</t>
  </si>
  <si>
    <t>poodle</t>
  </si>
  <si>
    <t>SSME</t>
  </si>
  <si>
    <t>skipper</t>
  </si>
  <si>
    <t>Isp</t>
  </si>
  <si>
    <t>Engine</t>
  </si>
  <si>
    <t>Thrust (Vac)</t>
  </si>
  <si>
    <t>Flow (kg/s)</t>
  </si>
  <si>
    <t>Name</t>
  </si>
  <si>
    <t>Mass (kg)</t>
  </si>
  <si>
    <t>Density (kg)</t>
  </si>
  <si>
    <t>LiquidFuel</t>
  </si>
  <si>
    <t>Oxidizer</t>
  </si>
  <si>
    <t>MonoPropellant</t>
  </si>
  <si>
    <t>LqdHydrogen</t>
  </si>
  <si>
    <t>LqdMethane</t>
  </si>
  <si>
    <t>SolidFuel</t>
  </si>
  <si>
    <t>ElectricCharge</t>
  </si>
  <si>
    <t>Propellants</t>
  </si>
  <si>
    <t>Power (W)</t>
  </si>
  <si>
    <t>Power (J/kg)</t>
  </si>
  <si>
    <t>Inputs</t>
  </si>
  <si>
    <t>Outputs</t>
  </si>
  <si>
    <t>XenonGas</t>
  </si>
  <si>
    <t>Lithium</t>
  </si>
  <si>
    <t>EnrichedUranium</t>
  </si>
  <si>
    <t>Antimatter</t>
  </si>
  <si>
    <t>ArgonGas</t>
  </si>
  <si>
    <t>Metal(s)</t>
  </si>
  <si>
    <t>LqdDeuterium</t>
  </si>
  <si>
    <t>LqdCO2</t>
  </si>
  <si>
    <t>LqdAmmonia</t>
  </si>
  <si>
    <t>LqdHe3</t>
  </si>
  <si>
    <t>Karbonite</t>
  </si>
  <si>
    <t>Karborundum</t>
  </si>
  <si>
    <t>Atmosphere</t>
  </si>
  <si>
    <t>CompressedAtmosphere</t>
  </si>
  <si>
    <t>Nitronite</t>
  </si>
  <si>
    <t>Propellium</t>
  </si>
  <si>
    <t>Raptium</t>
  </si>
  <si>
    <t>Explodium</t>
  </si>
  <si>
    <t>Oxium</t>
  </si>
  <si>
    <t>Blutonium</t>
  </si>
  <si>
    <t>Hexagen</t>
  </si>
  <si>
    <t>RHK1</t>
  </si>
  <si>
    <t>ElectroPlasma</t>
  </si>
  <si>
    <t>____CRP____</t>
  </si>
  <si>
    <t>____WBI____</t>
  </si>
  <si>
    <t>Samples by @taniwha</t>
  </si>
  <si>
    <t>Intake(Air/Atm)</t>
  </si>
  <si>
    <t>Name (dropdown)</t>
  </si>
  <si>
    <t>Ratio (for cfg)</t>
  </si>
  <si>
    <t>Stats (from cfg)</t>
  </si>
  <si>
    <t>Blue items are drop-down selectors. Orange fields are inputs. Only type into the orange fields.</t>
  </si>
  <si>
    <t>SRMFuel</t>
  </si>
  <si>
    <t>Supports stock, CRP and WBI.</t>
  </si>
  <si>
    <t>Mass (kg/s)</t>
  </si>
  <si>
    <t>Ratio (U/s)</t>
  </si>
  <si>
    <t>Total flow (kg/s)</t>
  </si>
  <si>
    <t>Units/s (in-game)</t>
  </si>
  <si>
    <t>Rock</t>
  </si>
  <si>
    <t>Ore</t>
  </si>
  <si>
    <t>FusionPellets</t>
  </si>
  <si>
    <t>Water (CRP)</t>
  </si>
  <si>
    <t>Water (WBI)</t>
  </si>
  <si>
    <t>MetallicHydrogen</t>
  </si>
  <si>
    <t>NuclearSaltWater</t>
  </si>
  <si>
    <t>FissionPellets</t>
  </si>
  <si>
    <t>MMH</t>
  </si>
  <si>
    <t>NTO</t>
  </si>
  <si>
    <t>AZ50</t>
  </si>
  <si>
    <t>LqdOxygen</t>
  </si>
  <si>
    <t>UDMH</t>
  </si>
  <si>
    <t>UH25</t>
  </si>
  <si>
    <t>Target</t>
  </si>
  <si>
    <t>Fraction</t>
  </si>
  <si>
    <t>Do not input propellants that have "IgnoreForIsp = True"</t>
  </si>
  <si>
    <t>Thrust</t>
  </si>
  <si>
    <t>SCOOP LF</t>
  </si>
  <si>
    <t>SCOOP LFO</t>
  </si>
  <si>
    <t>WarpJet</t>
  </si>
  <si>
    <t>SCOOP Jet</t>
  </si>
  <si>
    <t>Nebula</t>
  </si>
  <si>
    <t>J-81</t>
  </si>
  <si>
    <t>Wrapper J</t>
  </si>
  <si>
    <t>Bubble</t>
  </si>
  <si>
    <t>EggDog</t>
  </si>
  <si>
    <t>WJOpen</t>
  </si>
  <si>
    <t>WJClosed</t>
  </si>
  <si>
    <t>EC req</t>
  </si>
  <si>
    <t>Real Fuels</t>
  </si>
  <si>
    <t>Classic Stock</t>
  </si>
  <si>
    <t>~ Re-input</t>
  </si>
  <si>
    <t>EC Target</t>
  </si>
  <si>
    <t>ARI-73</t>
  </si>
  <si>
    <t>ARI-75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</si>
</sst>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6">
    <font>
      <sz val="10"/>
      <color indexed="8"/>
      <name val="Sans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indexed="8"/>
      <name val="Sans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3" applyNumberFormat="0" applyAlignment="0" applyProtection="0"/>
    <xf numFmtId="0" fontId="5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3" borderId="5" applyNumberFormat="0" applyAlignment="0" applyProtection="0"/>
    <xf numFmtId="0" fontId="15" fillId="0" borderId="6" applyNumberFormat="0" applyFill="0" applyAlignment="0" applyProtection="0"/>
  </cellStyleXfs>
  <cellXfs count="33">
    <xf numFmtId="0" fontId="0" fillId="0" borderId="0" xfId="0"/>
    <xf numFmtId="0" fontId="8" fillId="0" borderId="0" xfId="0" applyFont="1" applyFill="1" applyAlignment="1"/>
    <xf numFmtId="0" fontId="9" fillId="0" borderId="0" xfId="0" applyFont="1" applyFill="1" applyAlignment="1"/>
    <xf numFmtId="164" fontId="9" fillId="0" borderId="0" xfId="0" applyNumberFormat="1" applyFont="1" applyFill="1" applyAlignment="1"/>
    <xf numFmtId="0" fontId="9" fillId="0" borderId="0" xfId="0" applyNumberFormat="1" applyFont="1" applyFill="1" applyAlignment="1"/>
    <xf numFmtId="0" fontId="9" fillId="0" borderId="0" xfId="0" applyFont="1"/>
    <xf numFmtId="0" fontId="4" fillId="3" borderId="3" xfId="4" applyAlignment="1"/>
    <xf numFmtId="0" fontId="2" fillId="0" borderId="2" xfId="2" applyFill="1" applyAlignment="1"/>
    <xf numFmtId="0" fontId="1" fillId="0" borderId="1" xfId="1" applyFill="1" applyAlignment="1"/>
    <xf numFmtId="0" fontId="3" fillId="2" borderId="3" xfId="3" applyAlignment="1"/>
    <xf numFmtId="165" fontId="4" fillId="3" borderId="3" xfId="4" applyNumberFormat="1" applyAlignment="1"/>
    <xf numFmtId="0" fontId="5" fillId="0" borderId="4" xfId="5" applyFont="1" applyFill="1" applyAlignment="1"/>
    <xf numFmtId="0" fontId="6" fillId="0" borderId="0" xfId="6" applyNumberFormat="1" applyFont="1" applyFill="1" applyAlignment="1"/>
    <xf numFmtId="0" fontId="11" fillId="3" borderId="3" xfId="4" applyFont="1" applyAlignment="1"/>
    <xf numFmtId="0" fontId="10" fillId="2" borderId="3" xfId="3" applyFont="1" applyAlignment="1"/>
    <xf numFmtId="0" fontId="7" fillId="0" borderId="0" xfId="0" applyFont="1"/>
    <xf numFmtId="165" fontId="13" fillId="3" borderId="5" xfId="8" applyNumberFormat="1" applyAlignment="1"/>
    <xf numFmtId="0" fontId="14" fillId="5" borderId="0" xfId="0" applyFont="1" applyFill="1"/>
    <xf numFmtId="0" fontId="6" fillId="0" borderId="0" xfId="6"/>
    <xf numFmtId="0" fontId="12" fillId="4" borderId="0" xfId="7" applyAlignment="1"/>
    <xf numFmtId="165" fontId="3" fillId="2" borderId="3" xfId="3" applyNumberFormat="1" applyFont="1" applyAlignment="1"/>
    <xf numFmtId="166" fontId="3" fillId="2" borderId="3" xfId="3" applyNumberFormat="1" applyFont="1" applyAlignment="1"/>
    <xf numFmtId="0" fontId="15" fillId="0" borderId="6" xfId="9" applyFill="1" applyAlignment="1"/>
    <xf numFmtId="0" fontId="5" fillId="0" borderId="4" xfId="5"/>
    <xf numFmtId="166" fontId="4" fillId="3" borderId="3" xfId="4" applyNumberFormat="1" applyAlignment="1"/>
    <xf numFmtId="0" fontId="13" fillId="3" borderId="5" xfId="8" applyAlignment="1"/>
    <xf numFmtId="0" fontId="15" fillId="0" borderId="6" xfId="9"/>
    <xf numFmtId="0" fontId="1" fillId="0" borderId="1" xfId="1" applyFill="1" applyAlignment="1">
      <alignment horizontal="center"/>
    </xf>
    <xf numFmtId="0" fontId="2" fillId="0" borderId="2" xfId="2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1" fontId="3" fillId="6" borderId="3" xfId="3" applyNumberFormat="1" applyFont="1" applyFill="1" applyAlignment="1"/>
    <xf numFmtId="0" fontId="9" fillId="6" borderId="0" xfId="0" applyFont="1" applyFill="1" applyAlignment="1"/>
  </cellXfs>
  <cellStyles count="10">
    <cellStyle name="Calculation" xfId="4" builtinId="22"/>
    <cellStyle name="Explanatory Text" xfId="6" builtinId="53"/>
    <cellStyle name="Good" xfId="7" builtinId="26"/>
    <cellStyle name="Heading 1" xfId="1" builtinId="16"/>
    <cellStyle name="Heading 2" xfId="2" builtinId="17"/>
    <cellStyle name="Heading 3" xfId="9" builtinId="18"/>
    <cellStyle name="Input" xfId="3" builtinId="20"/>
    <cellStyle name="Linked Cell" xfId="5" builtinId="24"/>
    <cellStyle name="Normal" xfId="0" builtinId="0"/>
    <cellStyle name="Output" xfId="8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67"/>
  <sheetViews>
    <sheetView tabSelected="1" topLeftCell="A28" zoomScale="80" zoomScaleNormal="80" workbookViewId="0">
      <selection activeCell="E55" sqref="E55"/>
    </sheetView>
  </sheetViews>
  <sheetFormatPr defaultRowHeight="15.75"/>
  <cols>
    <col min="1" max="5" width="19.7109375" style="2" customWidth="1"/>
    <col min="6" max="6" width="9.140625" style="2"/>
    <col min="7" max="7" width="14.28515625" style="2" customWidth="1"/>
    <col min="8" max="8" width="14.140625" style="2" customWidth="1"/>
    <col min="9" max="9" width="14.42578125" style="2" customWidth="1"/>
    <col min="10" max="10" width="9.140625" style="2"/>
    <col min="11" max="11" width="14.5703125" style="2" customWidth="1"/>
    <col min="12" max="12" width="11.7109375" style="2" customWidth="1"/>
    <col min="13" max="251" width="9.140625" style="2"/>
    <col min="252" max="16384" width="9.140625" style="5"/>
  </cols>
  <sheetData>
    <row r="1" spans="1:15" ht="20.25" thickBot="1">
      <c r="A1" s="27" t="s">
        <v>23</v>
      </c>
      <c r="B1" s="27"/>
      <c r="C1" s="27"/>
      <c r="D1" s="27"/>
      <c r="E1" s="27"/>
    </row>
    <row r="2" spans="1:15" ht="16.5" thickTop="1">
      <c r="A2" s="18" t="s">
        <v>71</v>
      </c>
      <c r="B2"/>
      <c r="C2"/>
      <c r="D2"/>
      <c r="E2"/>
    </row>
    <row r="3" spans="1:15">
      <c r="A3" s="18" t="s">
        <v>73</v>
      </c>
      <c r="B3"/>
      <c r="C3"/>
      <c r="D3"/>
      <c r="E3"/>
    </row>
    <row r="4" spans="1:15">
      <c r="A4" s="18" t="s">
        <v>94</v>
      </c>
      <c r="B4"/>
      <c r="C4"/>
      <c r="D4"/>
      <c r="E4"/>
    </row>
    <row r="5" spans="1:15">
      <c r="A5"/>
      <c r="B5"/>
      <c r="C5"/>
      <c r="D5"/>
      <c r="E5"/>
    </row>
    <row r="6" spans="1:15">
      <c r="A6" s="5" t="s">
        <v>39</v>
      </c>
      <c r="B6" s="2" t="s">
        <v>22</v>
      </c>
      <c r="C6" s="2" t="s">
        <v>24</v>
      </c>
      <c r="D6" s="5"/>
      <c r="E6" s="5"/>
      <c r="F6" s="5"/>
    </row>
    <row r="7" spans="1:15">
      <c r="A7" s="19" t="s">
        <v>70</v>
      </c>
      <c r="B7" s="9">
        <v>300</v>
      </c>
      <c r="C7" s="9">
        <v>375</v>
      </c>
      <c r="D7" s="5"/>
      <c r="E7" s="5"/>
      <c r="F7" s="5"/>
    </row>
    <row r="8" spans="1:15" ht="18" thickBot="1">
      <c r="A8" s="2" t="s">
        <v>40</v>
      </c>
      <c r="B8" s="2" t="s">
        <v>3</v>
      </c>
      <c r="C8" s="2" t="s">
        <v>25</v>
      </c>
      <c r="D8" s="5" t="s">
        <v>37</v>
      </c>
      <c r="E8" s="5" t="s">
        <v>38</v>
      </c>
      <c r="G8" s="28" t="s">
        <v>76</v>
      </c>
      <c r="H8" s="28"/>
    </row>
    <row r="9" spans="1:15" ht="16.5" thickTop="1">
      <c r="B9" s="6">
        <f>B7*9.8066</f>
        <v>2941.98</v>
      </c>
      <c r="C9" s="10">
        <f>IFERROR(C7*1000/B9,0)</f>
        <v>127.46517651377644</v>
      </c>
      <c r="D9" s="10">
        <f>C7*1000*B9/2</f>
        <v>551621250</v>
      </c>
      <c r="E9" s="10">
        <f>IFERROR(D9/C9,0)</f>
        <v>4327623.1601999998</v>
      </c>
      <c r="G9" s="16">
        <f>SUM(B20:E20)</f>
        <v>127.46517651377644</v>
      </c>
      <c r="H9" s="6" t="str">
        <f>IF($C$9&gt;$G$9,"Input excesive",IF($C$9&lt;$G$9,"Output excessive","Equal"))</f>
        <v>Equal</v>
      </c>
    </row>
    <row r="10" spans="1:15">
      <c r="A10" s="2" t="s">
        <v>32</v>
      </c>
      <c r="B10" s="2">
        <v>1.5</v>
      </c>
      <c r="C10" s="10">
        <f>IFERROR(C7*1000/B10/B9,0)</f>
        <v>84.976784342517618</v>
      </c>
      <c r="E10" s="5"/>
    </row>
    <row r="11" spans="1:15">
      <c r="A11" s="2" t="s">
        <v>33</v>
      </c>
      <c r="B11" s="2">
        <v>1.2</v>
      </c>
      <c r="C11" s="10">
        <f>IFERROR(C7*1000/B11/B9,0)</f>
        <v>106.22098042814703</v>
      </c>
      <c r="E11" s="5"/>
    </row>
    <row r="12" spans="1:15">
      <c r="A12" s="2" t="s">
        <v>56</v>
      </c>
      <c r="B12" s="2">
        <v>3.7</v>
      </c>
      <c r="C12" s="10">
        <f>IFERROR(C7*1000/B12/B9,0)</f>
        <v>34.450047706426062</v>
      </c>
      <c r="E12" s="5"/>
    </row>
    <row r="13" spans="1:15">
      <c r="A13" s="2" t="s">
        <v>57</v>
      </c>
      <c r="B13" s="2">
        <v>1.33</v>
      </c>
      <c r="C13" s="10">
        <f>IFERROR(C7*1000/B13/B9,0)</f>
        <v>95.838478581786774</v>
      </c>
      <c r="E13" s="5"/>
    </row>
    <row r="14" spans="1:15">
      <c r="E14" s="5"/>
      <c r="M14" s="2" t="s">
        <v>22</v>
      </c>
      <c r="N14" s="2" t="s">
        <v>95</v>
      </c>
      <c r="O14" s="2" t="s">
        <v>107</v>
      </c>
    </row>
    <row r="15" spans="1:15" ht="20.25" thickBot="1">
      <c r="A15" s="27" t="s">
        <v>36</v>
      </c>
      <c r="B15" s="27"/>
      <c r="C15" s="27"/>
      <c r="D15" s="27"/>
      <c r="E15" s="27"/>
      <c r="G15"/>
      <c r="H15"/>
      <c r="I15"/>
    </row>
    <row r="16" spans="1:15" ht="17.25" thickTop="1" thickBot="1">
      <c r="A16" s="19" t="s">
        <v>69</v>
      </c>
      <c r="B16" s="20">
        <v>1</v>
      </c>
      <c r="C16" s="20">
        <v>0</v>
      </c>
      <c r="D16" s="20">
        <v>0</v>
      </c>
      <c r="E16" s="21">
        <v>282.42950000000002</v>
      </c>
      <c r="G16" s="26" t="s">
        <v>93</v>
      </c>
      <c r="H16" s="26" t="s">
        <v>110</v>
      </c>
      <c r="I16" s="26" t="s">
        <v>111</v>
      </c>
      <c r="K16" s="2" t="s">
        <v>99</v>
      </c>
      <c r="L16" s="2" t="s">
        <v>100</v>
      </c>
      <c r="M16" s="2">
        <v>4000</v>
      </c>
      <c r="N16" s="2">
        <v>420</v>
      </c>
      <c r="O16" s="32">
        <v>300</v>
      </c>
    </row>
    <row r="17" spans="1:15">
      <c r="A17" s="1" t="s">
        <v>68</v>
      </c>
      <c r="B17" s="17" t="s">
        <v>29</v>
      </c>
      <c r="C17" s="17" t="s">
        <v>30</v>
      </c>
      <c r="D17" s="17"/>
      <c r="E17" s="18" t="s">
        <v>35</v>
      </c>
      <c r="G17" s="24">
        <f>IFERROR(E19/I17,"-")</f>
        <v>19.999958927887569</v>
      </c>
      <c r="H17" s="25">
        <f>IFERROR(E16/G17,"-")</f>
        <v>14.121504</v>
      </c>
      <c r="I17" s="31">
        <v>360</v>
      </c>
      <c r="L17" s="2" t="s">
        <v>112</v>
      </c>
      <c r="M17" s="2">
        <v>3000</v>
      </c>
      <c r="N17" s="2">
        <v>180</v>
      </c>
      <c r="O17" s="32">
        <v>150</v>
      </c>
    </row>
    <row r="18" spans="1:15" ht="16.5" thickBot="1">
      <c r="A18" s="1" t="s">
        <v>27</v>
      </c>
      <c r="B18" s="11">
        <f>IFERROR(VLOOKUP(B17,Database!$A$2:$B$50,2,0),"-")</f>
        <v>5</v>
      </c>
      <c r="C18" s="11">
        <f>IFERROR(VLOOKUP(C17,Database!$A$2:$B$50,2,0),"-")</f>
        <v>5</v>
      </c>
      <c r="D18" s="11" t="str">
        <f>IFERROR(VLOOKUP(D17,Database!$A$2:$B$50,2,0),"-")</f>
        <v>-</v>
      </c>
      <c r="E18" s="12">
        <v>0</v>
      </c>
      <c r="M18" s="2">
        <v>900</v>
      </c>
      <c r="N18" s="2">
        <v>180</v>
      </c>
      <c r="O18" s="32">
        <v>150</v>
      </c>
    </row>
    <row r="19" spans="1:15" ht="16.5" thickTop="1">
      <c r="A19" s="19" t="s">
        <v>77</v>
      </c>
      <c r="B19" s="16">
        <f>IFERROR($C$9*B16/SUM(B21:D21),"-")</f>
        <v>25.493035302755288</v>
      </c>
      <c r="C19" s="16">
        <f>IFERROR($C$9*C16/SUM(B21:D21),"-")</f>
        <v>0</v>
      </c>
      <c r="D19" s="16">
        <f>IFERROR($C$9*D16/SUM(B21:D21),"-")</f>
        <v>0</v>
      </c>
      <c r="E19" s="16">
        <f>IFERROR($C$9*E16/SUM(B21:D21),0)</f>
        <v>7199.9852140395251</v>
      </c>
      <c r="K19" s="2" t="s">
        <v>96</v>
      </c>
      <c r="L19" s="2" t="s">
        <v>101</v>
      </c>
      <c r="M19" s="2">
        <v>3000</v>
      </c>
      <c r="N19" s="2">
        <v>300</v>
      </c>
      <c r="O19" s="32">
        <v>864</v>
      </c>
    </row>
    <row r="20" spans="1:15">
      <c r="A20" s="2" t="s">
        <v>74</v>
      </c>
      <c r="B20" s="6">
        <f>IFERROR(B18*B19,"-")</f>
        <v>127.46517651377644</v>
      </c>
      <c r="C20" s="6">
        <f t="shared" ref="C20:D20" si="0">IFERROR(C18*C19,"-")</f>
        <v>0</v>
      </c>
      <c r="D20" s="6" t="str">
        <f t="shared" si="0"/>
        <v>-</v>
      </c>
      <c r="E20" s="6">
        <f>E18*E19</f>
        <v>0</v>
      </c>
      <c r="K20" s="30" t="s">
        <v>97</v>
      </c>
      <c r="L20" s="2" t="s">
        <v>113</v>
      </c>
      <c r="M20" s="2">
        <v>800</v>
      </c>
      <c r="N20" s="2">
        <v>250</v>
      </c>
      <c r="O20" s="32">
        <v>180</v>
      </c>
    </row>
    <row r="21" spans="1:15">
      <c r="A21" s="2" t="s">
        <v>75</v>
      </c>
      <c r="B21" s="6">
        <f>IFERROR(B16*B18,"-")</f>
        <v>5</v>
      </c>
      <c r="C21" s="6">
        <f t="shared" ref="C21:D21" si="1">IFERROR(C16*C18,"-")</f>
        <v>0</v>
      </c>
      <c r="D21" s="6" t="str">
        <f t="shared" si="1"/>
        <v>-</v>
      </c>
      <c r="E21" s="6"/>
      <c r="K21" s="30"/>
      <c r="L21" s="2" t="s">
        <v>102</v>
      </c>
      <c r="M21" s="2">
        <v>800</v>
      </c>
      <c r="N21" s="2">
        <v>500</v>
      </c>
      <c r="O21" s="32">
        <v>450</v>
      </c>
    </row>
    <row r="22" spans="1:15">
      <c r="A22" s="5"/>
      <c r="G22"/>
      <c r="H22"/>
      <c r="I22"/>
      <c r="K22" s="30"/>
      <c r="L22" s="2" t="s">
        <v>103</v>
      </c>
      <c r="M22" s="2">
        <v>4000</v>
      </c>
      <c r="N22" s="2">
        <v>210</v>
      </c>
      <c r="O22" s="32">
        <v>900</v>
      </c>
    </row>
    <row r="23" spans="1:15" ht="16.5" thickBot="1">
      <c r="A23" s="19" t="s">
        <v>69</v>
      </c>
      <c r="B23" s="20">
        <v>1</v>
      </c>
      <c r="C23" s="20">
        <v>0</v>
      </c>
      <c r="D23" s="20">
        <v>0</v>
      </c>
      <c r="E23" s="21">
        <v>6.0030000000000001</v>
      </c>
      <c r="G23" s="26" t="s">
        <v>93</v>
      </c>
      <c r="H23" s="26" t="s">
        <v>110</v>
      </c>
      <c r="I23" s="26" t="s">
        <v>111</v>
      </c>
      <c r="K23" s="30"/>
      <c r="L23" s="2" t="s">
        <v>104</v>
      </c>
      <c r="M23" s="2">
        <v>450</v>
      </c>
      <c r="N23" s="2">
        <v>1250</v>
      </c>
      <c r="O23" s="32">
        <v>900</v>
      </c>
    </row>
    <row r="24" spans="1:15" ht="16.5" thickBot="1">
      <c r="A24" s="1" t="s">
        <v>68</v>
      </c>
      <c r="B24" s="17" t="s">
        <v>32</v>
      </c>
      <c r="C24" s="17" t="s">
        <v>30</v>
      </c>
      <c r="D24" s="17"/>
      <c r="E24" s="18" t="s">
        <v>35</v>
      </c>
      <c r="G24" s="24">
        <f>IFERROR(E26/I24,"-")</f>
        <v>19.999828919004678</v>
      </c>
      <c r="H24" s="25">
        <f>IFERROR(E23/G24,"-")</f>
        <v>0.30015256752000002</v>
      </c>
      <c r="I24" s="23">
        <f>I17</f>
        <v>360</v>
      </c>
      <c r="K24" s="30" t="s">
        <v>98</v>
      </c>
      <c r="L24" s="2" t="s">
        <v>105</v>
      </c>
      <c r="M24" s="2">
        <v>300</v>
      </c>
      <c r="N24" s="2">
        <v>375</v>
      </c>
      <c r="O24" s="32">
        <v>360</v>
      </c>
    </row>
    <row r="25" spans="1:15" ht="17.25" thickTop="1" thickBot="1">
      <c r="A25" s="1" t="s">
        <v>27</v>
      </c>
      <c r="B25" s="11">
        <f>IFERROR(VLOOKUP(B24,Database!$A$2:$B$50,2,0),"-")</f>
        <v>7.0849999999999996E-2</v>
      </c>
      <c r="C25" s="11">
        <f>IFERROR(VLOOKUP(C24,Database!$A$2:$B$50,2,0),"-")</f>
        <v>5</v>
      </c>
      <c r="D25" s="11" t="str">
        <f>IFERROR(VLOOKUP(D24,Database!$A$2:$B$50,2,0),"-")</f>
        <v>-</v>
      </c>
      <c r="E25" s="12">
        <v>0</v>
      </c>
      <c r="K25" s="30"/>
      <c r="L25" s="2" t="s">
        <v>106</v>
      </c>
      <c r="M25" s="2">
        <v>3000</v>
      </c>
      <c r="N25" s="2">
        <v>375</v>
      </c>
      <c r="O25" s="32">
        <v>720</v>
      </c>
    </row>
    <row r="26" spans="1:15" ht="16.5" thickTop="1">
      <c r="A26" s="19" t="s">
        <v>77</v>
      </c>
      <c r="B26" s="16">
        <f>IFERROR($C$10*B23/SUM(B28:D28),"-")</f>
        <v>1199.3900401202204</v>
      </c>
      <c r="C26" s="16">
        <f>IFERROR($C$10*C23/SUM(B28:D28),"-")</f>
        <v>0</v>
      </c>
      <c r="D26" s="16">
        <f>IFERROR($C$10*D23/SUM(B28:D28),"-")</f>
        <v>0</v>
      </c>
      <c r="E26" s="16">
        <f>IFERROR($C$10*E23/SUM(B28:D28),0)</f>
        <v>7199.9384108416843</v>
      </c>
    </row>
    <row r="27" spans="1:15">
      <c r="A27" s="2" t="s">
        <v>74</v>
      </c>
      <c r="B27" s="6">
        <f>IFERROR(B25*B26,"-")</f>
        <v>84.976784342517618</v>
      </c>
      <c r="C27" s="6">
        <f t="shared" ref="C27:D27" si="2">IFERROR(C25*C26,"-")</f>
        <v>0</v>
      </c>
      <c r="D27" s="6" t="str">
        <f t="shared" si="2"/>
        <v>-</v>
      </c>
      <c r="E27" s="6">
        <f>E25*E26</f>
        <v>0</v>
      </c>
    </row>
    <row r="28" spans="1:15">
      <c r="A28" s="2" t="s">
        <v>75</v>
      </c>
      <c r="B28" s="6">
        <f>IFERROR(B23*B25,"-")</f>
        <v>7.0849999999999996E-2</v>
      </c>
      <c r="C28" s="6">
        <f t="shared" ref="C28:D28" si="3">IFERROR(C23*C25,"-")</f>
        <v>0</v>
      </c>
      <c r="D28" s="6" t="str">
        <f t="shared" si="3"/>
        <v>-</v>
      </c>
      <c r="E28" s="6"/>
    </row>
    <row r="29" spans="1:15">
      <c r="G29"/>
      <c r="H29"/>
      <c r="I29"/>
    </row>
    <row r="30" spans="1:15" ht="16.5" thickBot="1">
      <c r="A30" s="19" t="s">
        <v>69</v>
      </c>
      <c r="B30" s="20">
        <v>1</v>
      </c>
      <c r="C30" s="20">
        <v>0</v>
      </c>
      <c r="D30" s="20">
        <v>0</v>
      </c>
      <c r="E30" s="21">
        <v>0</v>
      </c>
      <c r="G30" s="26" t="s">
        <v>93</v>
      </c>
      <c r="H30" s="26" t="s">
        <v>110</v>
      </c>
      <c r="I30" s="26" t="s">
        <v>111</v>
      </c>
    </row>
    <row r="31" spans="1:15" ht="16.5" thickBot="1">
      <c r="A31" s="1" t="s">
        <v>68</v>
      </c>
      <c r="B31" s="17" t="s">
        <v>33</v>
      </c>
      <c r="C31" s="17" t="str">
        <f>C24</f>
        <v>Oxidizer</v>
      </c>
      <c r="D31" s="17"/>
      <c r="E31" s="18" t="s">
        <v>35</v>
      </c>
      <c r="G31" s="24">
        <f>IFERROR(E33/I31,"-")</f>
        <v>0</v>
      </c>
      <c r="H31" s="25" t="str">
        <f>IFERROR(E30/G31,"-")</f>
        <v>-</v>
      </c>
      <c r="I31" s="23">
        <f>I17</f>
        <v>360</v>
      </c>
    </row>
    <row r="32" spans="1:15" ht="17.25" thickTop="1" thickBot="1">
      <c r="A32" s="1" t="s">
        <v>27</v>
      </c>
      <c r="B32" s="11">
        <f>IFERROR(VLOOKUP(B31,Database!$A$2:$B$50,2,0),"-")</f>
        <v>0.42560999999999999</v>
      </c>
      <c r="C32" s="11">
        <f>IFERROR(VLOOKUP(C31,Database!$A$2:$B$50,2,0),"-")</f>
        <v>5</v>
      </c>
      <c r="D32" s="11" t="str">
        <f>IFERROR(VLOOKUP(D31,Database!$A$2:$B$50,2,0),"-")</f>
        <v>-</v>
      </c>
      <c r="E32" s="12">
        <v>0</v>
      </c>
    </row>
    <row r="33" spans="1:9" ht="16.5" thickTop="1">
      <c r="A33" s="19" t="s">
        <v>77</v>
      </c>
      <c r="B33" s="16">
        <f>IFERROR($C$11*B30/SUM(B35:D35),"-")</f>
        <v>249.57350726756192</v>
      </c>
      <c r="C33" s="16">
        <f>IFERROR($C$11*C30/SUM(B35:D35),"-")</f>
        <v>0</v>
      </c>
      <c r="D33" s="16">
        <f>IFERROR($C$11*D30/SUM(B35:D35),"-")</f>
        <v>0</v>
      </c>
      <c r="E33" s="16">
        <f>IFERROR($C$11*E30/SUM(B35:D35),0)</f>
        <v>0</v>
      </c>
    </row>
    <row r="34" spans="1:9">
      <c r="A34" s="2" t="s">
        <v>74</v>
      </c>
      <c r="B34" s="6">
        <f>IFERROR(B32*B33,"-")</f>
        <v>106.22098042814703</v>
      </c>
      <c r="C34" s="6">
        <f t="shared" ref="C34:D34" si="4">IFERROR(C32*C33,"-")</f>
        <v>0</v>
      </c>
      <c r="D34" s="6" t="str">
        <f t="shared" si="4"/>
        <v>-</v>
      </c>
      <c r="E34" s="6">
        <f>E32*E33</f>
        <v>0</v>
      </c>
    </row>
    <row r="35" spans="1:9">
      <c r="A35" s="2" t="s">
        <v>75</v>
      </c>
      <c r="B35" s="6">
        <f>IFERROR(B30*B32,"-")</f>
        <v>0.42560999999999999</v>
      </c>
      <c r="C35" s="6">
        <f t="shared" ref="C35:D35" si="5">IFERROR(C30*C32,"-")</f>
        <v>0</v>
      </c>
      <c r="D35" s="6" t="str">
        <f t="shared" si="5"/>
        <v>-</v>
      </c>
      <c r="E35" s="6"/>
    </row>
    <row r="38" spans="1:9" ht="18" thickBot="1">
      <c r="A38" s="28" t="s">
        <v>108</v>
      </c>
      <c r="B38" s="28"/>
      <c r="C38" s="28"/>
      <c r="D38" s="28"/>
      <c r="E38" s="28"/>
      <c r="G38"/>
      <c r="H38"/>
      <c r="I38"/>
    </row>
    <row r="39" spans="1:9" ht="17.25" thickTop="1" thickBot="1">
      <c r="A39" s="19" t="s">
        <v>69</v>
      </c>
      <c r="B39" s="20">
        <v>0.745</v>
      </c>
      <c r="C39" s="20">
        <v>0.255</v>
      </c>
      <c r="D39" s="20">
        <v>0</v>
      </c>
      <c r="E39" s="21">
        <v>0</v>
      </c>
      <c r="G39" s="26" t="s">
        <v>93</v>
      </c>
      <c r="H39" s="26" t="s">
        <v>110</v>
      </c>
      <c r="I39" s="22" t="s">
        <v>92</v>
      </c>
    </row>
    <row r="40" spans="1:9" ht="16.5" thickBot="1">
      <c r="A40" s="1" t="s">
        <v>68</v>
      </c>
      <c r="B40" s="17" t="s">
        <v>32</v>
      </c>
      <c r="C40" s="17" t="s">
        <v>89</v>
      </c>
      <c r="D40" s="17"/>
      <c r="E40" s="18" t="s">
        <v>35</v>
      </c>
      <c r="G40" s="24">
        <f>IFERROR(E42/I40,"-")</f>
        <v>0</v>
      </c>
      <c r="H40" s="25" t="str">
        <f>IFERROR(E39/G40,"-")</f>
        <v>-</v>
      </c>
      <c r="I40" s="23">
        <f>I31</f>
        <v>360</v>
      </c>
    </row>
    <row r="41" spans="1:9" ht="17.25" thickTop="1" thickBot="1">
      <c r="A41" s="1" t="s">
        <v>27</v>
      </c>
      <c r="B41" s="11">
        <f>IFERROR(VLOOKUP(B40,Database!$A$2:$B$50,2,0),"-")</f>
        <v>7.0849999999999996E-2</v>
      </c>
      <c r="C41" s="11">
        <f>IFERROR(VLOOKUP(C40,Database!$A$2:$B$50,2,0),"-")</f>
        <v>1.141</v>
      </c>
      <c r="D41" s="11" t="str">
        <f>IFERROR(VLOOKUP(D40,Database!$A$2:$B$50,2,0),"-")</f>
        <v>-</v>
      </c>
      <c r="E41" s="12">
        <v>0</v>
      </c>
    </row>
    <row r="42" spans="1:9" ht="16.5" thickTop="1">
      <c r="A42" s="19" t="s">
        <v>77</v>
      </c>
      <c r="B42" s="16">
        <f>IFERROR($C$10*B39/SUM(B44:D44),"-")</f>
        <v>184.17416256461308</v>
      </c>
      <c r="C42" s="16">
        <f>IFERROR($C$10*C39/SUM(B44:D44),"-")</f>
        <v>63.039478461713209</v>
      </c>
      <c r="D42" s="16">
        <f>IFERROR($C$10*D39/SUM(B44:D44),"-")</f>
        <v>0</v>
      </c>
      <c r="E42" s="16">
        <f>IFERROR($C$10*E39/SUM(B44:D44),0)</f>
        <v>0</v>
      </c>
    </row>
    <row r="43" spans="1:9">
      <c r="A43" s="2" t="s">
        <v>74</v>
      </c>
      <c r="B43" s="6">
        <f>IFERROR(B41*B42,"-")</f>
        <v>13.048739417702837</v>
      </c>
      <c r="C43" s="6">
        <f t="shared" ref="C43:D43" si="6">IFERROR(C41*C42,"-")</f>
        <v>71.92804492481477</v>
      </c>
      <c r="D43" s="6" t="str">
        <f t="shared" si="6"/>
        <v>-</v>
      </c>
      <c r="E43" s="6">
        <f>E41*E42</f>
        <v>0</v>
      </c>
    </row>
    <row r="44" spans="1:9">
      <c r="A44" s="2" t="s">
        <v>75</v>
      </c>
      <c r="B44" s="6">
        <f>IFERROR(B39*B41,"-")</f>
        <v>5.2783249999999997E-2</v>
      </c>
      <c r="C44" s="6">
        <f t="shared" ref="C44:D44" si="7">IFERROR(C39*C41,"-")</f>
        <v>0.29095500000000002</v>
      </c>
      <c r="D44" s="6" t="str">
        <f t="shared" si="7"/>
        <v>-</v>
      </c>
      <c r="E44" s="6"/>
    </row>
    <row r="45" spans="1:9">
      <c r="G45"/>
      <c r="H45"/>
      <c r="I45"/>
    </row>
    <row r="46" spans="1:9" ht="16.5" thickBot="1">
      <c r="A46" s="19" t="s">
        <v>69</v>
      </c>
      <c r="B46" s="20">
        <v>0.434</v>
      </c>
      <c r="C46" s="20">
        <v>0.56599999999999995</v>
      </c>
      <c r="D46" s="20">
        <v>0</v>
      </c>
      <c r="E46" s="21">
        <v>0</v>
      </c>
      <c r="G46" s="26" t="s">
        <v>93</v>
      </c>
      <c r="H46" s="26" t="s">
        <v>110</v>
      </c>
      <c r="I46" s="22" t="s">
        <v>92</v>
      </c>
    </row>
    <row r="47" spans="1:9" ht="16.5" thickBot="1">
      <c r="A47" s="1" t="s">
        <v>68</v>
      </c>
      <c r="B47" s="17" t="s">
        <v>33</v>
      </c>
      <c r="C47" s="17" t="str">
        <f>C40</f>
        <v>LqdOxygen</v>
      </c>
      <c r="D47" s="17"/>
      <c r="E47" s="18" t="s">
        <v>35</v>
      </c>
      <c r="G47" s="24">
        <f>E49/I47</f>
        <v>0</v>
      </c>
      <c r="H47" s="25" t="str">
        <f>IFERROR(E46/G47,"-")</f>
        <v>-</v>
      </c>
      <c r="I47" s="23">
        <f>I31</f>
        <v>360</v>
      </c>
    </row>
    <row r="48" spans="1:9" ht="17.25" thickTop="1" thickBot="1">
      <c r="A48" s="1" t="s">
        <v>27</v>
      </c>
      <c r="B48" s="11">
        <f>IFERROR(VLOOKUP(B47,Database!$A$2:$B$50,2,0),"-")</f>
        <v>0.42560999999999999</v>
      </c>
      <c r="C48" s="11">
        <f>IFERROR(VLOOKUP(C47,Database!$A$2:$B$50,2,0),"-")</f>
        <v>1.141</v>
      </c>
      <c r="D48" s="11" t="str">
        <f>IFERROR(VLOOKUP(D47,Database!$A$2:$B$50,2,0),"-")</f>
        <v>-</v>
      </c>
      <c r="E48" s="12">
        <v>0</v>
      </c>
    </row>
    <row r="49" spans="1:9" ht="16.5" thickTop="1">
      <c r="A49" s="19" t="s">
        <v>77</v>
      </c>
      <c r="B49" s="16">
        <f>IFERROR($C$11*B46/SUM(B51:D51),"-")</f>
        <v>55.507229724107567</v>
      </c>
      <c r="C49" s="16">
        <f>IFERROR($C$11*C46/SUM(B51:D51),"-")</f>
        <v>72.389612958167916</v>
      </c>
      <c r="D49" s="16">
        <f>IFERROR($C$11*D46/SUM(B51:D51),"-")</f>
        <v>0</v>
      </c>
      <c r="E49" s="16">
        <f>IFERROR($C$11*E46/SUM(B51:D51),0)</f>
        <v>0</v>
      </c>
    </row>
    <row r="50" spans="1:9">
      <c r="A50" s="2" t="s">
        <v>74</v>
      </c>
      <c r="B50" s="6">
        <f>IFERROR(B48*B49,"-")</f>
        <v>23.624432042877419</v>
      </c>
      <c r="C50" s="6">
        <f t="shared" ref="C50:D50" si="8">IFERROR(C48*C49,"-")</f>
        <v>82.5965483852696</v>
      </c>
      <c r="D50" s="6" t="str">
        <f t="shared" si="8"/>
        <v>-</v>
      </c>
      <c r="E50" s="6">
        <f>E48*E49</f>
        <v>0</v>
      </c>
    </row>
    <row r="51" spans="1:9">
      <c r="A51" s="2" t="s">
        <v>75</v>
      </c>
      <c r="B51" s="6">
        <f>IFERROR(B46*B48,"-")</f>
        <v>0.18471473999999999</v>
      </c>
      <c r="C51" s="6">
        <f t="shared" ref="C51:D51" si="9">IFERROR(C46*C48,"-")</f>
        <v>0.64580599999999999</v>
      </c>
      <c r="D51" s="6" t="str">
        <f t="shared" si="9"/>
        <v>-</v>
      </c>
      <c r="E51" s="6"/>
    </row>
    <row r="54" spans="1:9" ht="18" thickBot="1">
      <c r="A54" s="28" t="s">
        <v>109</v>
      </c>
      <c r="B54" s="28"/>
      <c r="C54" s="28"/>
      <c r="D54" s="28"/>
      <c r="E54" s="28"/>
      <c r="G54"/>
      <c r="H54"/>
      <c r="I54"/>
    </row>
    <row r="55" spans="1:9" ht="17.25" thickTop="1" thickBot="1">
      <c r="A55" s="19" t="s">
        <v>69</v>
      </c>
      <c r="B55" s="20">
        <v>1</v>
      </c>
      <c r="C55" s="20">
        <v>0</v>
      </c>
      <c r="D55" s="20">
        <v>0</v>
      </c>
      <c r="E55" s="21">
        <v>3.6991999999999998</v>
      </c>
      <c r="G55" s="26" t="s">
        <v>93</v>
      </c>
      <c r="H55" s="26" t="s">
        <v>110</v>
      </c>
      <c r="I55" s="26" t="s">
        <v>111</v>
      </c>
    </row>
    <row r="56" spans="1:9" ht="16.5" thickBot="1">
      <c r="A56" s="1" t="s">
        <v>68</v>
      </c>
      <c r="B56" s="17" t="s">
        <v>56</v>
      </c>
      <c r="C56" s="17" t="s">
        <v>30</v>
      </c>
      <c r="D56" s="17"/>
      <c r="E56" s="18" t="s">
        <v>35</v>
      </c>
      <c r="G56" s="24">
        <f>IFERROR(E58/I56,"-")</f>
        <v>0.99998129688960513</v>
      </c>
      <c r="H56" s="25">
        <f>IFERROR(E55/G56,"-")</f>
        <v>3.6992691878400001</v>
      </c>
      <c r="I56" s="23">
        <f>I24</f>
        <v>360</v>
      </c>
    </row>
    <row r="57" spans="1:9" ht="17.25" thickTop="1" thickBot="1">
      <c r="A57" s="1" t="s">
        <v>27</v>
      </c>
      <c r="B57" s="11">
        <f>IFERROR(VLOOKUP(B56,Database!$A$2:$B$50,2,0),"-")</f>
        <v>0.35399999999999998</v>
      </c>
      <c r="C57" s="11">
        <f>IFERROR(VLOOKUP(C56,Database!$A$2:$B$50,2,0),"-")</f>
        <v>5</v>
      </c>
      <c r="D57" s="11" t="str">
        <f>IFERROR(VLOOKUP(D56,Database!$A$2:$B$50,2,0),"-")</f>
        <v>-</v>
      </c>
      <c r="E57" s="12">
        <v>0</v>
      </c>
    </row>
    <row r="58" spans="1:9" ht="16.5" thickTop="1">
      <c r="A58" s="19" t="s">
        <v>77</v>
      </c>
      <c r="B58" s="16">
        <f>IFERROR($C$12*B55/SUM(B60:D60),"-")</f>
        <v>97.316518944706402</v>
      </c>
      <c r="C58" s="16">
        <f>IFERROR($C$12*C55/SUM(B60:D60),"-")</f>
        <v>0</v>
      </c>
      <c r="D58" s="16">
        <f>IFERROR($C$12*D55/SUM(B60:D60),"-")</f>
        <v>0</v>
      </c>
      <c r="E58" s="16">
        <f>IFERROR($C$12*E55/SUM(B60:D60),0)</f>
        <v>359.99326688025786</v>
      </c>
    </row>
    <row r="59" spans="1:9">
      <c r="A59" s="2" t="s">
        <v>74</v>
      </c>
      <c r="B59" s="6">
        <f>IFERROR(B57*B58,"-")</f>
        <v>34.450047706426062</v>
      </c>
      <c r="C59" s="6">
        <f t="shared" ref="C59:D59" si="10">IFERROR(C57*C58,"-")</f>
        <v>0</v>
      </c>
      <c r="D59" s="6" t="str">
        <f t="shared" si="10"/>
        <v>-</v>
      </c>
      <c r="E59" s="6">
        <f>E57*E58</f>
        <v>0</v>
      </c>
    </row>
    <row r="60" spans="1:9">
      <c r="A60" s="2" t="s">
        <v>75</v>
      </c>
      <c r="B60" s="6">
        <f>IFERROR(B55*B57,"-")</f>
        <v>0.35399999999999998</v>
      </c>
      <c r="C60" s="6">
        <f t="shared" ref="C60:D60" si="11">IFERROR(C55*C57,"-")</f>
        <v>0</v>
      </c>
      <c r="D60" s="6" t="str">
        <f t="shared" si="11"/>
        <v>-</v>
      </c>
      <c r="E60" s="6"/>
    </row>
    <row r="61" spans="1:9">
      <c r="G61"/>
      <c r="H61"/>
      <c r="I61"/>
    </row>
    <row r="62" spans="1:9" ht="16.5" thickBot="1">
      <c r="A62" s="19" t="s">
        <v>69</v>
      </c>
      <c r="B62" s="20">
        <v>1</v>
      </c>
      <c r="C62" s="20">
        <v>0</v>
      </c>
      <c r="D62" s="20">
        <v>0</v>
      </c>
      <c r="E62" s="21">
        <v>0</v>
      </c>
      <c r="G62" s="26" t="s">
        <v>93</v>
      </c>
      <c r="H62" s="26" t="s">
        <v>110</v>
      </c>
      <c r="I62" s="26" t="s">
        <v>111</v>
      </c>
    </row>
    <row r="63" spans="1:9" ht="16.5" thickBot="1">
      <c r="A63" s="1" t="s">
        <v>68</v>
      </c>
      <c r="B63" s="17" t="s">
        <v>57</v>
      </c>
      <c r="C63" s="17" t="s">
        <v>30</v>
      </c>
      <c r="D63" s="17"/>
      <c r="E63" s="18" t="s">
        <v>35</v>
      </c>
      <c r="G63" s="24">
        <f>IFERROR(E65/I63,"-")</f>
        <v>0</v>
      </c>
      <c r="H63" s="25" t="str">
        <f>IFERROR(E62/G63,"-")</f>
        <v>-</v>
      </c>
      <c r="I63" s="23">
        <f>I31</f>
        <v>360</v>
      </c>
    </row>
    <row r="64" spans="1:9" ht="17.25" thickTop="1" thickBot="1">
      <c r="A64" s="1" t="s">
        <v>27</v>
      </c>
      <c r="B64" s="11">
        <f>IFERROR(VLOOKUP(B63,Database!$A$2:$B$50,2,0),"-")</f>
        <v>2.12805</v>
      </c>
      <c r="C64" s="11">
        <f>IFERROR(VLOOKUP(C63,Database!$A$2:$B$50,2,0),"-")</f>
        <v>5</v>
      </c>
      <c r="D64" s="11" t="str">
        <f>IFERROR(VLOOKUP(D63,Database!$A$2:$B$50,2,0),"-")</f>
        <v>-</v>
      </c>
      <c r="E64" s="12">
        <v>0</v>
      </c>
    </row>
    <row r="65" spans="1:5" ht="16.5" thickTop="1">
      <c r="A65" s="19" t="s">
        <v>77</v>
      </c>
      <c r="B65" s="16">
        <f>IFERROR($C$13*B62/SUM(B67:D67),"-")</f>
        <v>45.035820860311915</v>
      </c>
      <c r="C65" s="16">
        <f>IFERROR($C$13*C62/SUM(B67:D67),"-")</f>
        <v>0</v>
      </c>
      <c r="D65" s="16">
        <f>IFERROR($C$13*D62/SUM(B67:D67),"-")</f>
        <v>0</v>
      </c>
      <c r="E65" s="16">
        <f>IFERROR($C$13*E62/SUM(B67:D67),0)</f>
        <v>0</v>
      </c>
    </row>
    <row r="66" spans="1:5">
      <c r="A66" s="2" t="s">
        <v>74</v>
      </c>
      <c r="B66" s="6">
        <f>IFERROR(B64*B65,"-")</f>
        <v>95.838478581786774</v>
      </c>
      <c r="C66" s="6">
        <f t="shared" ref="C66:D66" si="12">IFERROR(C64*C65,"-")</f>
        <v>0</v>
      </c>
      <c r="D66" s="6" t="str">
        <f t="shared" si="12"/>
        <v>-</v>
      </c>
      <c r="E66" s="6">
        <f>E64*E65</f>
        <v>0</v>
      </c>
    </row>
    <row r="67" spans="1:5">
      <c r="A67" s="2" t="s">
        <v>75</v>
      </c>
      <c r="B67" s="6">
        <f>IFERROR(B62*B64,"-")</f>
        <v>2.12805</v>
      </c>
      <c r="C67" s="6">
        <f t="shared" ref="C67:D67" si="13">IFERROR(C62*C64,"-")</f>
        <v>0</v>
      </c>
      <c r="D67" s="6" t="str">
        <f t="shared" si="13"/>
        <v>-</v>
      </c>
      <c r="E67" s="6"/>
    </row>
  </sheetData>
  <mergeCells count="7">
    <mergeCell ref="A54:E54"/>
    <mergeCell ref="A15:E15"/>
    <mergeCell ref="K20:K23"/>
    <mergeCell ref="A1:E1"/>
    <mergeCell ref="A38:E38"/>
    <mergeCell ref="G8:H8"/>
    <mergeCell ref="K24:K25"/>
  </mergeCell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Database!$A$2:$A$50</xm:f>
          </x14:formula1>
          <xm:sqref>B17:D17 B24:D24 B31:D31 B56:D56 B63:D63 B40:D40 B47:D47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0"/>
  <sheetViews>
    <sheetView topLeftCell="A22" zoomScale="90" zoomScaleNormal="90" workbookViewId="0">
      <selection activeCell="B46" sqref="B46"/>
    </sheetView>
  </sheetViews>
  <sheetFormatPr defaultRowHeight="15.75"/>
  <cols>
    <col min="1" max="3" width="23.28515625" style="2" customWidth="1"/>
    <col min="4" max="4" width="9.140625" style="2"/>
    <col min="5" max="5" width="12.5703125" style="2" customWidth="1"/>
    <col min="6" max="6" width="9.140625" style="2"/>
    <col min="7" max="7" width="14" style="2" customWidth="1"/>
    <col min="8" max="256" width="9.140625" style="2"/>
    <col min="257" max="16384" width="9.140625" style="5"/>
  </cols>
  <sheetData>
    <row r="1" spans="1:3" ht="20.25" thickBot="1">
      <c r="A1" s="8" t="s">
        <v>26</v>
      </c>
      <c r="B1" s="8" t="s">
        <v>28</v>
      </c>
    </row>
    <row r="2" spans="1:3" ht="16.5" thickTop="1">
      <c r="A2" s="2" t="s">
        <v>29</v>
      </c>
      <c r="B2" s="2">
        <v>5</v>
      </c>
    </row>
    <row r="3" spans="1:3">
      <c r="A3" s="2" t="s">
        <v>30</v>
      </c>
      <c r="B3" s="2">
        <v>5</v>
      </c>
    </row>
    <row r="4" spans="1:3">
      <c r="A4" s="2" t="s">
        <v>67</v>
      </c>
      <c r="B4" s="2">
        <v>5</v>
      </c>
    </row>
    <row r="5" spans="1:3">
      <c r="A5" s="2" t="s">
        <v>31</v>
      </c>
      <c r="B5" s="2">
        <v>4</v>
      </c>
    </row>
    <row r="6" spans="1:3">
      <c r="A6" s="2" t="s">
        <v>79</v>
      </c>
      <c r="B6" s="2">
        <v>10</v>
      </c>
    </row>
    <row r="7" spans="1:3">
      <c r="A7" s="2" t="s">
        <v>34</v>
      </c>
      <c r="B7" s="2">
        <v>7.5</v>
      </c>
    </row>
    <row r="8" spans="1:3">
      <c r="A8" s="2" t="s">
        <v>41</v>
      </c>
      <c r="B8" s="2">
        <v>0.1</v>
      </c>
    </row>
    <row r="9" spans="1:3">
      <c r="A9"/>
    </row>
    <row r="10" spans="1:3" ht="18" thickBot="1">
      <c r="A10" s="7" t="s">
        <v>64</v>
      </c>
    </row>
    <row r="11" spans="1:3" ht="16.5" thickTop="1">
      <c r="A11" s="2" t="s">
        <v>44</v>
      </c>
      <c r="B11" s="13">
        <f>C11*1000</f>
        <v>1.0000000000000002E-6</v>
      </c>
      <c r="C11" s="14">
        <v>1.0000000000000001E-9</v>
      </c>
    </row>
    <row r="12" spans="1:3">
      <c r="A12" s="2" t="s">
        <v>45</v>
      </c>
      <c r="B12" s="13">
        <f t="shared" ref="B12:B47" si="0">C12*1000</f>
        <v>1.784E-3</v>
      </c>
      <c r="C12" s="14">
        <v>1.784E-6</v>
      </c>
    </row>
    <row r="13" spans="1:3">
      <c r="A13" s="2" t="s">
        <v>88</v>
      </c>
      <c r="B13" s="13">
        <f t="shared" si="0"/>
        <v>0.9</v>
      </c>
      <c r="C13" s="14">
        <v>8.9999999999999998E-4</v>
      </c>
    </row>
    <row r="14" spans="1:3">
      <c r="A14" s="2" t="s">
        <v>43</v>
      </c>
      <c r="B14" s="13">
        <f t="shared" si="0"/>
        <v>10.97</v>
      </c>
      <c r="C14" s="14">
        <v>1.0970000000000001E-2</v>
      </c>
    </row>
    <row r="15" spans="1:3">
      <c r="A15" s="2" t="s">
        <v>85</v>
      </c>
      <c r="B15" s="13">
        <f t="shared" si="0"/>
        <v>1</v>
      </c>
      <c r="C15" s="14">
        <v>1E-3</v>
      </c>
    </row>
    <row r="16" spans="1:3">
      <c r="A16" s="2" t="s">
        <v>80</v>
      </c>
      <c r="B16" s="13">
        <f t="shared" si="0"/>
        <v>0.216</v>
      </c>
      <c r="C16" s="14">
        <v>2.1599999999999999E-4</v>
      </c>
    </row>
    <row r="17" spans="1:3">
      <c r="A17" s="2" t="s">
        <v>51</v>
      </c>
      <c r="B17" s="13">
        <f t="shared" si="0"/>
        <v>2.5</v>
      </c>
      <c r="C17" s="14">
        <v>2.5000000000000001E-3</v>
      </c>
    </row>
    <row r="18" spans="1:3">
      <c r="A18" s="2" t="s">
        <v>52</v>
      </c>
      <c r="B18" s="13">
        <f t="shared" si="0"/>
        <v>5.8</v>
      </c>
      <c r="C18" s="14">
        <v>5.7999999999999996E-3</v>
      </c>
    </row>
    <row r="19" spans="1:3">
      <c r="A19" s="2" t="s">
        <v>42</v>
      </c>
      <c r="B19" s="13">
        <f t="shared" si="0"/>
        <v>0.53399999999999992</v>
      </c>
      <c r="C19" s="14">
        <v>5.3399999999999997E-4</v>
      </c>
    </row>
    <row r="20" spans="1:3">
      <c r="A20" s="5" t="s">
        <v>49</v>
      </c>
      <c r="B20" s="13">
        <f t="shared" si="0"/>
        <v>0.70209999999999995</v>
      </c>
      <c r="C20" s="14">
        <v>7.0209999999999999E-4</v>
      </c>
    </row>
    <row r="21" spans="1:3">
      <c r="A21" s="2" t="s">
        <v>48</v>
      </c>
      <c r="B21" s="13">
        <f t="shared" si="0"/>
        <v>1.1732500000000001</v>
      </c>
      <c r="C21" s="14">
        <v>1.17325E-3</v>
      </c>
    </row>
    <row r="22" spans="1:3">
      <c r="A22" s="2" t="s">
        <v>47</v>
      </c>
      <c r="B22" s="13">
        <f t="shared" si="0"/>
        <v>0.16239999999999999</v>
      </c>
      <c r="C22" s="14">
        <v>1.6239999999999999E-4</v>
      </c>
    </row>
    <row r="23" spans="1:3">
      <c r="A23" s="2" t="s">
        <v>50</v>
      </c>
      <c r="B23" s="13">
        <f t="shared" si="0"/>
        <v>5.8999999999999997E-2</v>
      </c>
      <c r="C23" s="14">
        <v>5.8999999999999998E-5</v>
      </c>
    </row>
    <row r="24" spans="1:3">
      <c r="A24" s="2" t="s">
        <v>32</v>
      </c>
      <c r="B24" s="13">
        <f t="shared" si="0"/>
        <v>7.0849999999999996E-2</v>
      </c>
      <c r="C24" s="14">
        <v>7.0850000000000001E-5</v>
      </c>
    </row>
    <row r="25" spans="1:3">
      <c r="A25" s="2" t="s">
        <v>33</v>
      </c>
      <c r="B25" s="13">
        <f t="shared" si="0"/>
        <v>0.42560999999999999</v>
      </c>
      <c r="C25" s="14">
        <v>4.2560999999999999E-4</v>
      </c>
    </row>
    <row r="26" spans="1:3">
      <c r="A26" s="2" t="s">
        <v>89</v>
      </c>
      <c r="B26" s="13">
        <f t="shared" si="0"/>
        <v>1.141</v>
      </c>
      <c r="C26" s="14">
        <v>1.1410000000000001E-3</v>
      </c>
    </row>
    <row r="27" spans="1:3">
      <c r="A27" s="2" t="s">
        <v>46</v>
      </c>
      <c r="B27" s="13">
        <f t="shared" si="0"/>
        <v>7.8</v>
      </c>
      <c r="C27" s="14">
        <v>7.7999999999999996E-3</v>
      </c>
    </row>
    <row r="28" spans="1:3">
      <c r="A28" s="2" t="s">
        <v>83</v>
      </c>
      <c r="B28" s="13">
        <f t="shared" si="0"/>
        <v>7.085</v>
      </c>
      <c r="C28" s="14">
        <v>7.0850000000000002E-3</v>
      </c>
    </row>
    <row r="29" spans="1:3">
      <c r="A29" s="2" t="s">
        <v>86</v>
      </c>
      <c r="B29" s="13">
        <f t="shared" si="0"/>
        <v>0.88</v>
      </c>
      <c r="C29" s="14">
        <v>8.8000000000000003E-4</v>
      </c>
    </row>
    <row r="30" spans="1:3">
      <c r="A30" s="2" t="s">
        <v>87</v>
      </c>
      <c r="B30" s="13">
        <f t="shared" si="0"/>
        <v>1.45</v>
      </c>
      <c r="C30" s="14">
        <v>1.4499999999999999E-3</v>
      </c>
    </row>
    <row r="31" spans="1:3">
      <c r="A31" s="5" t="s">
        <v>84</v>
      </c>
      <c r="B31" s="13">
        <f t="shared" si="0"/>
        <v>1.05</v>
      </c>
      <c r="C31" s="14">
        <v>1.0499999999999999E-3</v>
      </c>
    </row>
    <row r="32" spans="1:3">
      <c r="A32" s="5" t="s">
        <v>90</v>
      </c>
      <c r="B32" s="13">
        <f t="shared" si="0"/>
        <v>0.79100000000000004</v>
      </c>
      <c r="C32" s="14">
        <v>7.9100000000000004E-4</v>
      </c>
    </row>
    <row r="33" spans="1:3">
      <c r="A33" s="5" t="s">
        <v>91</v>
      </c>
      <c r="B33" s="13">
        <f t="shared" si="0"/>
        <v>0.82899999999999996</v>
      </c>
      <c r="C33" s="14">
        <v>8.2899999999999998E-4</v>
      </c>
    </row>
    <row r="34" spans="1:3">
      <c r="A34" s="2" t="s">
        <v>81</v>
      </c>
      <c r="B34" s="13">
        <f>C34*1000</f>
        <v>1</v>
      </c>
      <c r="C34" s="14">
        <v>1E-3</v>
      </c>
    </row>
    <row r="35" spans="1:3">
      <c r="A35" s="5"/>
      <c r="B35" s="5"/>
      <c r="C35" s="5"/>
    </row>
    <row r="36" spans="1:3" ht="18" thickBot="1">
      <c r="A36" s="7" t="s">
        <v>65</v>
      </c>
      <c r="B36"/>
      <c r="C36" s="15"/>
    </row>
    <row r="37" spans="1:3" ht="16.5" thickTop="1">
      <c r="A37" s="2" t="s">
        <v>53</v>
      </c>
      <c r="B37" s="13">
        <f t="shared" si="0"/>
        <v>5</v>
      </c>
      <c r="C37" s="14">
        <v>5.0000000000000001E-3</v>
      </c>
    </row>
    <row r="38" spans="1:3">
      <c r="A38" s="2" t="s">
        <v>60</v>
      </c>
      <c r="B38" s="13">
        <f t="shared" si="0"/>
        <v>54.4</v>
      </c>
      <c r="C38" s="14">
        <v>5.4399999999999997E-2</v>
      </c>
    </row>
    <row r="39" spans="1:3">
      <c r="A39" s="2" t="s">
        <v>54</v>
      </c>
      <c r="B39" s="13">
        <f t="shared" si="0"/>
        <v>5</v>
      </c>
      <c r="C39" s="14">
        <v>5.0000000000000001E-3</v>
      </c>
    </row>
    <row r="40" spans="1:3">
      <c r="A40" s="2" t="s">
        <v>63</v>
      </c>
      <c r="B40" s="13">
        <f t="shared" si="0"/>
        <v>6.0000000000000005E-2</v>
      </c>
      <c r="C40" s="14">
        <v>6.0000000000000002E-5</v>
      </c>
    </row>
    <row r="41" spans="1:3">
      <c r="A41" s="2" t="s">
        <v>58</v>
      </c>
      <c r="B41" s="13">
        <f t="shared" si="0"/>
        <v>5.0108799999999993</v>
      </c>
      <c r="C41" s="14">
        <v>5.0108799999999997E-3</v>
      </c>
    </row>
    <row r="42" spans="1:3">
      <c r="A42" s="2" t="s">
        <v>61</v>
      </c>
      <c r="B42" s="13">
        <f t="shared" si="0"/>
        <v>5</v>
      </c>
      <c r="C42" s="14">
        <v>5.0000000000000001E-3</v>
      </c>
    </row>
    <row r="43" spans="1:3">
      <c r="A43" s="2" t="s">
        <v>55</v>
      </c>
      <c r="B43" s="13">
        <f t="shared" si="0"/>
        <v>8.6</v>
      </c>
      <c r="C43" s="14">
        <v>8.6E-3</v>
      </c>
    </row>
    <row r="44" spans="1:3">
      <c r="A44" s="2" t="s">
        <v>59</v>
      </c>
      <c r="B44" s="13">
        <f t="shared" si="0"/>
        <v>5.7050000000000001</v>
      </c>
      <c r="C44" s="14">
        <v>5.705E-3</v>
      </c>
    </row>
    <row r="45" spans="1:3">
      <c r="A45" s="2" t="s">
        <v>56</v>
      </c>
      <c r="B45" s="13">
        <f t="shared" si="0"/>
        <v>0.35399999999999998</v>
      </c>
      <c r="C45" s="14">
        <v>3.5399999999999999E-4</v>
      </c>
    </row>
    <row r="46" spans="1:3">
      <c r="A46" s="2" t="s">
        <v>57</v>
      </c>
      <c r="B46" s="13">
        <f t="shared" si="0"/>
        <v>2.12805</v>
      </c>
      <c r="C46" s="14">
        <v>2.1280499999999998E-3</v>
      </c>
    </row>
    <row r="47" spans="1:3">
      <c r="A47" s="2" t="s">
        <v>62</v>
      </c>
      <c r="B47" s="13">
        <f t="shared" si="0"/>
        <v>4.1000000000000005</v>
      </c>
      <c r="C47" s="14">
        <v>4.1000000000000003E-3</v>
      </c>
    </row>
    <row r="48" spans="1:3">
      <c r="A48" s="2" t="s">
        <v>78</v>
      </c>
      <c r="B48" s="13">
        <f>C48*1000</f>
        <v>12.5</v>
      </c>
      <c r="C48" s="14">
        <v>1.2500000000000001E-2</v>
      </c>
    </row>
    <row r="49" spans="1:3">
      <c r="A49" s="2" t="s">
        <v>72</v>
      </c>
      <c r="B49" s="13">
        <f>C49*1000</f>
        <v>7.5</v>
      </c>
      <c r="C49" s="14">
        <v>7.4999999999999997E-3</v>
      </c>
    </row>
    <row r="50" spans="1:3">
      <c r="A50" s="5" t="s">
        <v>82</v>
      </c>
      <c r="B50" s="13">
        <f>C50*1000</f>
        <v>5</v>
      </c>
      <c r="C50" s="14">
        <v>5.0000000000000001E-3</v>
      </c>
    </row>
  </sheetData>
  <dataValidations disablePrompts="1" count="1">
    <dataValidation type="list" allowBlank="1" showInputMessage="1" showErrorMessage="1" sqref="E2">
      <formula1>$A$11:$A$34</formula1>
    </dataValidation>
  </dataValidation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workbookViewId="0">
      <selection activeCell="I7" sqref="I7"/>
    </sheetView>
  </sheetViews>
  <sheetFormatPr defaultRowHeight="15.75"/>
  <cols>
    <col min="1" max="1" width="12.42578125" style="2" customWidth="1"/>
    <col min="2" max="2" width="13.85546875" style="2" customWidth="1"/>
    <col min="3" max="3" width="11.5703125" style="2" customWidth="1"/>
    <col min="4" max="4" width="13.7109375" style="2" customWidth="1"/>
    <col min="5" max="5" width="13.5703125" style="2" customWidth="1"/>
    <col min="6" max="6" width="14.5703125" style="2" customWidth="1"/>
    <col min="7" max="7" width="12.42578125" style="2" bestFit="1" customWidth="1"/>
    <col min="8" max="256" width="9.140625" style="2"/>
    <col min="257" max="16384" width="9.140625" style="5"/>
  </cols>
  <sheetData>
    <row r="1" spans="1:8">
      <c r="A1" s="29" t="s">
        <v>66</v>
      </c>
      <c r="B1" s="29"/>
      <c r="C1" s="29"/>
      <c r="D1" s="29"/>
      <c r="E1" s="29"/>
      <c r="F1" s="29"/>
      <c r="G1" s="29"/>
    </row>
    <row r="2" spans="1: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2" t="s">
        <v>7</v>
      </c>
      <c r="B3" s="2">
        <v>16</v>
      </c>
      <c r="C3" s="2">
        <v>290</v>
      </c>
      <c r="D3" s="3">
        <f t="shared" ref="D3:D16" si="0">C3*9.8066</f>
        <v>2843.9139999999998</v>
      </c>
      <c r="E3" s="3">
        <f t="shared" ref="E3:E16" si="1">B3*1000/D3</f>
        <v>5.6260491702632365</v>
      </c>
      <c r="F3" s="4">
        <f t="shared" ref="F3:F16" si="2">B3*1000*D3/2</f>
        <v>22751311.999999996</v>
      </c>
      <c r="G3" s="4">
        <f t="shared" ref="G3:G16" si="3">F3/E3</f>
        <v>4043923.419697999</v>
      </c>
    </row>
    <row r="4" spans="1:8">
      <c r="A4" s="2" t="s">
        <v>8</v>
      </c>
      <c r="B4" s="2">
        <v>20</v>
      </c>
      <c r="C4" s="2">
        <v>320</v>
      </c>
      <c r="D4" s="3">
        <f t="shared" si="0"/>
        <v>3138.1120000000001</v>
      </c>
      <c r="E4" s="3">
        <f t="shared" si="1"/>
        <v>6.3732588256888221</v>
      </c>
      <c r="F4" s="4">
        <f t="shared" si="2"/>
        <v>31381120</v>
      </c>
      <c r="G4" s="4">
        <f t="shared" si="3"/>
        <v>4923873.4622719996</v>
      </c>
    </row>
    <row r="5" spans="1:8">
      <c r="A5" s="2" t="s">
        <v>9</v>
      </c>
      <c r="B5" s="2">
        <v>180</v>
      </c>
      <c r="C5" s="2">
        <v>340</v>
      </c>
      <c r="D5" s="3">
        <f t="shared" si="0"/>
        <v>3334.2439999999997</v>
      </c>
      <c r="E5" s="3">
        <f t="shared" si="1"/>
        <v>53.985251229364145</v>
      </c>
      <c r="F5" s="4">
        <f t="shared" si="2"/>
        <v>300081960</v>
      </c>
      <c r="G5" s="4">
        <f t="shared" si="3"/>
        <v>5558591.5257679988</v>
      </c>
    </row>
    <row r="6" spans="1:8">
      <c r="A6" s="2" t="s">
        <v>10</v>
      </c>
      <c r="B6" s="2">
        <v>2</v>
      </c>
      <c r="C6" s="2">
        <v>315</v>
      </c>
      <c r="D6" s="3">
        <f t="shared" si="0"/>
        <v>3089.0789999999997</v>
      </c>
      <c r="E6" s="3">
        <f t="shared" si="1"/>
        <v>0.64744216641918195</v>
      </c>
      <c r="F6" s="4">
        <f t="shared" si="2"/>
        <v>3089078.9999999995</v>
      </c>
      <c r="G6" s="4">
        <f t="shared" si="3"/>
        <v>4771204.5341204992</v>
      </c>
    </row>
    <row r="7" spans="1:8">
      <c r="A7" s="2" t="s">
        <v>11</v>
      </c>
      <c r="B7" s="2">
        <v>2</v>
      </c>
      <c r="C7" s="2">
        <v>290</v>
      </c>
      <c r="D7" s="3">
        <f t="shared" si="0"/>
        <v>2843.9139999999998</v>
      </c>
      <c r="E7" s="3">
        <f t="shared" si="1"/>
        <v>0.70325614628290456</v>
      </c>
      <c r="F7" s="4">
        <f t="shared" si="2"/>
        <v>2843913.9999999995</v>
      </c>
      <c r="G7" s="4">
        <f t="shared" si="3"/>
        <v>4043923.419697999</v>
      </c>
    </row>
    <row r="8" spans="1:8">
      <c r="A8" s="2" t="s">
        <v>12</v>
      </c>
      <c r="B8" s="2">
        <v>60</v>
      </c>
      <c r="C8" s="2">
        <v>345</v>
      </c>
      <c r="D8" s="3">
        <f t="shared" si="0"/>
        <v>3383.277</v>
      </c>
      <c r="E8" s="3">
        <f t="shared" si="1"/>
        <v>17.734285428003677</v>
      </c>
      <c r="F8" s="4">
        <f t="shared" si="2"/>
        <v>101498310</v>
      </c>
      <c r="G8" s="4">
        <f t="shared" si="3"/>
        <v>5723281.6293645008</v>
      </c>
    </row>
    <row r="9" spans="1:8">
      <c r="A9" s="2" t="s">
        <v>13</v>
      </c>
      <c r="B9" s="2">
        <v>60</v>
      </c>
      <c r="C9" s="2">
        <v>800</v>
      </c>
      <c r="D9" s="3">
        <f t="shared" si="0"/>
        <v>7845.28</v>
      </c>
      <c r="E9" s="3">
        <f t="shared" si="1"/>
        <v>7.6479105908265863</v>
      </c>
      <c r="F9" s="4">
        <f t="shared" si="2"/>
        <v>235358400</v>
      </c>
      <c r="G9" s="4">
        <f t="shared" si="3"/>
        <v>30774209.139199998</v>
      </c>
      <c r="H9" s="2" t="s">
        <v>14</v>
      </c>
    </row>
    <row r="10" spans="1:8">
      <c r="A10" s="2" t="s">
        <v>15</v>
      </c>
      <c r="B10" s="2">
        <v>240</v>
      </c>
      <c r="C10" s="2">
        <v>310</v>
      </c>
      <c r="D10" s="3">
        <f t="shared" si="0"/>
        <v>3040.0459999999998</v>
      </c>
      <c r="E10" s="3">
        <f t="shared" si="1"/>
        <v>78.946173840790578</v>
      </c>
      <c r="F10" s="4">
        <f t="shared" si="2"/>
        <v>364805520</v>
      </c>
      <c r="G10" s="4">
        <f t="shared" si="3"/>
        <v>4620939.8410579991</v>
      </c>
    </row>
    <row r="11" spans="1:8">
      <c r="A11" s="2" t="s">
        <v>16</v>
      </c>
      <c r="B11" s="2">
        <v>215</v>
      </c>
      <c r="C11" s="2">
        <v>320</v>
      </c>
      <c r="D11" s="3">
        <f t="shared" si="0"/>
        <v>3138.1120000000001</v>
      </c>
      <c r="E11" s="3">
        <f t="shared" si="1"/>
        <v>68.512532376154837</v>
      </c>
      <c r="F11" s="4">
        <f t="shared" si="2"/>
        <v>337347040</v>
      </c>
      <c r="G11" s="4">
        <f t="shared" si="3"/>
        <v>4923873.4622719996</v>
      </c>
    </row>
    <row r="12" spans="1:8">
      <c r="A12" s="2" t="s">
        <v>17</v>
      </c>
      <c r="B12" s="2">
        <v>1500</v>
      </c>
      <c r="C12" s="2">
        <v>310</v>
      </c>
      <c r="D12" s="3">
        <f t="shared" si="0"/>
        <v>3040.0459999999998</v>
      </c>
      <c r="E12" s="3">
        <f t="shared" si="1"/>
        <v>493.41358650494107</v>
      </c>
      <c r="F12" s="4">
        <f t="shared" si="2"/>
        <v>2280034500</v>
      </c>
      <c r="G12" s="4">
        <f t="shared" si="3"/>
        <v>4620939.841058</v>
      </c>
    </row>
    <row r="13" spans="1:8">
      <c r="A13" s="2" t="s">
        <v>18</v>
      </c>
      <c r="B13" s="2">
        <v>120</v>
      </c>
      <c r="C13" s="2">
        <v>305</v>
      </c>
      <c r="D13" s="3">
        <f t="shared" si="0"/>
        <v>2991.0129999999999</v>
      </c>
      <c r="E13" s="3">
        <f t="shared" si="1"/>
        <v>40.120186705975534</v>
      </c>
      <c r="F13" s="4">
        <f t="shared" si="2"/>
        <v>179460780</v>
      </c>
      <c r="G13" s="4">
        <f t="shared" si="3"/>
        <v>4473079.3830845002</v>
      </c>
    </row>
    <row r="14" spans="1:8">
      <c r="A14" s="2" t="s">
        <v>19</v>
      </c>
      <c r="B14" s="2">
        <v>250</v>
      </c>
      <c r="C14" s="2">
        <v>350</v>
      </c>
      <c r="D14" s="3">
        <f t="shared" si="0"/>
        <v>3432.31</v>
      </c>
      <c r="E14" s="3">
        <f t="shared" si="1"/>
        <v>72.837243722157964</v>
      </c>
      <c r="F14" s="4">
        <f t="shared" si="2"/>
        <v>429038750</v>
      </c>
      <c r="G14" s="4">
        <f t="shared" si="3"/>
        <v>5890375.9680500003</v>
      </c>
    </row>
    <row r="15" spans="1:8">
      <c r="A15" s="2" t="s">
        <v>20</v>
      </c>
      <c r="B15" s="2">
        <v>1000</v>
      </c>
      <c r="C15" s="2">
        <v>315</v>
      </c>
      <c r="D15" s="3">
        <f t="shared" si="0"/>
        <v>3089.0789999999997</v>
      </c>
      <c r="E15" s="3">
        <f t="shared" si="1"/>
        <v>323.72108320959097</v>
      </c>
      <c r="F15" s="4">
        <f t="shared" si="2"/>
        <v>1544539499.9999998</v>
      </c>
      <c r="G15" s="4">
        <f t="shared" si="3"/>
        <v>4771204.5341204992</v>
      </c>
    </row>
    <row r="16" spans="1:8">
      <c r="A16" s="2" t="s">
        <v>21</v>
      </c>
      <c r="B16" s="2">
        <v>650</v>
      </c>
      <c r="C16" s="2">
        <v>320</v>
      </c>
      <c r="D16" s="3">
        <f t="shared" si="0"/>
        <v>3138.1120000000001</v>
      </c>
      <c r="E16" s="3">
        <f t="shared" si="1"/>
        <v>207.13091183488672</v>
      </c>
      <c r="F16" s="4">
        <f t="shared" si="2"/>
        <v>1019886400</v>
      </c>
      <c r="G16" s="4">
        <f t="shared" si="3"/>
        <v>4923873.4622719996</v>
      </c>
    </row>
  </sheetData>
  <mergeCells count="1">
    <mergeCell ref="A1:G1"/>
  </mergeCells>
  <pageMargins left="1" right="1" top="1.6666666666666667" bottom="1.6666666666666667" header="1" footer="1"/>
  <pageSetup firstPageNumber="4294967295" fitToWidth="0" fitToHeight="0" orientation="portrait" cellComments="asDisplayed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Database</vt:lpstr>
      <vt:lpstr>Samples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2017-11-07T05:21:15Z</dcterms:created>
  <dcterms:modified xsi:type="dcterms:W3CDTF">2021-10-14T03:08:54Z</dcterms:modified>
</cp:coreProperties>
</file>