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418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64" i="1" l="1"/>
  <c r="E64" i="1"/>
  <c r="F69" i="1" l="1"/>
  <c r="F13" i="1"/>
  <c r="D13" i="1"/>
  <c r="D69" i="1"/>
  <c r="E69" i="1"/>
  <c r="E28" i="1"/>
  <c r="D28" i="1"/>
  <c r="F28" i="1" s="1"/>
  <c r="E68" i="1"/>
  <c r="F68" i="1" s="1"/>
  <c r="E51" i="1"/>
  <c r="F51" i="1" s="1"/>
  <c r="E47" i="1"/>
  <c r="F47" i="1" s="1"/>
  <c r="E13" i="1"/>
  <c r="E70" i="1" l="1"/>
  <c r="E41" i="1" l="1"/>
  <c r="D41" i="1"/>
  <c r="E23" i="1"/>
  <c r="E24" i="1"/>
  <c r="E35" i="1"/>
  <c r="F35" i="1" s="1"/>
  <c r="E33" i="1"/>
  <c r="F33" i="1" s="1"/>
  <c r="E78" i="1"/>
  <c r="F41" i="1" l="1"/>
  <c r="E87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61" i="1" l="1"/>
  <c r="E60" i="1"/>
  <c r="E25" i="1"/>
  <c r="E30" i="1"/>
  <c r="F30" i="1" s="1"/>
  <c r="E49" i="1"/>
  <c r="F18" i="1"/>
  <c r="F20" i="1"/>
  <c r="F67" i="1"/>
  <c r="E19" i="1"/>
  <c r="F19" i="1" s="1"/>
  <c r="E66" i="1"/>
  <c r="E59" i="1"/>
  <c r="E18" i="1"/>
  <c r="E20" i="1"/>
  <c r="E22" i="1"/>
  <c r="E42" i="1"/>
  <c r="F42" i="1" s="1"/>
  <c r="E17" i="1"/>
  <c r="E16" i="1"/>
  <c r="E58" i="1"/>
  <c r="E53" i="1"/>
  <c r="E56" i="1"/>
  <c r="E63" i="1"/>
  <c r="E67" i="1"/>
  <c r="E39" i="1"/>
  <c r="E40" i="1"/>
  <c r="C15" i="6" l="1"/>
  <c r="D15" i="6"/>
  <c r="E15" i="6"/>
  <c r="F15" i="6"/>
  <c r="C8" i="6"/>
  <c r="D8" i="6"/>
  <c r="E8" i="6"/>
  <c r="F8" i="6"/>
  <c r="B15" i="6"/>
  <c r="B8" i="6"/>
  <c r="E101" i="1"/>
  <c r="E102" i="1"/>
  <c r="E103" i="1"/>
  <c r="E104" i="1"/>
  <c r="E105" i="1"/>
  <c r="E93" i="1"/>
  <c r="E94" i="1"/>
  <c r="E95" i="1"/>
  <c r="E96" i="1"/>
  <c r="E97" i="1"/>
  <c r="E98" i="1"/>
  <c r="E99" i="1"/>
  <c r="E100" i="1"/>
  <c r="E74" i="1"/>
  <c r="E75" i="1"/>
  <c r="E76" i="1"/>
  <c r="E77" i="1"/>
  <c r="E79" i="1"/>
  <c r="E80" i="1"/>
  <c r="E81" i="1"/>
  <c r="E82" i="1"/>
  <c r="E83" i="1"/>
  <c r="E84" i="1"/>
  <c r="E85" i="1"/>
  <c r="E86" i="1"/>
  <c r="E88" i="1"/>
  <c r="E89" i="1"/>
  <c r="E90" i="1"/>
  <c r="E91" i="1"/>
  <c r="E92" i="1"/>
  <c r="E73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50" i="1"/>
  <c r="F6" i="1" l="1"/>
  <c r="C19" i="7"/>
  <c r="E11" i="7"/>
  <c r="C11" i="7"/>
  <c r="F11" i="7"/>
  <c r="D11" i="7"/>
  <c r="C20" i="7" l="1"/>
  <c r="E2" i="1"/>
  <c r="F2" i="1" l="1"/>
  <c r="E10" i="1" l="1"/>
  <c r="F10" i="1" s="1"/>
  <c r="D44" i="1"/>
  <c r="E44" i="1"/>
  <c r="E9" i="1"/>
  <c r="E48" i="1"/>
  <c r="F48" i="1" s="1"/>
  <c r="F9" i="1"/>
  <c r="F44" i="1" l="1"/>
  <c r="E3" i="1"/>
  <c r="E14" i="1" l="1"/>
  <c r="E55" i="1"/>
  <c r="F55" i="1" s="1"/>
  <c r="F3" i="1"/>
  <c r="D46" i="1"/>
  <c r="D5" i="1"/>
  <c r="B19" i="7"/>
  <c r="B20" i="7" s="1"/>
  <c r="E65" i="1"/>
  <c r="D57" i="1"/>
  <c r="E21" i="1"/>
  <c r="E57" i="1"/>
  <c r="E43" i="1"/>
  <c r="E62" i="1"/>
  <c r="E46" i="1"/>
  <c r="E26" i="1"/>
  <c r="D43" i="1"/>
  <c r="E19" i="7" s="1"/>
  <c r="B10" i="7"/>
  <c r="E38" i="1"/>
  <c r="E37" i="1"/>
  <c r="E45" i="1"/>
  <c r="E31" i="1"/>
  <c r="E32" i="1"/>
  <c r="E34" i="1"/>
  <c r="B9" i="6" s="1"/>
  <c r="E36" i="1"/>
  <c r="E27" i="1"/>
  <c r="E12" i="1"/>
  <c r="E50" i="1"/>
  <c r="E54" i="1"/>
  <c r="E11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43" i="1"/>
  <c r="F34" i="1"/>
  <c r="F36" i="1"/>
  <c r="F12" i="1"/>
  <c r="F27" i="1"/>
  <c r="F57" i="1"/>
  <c r="F26" i="1"/>
  <c r="F32" i="1"/>
  <c r="F70" i="1"/>
  <c r="F50" i="1"/>
  <c r="F54" i="1"/>
  <c r="F11" i="1"/>
  <c r="F5" i="1"/>
  <c r="F31" i="1"/>
  <c r="F37" i="1"/>
  <c r="F38" i="1"/>
  <c r="F46" i="1"/>
  <c r="F21" i="1"/>
  <c r="F62" i="1"/>
  <c r="E4" i="1"/>
  <c r="E29" i="1"/>
  <c r="E15" i="1"/>
  <c r="B17" i="6" l="1"/>
  <c r="C20" i="6" s="1"/>
  <c r="C24" i="7"/>
  <c r="B24" i="7"/>
  <c r="D45" i="1"/>
  <c r="F45" i="1" s="1"/>
  <c r="F15" i="1"/>
  <c r="F29" i="1"/>
  <c r="D4" i="1"/>
  <c r="F4" i="1" s="1"/>
  <c r="B20" i="6" l="1"/>
</calcChain>
</file>

<file path=xl/sharedStrings.xml><?xml version="1.0" encoding="utf-8"?>
<sst xmlns="http://schemas.openxmlformats.org/spreadsheetml/2006/main" count="207" uniqueCount="176">
  <si>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</si>
  <si>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</si>
  <si>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</si>
  <si>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</si>
  <si>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</si>
  <si>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</si>
  <si>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</si>
  <si>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</si>
  <si>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</si>
  <si>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</si>
  <si>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</si>
  <si>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</si>
  <si>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</si>
  <si>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</si>
  <si>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</si>
  <si>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</si>
  <si>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</si>
  <si>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</si>
  <si>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</si>
  <si>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</si>
  <si>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</si>
  <si>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</si>
  <si>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</si>
  <si>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</si>
  <si>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</si>
  <si>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</si>
  <si>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</si>
  <si>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</si>
  <si>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</si>
  <si>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</si>
  <si>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</si>
  <si>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</si>
  <si>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</si>
  <si>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</si>
  <si>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</si>
  <si>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</si>
  <si>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</si>
  <si>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</si>
  <si>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</si>
  <si>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</si>
  <si>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</si>
  <si>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</si>
  <si>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</si>
  <si>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</si>
  <si>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</si>
  <si>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</si>
  <si>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</si>
  <si>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</si>
  <si>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</si>
  <si>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</si>
  <si>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</si>
  <si>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</si>
  <si>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</si>
  <si>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</si>
  <si>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</si>
  <si>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</si>
  <si>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</si>
  <si>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</si>
  <si>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</si>
  <si>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</si>
  <si>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</si>
  <si>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</si>
  <si>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</si>
  <si>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</si>
  <si>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</si>
  <si>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</si>
  <si>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</si>
  <si>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</si>
  <si>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</si>
  <si>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</si>
  <si>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</si>
  <si>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</si>
  <si>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</si>
  <si>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</si>
  <si>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</si>
  <si>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</si>
  <si>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</si>
  <si>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</si>
  <si>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</si>
  <si>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</si>
  <si>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</si>
  <si>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</si>
  <si>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</si>
  <si>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</si>
  <si>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</si>
  <si>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</si>
  <si>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</si>
  <si>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</si>
  <si>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</si>
  <si>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</si>
  <si>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</si>
  <si>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</si>
  <si>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</si>
  <si>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</si>
  <si>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</si>
  <si>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</si>
  <si>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</si>
  <si>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</si>
  <si>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</si>
  <si>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</si>
  <si>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</si>
  <si>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</si>
  <si>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</si>
  <si>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</si>
  <si>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</si>
  <si>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</si>
  <si>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</si>
  <si>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</si>
  <si>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</si>
  <si>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</si>
  <si>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</si>
  <si>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</si>
  <si>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</si>
  <si>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</si>
  <si>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</si>
  <si>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</si>
  <si>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</si>
  <si>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</si>
  <si>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</si>
  <si>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</si>
  <si>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</si>
  <si>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</si>
  <si>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</si>
  <si>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</si>
  <si>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</si>
  <si>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</si>
  <si>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</si>
  <si>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</si>
  <si>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</si>
  <si>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</si>
  <si>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</si>
  <si>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</si>
  <si>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</si>
  <si>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</si>
  <si>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</si>
  <si>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</si>
  <si>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</si>
  <si>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</si>
  <si>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</si>
  <si>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</si>
  <si>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</si>
  <si>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</si>
  <si>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</si>
  <si>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Depleted[Fuel/Uranium]</t>
  </si>
  <si>
    <t>Supports stock and CRP (only where correlated IRL resources can be found).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</si>
  <si>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</si>
  <si>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</si>
  <si>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</si>
  <si>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</si>
  <si>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</si>
  <si>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</si>
  <si>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</si>
  <si>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</si>
  <si>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</si>
  <si>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</si>
  <si>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</si>
  <si>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</si>
  <si>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</si>
  <si>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</si>
  <si>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</si>
  <si>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</si>
  <si>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AZ50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</si>
  <si>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</si>
  <si>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</si>
  <si>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</si>
  <si>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</si>
  <si>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</si>
  <si>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</si>
  <si>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</si>
  <si>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</si>
  <si>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</si>
  <si>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</si>
  <si>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</si>
  <si>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Does not support most of CRP (KSPI, RealFuels) or any of WBI.</t>
  </si>
  <si>
    <t>Radical Metasilicate (SiO3)</t>
  </si>
  <si>
    <t>Glycerol (C3H8O3)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</si>
</sst>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  <numFmt numFmtId="170" formatCode="0.00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70" fontId="9" fillId="4" borderId="4" xfId="6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2" sqref="A22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4" t="s">
        <v>99</v>
      </c>
      <c r="B1" s="34"/>
      <c r="C1" s="34"/>
      <c r="D1" s="34"/>
      <c r="E1" s="34"/>
      <c r="F1" s="34"/>
    </row>
    <row r="2" spans="1:6" ht="16.5" thickTop="1" x14ac:dyDescent="0.25">
      <c r="A2" s="29" t="s">
        <v>102</v>
      </c>
    </row>
    <row r="3" spans="1:6" x14ac:dyDescent="0.25">
      <c r="A3" s="29" t="s">
        <v>148</v>
      </c>
    </row>
    <row r="4" spans="1:6" x14ac:dyDescent="0.25">
      <c r="A4" s="29" t="s">
        <v>147</v>
      </c>
    </row>
    <row r="5" spans="1:6" ht="18" thickBot="1" x14ac:dyDescent="0.35">
      <c r="A5" s="35" t="s">
        <v>72</v>
      </c>
      <c r="B5" s="35"/>
      <c r="C5" s="35"/>
      <c r="D5" s="35"/>
      <c r="E5" s="35"/>
      <c r="F5" s="35"/>
    </row>
    <row r="6" spans="1:6" ht="16.5" thickTop="1" x14ac:dyDescent="0.25">
      <c r="A6" s="26" t="s">
        <v>97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/>
      <c r="C7" s="28"/>
      <c r="D7" s="28"/>
      <c r="E7" s="28"/>
      <c r="F7" s="28"/>
    </row>
    <row r="8" spans="1:6" ht="16.5" thickBot="1" x14ac:dyDescent="0.3">
      <c r="A8" s="7" t="s">
        <v>76</v>
      </c>
      <c r="B8" s="22" t="str">
        <f>IFERROR(VLOOKUP(B7,Database!$A$2:$E$105,5,FALSE),"-")</f>
        <v>-</v>
      </c>
      <c r="C8" s="22" t="str">
        <f>IFERROR(VLOOKUP(C7,Database!$A$2:$E$105,5,FALSE),"-")</f>
        <v>-</v>
      </c>
      <c r="D8" s="22" t="str">
        <f>IFERROR(VLOOKUP(D7,Database!$A$2:$E$105,5,FALSE),"-")</f>
        <v>-</v>
      </c>
      <c r="E8" s="22" t="str">
        <f>IFERROR(VLOOKUP(E7,Database!$A$2:$E$105,5,FALSE),"-")</f>
        <v>-</v>
      </c>
      <c r="F8" s="22" t="str">
        <f>IFERROR(VLOOKUP(F7,Database!$A$2:$E$105,5,FALSE),"-")</f>
        <v>-</v>
      </c>
    </row>
    <row r="9" spans="1:6" ht="16.5" thickTop="1" x14ac:dyDescent="0.25">
      <c r="A9" s="7" t="s">
        <v>75</v>
      </c>
      <c r="B9" s="25" t="str">
        <f t="shared" ref="B9:E9" si="0">IFERROR(B6*B8,"-")</f>
        <v>-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74</v>
      </c>
      <c r="B10" s="25">
        <f>SUM(B9:F9)</f>
        <v>0</v>
      </c>
      <c r="C10" s="30"/>
      <c r="D10" s="30"/>
      <c r="E10" s="30"/>
      <c r="F10" s="30"/>
    </row>
    <row r="12" spans="1:6" ht="18" thickBot="1" x14ac:dyDescent="0.35">
      <c r="A12" s="35" t="s">
        <v>73</v>
      </c>
      <c r="B12" s="35"/>
      <c r="C12" s="35"/>
      <c r="D12" s="35"/>
      <c r="E12" s="35"/>
      <c r="F12" s="35"/>
    </row>
    <row r="13" spans="1:6" ht="16.5" thickTop="1" x14ac:dyDescent="0.25">
      <c r="A13" s="26" t="s">
        <v>97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103</v>
      </c>
      <c r="B14" s="28"/>
      <c r="C14" s="28"/>
      <c r="D14" s="28"/>
      <c r="E14" s="28"/>
      <c r="F14" s="28"/>
    </row>
    <row r="15" spans="1:6" ht="16.5" thickBot="1" x14ac:dyDescent="0.3">
      <c r="A15" s="7" t="s">
        <v>76</v>
      </c>
      <c r="B15" s="22" t="str">
        <f>IFERROR(VLOOKUP(B14,Database!$A$2:$E$105,5,FALSE),"-")</f>
        <v>-</v>
      </c>
      <c r="C15" s="22" t="str">
        <f>IFERROR(VLOOKUP(C14,Database!$A$2:$E$105,5,FALSE),"-")</f>
        <v>-</v>
      </c>
      <c r="D15" s="22" t="str">
        <f>IFERROR(VLOOKUP(D14,Database!$A$2:$E$105,5,FALSE),"-")</f>
        <v>-</v>
      </c>
      <c r="E15" s="22" t="str">
        <f>IFERROR(VLOOKUP(E14,Database!$A$2:$E$105,5,FALSE),"-")</f>
        <v>-</v>
      </c>
      <c r="F15" s="22" t="str">
        <f>IFERROR(VLOOKUP(F14,Database!$A$2:$E$105,5,FALSE),"-")</f>
        <v>-</v>
      </c>
    </row>
    <row r="16" spans="1:6" ht="16.5" thickTop="1" x14ac:dyDescent="0.25">
      <c r="A16" s="7" t="s">
        <v>75</v>
      </c>
      <c r="B16" s="25" t="str">
        <f t="shared" ref="B16:E16" si="1">IFERROR(B13*B15,"-")</f>
        <v>-</v>
      </c>
      <c r="C16" s="25" t="str">
        <f t="shared" si="1"/>
        <v>-</v>
      </c>
      <c r="D16" s="25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74</v>
      </c>
      <c r="B17" s="25">
        <f>SUM(B16:F16)</f>
        <v>0</v>
      </c>
      <c r="C17" s="30"/>
      <c r="D17" s="30"/>
      <c r="E17" s="30"/>
      <c r="F17" s="30"/>
    </row>
    <row r="19" spans="1:6" ht="18" thickBot="1" x14ac:dyDescent="0.35">
      <c r="A19" s="36" t="s">
        <v>77</v>
      </c>
      <c r="B19" s="36"/>
      <c r="C19" s="36"/>
      <c r="D19" s="36"/>
      <c r="E19" s="36"/>
      <c r="F19" s="36"/>
    </row>
    <row r="20" spans="1:6" ht="16.5" thickTop="1" x14ac:dyDescent="0.25">
      <c r="A20" s="7" t="s">
        <v>78</v>
      </c>
      <c r="B20" s="20" t="str">
        <f>IF($B$10&gt;$B$17,"Input excesive",IF($B$10&lt;$B$17,"Output excessive","Equal"))</f>
        <v>Equal</v>
      </c>
      <c r="C20" s="21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Database!$A$2:$A$105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C17" sqref="C17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4" t="s">
        <v>98</v>
      </c>
      <c r="B1" s="34"/>
      <c r="C1" s="34"/>
      <c r="D1" s="34"/>
      <c r="E1" s="34"/>
      <c r="F1" s="34"/>
    </row>
    <row r="2" spans="1:6" ht="16.5" thickTop="1" x14ac:dyDescent="0.25">
      <c r="A2" s="29" t="s">
        <v>102</v>
      </c>
    </row>
    <row r="3" spans="1:6" x14ac:dyDescent="0.25">
      <c r="A3" s="29" t="s">
        <v>144</v>
      </c>
    </row>
    <row r="4" spans="1:6" x14ac:dyDescent="0.25">
      <c r="A4" s="29" t="s">
        <v>173</v>
      </c>
    </row>
    <row r="5" spans="1:6" ht="18" thickBot="1" x14ac:dyDescent="0.35">
      <c r="A5" s="35" t="s">
        <v>72</v>
      </c>
      <c r="B5" s="35"/>
      <c r="C5" s="35"/>
      <c r="D5" s="35"/>
      <c r="E5" s="35"/>
      <c r="F5" s="35"/>
    </row>
    <row r="6" spans="1:6" ht="16.5" thickTop="1" x14ac:dyDescent="0.25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/>
      <c r="C7" s="28"/>
      <c r="D7" s="28"/>
      <c r="E7" s="28"/>
      <c r="F7" s="28"/>
    </row>
    <row r="8" spans="1:6" ht="16.5" thickBot="1" x14ac:dyDescent="0.3">
      <c r="A8" s="7" t="s">
        <v>95</v>
      </c>
      <c r="B8" s="22" t="str">
        <f>IFERROR(VLOOKUP(B7,Database!$A$2:$E$70,4,FALSE),"-")</f>
        <v>-</v>
      </c>
      <c r="C8" s="22" t="str">
        <f>IFERROR(VLOOKUP(C7,Database!$A$2:$E$70,4,FALSE),"-")</f>
        <v>-</v>
      </c>
      <c r="D8" s="22" t="str">
        <f>IFERROR(VLOOKUP(D7,Database!$A$2:$E$70,4,FALSE),"-")</f>
        <v>-</v>
      </c>
      <c r="E8" s="22" t="str">
        <f>IFERROR(VLOOKUP(E7,Database!$A$2:$E$70,4,FALSE),"-")</f>
        <v>-</v>
      </c>
      <c r="F8" s="22" t="str">
        <f>IFERROR(VLOOKUP(F7,Database!$A$2:$E$70,4,FALSE),"-")</f>
        <v>-</v>
      </c>
    </row>
    <row r="9" spans="1:6" ht="17.25" thickTop="1" thickBot="1" x14ac:dyDescent="0.3">
      <c r="A9" s="7" t="s">
        <v>100</v>
      </c>
      <c r="B9" s="22" t="str">
        <f>IFERROR(VLOOKUP(B7,Database!$A$2:$E$70,5,FALSE),"-")</f>
        <v>-</v>
      </c>
      <c r="C9" s="22" t="str">
        <f>IFERROR(VLOOKUP(C7,Database!$A$2:$E$70,5,FALSE),"-")</f>
        <v>-</v>
      </c>
      <c r="D9" s="22" t="str">
        <f>IFERROR(VLOOKUP(D7,Database!$A$2:$E$70,5,FALSE),"-")</f>
        <v>-</v>
      </c>
      <c r="E9" s="22" t="str">
        <f>IFERROR(VLOOKUP(E7,Database!$A$2:$E$70,5,FALSE),"-")</f>
        <v>-</v>
      </c>
      <c r="F9" s="22" t="str">
        <f>IFERROR(VLOOKUP(F7,Database!$A$2:$E$70,5,FALSE),"-")</f>
        <v>-</v>
      </c>
    </row>
    <row r="10" spans="1:6" ht="16.5" thickTop="1" x14ac:dyDescent="0.25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97</v>
      </c>
      <c r="B11" s="33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101</v>
      </c>
      <c r="B12" s="25">
        <f>SUM(B10:F10)</f>
        <v>0</v>
      </c>
    </row>
    <row r="14" spans="1:6" ht="18" thickBot="1" x14ac:dyDescent="0.35">
      <c r="A14" s="35" t="s">
        <v>73</v>
      </c>
      <c r="B14" s="35"/>
      <c r="C14" s="35"/>
      <c r="D14" s="35"/>
      <c r="E14" s="35"/>
      <c r="F14" s="35"/>
    </row>
    <row r="15" spans="1:6" ht="16.5" thickTop="1" x14ac:dyDescent="0.25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103</v>
      </c>
      <c r="B16" s="28"/>
      <c r="C16" s="28"/>
      <c r="D16" s="28"/>
      <c r="E16" s="28"/>
      <c r="F16" s="28"/>
    </row>
    <row r="17" spans="1:6" ht="16.5" thickBot="1" x14ac:dyDescent="0.3">
      <c r="A17" s="7" t="s">
        <v>95</v>
      </c>
      <c r="B17" s="22" t="str">
        <f>IFERROR(VLOOKUP(B16,Database!$A$2:$E$70,4,FALSE),"-")</f>
        <v>-</v>
      </c>
      <c r="C17" s="22" t="str">
        <f>IFERROR(VLOOKUP(C16,Database!$A$2:$E$70,4,FALSE),"-")</f>
        <v>-</v>
      </c>
      <c r="D17" s="22" t="str">
        <f>IFERROR(VLOOKUP(D16,Database!$A$2:$E$70,4,FALSE),"-")</f>
        <v>-</v>
      </c>
      <c r="E17" s="22" t="str">
        <f>IFERROR(VLOOKUP(E16,Database!$A$2:$E$70,4,FALSE),"-")</f>
        <v>-</v>
      </c>
      <c r="F17" s="22" t="str">
        <f>IFERROR(VLOOKUP(F16,Database!$A$2:$E$70,4,FALSE),"-")</f>
        <v>-</v>
      </c>
    </row>
    <row r="18" spans="1:6" ht="17.25" thickTop="1" thickBot="1" x14ac:dyDescent="0.3">
      <c r="A18" s="7" t="s">
        <v>100</v>
      </c>
      <c r="B18" s="22" t="str">
        <f>IFERROR(VLOOKUP(B16,Database!$A$2:$E$70,5,FALSE),"-")</f>
        <v>-</v>
      </c>
      <c r="C18" s="22" t="str">
        <f>IFERROR(VLOOKUP(C16,Database!$A$2:$E$70,5,FALSE),"-")</f>
        <v>-</v>
      </c>
      <c r="D18" s="22" t="str">
        <f>IFERROR(VLOOKUP(D16,Database!$A$2:$E$70,5,FALSE),"-")</f>
        <v>-</v>
      </c>
      <c r="E18" s="22" t="str">
        <f>IFERROR(VLOOKUP(E16,Database!$A$2:$E$70,5,FALSE),"-")</f>
        <v>-</v>
      </c>
      <c r="F18" s="22" t="str">
        <f>IFERROR(VLOOKUP(F16,Database!$A$2:$E$70,5,FALSE),"-")</f>
        <v>-</v>
      </c>
    </row>
    <row r="19" spans="1:6" ht="16.5" thickTop="1" x14ac:dyDescent="0.25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97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101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6" t="s">
        <v>77</v>
      </c>
      <c r="B23" s="36"/>
      <c r="C23" s="36"/>
      <c r="D23" s="36"/>
      <c r="E23" s="36"/>
      <c r="F23" s="36"/>
    </row>
    <row r="24" spans="1:6" ht="16.5" thickTop="1" x14ac:dyDescent="0.25">
      <c r="A24" s="7" t="s">
        <v>78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Database!$A$2:$A$105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17" workbookViewId="0">
      <pane xSplit="1" topLeftCell="B1" activePane="topRight" state="frozen"/>
      <selection pane="topRight" activeCell="F25" sqref="F25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82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88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89</v>
      </c>
      <c r="J9" t="s">
        <v>39</v>
      </c>
      <c r="L9" s="23">
        <v>1.9599999999999999E-2</v>
      </c>
    </row>
    <row r="10" spans="1:12" x14ac:dyDescent="0.25">
      <c r="A10" s="1" t="s">
        <v>50</v>
      </c>
      <c r="B10" s="1" t="s">
        <v>51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161</v>
      </c>
      <c r="B13" s="1" t="s">
        <v>168</v>
      </c>
      <c r="C13" s="1">
        <v>1</v>
      </c>
      <c r="D13" s="5">
        <f>SUM(($D$28*0.5)+($D$68*0.5))</f>
        <v>46.073</v>
      </c>
      <c r="E13" s="4">
        <f>0.0009*1000</f>
        <v>0.9</v>
      </c>
      <c r="F13" s="6">
        <f>C13*D13/(E13 * 1000)</f>
        <v>5.1192222222222222E-2</v>
      </c>
    </row>
    <row r="14" spans="1:12" x14ac:dyDescent="0.25">
      <c r="A14" s="1" t="s">
        <v>48</v>
      </c>
      <c r="B14" s="1" t="s">
        <v>49</v>
      </c>
      <c r="C14" s="1">
        <v>1</v>
      </c>
      <c r="D14" s="5">
        <v>12.01</v>
      </c>
      <c r="E14" s="17">
        <f>$E$3</f>
        <v>5</v>
      </c>
      <c r="F14" s="6">
        <f t="shared" ref="F14" si="2">C14*D14/(E14 * 1000)</f>
        <v>2.4020000000000001E-3</v>
      </c>
    </row>
    <row r="15" spans="1:12" x14ac:dyDescent="0.25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28" si="3">C15*D15/(E15 * 1000)</f>
        <v>22.557662737057917</v>
      </c>
    </row>
    <row r="16" spans="1:12" x14ac:dyDescent="0.25">
      <c r="A16" s="1" t="s">
        <v>128</v>
      </c>
      <c r="B16" s="1"/>
      <c r="C16" s="1">
        <v>1</v>
      </c>
      <c r="D16" s="5"/>
      <c r="E16" s="4">
        <f>0.0025*1000</f>
        <v>2.5</v>
      </c>
      <c r="F16" s="6"/>
    </row>
    <row r="17" spans="1:7" x14ac:dyDescent="0.25">
      <c r="A17" s="1" t="s">
        <v>129</v>
      </c>
      <c r="B17" s="1"/>
      <c r="C17" s="1">
        <v>1</v>
      </c>
      <c r="D17" s="5"/>
      <c r="E17" s="4">
        <f>0.001556*1000</f>
        <v>1.556</v>
      </c>
      <c r="F17" s="6"/>
    </row>
    <row r="18" spans="1:7" x14ac:dyDescent="0.25">
      <c r="A18" s="1" t="s">
        <v>143</v>
      </c>
      <c r="B18" s="1"/>
      <c r="C18" s="1">
        <v>1</v>
      </c>
      <c r="D18" s="5">
        <v>238.03</v>
      </c>
      <c r="E18" s="4">
        <f>0.01097*1000</f>
        <v>10.97</v>
      </c>
      <c r="F18" s="6">
        <f t="shared" si="3"/>
        <v>2.1698268003646309E-2</v>
      </c>
    </row>
    <row r="19" spans="1:7" x14ac:dyDescent="0.25">
      <c r="A19" s="1" t="s">
        <v>123</v>
      </c>
      <c r="B19" s="1" t="s">
        <v>139</v>
      </c>
      <c r="C19" s="1">
        <v>1</v>
      </c>
      <c r="D19" s="5">
        <v>60.08</v>
      </c>
      <c r="E19" s="4">
        <f>0.0016*1000</f>
        <v>1.6</v>
      </c>
      <c r="F19" s="6">
        <f t="shared" si="3"/>
        <v>3.755E-2</v>
      </c>
    </row>
    <row r="20" spans="1:7" x14ac:dyDescent="0.25">
      <c r="A20" s="1" t="s">
        <v>130</v>
      </c>
      <c r="B20" s="1" t="s">
        <v>140</v>
      </c>
      <c r="C20" s="1">
        <v>1</v>
      </c>
      <c r="D20" s="5">
        <v>238.03</v>
      </c>
      <c r="E20" s="4">
        <f>0.01097*1000</f>
        <v>10.97</v>
      </c>
      <c r="F20" s="6">
        <f t="shared" si="3"/>
        <v>2.1698268003646309E-2</v>
      </c>
    </row>
    <row r="21" spans="1:7" x14ac:dyDescent="0.25">
      <c r="A21" s="1" t="s">
        <v>33</v>
      </c>
      <c r="B21" s="1" t="s">
        <v>34</v>
      </c>
      <c r="C21" s="1">
        <v>1</v>
      </c>
      <c r="D21" s="5">
        <v>183.88</v>
      </c>
      <c r="E21" s="4">
        <f>0.0025*1000</f>
        <v>2.5</v>
      </c>
      <c r="F21" s="6">
        <f t="shared" si="3"/>
        <v>7.3551999999999992E-2</v>
      </c>
    </row>
    <row r="22" spans="1:7" x14ac:dyDescent="0.25">
      <c r="A22" s="1" t="s">
        <v>137</v>
      </c>
      <c r="B22" s="1"/>
      <c r="C22" s="1">
        <v>1</v>
      </c>
      <c r="D22" s="5"/>
      <c r="E22" s="4">
        <f>0.001*1000</f>
        <v>1</v>
      </c>
      <c r="F22" s="6"/>
    </row>
    <row r="23" spans="1:7" x14ac:dyDescent="0.25">
      <c r="A23" s="1" t="s">
        <v>159</v>
      </c>
      <c r="B23" s="1"/>
      <c r="C23" s="1">
        <v>1</v>
      </c>
      <c r="D23" s="5"/>
      <c r="E23" s="4">
        <f>0.001*1000</f>
        <v>1</v>
      </c>
      <c r="F23" s="6"/>
    </row>
    <row r="24" spans="1:7" x14ac:dyDescent="0.25">
      <c r="A24" s="1" t="s">
        <v>110</v>
      </c>
      <c r="B24" s="1"/>
      <c r="C24" s="1">
        <v>1</v>
      </c>
      <c r="D24" s="5"/>
      <c r="E24" s="4">
        <f>0.000216*1000</f>
        <v>0.216</v>
      </c>
      <c r="F24" s="6"/>
    </row>
    <row r="25" spans="1:7" x14ac:dyDescent="0.25">
      <c r="A25" s="1" t="s">
        <v>149</v>
      </c>
      <c r="B25" s="1" t="s">
        <v>175</v>
      </c>
      <c r="C25" s="1">
        <v>1</v>
      </c>
      <c r="D25" s="5">
        <v>92.09</v>
      </c>
      <c r="E25" s="4">
        <f>0.012*1000</f>
        <v>12</v>
      </c>
      <c r="F25" s="6">
        <f t="shared" si="3"/>
        <v>7.6741666666666668E-3</v>
      </c>
    </row>
    <row r="26" spans="1:7" x14ac:dyDescent="0.25">
      <c r="A26" s="1" t="s">
        <v>27</v>
      </c>
      <c r="B26" s="1" t="s">
        <v>28</v>
      </c>
      <c r="C26" s="1">
        <v>1</v>
      </c>
      <c r="D26" s="5">
        <v>172.14</v>
      </c>
      <c r="E26" s="4">
        <f>0.0055*1000</f>
        <v>5.5</v>
      </c>
      <c r="F26" s="6">
        <f t="shared" si="3"/>
        <v>3.1298181818181815E-2</v>
      </c>
    </row>
    <row r="27" spans="1:7" x14ac:dyDescent="0.25">
      <c r="A27" s="1" t="s">
        <v>29</v>
      </c>
      <c r="B27" s="1" t="s">
        <v>30</v>
      </c>
      <c r="C27" s="1">
        <v>1</v>
      </c>
      <c r="D27" s="5">
        <v>168.69</v>
      </c>
      <c r="E27" s="4">
        <f>0.0015*1000</f>
        <v>1.5</v>
      </c>
      <c r="F27" s="6">
        <f t="shared" si="3"/>
        <v>0.11246</v>
      </c>
    </row>
    <row r="28" spans="1:7" x14ac:dyDescent="0.25">
      <c r="A28" s="1" t="s">
        <v>165</v>
      </c>
      <c r="B28" s="1" t="s">
        <v>166</v>
      </c>
      <c r="C28" s="1">
        <v>1</v>
      </c>
      <c r="D28" s="5">
        <f>(14.007*2)+(1.008*4)</f>
        <v>32.045999999999999</v>
      </c>
      <c r="E28" s="4">
        <f>0.001004*1000</f>
        <v>1.004</v>
      </c>
      <c r="F28" s="6">
        <f t="shared" si="3"/>
        <v>3.1918326693227091E-2</v>
      </c>
    </row>
    <row r="29" spans="1:7" x14ac:dyDescent="0.25">
      <c r="A29" s="1" t="s">
        <v>68</v>
      </c>
      <c r="B29" s="1" t="s">
        <v>16</v>
      </c>
      <c r="C29" s="1">
        <v>1</v>
      </c>
      <c r="D29" s="5">
        <v>2.02</v>
      </c>
      <c r="E29" s="4">
        <f>0.0000000899*1000</f>
        <v>8.9900000000000003E-5</v>
      </c>
      <c r="F29" s="6">
        <f t="shared" ref="F29:F38" si="4">C29*D29/(E29 * 1000)</f>
        <v>22.469410456062288</v>
      </c>
      <c r="G29" s="8"/>
    </row>
    <row r="30" spans="1:7" x14ac:dyDescent="0.25">
      <c r="A30" s="1" t="s">
        <v>145</v>
      </c>
      <c r="B30" s="1" t="s">
        <v>146</v>
      </c>
      <c r="C30" s="1">
        <v>1</v>
      </c>
      <c r="D30" s="5">
        <v>6.94</v>
      </c>
      <c r="E30" s="4">
        <f xml:space="preserve"> 0.000534*1000</f>
        <v>0.53399999999999992</v>
      </c>
      <c r="F30" s="6">
        <f t="shared" si="4"/>
        <v>1.2996254681647943E-2</v>
      </c>
      <c r="G30" s="8"/>
    </row>
    <row r="31" spans="1:7" x14ac:dyDescent="0.25">
      <c r="A31" s="1" t="s">
        <v>26</v>
      </c>
      <c r="B31" s="1" t="s">
        <v>21</v>
      </c>
      <c r="C31" s="1">
        <v>1</v>
      </c>
      <c r="D31" s="5">
        <v>17.03</v>
      </c>
      <c r="E31" s="4">
        <f>0.0007021*1000</f>
        <v>0.70209999999999995</v>
      </c>
      <c r="F31" s="6">
        <f t="shared" si="4"/>
        <v>2.4255804016521866E-2</v>
      </c>
    </row>
    <row r="32" spans="1:7" x14ac:dyDescent="0.25">
      <c r="A32" s="1" t="s">
        <v>24</v>
      </c>
      <c r="B32" s="1" t="s">
        <v>17</v>
      </c>
      <c r="C32" s="1">
        <v>1</v>
      </c>
      <c r="D32" s="5">
        <v>44.01</v>
      </c>
      <c r="E32" s="4">
        <f>0.00117325*1000</f>
        <v>1.1732500000000001</v>
      </c>
      <c r="F32" s="6">
        <f t="shared" si="4"/>
        <v>3.7511186874067751E-2</v>
      </c>
    </row>
    <row r="33" spans="1:6" x14ac:dyDescent="0.25">
      <c r="A33" s="1" t="s">
        <v>154</v>
      </c>
      <c r="B33" s="1" t="s">
        <v>157</v>
      </c>
      <c r="C33" s="1">
        <v>1</v>
      </c>
      <c r="D33" s="5">
        <v>2.0139999999999998</v>
      </c>
      <c r="E33" s="4">
        <f>0.0001624*1000</f>
        <v>0.16239999999999999</v>
      </c>
      <c r="F33" s="6">
        <f t="shared" si="4"/>
        <v>1.2401477832512315E-2</v>
      </c>
    </row>
    <row r="34" spans="1:6" x14ac:dyDescent="0.25">
      <c r="A34" s="1" t="s">
        <v>81</v>
      </c>
      <c r="B34" s="1" t="s">
        <v>16</v>
      </c>
      <c r="C34" s="1">
        <v>1</v>
      </c>
      <c r="D34" s="5">
        <v>2.02</v>
      </c>
      <c r="E34" s="4">
        <f>0.00007085*1000</f>
        <v>7.0849999999999996E-2</v>
      </c>
      <c r="F34" s="6">
        <f t="shared" si="4"/>
        <v>2.8510938602681724E-2</v>
      </c>
    </row>
    <row r="35" spans="1:6" x14ac:dyDescent="0.25">
      <c r="A35" s="1" t="s">
        <v>155</v>
      </c>
      <c r="B35" s="1" t="s">
        <v>156</v>
      </c>
      <c r="C35" s="1">
        <v>1</v>
      </c>
      <c r="D35" s="5">
        <v>3.016</v>
      </c>
      <c r="E35" s="4">
        <f>0.000059*1000</f>
        <v>5.8999999999999997E-2</v>
      </c>
      <c r="F35" s="6">
        <f t="shared" si="4"/>
        <v>5.1118644067796613E-2</v>
      </c>
    </row>
    <row r="36" spans="1:6" x14ac:dyDescent="0.25">
      <c r="A36" s="1" t="s">
        <v>25</v>
      </c>
      <c r="B36" s="1" t="s">
        <v>19</v>
      </c>
      <c r="C36" s="1">
        <v>1</v>
      </c>
      <c r="D36" s="5">
        <v>16.05</v>
      </c>
      <c r="E36" s="4">
        <f>0.00042561*1000</f>
        <v>0.42560999999999999</v>
      </c>
      <c r="F36" s="6">
        <f t="shared" si="4"/>
        <v>3.7710580108550079E-2</v>
      </c>
    </row>
    <row r="37" spans="1:6" x14ac:dyDescent="0.25">
      <c r="A37" s="1" t="s">
        <v>79</v>
      </c>
      <c r="B37" s="9" t="s">
        <v>9</v>
      </c>
      <c r="C37" s="9">
        <v>1</v>
      </c>
      <c r="D37" s="10">
        <v>32</v>
      </c>
      <c r="E37" s="11">
        <f>0.001141*1000</f>
        <v>1.141</v>
      </c>
      <c r="F37" s="12">
        <f t="shared" si="4"/>
        <v>2.8045574057843997E-2</v>
      </c>
    </row>
    <row r="38" spans="1:6" x14ac:dyDescent="0.25">
      <c r="A38" s="1" t="s">
        <v>80</v>
      </c>
      <c r="B38" s="1" t="s">
        <v>22</v>
      </c>
      <c r="C38" s="1">
        <v>1</v>
      </c>
      <c r="D38" s="5">
        <v>28.01</v>
      </c>
      <c r="E38" s="4">
        <f>0.000824907*1000</f>
        <v>0.82490700000000006</v>
      </c>
      <c r="F38" s="6">
        <f t="shared" si="4"/>
        <v>3.3955342844708553E-2</v>
      </c>
    </row>
    <row r="39" spans="1:6" x14ac:dyDescent="0.25">
      <c r="A39" s="1" t="s">
        <v>134</v>
      </c>
      <c r="B39" s="1"/>
      <c r="C39" s="1">
        <v>1</v>
      </c>
      <c r="D39" s="5"/>
      <c r="E39" s="4">
        <f>0.00378*1000</f>
        <v>3.78</v>
      </c>
      <c r="F39" s="6"/>
    </row>
    <row r="40" spans="1:6" x14ac:dyDescent="0.25">
      <c r="A40" s="1" t="s">
        <v>124</v>
      </c>
      <c r="B40" s="1"/>
      <c r="C40" s="1">
        <v>1</v>
      </c>
      <c r="D40" s="5"/>
      <c r="E40" s="4">
        <f>0.001*1000</f>
        <v>1</v>
      </c>
      <c r="F40" s="6"/>
    </row>
    <row r="41" spans="1:6" x14ac:dyDescent="0.25">
      <c r="A41" s="1" t="s">
        <v>160</v>
      </c>
      <c r="B41" s="1"/>
      <c r="C41" s="1">
        <v>1</v>
      </c>
      <c r="D41" s="5">
        <f>D34</f>
        <v>2.02</v>
      </c>
      <c r="E41" s="4">
        <f>0.007085*1000</f>
        <v>7.085</v>
      </c>
      <c r="F41" s="6">
        <f t="shared" ref="F41:F48" si="5">C41*D41/(E41 * 1000)</f>
        <v>2.851093860268172E-4</v>
      </c>
    </row>
    <row r="42" spans="1:6" x14ac:dyDescent="0.25">
      <c r="A42" s="1" t="s">
        <v>131</v>
      </c>
      <c r="B42" s="1" t="s">
        <v>141</v>
      </c>
      <c r="C42" s="1">
        <v>1</v>
      </c>
      <c r="D42" s="5">
        <v>159.69</v>
      </c>
      <c r="E42" s="4">
        <f>0.0055*1000</f>
        <v>5.5</v>
      </c>
      <c r="F42" s="6">
        <f t="shared" si="5"/>
        <v>2.9034545454545455E-2</v>
      </c>
    </row>
    <row r="43" spans="1:6" x14ac:dyDescent="0.25">
      <c r="A43" s="1" t="s">
        <v>35</v>
      </c>
      <c r="B43" s="1" t="s">
        <v>47</v>
      </c>
      <c r="C43" s="1">
        <v>1</v>
      </c>
      <c r="D43" s="5">
        <f>55.845*2</f>
        <v>111.69</v>
      </c>
      <c r="E43" s="4">
        <f>0.026*1000</f>
        <v>26</v>
      </c>
      <c r="F43" s="6">
        <f t="shared" si="5"/>
        <v>4.2957692307692306E-3</v>
      </c>
    </row>
    <row r="44" spans="1:6" x14ac:dyDescent="0.25">
      <c r="A44" s="1" t="s">
        <v>83</v>
      </c>
      <c r="B44" s="1" t="s">
        <v>47</v>
      </c>
      <c r="C44" s="1">
        <v>1</v>
      </c>
      <c r="D44" s="5">
        <f>55.845*2</f>
        <v>111.69</v>
      </c>
      <c r="E44" s="4">
        <f>0.0078*1000</f>
        <v>7.8</v>
      </c>
      <c r="F44" s="6">
        <f t="shared" si="5"/>
        <v>1.4319230769230768E-2</v>
      </c>
    </row>
    <row r="45" spans="1:6" x14ac:dyDescent="0.25">
      <c r="A45" s="1" t="s">
        <v>18</v>
      </c>
      <c r="B45" s="1" t="s">
        <v>19</v>
      </c>
      <c r="C45" s="1">
        <v>1</v>
      </c>
      <c r="D45" s="5">
        <f>12.02+4*1.008</f>
        <v>16.052</v>
      </c>
      <c r="E45" s="4">
        <f>0.000000717*1000</f>
        <v>7.1699999999999997E-4</v>
      </c>
      <c r="F45" s="6">
        <f t="shared" si="5"/>
        <v>22.387726638772666</v>
      </c>
    </row>
    <row r="46" spans="1:6" x14ac:dyDescent="0.25">
      <c r="A46" s="1" t="s">
        <v>31</v>
      </c>
      <c r="B46" s="1" t="s">
        <v>32</v>
      </c>
      <c r="C46" s="1">
        <v>1</v>
      </c>
      <c r="D46" s="5">
        <f>(28.086*2)+(16*2)</f>
        <v>88.171999999999997</v>
      </c>
      <c r="E46" s="4">
        <f>0.0027*1000</f>
        <v>2.7</v>
      </c>
      <c r="F46" s="6">
        <f t="shared" si="5"/>
        <v>3.2656296296296294E-2</v>
      </c>
    </row>
    <row r="47" spans="1:6" x14ac:dyDescent="0.25">
      <c r="A47" s="1" t="s">
        <v>162</v>
      </c>
      <c r="B47" s="1"/>
      <c r="C47" s="1">
        <v>1</v>
      </c>
      <c r="D47" s="5">
        <v>46.07</v>
      </c>
      <c r="E47" s="4">
        <f>0.00088*1000</f>
        <v>0.88</v>
      </c>
      <c r="F47" s="6">
        <f t="shared" si="5"/>
        <v>5.2352272727272726E-2</v>
      </c>
    </row>
    <row r="48" spans="1:6" x14ac:dyDescent="0.25">
      <c r="A48" s="1" t="s">
        <v>41</v>
      </c>
      <c r="B48" s="1" t="s">
        <v>45</v>
      </c>
      <c r="C48" s="1">
        <v>1</v>
      </c>
      <c r="D48" s="5">
        <v>233.88</v>
      </c>
      <c r="E48" s="4">
        <f>0.005*1000</f>
        <v>5</v>
      </c>
      <c r="F48" s="6">
        <f t="shared" si="5"/>
        <v>4.6775999999999998E-2</v>
      </c>
    </row>
    <row r="49" spans="1:6" x14ac:dyDescent="0.25">
      <c r="A49" s="1" t="s">
        <v>142</v>
      </c>
      <c r="B49" s="1"/>
      <c r="C49" s="1">
        <v>1</v>
      </c>
      <c r="D49" s="5"/>
      <c r="E49" s="4">
        <f>0.001*1000</f>
        <v>1</v>
      </c>
      <c r="F49" s="6"/>
    </row>
    <row r="50" spans="1:6" x14ac:dyDescent="0.25">
      <c r="A50" s="1" t="s">
        <v>54</v>
      </c>
      <c r="B50" s="1" t="s">
        <v>22</v>
      </c>
      <c r="C50" s="1">
        <v>1</v>
      </c>
      <c r="D50" s="5">
        <f>14.007*2</f>
        <v>28.013999999999999</v>
      </c>
      <c r="E50" s="4">
        <f>0.000001251*1000</f>
        <v>1.2509999999999999E-3</v>
      </c>
      <c r="F50" s="6">
        <f>C50*D50/(E50 * 1000)</f>
        <v>22.393285371702639</v>
      </c>
    </row>
    <row r="51" spans="1:6" x14ac:dyDescent="0.25">
      <c r="A51" s="1" t="s">
        <v>163</v>
      </c>
      <c r="B51" s="1"/>
      <c r="C51" s="1">
        <v>1</v>
      </c>
      <c r="D51" s="5">
        <v>92.04</v>
      </c>
      <c r="E51" s="4">
        <f>0.00145*1000</f>
        <v>1.45</v>
      </c>
      <c r="F51" s="6">
        <f>C51*D51/(E51 * 1000)</f>
        <v>6.3475862068965522E-2</v>
      </c>
    </row>
    <row r="52" spans="1:6" x14ac:dyDescent="0.25">
      <c r="A52" s="1" t="s">
        <v>158</v>
      </c>
      <c r="B52" s="1"/>
      <c r="C52" s="1">
        <v>1</v>
      </c>
      <c r="D52" s="5"/>
      <c r="E52" s="4">
        <v>1.0499999999999999E-3</v>
      </c>
      <c r="F52" s="6"/>
    </row>
    <row r="53" spans="1:6" x14ac:dyDescent="0.25">
      <c r="A53" s="1" t="s">
        <v>132</v>
      </c>
      <c r="B53" s="1"/>
      <c r="C53" s="1">
        <v>1</v>
      </c>
      <c r="D53" s="5"/>
      <c r="E53" s="4">
        <f>0.001*1000</f>
        <v>1</v>
      </c>
      <c r="F53" s="6"/>
    </row>
    <row r="54" spans="1:6" x14ac:dyDescent="0.25">
      <c r="A54" s="1" t="s">
        <v>56</v>
      </c>
      <c r="B54" s="1" t="s">
        <v>9</v>
      </c>
      <c r="C54" s="1">
        <v>1</v>
      </c>
      <c r="D54" s="5">
        <v>32</v>
      </c>
      <c r="E54" s="4">
        <f>0.00000141*1000</f>
        <v>1.41E-3</v>
      </c>
      <c r="F54" s="6">
        <f>C54*D54/(E54 * 1000)</f>
        <v>22.695035460992909</v>
      </c>
    </row>
    <row r="55" spans="1:6" x14ac:dyDescent="0.25">
      <c r="A55" s="1" t="s">
        <v>43</v>
      </c>
      <c r="B55" s="1" t="s">
        <v>44</v>
      </c>
      <c r="C55" s="1">
        <v>1</v>
      </c>
      <c r="D55" s="5">
        <v>30.97</v>
      </c>
      <c r="E55" s="17">
        <f>$E$3</f>
        <v>5</v>
      </c>
      <c r="F55" s="6">
        <f>C55*D55/(E55 * 1000)</f>
        <v>6.1939999999999999E-3</v>
      </c>
    </row>
    <row r="56" spans="1:6" x14ac:dyDescent="0.25">
      <c r="A56" s="1" t="s">
        <v>126</v>
      </c>
      <c r="B56" s="1"/>
      <c r="C56" s="1">
        <v>1</v>
      </c>
      <c r="D56" s="5"/>
      <c r="E56" s="4">
        <f>0.00104*1000</f>
        <v>1.0399999999999998</v>
      </c>
      <c r="F56" s="6"/>
    </row>
    <row r="57" spans="1:6" x14ac:dyDescent="0.25">
      <c r="A57" s="1" t="s">
        <v>36</v>
      </c>
      <c r="B57" s="1" t="s">
        <v>46</v>
      </c>
      <c r="C57" s="1">
        <v>1</v>
      </c>
      <c r="D57" s="5">
        <f>195.078</f>
        <v>195.078</v>
      </c>
      <c r="E57" s="4">
        <f>0.0078*1000</f>
        <v>7.8</v>
      </c>
      <c r="F57" s="6">
        <f>C57*D57/(E57 * 1000)</f>
        <v>2.5010000000000001E-2</v>
      </c>
    </row>
    <row r="58" spans="1:6" x14ac:dyDescent="0.25">
      <c r="A58" s="1" t="s">
        <v>133</v>
      </c>
      <c r="B58" s="1"/>
      <c r="C58" s="1">
        <v>1</v>
      </c>
      <c r="D58" s="5"/>
      <c r="E58" s="4">
        <f>0.00378*1000</f>
        <v>3.78</v>
      </c>
      <c r="F58" s="6"/>
    </row>
    <row r="59" spans="1:6" x14ac:dyDescent="0.25">
      <c r="A59" s="1" t="s">
        <v>127</v>
      </c>
      <c r="B59" s="1"/>
      <c r="C59" s="1">
        <v>1</v>
      </c>
      <c r="D59" s="5"/>
      <c r="E59" s="4">
        <f>0.0052*1000</f>
        <v>5.2</v>
      </c>
      <c r="F59" s="6"/>
    </row>
    <row r="60" spans="1:6" x14ac:dyDescent="0.25">
      <c r="A60" s="1" t="s">
        <v>150</v>
      </c>
      <c r="B60" s="1"/>
      <c r="C60" s="1">
        <v>1</v>
      </c>
      <c r="D60" s="5"/>
      <c r="E60" s="4">
        <f>0.0025*1000</f>
        <v>2.5</v>
      </c>
      <c r="F60" s="6"/>
    </row>
    <row r="61" spans="1:6" x14ac:dyDescent="0.25">
      <c r="A61" s="1" t="s">
        <v>151</v>
      </c>
      <c r="B61" s="1"/>
      <c r="C61" s="1">
        <v>1</v>
      </c>
      <c r="D61" s="5"/>
      <c r="E61" s="4">
        <f>0.004*1000</f>
        <v>4</v>
      </c>
      <c r="F61" s="6"/>
    </row>
    <row r="62" spans="1:6" x14ac:dyDescent="0.25">
      <c r="A62" s="1" t="s">
        <v>37</v>
      </c>
      <c r="B62" s="1" t="s">
        <v>174</v>
      </c>
      <c r="C62" s="1">
        <v>1</v>
      </c>
      <c r="D62" s="5">
        <v>76.08</v>
      </c>
      <c r="E62" s="4">
        <f>0.0025*1000</f>
        <v>2.5</v>
      </c>
      <c r="F62" s="6">
        <f>C62*D62/(E62 * 1000)</f>
        <v>3.0432000000000001E-2</v>
      </c>
    </row>
    <row r="63" spans="1:6" x14ac:dyDescent="0.25">
      <c r="A63" s="1" t="s">
        <v>125</v>
      </c>
      <c r="B63" s="1"/>
      <c r="C63" s="1">
        <v>1</v>
      </c>
      <c r="D63" s="5"/>
      <c r="E63" s="4">
        <f>0.00378*1000</f>
        <v>3.78</v>
      </c>
      <c r="F63" s="6"/>
    </row>
    <row r="64" spans="1:6" x14ac:dyDescent="0.25">
      <c r="A64" s="1" t="s">
        <v>171</v>
      </c>
      <c r="B64" s="1" t="s">
        <v>172</v>
      </c>
      <c r="C64" s="1">
        <v>1</v>
      </c>
      <c r="D64" s="5">
        <v>186.09</v>
      </c>
      <c r="E64" s="4">
        <f>0.0031*1000</f>
        <v>3.1</v>
      </c>
      <c r="F64" s="6">
        <f t="shared" ref="F64" si="6">C64*D64/(E64 * 1000)</f>
        <v>6.0029032258064517E-2</v>
      </c>
    </row>
    <row r="65" spans="1:6" x14ac:dyDescent="0.25">
      <c r="A65" s="1" t="s">
        <v>38</v>
      </c>
      <c r="B65" s="1"/>
      <c r="C65" s="1">
        <v>1</v>
      </c>
      <c r="D65" s="5"/>
      <c r="E65" s="4">
        <f>0.0016*1000</f>
        <v>1.6</v>
      </c>
      <c r="F65" s="6"/>
    </row>
    <row r="66" spans="1:6" x14ac:dyDescent="0.25">
      <c r="A66" s="1" t="s">
        <v>138</v>
      </c>
      <c r="B66" s="1"/>
      <c r="C66" s="1">
        <v>1</v>
      </c>
      <c r="D66" s="5"/>
      <c r="E66" s="4">
        <f>0.001*1000</f>
        <v>1</v>
      </c>
      <c r="F66" s="6"/>
    </row>
    <row r="67" spans="1:6" x14ac:dyDescent="0.25">
      <c r="A67" s="1" t="s">
        <v>135</v>
      </c>
      <c r="B67" s="1" t="s">
        <v>136</v>
      </c>
      <c r="C67" s="1">
        <v>1</v>
      </c>
      <c r="D67" s="5">
        <v>270.02999999999997</v>
      </c>
      <c r="E67" s="4">
        <f>0.0075*1000</f>
        <v>7.5</v>
      </c>
      <c r="F67" s="6">
        <f>C67*D67/(E67 * 1000)</f>
        <v>3.6003999999999994E-2</v>
      </c>
    </row>
    <row r="68" spans="1:6" x14ac:dyDescent="0.25">
      <c r="A68" s="1" t="s">
        <v>164</v>
      </c>
      <c r="B68" s="1" t="s">
        <v>170</v>
      </c>
      <c r="C68" s="1">
        <v>1</v>
      </c>
      <c r="D68" s="5">
        <v>60.1</v>
      </c>
      <c r="E68" s="4">
        <f>0.000791*1000</f>
        <v>0.79100000000000004</v>
      </c>
      <c r="F68" s="6">
        <f>C68*D68/(E68 * 1000)</f>
        <v>7.5979772439949439E-2</v>
      </c>
    </row>
    <row r="69" spans="1:6" x14ac:dyDescent="0.25">
      <c r="A69" s="1" t="s">
        <v>167</v>
      </c>
      <c r="B69" s="1" t="s">
        <v>169</v>
      </c>
      <c r="C69" s="1">
        <v>1</v>
      </c>
      <c r="D69" s="5">
        <f>SUM(($D$28*0.25)+($D$68*0.75))</f>
        <v>53.086500000000001</v>
      </c>
      <c r="E69" s="4">
        <f>0.000829*1000</f>
        <v>0.82899999999999996</v>
      </c>
      <c r="F69" s="6">
        <f>C69*D69/(E69 * 1000)</f>
        <v>6.4036791314837152E-2</v>
      </c>
    </row>
    <row r="70" spans="1:6" x14ac:dyDescent="0.25">
      <c r="A70" s="1" t="s">
        <v>121</v>
      </c>
      <c r="B70" s="1" t="s">
        <v>23</v>
      </c>
      <c r="C70" s="1">
        <v>1</v>
      </c>
      <c r="D70" s="5">
        <v>18.02</v>
      </c>
      <c r="E70" s="4">
        <f>0.001*1000</f>
        <v>1</v>
      </c>
      <c r="F70" s="6">
        <f>C70*D70/(E70 * 1000)</f>
        <v>1.8020000000000001E-2</v>
      </c>
    </row>
    <row r="72" spans="1:6" x14ac:dyDescent="0.25">
      <c r="A72" s="1" t="s">
        <v>104</v>
      </c>
    </row>
    <row r="73" spans="1:6" x14ac:dyDescent="0.25">
      <c r="A73" s="31" t="s">
        <v>105</v>
      </c>
      <c r="D73" s="32"/>
      <c r="E73" s="4">
        <f t="shared" ref="E73:E105" si="7">F73*1000</f>
        <v>5</v>
      </c>
      <c r="F73" s="6">
        <v>5.0000000000000001E-3</v>
      </c>
    </row>
    <row r="74" spans="1:6" x14ac:dyDescent="0.25">
      <c r="A74" s="31" t="s">
        <v>113</v>
      </c>
      <c r="E74" s="4">
        <f t="shared" si="7"/>
        <v>19.3</v>
      </c>
      <c r="F74" s="6">
        <v>1.9300000000000001E-2</v>
      </c>
    </row>
    <row r="75" spans="1:6" x14ac:dyDescent="0.25">
      <c r="A75" s="31" t="s">
        <v>57</v>
      </c>
      <c r="E75" s="4">
        <f t="shared" si="7"/>
        <v>54.4</v>
      </c>
      <c r="F75" s="6">
        <v>5.4399999999999997E-2</v>
      </c>
    </row>
    <row r="76" spans="1:6" x14ac:dyDescent="0.25">
      <c r="A76" s="31" t="s">
        <v>106</v>
      </c>
      <c r="E76" s="4">
        <f t="shared" si="7"/>
        <v>5</v>
      </c>
      <c r="F76" s="6">
        <v>5.0000000000000001E-3</v>
      </c>
    </row>
    <row r="77" spans="1:6" x14ac:dyDescent="0.25">
      <c r="A77" s="31" t="s">
        <v>115</v>
      </c>
      <c r="E77" s="4">
        <f t="shared" si="7"/>
        <v>7</v>
      </c>
      <c r="F77" s="6">
        <v>7.0000000000000001E-3</v>
      </c>
    </row>
    <row r="78" spans="1:6" x14ac:dyDescent="0.25">
      <c r="A78" s="31" t="s">
        <v>153</v>
      </c>
      <c r="E78" s="4">
        <f t="shared" si="7"/>
        <v>0.53399999999999992</v>
      </c>
      <c r="F78" s="6">
        <v>5.3399999999999997E-4</v>
      </c>
    </row>
    <row r="79" spans="1:6" x14ac:dyDescent="0.25">
      <c r="A79" s="31" t="s">
        <v>107</v>
      </c>
      <c r="E79" s="4">
        <f t="shared" si="7"/>
        <v>6.0000000000000005E-2</v>
      </c>
      <c r="F79" s="6">
        <v>6.0000000000000002E-5</v>
      </c>
    </row>
    <row r="80" spans="1:6" x14ac:dyDescent="0.25">
      <c r="A80" s="31" t="s">
        <v>111</v>
      </c>
      <c r="E80" s="4">
        <f t="shared" si="7"/>
        <v>2.5</v>
      </c>
      <c r="F80" s="6">
        <v>2.5000000000000001E-3</v>
      </c>
    </row>
    <row r="81" spans="1:6" x14ac:dyDescent="0.25">
      <c r="A81" s="31" t="s">
        <v>67</v>
      </c>
      <c r="E81" s="4">
        <f t="shared" si="7"/>
        <v>5.0108799999999993</v>
      </c>
      <c r="F81" s="6">
        <v>5.0108799999999997E-3</v>
      </c>
    </row>
    <row r="82" spans="1:6" x14ac:dyDescent="0.25">
      <c r="A82" s="31" t="s">
        <v>116</v>
      </c>
      <c r="E82" s="4">
        <f t="shared" si="7"/>
        <v>4.3499999999999996</v>
      </c>
      <c r="F82" s="6">
        <v>4.3499999999999997E-3</v>
      </c>
    </row>
    <row r="83" spans="1:6" x14ac:dyDescent="0.25">
      <c r="A83" s="31" t="s">
        <v>110</v>
      </c>
      <c r="E83" s="4">
        <f t="shared" si="7"/>
        <v>0.216</v>
      </c>
      <c r="F83" s="6">
        <v>2.1599999999999999E-4</v>
      </c>
    </row>
    <row r="84" spans="1:6" x14ac:dyDescent="0.25">
      <c r="A84" s="31" t="s">
        <v>58</v>
      </c>
      <c r="E84" s="4">
        <f t="shared" si="7"/>
        <v>23.125</v>
      </c>
      <c r="F84" s="6">
        <v>2.3125E-2</v>
      </c>
    </row>
    <row r="85" spans="1:6" x14ac:dyDescent="0.25">
      <c r="A85" s="31" t="s">
        <v>59</v>
      </c>
      <c r="E85" s="4">
        <f t="shared" si="7"/>
        <v>5.25</v>
      </c>
      <c r="F85" s="6">
        <v>5.2500000000000003E-3</v>
      </c>
    </row>
    <row r="86" spans="1:6" x14ac:dyDescent="0.25">
      <c r="A86" s="31" t="s">
        <v>60</v>
      </c>
      <c r="E86" s="4">
        <f t="shared" si="7"/>
        <v>5</v>
      </c>
      <c r="F86" s="6">
        <v>5.0000000000000001E-3</v>
      </c>
    </row>
    <row r="87" spans="1:6" x14ac:dyDescent="0.25">
      <c r="A87" s="31" t="s">
        <v>152</v>
      </c>
      <c r="E87" s="4">
        <f t="shared" si="7"/>
        <v>1</v>
      </c>
      <c r="F87" s="6">
        <v>1E-3</v>
      </c>
    </row>
    <row r="88" spans="1:6" x14ac:dyDescent="0.25">
      <c r="A88" s="31" t="s">
        <v>61</v>
      </c>
      <c r="E88" s="4">
        <f t="shared" si="7"/>
        <v>12.5</v>
      </c>
      <c r="F88" s="6">
        <v>1.2500000000000001E-2</v>
      </c>
    </row>
    <row r="89" spans="1:6" x14ac:dyDescent="0.25">
      <c r="A89" s="31" t="s">
        <v>112</v>
      </c>
      <c r="E89" s="4">
        <f t="shared" si="7"/>
        <v>2.4</v>
      </c>
      <c r="F89" s="6">
        <v>2.3999999999999998E-3</v>
      </c>
    </row>
    <row r="90" spans="1:6" x14ac:dyDescent="0.25">
      <c r="A90" s="31" t="s">
        <v>62</v>
      </c>
      <c r="E90" s="4">
        <f t="shared" si="7"/>
        <v>13.5</v>
      </c>
      <c r="F90" s="6">
        <v>1.35E-2</v>
      </c>
    </row>
    <row r="91" spans="1:6" x14ac:dyDescent="0.25">
      <c r="A91" s="31" t="s">
        <v>63</v>
      </c>
      <c r="E91" s="4">
        <f t="shared" si="7"/>
        <v>8.6</v>
      </c>
      <c r="F91" s="6">
        <v>8.6E-3</v>
      </c>
    </row>
    <row r="92" spans="1:6" x14ac:dyDescent="0.25">
      <c r="A92" s="31" t="s">
        <v>64</v>
      </c>
      <c r="B92" s="1"/>
      <c r="C92" s="1"/>
      <c r="D92" s="3"/>
      <c r="E92" s="4">
        <f t="shared" si="7"/>
        <v>5.7050000000000001</v>
      </c>
      <c r="F92" s="6">
        <v>5.705E-3</v>
      </c>
    </row>
    <row r="93" spans="1:6" x14ac:dyDescent="0.25">
      <c r="A93" s="31" t="s">
        <v>65</v>
      </c>
      <c r="B93" s="1"/>
      <c r="C93" s="1"/>
      <c r="D93" s="3"/>
      <c r="E93" s="4">
        <f t="shared" si="7"/>
        <v>13.5</v>
      </c>
      <c r="F93" s="6">
        <v>1.35E-2</v>
      </c>
    </row>
    <row r="94" spans="1:6" x14ac:dyDescent="0.25">
      <c r="A94" s="31" t="s">
        <v>69</v>
      </c>
      <c r="B94" s="1"/>
      <c r="C94" s="1"/>
      <c r="D94" s="3"/>
      <c r="E94" s="4">
        <f t="shared" si="7"/>
        <v>0.35399999999999998</v>
      </c>
      <c r="F94" s="6">
        <v>3.5399999999999999E-4</v>
      </c>
    </row>
    <row r="95" spans="1:6" x14ac:dyDescent="0.25">
      <c r="A95" s="31" t="s">
        <v>108</v>
      </c>
      <c r="B95" s="1"/>
      <c r="C95" s="1"/>
      <c r="D95" s="3"/>
      <c r="E95" s="4">
        <f t="shared" si="7"/>
        <v>2.12805</v>
      </c>
      <c r="F95" s="6">
        <v>2.1280499999999998E-3</v>
      </c>
    </row>
    <row r="96" spans="1:6" x14ac:dyDescent="0.25">
      <c r="A96" s="31" t="s">
        <v>118</v>
      </c>
      <c r="B96" s="1"/>
      <c r="C96" s="1"/>
      <c r="D96" s="3"/>
      <c r="E96" s="4">
        <f t="shared" si="7"/>
        <v>1.08</v>
      </c>
      <c r="F96" s="6">
        <v>1.08E-3</v>
      </c>
    </row>
    <row r="97" spans="1:6" x14ac:dyDescent="0.25">
      <c r="A97" s="31" t="s">
        <v>109</v>
      </c>
      <c r="B97" s="1"/>
      <c r="C97" s="1"/>
      <c r="D97" s="3"/>
      <c r="E97" s="4">
        <f t="shared" si="7"/>
        <v>4.1000000000000005</v>
      </c>
      <c r="F97" s="6">
        <v>4.1000000000000003E-3</v>
      </c>
    </row>
    <row r="98" spans="1:6" x14ac:dyDescent="0.25">
      <c r="A98" s="31" t="s">
        <v>52</v>
      </c>
      <c r="E98" s="4">
        <f t="shared" si="7"/>
        <v>12.5</v>
      </c>
      <c r="F98" s="6">
        <v>1.2500000000000001E-2</v>
      </c>
    </row>
    <row r="99" spans="1:6" x14ac:dyDescent="0.25">
      <c r="A99" s="31" t="s">
        <v>71</v>
      </c>
      <c r="E99" s="4">
        <f t="shared" si="7"/>
        <v>4.5999999999999996</v>
      </c>
      <c r="F99" s="6">
        <v>4.5999999999999999E-3</v>
      </c>
    </row>
    <row r="100" spans="1:6" x14ac:dyDescent="0.25">
      <c r="A100" s="31" t="s">
        <v>119</v>
      </c>
      <c r="E100" s="4">
        <f t="shared" si="7"/>
        <v>1</v>
      </c>
      <c r="F100" s="6">
        <v>1E-3</v>
      </c>
    </row>
    <row r="101" spans="1:6" x14ac:dyDescent="0.25">
      <c r="A101" s="31" t="s">
        <v>120</v>
      </c>
      <c r="E101" s="4">
        <f t="shared" si="7"/>
        <v>1</v>
      </c>
      <c r="F101" s="6">
        <v>1E-3</v>
      </c>
    </row>
    <row r="102" spans="1:6" x14ac:dyDescent="0.25">
      <c r="A102" s="31" t="s">
        <v>114</v>
      </c>
      <c r="E102" s="4">
        <f t="shared" si="7"/>
        <v>7.5</v>
      </c>
      <c r="F102" s="6">
        <v>7.4999999999999997E-3</v>
      </c>
    </row>
    <row r="103" spans="1:6" x14ac:dyDescent="0.25">
      <c r="A103" s="31" t="s">
        <v>117</v>
      </c>
      <c r="E103" s="4">
        <f t="shared" si="7"/>
        <v>4.3499999999999996</v>
      </c>
      <c r="F103" s="6">
        <v>4.3499999999999997E-3</v>
      </c>
    </row>
    <row r="104" spans="1:6" x14ac:dyDescent="0.25">
      <c r="A104" s="31" t="s">
        <v>122</v>
      </c>
      <c r="E104" s="4">
        <f t="shared" si="7"/>
        <v>5</v>
      </c>
      <c r="F104" s="6">
        <v>5.0000000000000001E-3</v>
      </c>
    </row>
    <row r="105" spans="1:6" x14ac:dyDescent="0.25">
      <c r="A105" s="31" t="s">
        <v>66</v>
      </c>
      <c r="E105" s="4">
        <f t="shared" si="7"/>
        <v>5</v>
      </c>
      <c r="F105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2021-01-24T22:39:27Z</dcterms:modified>
  <cp:category/>
  <cp:contentStatus/>
</cp:coreProperties>
</file>