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bs\Desktop\modeling\lab_3\"/>
    </mc:Choice>
  </mc:AlternateContent>
  <bookViews>
    <workbookView xWindow="0" yWindow="0" windowWidth="20490" windowHeight="7680" activeTab="1"/>
  </bookViews>
  <sheets>
    <sheet name="Исходные данные" sheetId="1" r:id="rId1"/>
    <sheet name="Сравнение" sheetId="12" r:id="rId2"/>
    <sheet name="Графики" sheetId="11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2" i="12"/>
  <c r="E3" i="12"/>
  <c r="E4" i="12"/>
  <c r="E5" i="12"/>
  <c r="E6" i="12"/>
  <c r="E2" i="12"/>
  <c r="AC31" i="11" l="1"/>
  <c r="Z8" i="11"/>
  <c r="AA8" i="11" s="1"/>
  <c r="AC8" i="11" s="1"/>
  <c r="AB8" i="11"/>
  <c r="Z9" i="11"/>
  <c r="AA9" i="11" s="1"/>
  <c r="AC9" i="11" s="1"/>
  <c r="AB9" i="11"/>
  <c r="Z10" i="11"/>
  <c r="AA10" i="11" s="1"/>
  <c r="AC10" i="11" s="1"/>
  <c r="AB10" i="11"/>
  <c r="Z11" i="11"/>
  <c r="AA11" i="11" s="1"/>
  <c r="AC11" i="11" s="1"/>
  <c r="AB11" i="11"/>
  <c r="Z12" i="11"/>
  <c r="AA12" i="11" s="1"/>
  <c r="AC12" i="11" s="1"/>
  <c r="AB12" i="11"/>
  <c r="Z13" i="11"/>
  <c r="AA13" i="11" s="1"/>
  <c r="AC13" i="11" s="1"/>
  <c r="AB13" i="11"/>
  <c r="Z14" i="11"/>
  <c r="AA14" i="11" s="1"/>
  <c r="AC14" i="11" s="1"/>
  <c r="AB14" i="11"/>
  <c r="Z15" i="11"/>
  <c r="AA15" i="11" s="1"/>
  <c r="AC15" i="11" s="1"/>
  <c r="AB15" i="11"/>
  <c r="Z16" i="11"/>
  <c r="AA16" i="11" s="1"/>
  <c r="AC16" i="11" s="1"/>
  <c r="AB16" i="11"/>
  <c r="Z17" i="11"/>
  <c r="AA17" i="11" s="1"/>
  <c r="AC17" i="11" s="1"/>
  <c r="AB17" i="11"/>
  <c r="Z18" i="11"/>
  <c r="AA18" i="11" s="1"/>
  <c r="AC18" i="11" s="1"/>
  <c r="AB18" i="11"/>
  <c r="Z19" i="11"/>
  <c r="AA19" i="11" s="1"/>
  <c r="AC19" i="11" s="1"/>
  <c r="AB19" i="11"/>
  <c r="Z20" i="11"/>
  <c r="AA20" i="11" s="1"/>
  <c r="AC20" i="11" s="1"/>
  <c r="AB20" i="11"/>
  <c r="Z21" i="11"/>
  <c r="AA21" i="11" s="1"/>
  <c r="AC21" i="11" s="1"/>
  <c r="AB21" i="11"/>
  <c r="Z22" i="11"/>
  <c r="AA22" i="11" s="1"/>
  <c r="AC22" i="11" s="1"/>
  <c r="AB22" i="11"/>
  <c r="Z23" i="11"/>
  <c r="AA23" i="11" s="1"/>
  <c r="AC23" i="11" s="1"/>
  <c r="AB23" i="11"/>
  <c r="Z24" i="11"/>
  <c r="AA24" i="11" s="1"/>
  <c r="AC24" i="11" s="1"/>
  <c r="AB24" i="11"/>
  <c r="Z25" i="11"/>
  <c r="AA25" i="11" s="1"/>
  <c r="AC25" i="11" s="1"/>
  <c r="AB25" i="11"/>
  <c r="Z26" i="11"/>
  <c r="AA26" i="11" s="1"/>
  <c r="AC26" i="11" s="1"/>
  <c r="AB26" i="11"/>
  <c r="Z27" i="11"/>
  <c r="AA27" i="11" s="1"/>
  <c r="AC27" i="11" s="1"/>
  <c r="AB27" i="11"/>
  <c r="Z28" i="11"/>
  <c r="AA28" i="11" s="1"/>
  <c r="AC28" i="11" s="1"/>
  <c r="AB28" i="11"/>
  <c r="Z29" i="11"/>
  <c r="AA29" i="11" s="1"/>
  <c r="AC29" i="11" s="1"/>
  <c r="AB29" i="11"/>
  <c r="Z30" i="11"/>
  <c r="AA30" i="11" s="1"/>
  <c r="AC30" i="11" s="1"/>
  <c r="AB30" i="11"/>
  <c r="Z31" i="11"/>
  <c r="AA31" i="11" s="1"/>
  <c r="AB31" i="11"/>
  <c r="AC7" i="11"/>
  <c r="AB7" i="11"/>
  <c r="AA7" i="11"/>
  <c r="Z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7" i="11"/>
  <c r="K26" i="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7" i="11"/>
  <c r="K24" i="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7" i="11"/>
  <c r="F8" i="11"/>
  <c r="G8" i="11" s="1"/>
  <c r="H8" i="11" s="1"/>
  <c r="F9" i="11"/>
  <c r="G9" i="11" s="1"/>
  <c r="H9" i="11" s="1"/>
  <c r="F12" i="11"/>
  <c r="G12" i="11" s="1"/>
  <c r="H12" i="11" s="1"/>
  <c r="F13" i="11"/>
  <c r="G13" i="11" s="1"/>
  <c r="H13" i="11" s="1"/>
  <c r="F16" i="11"/>
  <c r="G16" i="11" s="1"/>
  <c r="H16" i="11" s="1"/>
  <c r="F17" i="11"/>
  <c r="G17" i="11" s="1"/>
  <c r="H17" i="11" s="1"/>
  <c r="F20" i="11"/>
  <c r="G20" i="11" s="1"/>
  <c r="H20" i="11" s="1"/>
  <c r="F21" i="11"/>
  <c r="G21" i="11" s="1"/>
  <c r="H21" i="11" s="1"/>
  <c r="F24" i="11"/>
  <c r="G24" i="11" s="1"/>
  <c r="H24" i="11" s="1"/>
  <c r="F25" i="11"/>
  <c r="G25" i="11" s="1"/>
  <c r="H25" i="11" s="1"/>
  <c r="F28" i="11"/>
  <c r="G28" i="11" s="1"/>
  <c r="H28" i="11" s="1"/>
  <c r="F29" i="11"/>
  <c r="G29" i="11" s="1"/>
  <c r="H29" i="11" s="1"/>
  <c r="F7" i="11"/>
  <c r="G7" i="11" s="1"/>
  <c r="H7" i="11" s="1"/>
  <c r="K3" i="1"/>
  <c r="K4" i="1" s="1"/>
  <c r="K5" i="1" s="1"/>
  <c r="K2" i="1"/>
  <c r="B3" i="11"/>
  <c r="C1" i="11"/>
  <c r="E8" i="11"/>
  <c r="E9" i="11"/>
  <c r="E10" i="11"/>
  <c r="F10" i="11" s="1"/>
  <c r="G10" i="11" s="1"/>
  <c r="H10" i="11" s="1"/>
  <c r="E11" i="11"/>
  <c r="F11" i="11" s="1"/>
  <c r="G11" i="11" s="1"/>
  <c r="H11" i="11" s="1"/>
  <c r="E12" i="11"/>
  <c r="E13" i="11"/>
  <c r="E14" i="11"/>
  <c r="F14" i="11" s="1"/>
  <c r="G14" i="11" s="1"/>
  <c r="H14" i="11" s="1"/>
  <c r="E15" i="11"/>
  <c r="F15" i="11" s="1"/>
  <c r="G15" i="11" s="1"/>
  <c r="H15" i="11" s="1"/>
  <c r="E16" i="11"/>
  <c r="E17" i="11"/>
  <c r="E18" i="11"/>
  <c r="F18" i="11" s="1"/>
  <c r="G18" i="11" s="1"/>
  <c r="H18" i="11" s="1"/>
  <c r="E19" i="11"/>
  <c r="F19" i="11" s="1"/>
  <c r="G19" i="11" s="1"/>
  <c r="H19" i="11" s="1"/>
  <c r="E20" i="11"/>
  <c r="E21" i="11"/>
  <c r="E22" i="11"/>
  <c r="F22" i="11" s="1"/>
  <c r="G22" i="11" s="1"/>
  <c r="H22" i="11" s="1"/>
  <c r="E23" i="11"/>
  <c r="F23" i="11" s="1"/>
  <c r="G23" i="11" s="1"/>
  <c r="H23" i="11" s="1"/>
  <c r="E24" i="11"/>
  <c r="E25" i="11"/>
  <c r="E26" i="11"/>
  <c r="F26" i="11" s="1"/>
  <c r="G26" i="11" s="1"/>
  <c r="H26" i="11" s="1"/>
  <c r="E27" i="11"/>
  <c r="F27" i="11" s="1"/>
  <c r="G27" i="11" s="1"/>
  <c r="H27" i="11" s="1"/>
  <c r="E28" i="11"/>
  <c r="E29" i="11"/>
  <c r="E30" i="11"/>
  <c r="F30" i="11" s="1"/>
  <c r="G30" i="11" s="1"/>
  <c r="H30" i="11" s="1"/>
  <c r="E31" i="11"/>
  <c r="F31" i="11" s="1"/>
  <c r="G31" i="11" s="1"/>
  <c r="H31" i="11" s="1"/>
  <c r="E7" i="11"/>
  <c r="D31" i="11"/>
  <c r="D30" i="11"/>
  <c r="D29" i="11"/>
  <c r="D27" i="11"/>
  <c r="D28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7" i="11"/>
  <c r="U60" i="1"/>
  <c r="U59" i="1"/>
  <c r="U58" i="1"/>
  <c r="U57" i="1"/>
  <c r="U35" i="1"/>
  <c r="U41" i="1" s="1"/>
  <c r="U61" i="1"/>
  <c r="W70" i="1"/>
  <c r="Y72" i="1"/>
  <c r="AA74" i="1"/>
  <c r="AC76" i="1"/>
  <c r="V70" i="1"/>
  <c r="X72" i="1"/>
  <c r="Z74" i="1"/>
  <c r="AB76" i="1"/>
  <c r="U69" i="1"/>
  <c r="U68" i="1"/>
  <c r="AE75" i="1"/>
  <c r="AC73" i="1"/>
  <c r="AA71" i="1"/>
  <c r="Y69" i="1"/>
  <c r="W67" i="1"/>
  <c r="AD74" i="1"/>
  <c r="AB72" i="1"/>
  <c r="Z70" i="1"/>
  <c r="X68" i="1"/>
  <c r="V67" i="1"/>
  <c r="U43" i="1"/>
  <c r="Y73" i="1" s="1"/>
  <c r="U42" i="1"/>
  <c r="U40" i="1"/>
  <c r="U39" i="1"/>
  <c r="U38" i="1"/>
  <c r="U34" i="1"/>
  <c r="U33" i="1"/>
  <c r="K48" i="1"/>
  <c r="K47" i="1"/>
  <c r="K46" i="1"/>
  <c r="K45" i="1"/>
  <c r="K44" i="1"/>
  <c r="K43" i="1"/>
  <c r="U29" i="1"/>
  <c r="U28" i="1"/>
  <c r="U27" i="1"/>
  <c r="U26" i="1"/>
  <c r="U25" i="1"/>
  <c r="U24" i="1"/>
  <c r="U12" i="1"/>
  <c r="U11" i="1"/>
  <c r="K33" i="1"/>
  <c r="K34" i="1"/>
  <c r="K12" i="1"/>
  <c r="K11" i="1"/>
  <c r="K21" i="1" s="1"/>
  <c r="K25" i="1" s="1"/>
  <c r="K22" i="1"/>
  <c r="K23" i="1"/>
  <c r="K20" i="1"/>
  <c r="B15" i="1"/>
  <c r="B14" i="1"/>
  <c r="B12" i="1"/>
  <c r="K7" i="1" l="1"/>
  <c r="K6" i="1"/>
  <c r="K8" i="1" s="1"/>
  <c r="C11" i="11"/>
  <c r="C15" i="11"/>
  <c r="T15" i="11" s="1"/>
  <c r="C19" i="11"/>
  <c r="C23" i="11"/>
  <c r="T23" i="11" s="1"/>
  <c r="C27" i="11"/>
  <c r="C31" i="11"/>
  <c r="T31" i="11" s="1"/>
  <c r="B10" i="11"/>
  <c r="J10" i="11" s="1"/>
  <c r="B14" i="11"/>
  <c r="J14" i="11" s="1"/>
  <c r="B18" i="11"/>
  <c r="J18" i="11" s="1"/>
  <c r="B22" i="11"/>
  <c r="J22" i="11" s="1"/>
  <c r="B26" i="11"/>
  <c r="J26" i="11" s="1"/>
  <c r="B30" i="11"/>
  <c r="J30" i="11" s="1"/>
  <c r="C8" i="11"/>
  <c r="C12" i="11"/>
  <c r="T12" i="11" s="1"/>
  <c r="C16" i="11"/>
  <c r="T16" i="11" s="1"/>
  <c r="C20" i="11"/>
  <c r="T20" i="11" s="1"/>
  <c r="C24" i="11"/>
  <c r="C28" i="11"/>
  <c r="T28" i="11" s="1"/>
  <c r="C7" i="11"/>
  <c r="T7" i="11" s="1"/>
  <c r="B11" i="11"/>
  <c r="B15" i="11"/>
  <c r="B19" i="11"/>
  <c r="J19" i="11" s="1"/>
  <c r="B23" i="11"/>
  <c r="J23" i="11" s="1"/>
  <c r="B27" i="11"/>
  <c r="J27" i="11" s="1"/>
  <c r="B31" i="11"/>
  <c r="B17" i="11"/>
  <c r="J17" i="11" s="1"/>
  <c r="C26" i="11"/>
  <c r="T26" i="11" s="1"/>
  <c r="C10" i="11"/>
  <c r="T10" i="11" s="1"/>
  <c r="B7" i="11"/>
  <c r="B24" i="11"/>
  <c r="J24" i="11" s="1"/>
  <c r="B16" i="11"/>
  <c r="J16" i="11" s="1"/>
  <c r="B8" i="11"/>
  <c r="J8" i="11" s="1"/>
  <c r="C25" i="11"/>
  <c r="C17" i="11"/>
  <c r="T17" i="11" s="1"/>
  <c r="C9" i="11"/>
  <c r="T9" i="11" s="1"/>
  <c r="B29" i="11"/>
  <c r="J29" i="11" s="1"/>
  <c r="B21" i="11"/>
  <c r="J21" i="11" s="1"/>
  <c r="B13" i="11"/>
  <c r="J13" i="11" s="1"/>
  <c r="C30" i="11"/>
  <c r="T30" i="11" s="1"/>
  <c r="C22" i="11"/>
  <c r="T22" i="11" s="1"/>
  <c r="C14" i="11"/>
  <c r="B25" i="11"/>
  <c r="J25" i="11" s="1"/>
  <c r="B9" i="11"/>
  <c r="J9" i="11" s="1"/>
  <c r="C18" i="11"/>
  <c r="B28" i="11"/>
  <c r="B20" i="11"/>
  <c r="J20" i="11" s="1"/>
  <c r="B12" i="11"/>
  <c r="C29" i="11"/>
  <c r="C21" i="11"/>
  <c r="C13" i="11"/>
  <c r="T13" i="11" s="1"/>
  <c r="J28" i="11"/>
  <c r="J12" i="11"/>
  <c r="T24" i="11"/>
  <c r="W24" i="11" s="1"/>
  <c r="T18" i="11"/>
  <c r="W18" i="11" s="1"/>
  <c r="T14" i="11"/>
  <c r="T8" i="11"/>
  <c r="W8" i="11" s="1"/>
  <c r="J7" i="11"/>
  <c r="J31" i="11"/>
  <c r="J15" i="11"/>
  <c r="J11" i="11"/>
  <c r="T29" i="11"/>
  <c r="S29" i="11" s="1"/>
  <c r="T27" i="11"/>
  <c r="T25" i="11"/>
  <c r="V25" i="11" s="1"/>
  <c r="T21" i="11"/>
  <c r="V21" i="11" s="1"/>
  <c r="T19" i="11"/>
  <c r="W19" i="11" s="1"/>
  <c r="T11" i="11"/>
  <c r="V11" i="11" s="1"/>
  <c r="U25" i="11"/>
  <c r="S25" i="11"/>
  <c r="W25" i="11"/>
  <c r="W27" i="11"/>
  <c r="W29" i="11"/>
  <c r="W21" i="11"/>
  <c r="W14" i="11"/>
  <c r="U62" i="1"/>
  <c r="U63" i="1"/>
  <c r="Z75" i="1"/>
  <c r="V71" i="1"/>
  <c r="AB77" i="1"/>
  <c r="X73" i="1"/>
  <c r="W71" i="1"/>
  <c r="AC77" i="1"/>
  <c r="AA75" i="1"/>
  <c r="U30" i="1"/>
  <c r="H1" i="1"/>
  <c r="W15" i="11" l="1"/>
  <c r="S15" i="11"/>
  <c r="V15" i="11"/>
  <c r="S17" i="11"/>
  <c r="U17" i="11"/>
  <c r="V17" i="11"/>
  <c r="S21" i="11"/>
  <c r="V31" i="11"/>
  <c r="S31" i="11"/>
  <c r="U31" i="11"/>
  <c r="W31" i="11"/>
  <c r="W13" i="11"/>
  <c r="S13" i="11"/>
  <c r="W17" i="11"/>
  <c r="W11" i="11"/>
  <c r="S22" i="11"/>
  <c r="X22" i="11"/>
  <c r="U22" i="11"/>
  <c r="V22" i="11"/>
  <c r="W22" i="11"/>
  <c r="S20" i="11"/>
  <c r="V20" i="11"/>
  <c r="X20" i="11"/>
  <c r="U20" i="11"/>
  <c r="W20" i="11"/>
  <c r="S30" i="11"/>
  <c r="X30" i="11"/>
  <c r="U30" i="11"/>
  <c r="V30" i="11"/>
  <c r="W30" i="11"/>
  <c r="M23" i="11"/>
  <c r="L23" i="11"/>
  <c r="K23" i="11"/>
  <c r="I23" i="11"/>
  <c r="W7" i="11"/>
  <c r="V7" i="11"/>
  <c r="X7" i="11"/>
  <c r="U7" i="11"/>
  <c r="S7" i="11"/>
  <c r="M20" i="11"/>
  <c r="L20" i="11"/>
  <c r="K20" i="11"/>
  <c r="I20" i="11"/>
  <c r="M8" i="11"/>
  <c r="L8" i="11"/>
  <c r="K8" i="11"/>
  <c r="I8" i="11"/>
  <c r="X23" i="11"/>
  <c r="U23" i="11"/>
  <c r="V23" i="11"/>
  <c r="W23" i="11"/>
  <c r="S23" i="11"/>
  <c r="U9" i="11"/>
  <c r="X9" i="11"/>
  <c r="W9" i="11"/>
  <c r="S9" i="11"/>
  <c r="V9" i="11"/>
  <c r="S16" i="11"/>
  <c r="X16" i="11"/>
  <c r="U16" i="11"/>
  <c r="V16" i="11"/>
  <c r="W16" i="11"/>
  <c r="X19" i="11"/>
  <c r="M11" i="11"/>
  <c r="L11" i="11"/>
  <c r="K11" i="11"/>
  <c r="I11" i="11"/>
  <c r="S10" i="11"/>
  <c r="X10" i="11"/>
  <c r="U10" i="11"/>
  <c r="V10" i="11"/>
  <c r="S26" i="11"/>
  <c r="X26" i="11"/>
  <c r="U26" i="11"/>
  <c r="V26" i="11"/>
  <c r="M28" i="11"/>
  <c r="L28" i="11"/>
  <c r="K28" i="11"/>
  <c r="I28" i="11"/>
  <c r="M30" i="11"/>
  <c r="K30" i="11"/>
  <c r="I30" i="11"/>
  <c r="L30" i="11"/>
  <c r="X13" i="11"/>
  <c r="X29" i="11"/>
  <c r="M31" i="11"/>
  <c r="L31" i="11"/>
  <c r="K31" i="11"/>
  <c r="I31" i="11"/>
  <c r="S28" i="11"/>
  <c r="X28" i="11"/>
  <c r="V28" i="11"/>
  <c r="U28" i="11"/>
  <c r="M9" i="11"/>
  <c r="L9" i="11"/>
  <c r="K9" i="11"/>
  <c r="I9" i="11"/>
  <c r="M10" i="11"/>
  <c r="L10" i="11"/>
  <c r="K10" i="11"/>
  <c r="I10" i="11"/>
  <c r="V29" i="11"/>
  <c r="V19" i="11"/>
  <c r="X15" i="11"/>
  <c r="X31" i="11"/>
  <c r="M19" i="11"/>
  <c r="L19" i="11"/>
  <c r="K19" i="11"/>
  <c r="I19" i="11"/>
  <c r="I7" i="11"/>
  <c r="M7" i="11"/>
  <c r="L7" i="11"/>
  <c r="K7" i="11"/>
  <c r="S14" i="11"/>
  <c r="X14" i="11"/>
  <c r="U14" i="11"/>
  <c r="V14" i="11"/>
  <c r="M25" i="11"/>
  <c r="L25" i="11"/>
  <c r="K25" i="11"/>
  <c r="I25" i="11"/>
  <c r="M13" i="11"/>
  <c r="L13" i="11"/>
  <c r="K13" i="11"/>
  <c r="I13" i="11"/>
  <c r="M17" i="11"/>
  <c r="L17" i="11"/>
  <c r="K17" i="11"/>
  <c r="I17" i="11"/>
  <c r="M22" i="11"/>
  <c r="L22" i="11"/>
  <c r="K22" i="11"/>
  <c r="I22" i="11"/>
  <c r="X11" i="11"/>
  <c r="X27" i="11"/>
  <c r="M27" i="11"/>
  <c r="L27" i="11"/>
  <c r="K27" i="11"/>
  <c r="I27" i="11"/>
  <c r="S18" i="11"/>
  <c r="X18" i="11"/>
  <c r="U18" i="11"/>
  <c r="V18" i="11"/>
  <c r="M12" i="11"/>
  <c r="N12" i="11" s="1"/>
  <c r="L12" i="11"/>
  <c r="K12" i="11"/>
  <c r="I12" i="11"/>
  <c r="M29" i="11"/>
  <c r="L29" i="11"/>
  <c r="K29" i="11"/>
  <c r="I29" i="11"/>
  <c r="M14" i="11"/>
  <c r="K14" i="11"/>
  <c r="I14" i="11"/>
  <c r="L14" i="11"/>
  <c r="S11" i="11"/>
  <c r="S27" i="11"/>
  <c r="S19" i="11"/>
  <c r="X21" i="11"/>
  <c r="M15" i="11"/>
  <c r="L15" i="11"/>
  <c r="K15" i="11"/>
  <c r="I15" i="11"/>
  <c r="S12" i="11"/>
  <c r="U12" i="11"/>
  <c r="X12" i="11"/>
  <c r="V12" i="11"/>
  <c r="M16" i="11"/>
  <c r="L16" i="11"/>
  <c r="K16" i="11"/>
  <c r="I16" i="11"/>
  <c r="M26" i="11"/>
  <c r="L26" i="11"/>
  <c r="K26" i="11"/>
  <c r="I26" i="11"/>
  <c r="W10" i="11"/>
  <c r="Y10" i="11" s="1"/>
  <c r="W26" i="11"/>
  <c r="V13" i="11"/>
  <c r="V27" i="11"/>
  <c r="W12" i="11"/>
  <c r="W28" i="11"/>
  <c r="U13" i="11"/>
  <c r="U21" i="11"/>
  <c r="Y21" i="11" s="1"/>
  <c r="U29" i="11"/>
  <c r="Y29" i="11" s="1"/>
  <c r="U15" i="11"/>
  <c r="U11" i="11"/>
  <c r="U27" i="11"/>
  <c r="Y27" i="11" s="1"/>
  <c r="U19" i="11"/>
  <c r="Y19" i="11" s="1"/>
  <c r="X17" i="11"/>
  <c r="Y17" i="11" s="1"/>
  <c r="X25" i="11"/>
  <c r="Y25" i="11"/>
  <c r="S8" i="11"/>
  <c r="U8" i="11"/>
  <c r="V8" i="11"/>
  <c r="X8" i="11"/>
  <c r="S24" i="11"/>
  <c r="X24" i="11"/>
  <c r="U24" i="11"/>
  <c r="V24" i="11"/>
  <c r="M24" i="11"/>
  <c r="N24" i="11" s="1"/>
  <c r="L24" i="11"/>
  <c r="K24" i="11"/>
  <c r="I24" i="11"/>
  <c r="M21" i="11"/>
  <c r="L21" i="11"/>
  <c r="K21" i="11"/>
  <c r="I21" i="11"/>
  <c r="M18" i="11"/>
  <c r="L18" i="11"/>
  <c r="K18" i="11"/>
  <c r="I18" i="11"/>
  <c r="N20" i="11"/>
  <c r="K49" i="1"/>
  <c r="B8" i="1"/>
  <c r="B7" i="1"/>
  <c r="B5" i="1"/>
  <c r="B9" i="1" s="1"/>
  <c r="B4" i="1"/>
  <c r="C4" i="1" s="1"/>
  <c r="B3" i="1"/>
  <c r="B2" i="1"/>
  <c r="H2" i="1"/>
  <c r="Y11" i="11" l="1"/>
  <c r="Y13" i="11"/>
  <c r="Y26" i="11"/>
  <c r="N18" i="11"/>
  <c r="Y14" i="11"/>
  <c r="N14" i="11"/>
  <c r="Y31" i="11"/>
  <c r="Y28" i="11"/>
  <c r="Y16" i="11"/>
  <c r="Y7" i="11"/>
  <c r="Y22" i="11"/>
  <c r="Y24" i="11"/>
  <c r="Y8" i="11"/>
  <c r="N29" i="11"/>
  <c r="Y18" i="11"/>
  <c r="Y15" i="11"/>
  <c r="N10" i="11"/>
  <c r="N28" i="11"/>
  <c r="Y9" i="11"/>
  <c r="Y23" i="11"/>
  <c r="Y20" i="11"/>
  <c r="N26" i="11"/>
  <c r="N16" i="11"/>
  <c r="Y12" i="11"/>
  <c r="N13" i="11"/>
  <c r="N25" i="11"/>
  <c r="N23" i="11"/>
  <c r="Y30" i="11"/>
  <c r="N17" i="11"/>
  <c r="N21" i="11"/>
  <c r="N30" i="11"/>
  <c r="N22" i="11"/>
  <c r="N19" i="11"/>
  <c r="N7" i="11"/>
  <c r="N15" i="11"/>
  <c r="N31" i="11"/>
  <c r="N27" i="11"/>
  <c r="N9" i="11"/>
  <c r="N8" i="11"/>
  <c r="N11" i="11"/>
</calcChain>
</file>

<file path=xl/sharedStrings.xml><?xml version="1.0" encoding="utf-8"?>
<sst xmlns="http://schemas.openxmlformats.org/spreadsheetml/2006/main" count="317" uniqueCount="144">
  <si>
    <t>Значения параметров</t>
  </si>
  <si>
    <t>Имя</t>
  </si>
  <si>
    <t>Фамилия</t>
  </si>
  <si>
    <t>Дмитрий</t>
  </si>
  <si>
    <t>Плюхин</t>
  </si>
  <si>
    <t>k =</t>
  </si>
  <si>
    <t xml:space="preserve">M[b] = </t>
  </si>
  <si>
    <t>λ =</t>
  </si>
  <si>
    <t xml:space="preserve">q = </t>
  </si>
  <si>
    <t>Е1 =</t>
  </si>
  <si>
    <t>pos inf</t>
  </si>
  <si>
    <t xml:space="preserve">E2 = </t>
  </si>
  <si>
    <t xml:space="preserve">E3 = </t>
  </si>
  <si>
    <t xml:space="preserve">1-q = </t>
  </si>
  <si>
    <t xml:space="preserve">t1 = </t>
  </si>
  <si>
    <t>q &lt;=</t>
  </si>
  <si>
    <t xml:space="preserve">t2 = </t>
  </si>
  <si>
    <t>v =</t>
  </si>
  <si>
    <t>Расчет характеристик СМО-1</t>
  </si>
  <si>
    <t xml:space="preserve">r = </t>
  </si>
  <si>
    <t>Загрузка системы</t>
  </si>
  <si>
    <t xml:space="preserve">P0 = </t>
  </si>
  <si>
    <t xml:space="preserve">Вероятность простоя </t>
  </si>
  <si>
    <t>P =</t>
  </si>
  <si>
    <t>Вероятность занятости всех приборов</t>
  </si>
  <si>
    <t xml:space="preserve">w = </t>
  </si>
  <si>
    <t>Среднее время ожидания заявок</t>
  </si>
  <si>
    <t>u =</t>
  </si>
  <si>
    <t>Среднее время пребывания в системе</t>
  </si>
  <si>
    <t>l =</t>
  </si>
  <si>
    <t>Средняя длина очереди заявок</t>
  </si>
  <si>
    <t xml:space="preserve">m = </t>
  </si>
  <si>
    <t>Среднее число заявок в системе</t>
  </si>
  <si>
    <t>Расчет характеристик СМО-2 (экспоненциальное распределение)</t>
  </si>
  <si>
    <t>μ =</t>
  </si>
  <si>
    <t xml:space="preserve">p0 = </t>
  </si>
  <si>
    <t>p1 =</t>
  </si>
  <si>
    <t xml:space="preserve">p2 = </t>
  </si>
  <si>
    <t>p3 =</t>
  </si>
  <si>
    <t xml:space="preserve">p4 = </t>
  </si>
  <si>
    <t>Интенсивность входного потока</t>
  </si>
  <si>
    <t>Интенсивность обслуживания заявок</t>
  </si>
  <si>
    <t>Вероятность отсутствия заявок</t>
  </si>
  <si>
    <t>Вероятность наличия одной заявки в приборе</t>
  </si>
  <si>
    <t xml:space="preserve"> </t>
  </si>
  <si>
    <t>Вероятность наличия двух заявок</t>
  </si>
  <si>
    <t>Вероятность наличия трех заявок</t>
  </si>
  <si>
    <t>Вероятность наличия четырех заявок</t>
  </si>
  <si>
    <t xml:space="preserve">π = </t>
  </si>
  <si>
    <t>Вероятность потери заявки</t>
  </si>
  <si>
    <t xml:space="preserve">l = </t>
  </si>
  <si>
    <t>Средняя длина очереди</t>
  </si>
  <si>
    <t>r =</t>
  </si>
  <si>
    <t>λ' =</t>
  </si>
  <si>
    <t>Интенсивность потерь заявок</t>
  </si>
  <si>
    <t>w =</t>
  </si>
  <si>
    <t xml:space="preserve">u = </t>
  </si>
  <si>
    <t>Расчет характеристик СМО-3 (экспоненциальное распределение)</t>
  </si>
  <si>
    <t xml:space="preserve">p3 = </t>
  </si>
  <si>
    <t>Расчет характеристик СМО-2 (эрланговское распределение)</t>
  </si>
  <si>
    <t>p2 =</t>
  </si>
  <si>
    <t>p4 =</t>
  </si>
  <si>
    <t>p5 =</t>
  </si>
  <si>
    <t>p6 =</t>
  </si>
  <si>
    <t>p7 =</t>
  </si>
  <si>
    <t>p8 =</t>
  </si>
  <si>
    <t>Вероятность наличия одной заявки</t>
  </si>
  <si>
    <t xml:space="preserve">p1 = </t>
  </si>
  <si>
    <t xml:space="preserve">p5 = </t>
  </si>
  <si>
    <t>Расчет характеристик СМО-3 (гиперэкспоненциальное распределение)</t>
  </si>
  <si>
    <t>μ1 =</t>
  </si>
  <si>
    <t>μ2 =</t>
  </si>
  <si>
    <t>q =</t>
  </si>
  <si>
    <t>Интенсивность обслуживания заявок 1</t>
  </si>
  <si>
    <t>Интенсивность обслуживания заявок 2</t>
  </si>
  <si>
    <t>Вероятность - параметр закона распределения</t>
  </si>
  <si>
    <t>q</t>
  </si>
  <si>
    <t>qλ =</t>
  </si>
  <si>
    <t>(1-q)λ =</t>
  </si>
  <si>
    <t>qμ1 =</t>
  </si>
  <si>
    <t>qμ2 =</t>
  </si>
  <si>
    <t>(1 - q)μ1 =</t>
  </si>
  <si>
    <t>(1 - q)μ2 =</t>
  </si>
  <si>
    <t>Интенсивности для нахождения вероятностей состояний</t>
  </si>
  <si>
    <t xml:space="preserve">p6 = </t>
  </si>
  <si>
    <t xml:space="preserve">p7 = </t>
  </si>
  <si>
    <t xml:space="preserve">p8 = </t>
  </si>
  <si>
    <t xml:space="preserve">p9 = </t>
  </si>
  <si>
    <t xml:space="preserve">p10 = </t>
  </si>
  <si>
    <t>Вероятность наличия пяти заявок</t>
  </si>
  <si>
    <t>b</t>
  </si>
  <si>
    <t>нагрузка</t>
  </si>
  <si>
    <t>загрузка 1</t>
  </si>
  <si>
    <t>k</t>
  </si>
  <si>
    <t>загрузка 2</t>
  </si>
  <si>
    <t>p0</t>
  </si>
  <si>
    <t>p1</t>
  </si>
  <si>
    <t>p2</t>
  </si>
  <si>
    <t>p3</t>
  </si>
  <si>
    <t>p4</t>
  </si>
  <si>
    <t>λ2</t>
  </si>
  <si>
    <t>λ3</t>
  </si>
  <si>
    <t>λ1</t>
  </si>
  <si>
    <t>загрузка 3</t>
  </si>
  <si>
    <t>время пребывания 1</t>
  </si>
  <si>
    <t>P0</t>
  </si>
  <si>
    <t>P</t>
  </si>
  <si>
    <t>вероятность потерь 2</t>
  </si>
  <si>
    <t>интенсивность потерь 2</t>
  </si>
  <si>
    <t>среднее число заявок в системе 2</t>
  </si>
  <si>
    <t>время пребывания в системе 2</t>
  </si>
  <si>
    <t>p5</t>
  </si>
  <si>
    <t>вероятность потерь 3</t>
  </si>
  <si>
    <t>интенсивность потерь 3</t>
  </si>
  <si>
    <t>среднее число заявок в системе 3</t>
  </si>
  <si>
    <t>время пребывания в системе 3</t>
  </si>
  <si>
    <t>Величина</t>
  </si>
  <si>
    <t>Результат расчета</t>
  </si>
  <si>
    <t>Результат из ДЗ 2</t>
  </si>
  <si>
    <t>Наименование</t>
  </si>
  <si>
    <t>0,905±0,002</t>
  </si>
  <si>
    <t>27,743±1,219</t>
  </si>
  <si>
    <t>33,7308±1,219</t>
  </si>
  <si>
    <t>8,3852±0,352</t>
  </si>
  <si>
    <t>0,1074±0,004</t>
  </si>
  <si>
    <t>0,7474±0,003</t>
  </si>
  <si>
    <t>0,8762±0,012</t>
  </si>
  <si>
    <t>7,0316±0,091</t>
  </si>
  <si>
    <t>13,0272±0,109</t>
  </si>
  <si>
    <t>0,1576±0,003</t>
  </si>
  <si>
    <t>0,8224±0,004</t>
  </si>
  <si>
    <t>1,6028±0,021</t>
  </si>
  <si>
    <t>11,6804±0,143</t>
  </si>
  <si>
    <t>17,6712±0,167</t>
  </si>
  <si>
    <t>0,1818±0,003</t>
  </si>
  <si>
    <t>0,8104±0,004</t>
  </si>
  <si>
    <t>1,638±0,014</t>
  </si>
  <si>
    <t>12,2454±0,1</t>
  </si>
  <si>
    <t>18,3032±0,13</t>
  </si>
  <si>
    <t>0,072±0,003</t>
  </si>
  <si>
    <t>0,7798±0,003</t>
  </si>
  <si>
    <t>0,8126±0,012</t>
  </si>
  <si>
    <t>6,2512±0,074</t>
  </si>
  <si>
    <t>12,2512±0,074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</si>
</sst>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0" borderId="0" xfId="0" applyAlignment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1" xfId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9" xfId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Контрольная ячейка" xfId="1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Загрузка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СМО-1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Графики!$D$7:$D$31</c:f>
              <c:numCache>
                <c:formatCode>General</c:formatCode>
                <c:ptCount val="25"/>
                <c:pt idx="0">
                  <c:v>1.0020000000000001E-2</c:v>
                </c:pt>
                <c:pt idx="1">
                  <c:v>5.0040000000000001E-2</c:v>
                </c:pt>
                <c:pt idx="2">
                  <c:v>9.0060000000000001E-2</c:v>
                </c:pt>
                <c:pt idx="3">
                  <c:v>0.13008</c:v>
                </c:pt>
                <c:pt idx="4">
                  <c:v>0.1701</c:v>
                </c:pt>
                <c:pt idx="5">
                  <c:v>0.21012000000000003</c:v>
                </c:pt>
                <c:pt idx="6">
                  <c:v>0.25013999999999997</c:v>
                </c:pt>
                <c:pt idx="7">
                  <c:v>0.29015999999999997</c:v>
                </c:pt>
                <c:pt idx="8">
                  <c:v>0.33018000000000003</c:v>
                </c:pt>
                <c:pt idx="9">
                  <c:v>0.37019999999999997</c:v>
                </c:pt>
                <c:pt idx="10">
                  <c:v>0.41022000000000003</c:v>
                </c:pt>
                <c:pt idx="11">
                  <c:v>0.45023999999999997</c:v>
                </c:pt>
                <c:pt idx="12">
                  <c:v>0.49026000000000003</c:v>
                </c:pt>
                <c:pt idx="13">
                  <c:v>0.53027999999999997</c:v>
                </c:pt>
                <c:pt idx="14">
                  <c:v>0.57030000000000003</c:v>
                </c:pt>
                <c:pt idx="15">
                  <c:v>0.61031999999999997</c:v>
                </c:pt>
                <c:pt idx="16">
                  <c:v>0.65034000000000003</c:v>
                </c:pt>
                <c:pt idx="17">
                  <c:v>0.69035999999999997</c:v>
                </c:pt>
                <c:pt idx="18">
                  <c:v>0.73038000000000003</c:v>
                </c:pt>
                <c:pt idx="19">
                  <c:v>0.77039999999999997</c:v>
                </c:pt>
                <c:pt idx="20">
                  <c:v>0.81041999999999992</c:v>
                </c:pt>
                <c:pt idx="21">
                  <c:v>0.85044000000000008</c:v>
                </c:pt>
                <c:pt idx="22">
                  <c:v>0.89045999999999992</c:v>
                </c:pt>
                <c:pt idx="23">
                  <c:v>0.93047999999999997</c:v>
                </c:pt>
                <c:pt idx="24">
                  <c:v>0.97050000000000003</c:v>
                </c:pt>
              </c:numCache>
            </c:numRef>
          </c:xVal>
          <c:yVal>
            <c:numRef>
              <c:f>Графики!$E$7:$E$31</c:f>
              <c:numCache>
                <c:formatCode>General</c:formatCode>
                <c:ptCount val="25"/>
                <c:pt idx="0">
                  <c:v>5.0100000000000006E-3</c:v>
                </c:pt>
                <c:pt idx="1">
                  <c:v>2.5020000000000001E-2</c:v>
                </c:pt>
                <c:pt idx="2">
                  <c:v>4.5030000000000001E-2</c:v>
                </c:pt>
                <c:pt idx="3">
                  <c:v>6.5040000000000001E-2</c:v>
                </c:pt>
                <c:pt idx="4">
                  <c:v>8.5050000000000001E-2</c:v>
                </c:pt>
                <c:pt idx="5">
                  <c:v>0.10506000000000001</c:v>
                </c:pt>
                <c:pt idx="6">
                  <c:v>0.12506999999999999</c:v>
                </c:pt>
                <c:pt idx="7">
                  <c:v>0.14507999999999999</c:v>
                </c:pt>
                <c:pt idx="8">
                  <c:v>0.16509000000000001</c:v>
                </c:pt>
                <c:pt idx="9">
                  <c:v>0.18509999999999999</c:v>
                </c:pt>
                <c:pt idx="10">
                  <c:v>0.20511000000000001</c:v>
                </c:pt>
                <c:pt idx="11">
                  <c:v>0.22511999999999999</c:v>
                </c:pt>
                <c:pt idx="12">
                  <c:v>0.24513000000000001</c:v>
                </c:pt>
                <c:pt idx="13">
                  <c:v>0.26513999999999999</c:v>
                </c:pt>
                <c:pt idx="14">
                  <c:v>0.28515000000000001</c:v>
                </c:pt>
                <c:pt idx="15">
                  <c:v>0.30515999999999999</c:v>
                </c:pt>
                <c:pt idx="16">
                  <c:v>0.32517000000000001</c:v>
                </c:pt>
                <c:pt idx="17">
                  <c:v>0.34517999999999999</c:v>
                </c:pt>
                <c:pt idx="18">
                  <c:v>0.36519000000000001</c:v>
                </c:pt>
                <c:pt idx="19">
                  <c:v>0.38519999999999999</c:v>
                </c:pt>
                <c:pt idx="20">
                  <c:v>0.40520999999999996</c:v>
                </c:pt>
                <c:pt idx="21">
                  <c:v>0.42522000000000004</c:v>
                </c:pt>
                <c:pt idx="22">
                  <c:v>0.44522999999999996</c:v>
                </c:pt>
                <c:pt idx="23">
                  <c:v>0.46523999999999999</c:v>
                </c:pt>
                <c:pt idx="24">
                  <c:v>0.48525000000000001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B0-4A27-9817-38E72D77877D}"/>
            </c:ext>
          </c:extLst>
        </c:ser>
        <c:ser>
          <c:idx val="1"/>
          <c:order val="1"/>
          <c:tx>
            <c:v>СМО-2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Графики!$D$7:$D$31</c:f>
              <c:numCache>
                <c:formatCode>General</c:formatCode>
                <c:ptCount val="25"/>
                <c:pt idx="0">
                  <c:v>1.0020000000000001E-2</c:v>
                </c:pt>
                <c:pt idx="1">
                  <c:v>5.0040000000000001E-2</c:v>
                </c:pt>
                <c:pt idx="2">
                  <c:v>9.0060000000000001E-2</c:v>
                </c:pt>
                <c:pt idx="3">
                  <c:v>0.13008</c:v>
                </c:pt>
                <c:pt idx="4">
                  <c:v>0.1701</c:v>
                </c:pt>
                <c:pt idx="5">
                  <c:v>0.21012000000000003</c:v>
                </c:pt>
                <c:pt idx="6">
                  <c:v>0.25013999999999997</c:v>
                </c:pt>
                <c:pt idx="7">
                  <c:v>0.29015999999999997</c:v>
                </c:pt>
                <c:pt idx="8">
                  <c:v>0.33018000000000003</c:v>
                </c:pt>
                <c:pt idx="9">
                  <c:v>0.37019999999999997</c:v>
                </c:pt>
                <c:pt idx="10">
                  <c:v>0.41022000000000003</c:v>
                </c:pt>
                <c:pt idx="11">
                  <c:v>0.45023999999999997</c:v>
                </c:pt>
                <c:pt idx="12">
                  <c:v>0.49026000000000003</c:v>
                </c:pt>
                <c:pt idx="13">
                  <c:v>0.53027999999999997</c:v>
                </c:pt>
                <c:pt idx="14">
                  <c:v>0.57030000000000003</c:v>
                </c:pt>
                <c:pt idx="15">
                  <c:v>0.61031999999999997</c:v>
                </c:pt>
                <c:pt idx="16">
                  <c:v>0.65034000000000003</c:v>
                </c:pt>
                <c:pt idx="17">
                  <c:v>0.69035999999999997</c:v>
                </c:pt>
                <c:pt idx="18">
                  <c:v>0.73038000000000003</c:v>
                </c:pt>
                <c:pt idx="19">
                  <c:v>0.77039999999999997</c:v>
                </c:pt>
                <c:pt idx="20">
                  <c:v>0.81041999999999992</c:v>
                </c:pt>
                <c:pt idx="21">
                  <c:v>0.85044000000000008</c:v>
                </c:pt>
                <c:pt idx="22">
                  <c:v>0.89045999999999992</c:v>
                </c:pt>
                <c:pt idx="23">
                  <c:v>0.93047999999999997</c:v>
                </c:pt>
                <c:pt idx="24">
                  <c:v>0.97050000000000003</c:v>
                </c:pt>
              </c:numCache>
            </c:numRef>
          </c:xVal>
          <c:yVal>
            <c:numRef>
              <c:f>Графики!$N$7:$N$31</c:f>
              <c:numCache>
                <c:formatCode>General</c:formatCode>
                <c:ptCount val="25"/>
                <c:pt idx="0">
                  <c:v>4.6242299978953303E-3</c:v>
                </c:pt>
                <c:pt idx="1">
                  <c:v>2.3093453583502174E-2</c:v>
                </c:pt>
                <c:pt idx="2">
                  <c:v>4.1562571127333331E-2</c:v>
                </c:pt>
                <c:pt idx="3">
                  <c:v>6.00311871339348E-2</c:v>
                </c:pt>
                <c:pt idx="4">
                  <c:v>7.8498402889131472E-2</c:v>
                </c:pt>
                <c:pt idx="5">
                  <c:v>9.6962637143562999E-2</c:v>
                </c:pt>
                <c:pt idx="6">
                  <c:v>0.11542147528870605</c:v>
                </c:pt>
                <c:pt idx="7">
                  <c:v>0.13387154689486885</c:v>
                </c:pt>
                <c:pt idx="8">
                  <c:v>0.15230843137197356</c:v>
                </c:pt>
                <c:pt idx="9">
                  <c:v>0.17072659136510526</c:v>
                </c:pt>
                <c:pt idx="10">
                  <c:v>0.18911933330852471</c:v>
                </c:pt>
                <c:pt idx="11">
                  <c:v>0.20747879433779631</c:v>
                </c:pt>
                <c:pt idx="12">
                  <c:v>0.22579595450624443</c:v>
                </c:pt>
                <c:pt idx="13">
                  <c:v>0.24406067297777839</c:v>
                </c:pt>
                <c:pt idx="14">
                  <c:v>0.26226174658367907</c:v>
                </c:pt>
                <c:pt idx="15">
                  <c:v>0.28038698884791396</c:v>
                </c:pt>
                <c:pt idx="16">
                  <c:v>0.2984233273162295</c:v>
                </c:pt>
                <c:pt idx="17">
                  <c:v>0.31635691678086003</c:v>
                </c:pt>
                <c:pt idx="18">
                  <c:v>0.3341732657866387</c:v>
                </c:pt>
                <c:pt idx="19">
                  <c:v>0.35185737364565001</c:v>
                </c:pt>
                <c:pt idx="20">
                  <c:v>0.36939387508443633</c:v>
                </c:pt>
                <c:pt idx="21">
                  <c:v>0.38676718960586387</c:v>
                </c:pt>
                <c:pt idx="22">
                  <c:v>0.40396167267012467</c:v>
                </c:pt>
                <c:pt idx="23">
                  <c:v>0.42096176588618689</c:v>
                </c:pt>
                <c:pt idx="24">
                  <c:v>0.4377521435537442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B0-4A27-9817-38E72D77877D}"/>
            </c:ext>
          </c:extLst>
        </c:ser>
        <c:ser>
          <c:idx val="2"/>
          <c:order val="2"/>
          <c:tx>
            <c:v>СМО-3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Графики!$D$7:$D$31</c:f>
              <c:numCache>
                <c:formatCode>General</c:formatCode>
                <c:ptCount val="25"/>
                <c:pt idx="0">
                  <c:v>1.0020000000000001E-2</c:v>
                </c:pt>
                <c:pt idx="1">
                  <c:v>5.0040000000000001E-2</c:v>
                </c:pt>
                <c:pt idx="2">
                  <c:v>9.0060000000000001E-2</c:v>
                </c:pt>
                <c:pt idx="3">
                  <c:v>0.13008</c:v>
                </c:pt>
                <c:pt idx="4">
                  <c:v>0.1701</c:v>
                </c:pt>
                <c:pt idx="5">
                  <c:v>0.21012000000000003</c:v>
                </c:pt>
                <c:pt idx="6">
                  <c:v>0.25013999999999997</c:v>
                </c:pt>
                <c:pt idx="7">
                  <c:v>0.29015999999999997</c:v>
                </c:pt>
                <c:pt idx="8">
                  <c:v>0.33018000000000003</c:v>
                </c:pt>
                <c:pt idx="9">
                  <c:v>0.37019999999999997</c:v>
                </c:pt>
                <c:pt idx="10">
                  <c:v>0.41022000000000003</c:v>
                </c:pt>
                <c:pt idx="11">
                  <c:v>0.45023999999999997</c:v>
                </c:pt>
                <c:pt idx="12">
                  <c:v>0.49026000000000003</c:v>
                </c:pt>
                <c:pt idx="13">
                  <c:v>0.53027999999999997</c:v>
                </c:pt>
                <c:pt idx="14">
                  <c:v>0.57030000000000003</c:v>
                </c:pt>
                <c:pt idx="15">
                  <c:v>0.61031999999999997</c:v>
                </c:pt>
                <c:pt idx="16">
                  <c:v>0.65034000000000003</c:v>
                </c:pt>
                <c:pt idx="17">
                  <c:v>0.69035999999999997</c:v>
                </c:pt>
                <c:pt idx="18">
                  <c:v>0.73038000000000003</c:v>
                </c:pt>
                <c:pt idx="19">
                  <c:v>0.77039999999999997</c:v>
                </c:pt>
                <c:pt idx="20">
                  <c:v>0.81041999999999992</c:v>
                </c:pt>
                <c:pt idx="21">
                  <c:v>0.85044000000000008</c:v>
                </c:pt>
                <c:pt idx="22">
                  <c:v>0.89045999999999992</c:v>
                </c:pt>
                <c:pt idx="23">
                  <c:v>0.93047999999999997</c:v>
                </c:pt>
                <c:pt idx="24">
                  <c:v>0.97050000000000003</c:v>
                </c:pt>
              </c:numCache>
            </c:numRef>
          </c:xVal>
          <c:yVal>
            <c:numRef>
              <c:f>Графики!$Y$7:$Y$31</c:f>
              <c:numCache>
                <c:formatCode>General</c:formatCode>
                <c:ptCount val="25"/>
                <c:pt idx="0">
                  <c:v>5.3957699999999994E-3</c:v>
                </c:pt>
                <c:pt idx="1">
                  <c:v>2.6946540000000008E-2</c:v>
                </c:pt>
                <c:pt idx="2">
                  <c:v>4.8497310000000009E-2</c:v>
                </c:pt>
                <c:pt idx="3">
                  <c:v>7.0048079999999999E-2</c:v>
                </c:pt>
                <c:pt idx="4">
                  <c:v>9.1598850000000009E-2</c:v>
                </c:pt>
                <c:pt idx="5">
                  <c:v>0.11314961999999999</c:v>
                </c:pt>
                <c:pt idx="6">
                  <c:v>0.13470038999999995</c:v>
                </c:pt>
                <c:pt idx="7">
                  <c:v>0.15625115999999997</c:v>
                </c:pt>
                <c:pt idx="8">
                  <c:v>0.17780193000000002</c:v>
                </c:pt>
                <c:pt idx="9">
                  <c:v>0.19935269999999999</c:v>
                </c:pt>
                <c:pt idx="10">
                  <c:v>0.22090346999999996</c:v>
                </c:pt>
                <c:pt idx="11">
                  <c:v>0.24245423999999999</c:v>
                </c:pt>
                <c:pt idx="12">
                  <c:v>0.26400500999999998</c:v>
                </c:pt>
                <c:pt idx="13">
                  <c:v>0.28555578000000009</c:v>
                </c:pt>
                <c:pt idx="14">
                  <c:v>0.30710655000000003</c:v>
                </c:pt>
                <c:pt idx="15">
                  <c:v>0.32865731999999998</c:v>
                </c:pt>
                <c:pt idx="16">
                  <c:v>0.35020809000000003</c:v>
                </c:pt>
                <c:pt idx="17">
                  <c:v>0.37175886000000008</c:v>
                </c:pt>
                <c:pt idx="18">
                  <c:v>0.39330962999999997</c:v>
                </c:pt>
                <c:pt idx="19">
                  <c:v>0.41486039999999996</c:v>
                </c:pt>
                <c:pt idx="20">
                  <c:v>0.43641116999999996</c:v>
                </c:pt>
                <c:pt idx="21">
                  <c:v>0.45796194000000007</c:v>
                </c:pt>
                <c:pt idx="22">
                  <c:v>0.47951271000000001</c:v>
                </c:pt>
                <c:pt idx="23">
                  <c:v>0.50106348000000012</c:v>
                </c:pt>
                <c:pt idx="24">
                  <c:v>0.52261424999999984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B0-4A27-9817-38E72D778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46960"/>
        <c:axId val="383246304"/>
      </c:scatterChart>
      <c:valAx>
        <c:axId val="38324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Нагрузка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246304"/>
        <c:crosses val="autoZero"/>
        <c:crossBetween val="midCat"/>
      </c:valAx>
      <c:valAx>
        <c:axId val="3832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Загрузка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24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пребывания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СМО-1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Графики!$D$7:$D$31</c:f>
              <c:numCache>
                <c:formatCode>General</c:formatCode>
                <c:ptCount val="25"/>
                <c:pt idx="0">
                  <c:v>1.0020000000000001E-2</c:v>
                </c:pt>
                <c:pt idx="1">
                  <c:v>5.0040000000000001E-2</c:v>
                </c:pt>
                <c:pt idx="2">
                  <c:v>9.0060000000000001E-2</c:v>
                </c:pt>
                <c:pt idx="3">
                  <c:v>0.13008</c:v>
                </c:pt>
                <c:pt idx="4">
                  <c:v>0.1701</c:v>
                </c:pt>
                <c:pt idx="5">
                  <c:v>0.21012000000000003</c:v>
                </c:pt>
                <c:pt idx="6">
                  <c:v>0.25013999999999997</c:v>
                </c:pt>
                <c:pt idx="7">
                  <c:v>0.29015999999999997</c:v>
                </c:pt>
                <c:pt idx="8">
                  <c:v>0.33018000000000003</c:v>
                </c:pt>
                <c:pt idx="9">
                  <c:v>0.37019999999999997</c:v>
                </c:pt>
                <c:pt idx="10">
                  <c:v>0.41022000000000003</c:v>
                </c:pt>
                <c:pt idx="11">
                  <c:v>0.45023999999999997</c:v>
                </c:pt>
                <c:pt idx="12">
                  <c:v>0.49026000000000003</c:v>
                </c:pt>
                <c:pt idx="13">
                  <c:v>0.53027999999999997</c:v>
                </c:pt>
                <c:pt idx="14">
                  <c:v>0.57030000000000003</c:v>
                </c:pt>
                <c:pt idx="15">
                  <c:v>0.61031999999999997</c:v>
                </c:pt>
                <c:pt idx="16">
                  <c:v>0.65034000000000003</c:v>
                </c:pt>
                <c:pt idx="17">
                  <c:v>0.69035999999999997</c:v>
                </c:pt>
                <c:pt idx="18">
                  <c:v>0.73038000000000003</c:v>
                </c:pt>
                <c:pt idx="19">
                  <c:v>0.77039999999999997</c:v>
                </c:pt>
                <c:pt idx="20">
                  <c:v>0.81041999999999992</c:v>
                </c:pt>
                <c:pt idx="21">
                  <c:v>0.85044000000000008</c:v>
                </c:pt>
                <c:pt idx="22">
                  <c:v>0.89045999999999992</c:v>
                </c:pt>
                <c:pt idx="23">
                  <c:v>0.93047999999999997</c:v>
                </c:pt>
                <c:pt idx="24">
                  <c:v>0.97050000000000003</c:v>
                </c:pt>
              </c:numCache>
            </c:numRef>
          </c:xVal>
          <c:yVal>
            <c:numRef>
              <c:f>Графики!$H$7:$H$31</c:f>
              <c:numCache>
                <c:formatCode>General</c:formatCode>
                <c:ptCount val="25"/>
                <c:pt idx="0">
                  <c:v>6.0001506043801847</c:v>
                </c:pt>
                <c:pt idx="1">
                  <c:v>6.0037583551318159</c:v>
                </c:pt>
                <c:pt idx="2">
                  <c:v>6.0121909249494916</c:v>
                </c:pt>
                <c:pt idx="3">
                  <c:v>6.0254890333496585</c:v>
                </c:pt>
                <c:pt idx="4">
                  <c:v>6.0437172437922646</c:v>
                </c:pt>
                <c:pt idx="5">
                  <c:v>6.0669647519876113</c:v>
                </c:pt>
                <c:pt idx="6">
                  <c:v>6.0953464872947052</c:v>
                </c:pt>
                <c:pt idx="7">
                  <c:v>6.1290045528550321</c:v>
                </c:pt>
                <c:pt idx="8">
                  <c:v>6.1681100386315837</c:v>
                </c:pt>
                <c:pt idx="9">
                  <c:v>6.21286525137113</c:v>
                </c:pt>
                <c:pt idx="10">
                  <c:v>6.2635064171067505</c:v>
                </c:pt>
                <c:pt idx="11">
                  <c:v>6.3203069256999687</c:v>
                </c:pt>
                <c:pt idx="12">
                  <c:v>6.3835812037609534</c:v>
                </c:pt>
                <c:pt idx="13">
                  <c:v>6.4536893229438013</c:v>
                </c:pt>
                <c:pt idx="14">
                  <c:v>6.5310424762103576</c:v>
                </c:pt>
                <c:pt idx="15">
                  <c:v>6.6161094866543184</c:v>
                </c:pt>
                <c:pt idx="16">
                  <c:v>6.709424553811953</c:v>
                </c:pt>
                <c:pt idx="17">
                  <c:v>6.811596493635161</c:v>
                </c:pt>
                <c:pt idx="18">
                  <c:v>6.9233197939341391</c:v>
                </c:pt>
                <c:pt idx="19">
                  <c:v>7.0453878918151567</c:v>
                </c:pt>
                <c:pt idx="20">
                  <c:v>7.1787091898851934</c:v>
                </c:pt>
                <c:pt idx="21">
                  <c:v>7.3243264726746506</c:v>
                </c:pt>
                <c:pt idx="22">
                  <c:v>7.4834405762772782</c:v>
                </c:pt>
                <c:pt idx="23">
                  <c:v>7.6574394201742759</c:v>
                </c:pt>
                <c:pt idx="24">
                  <c:v>7.8479338556514806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2-46C2-B087-98CA33796444}"/>
            </c:ext>
          </c:extLst>
        </c:ser>
        <c:ser>
          <c:idx val="1"/>
          <c:order val="1"/>
          <c:tx>
            <c:v>СМО-2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Графики!$D$7:$D$31</c:f>
              <c:numCache>
                <c:formatCode>General</c:formatCode>
                <c:ptCount val="25"/>
                <c:pt idx="0">
                  <c:v>1.0020000000000001E-2</c:v>
                </c:pt>
                <c:pt idx="1">
                  <c:v>5.0040000000000001E-2</c:v>
                </c:pt>
                <c:pt idx="2">
                  <c:v>9.0060000000000001E-2</c:v>
                </c:pt>
                <c:pt idx="3">
                  <c:v>0.13008</c:v>
                </c:pt>
                <c:pt idx="4">
                  <c:v>0.1701</c:v>
                </c:pt>
                <c:pt idx="5">
                  <c:v>0.21012000000000003</c:v>
                </c:pt>
                <c:pt idx="6">
                  <c:v>0.25013999999999997</c:v>
                </c:pt>
                <c:pt idx="7">
                  <c:v>0.29015999999999997</c:v>
                </c:pt>
                <c:pt idx="8">
                  <c:v>0.33018000000000003</c:v>
                </c:pt>
                <c:pt idx="9">
                  <c:v>0.37019999999999997</c:v>
                </c:pt>
                <c:pt idx="10">
                  <c:v>0.41022000000000003</c:v>
                </c:pt>
                <c:pt idx="11">
                  <c:v>0.45023999999999997</c:v>
                </c:pt>
                <c:pt idx="12">
                  <c:v>0.49026000000000003</c:v>
                </c:pt>
                <c:pt idx="13">
                  <c:v>0.53027999999999997</c:v>
                </c:pt>
                <c:pt idx="14">
                  <c:v>0.57030000000000003</c:v>
                </c:pt>
                <c:pt idx="15">
                  <c:v>0.61031999999999997</c:v>
                </c:pt>
                <c:pt idx="16">
                  <c:v>0.65034000000000003</c:v>
                </c:pt>
                <c:pt idx="17">
                  <c:v>0.69035999999999997</c:v>
                </c:pt>
                <c:pt idx="18">
                  <c:v>0.73038000000000003</c:v>
                </c:pt>
                <c:pt idx="19">
                  <c:v>0.77039999999999997</c:v>
                </c:pt>
                <c:pt idx="20">
                  <c:v>0.81041999999999992</c:v>
                </c:pt>
                <c:pt idx="21">
                  <c:v>0.85044000000000008</c:v>
                </c:pt>
                <c:pt idx="22">
                  <c:v>0.89045999999999992</c:v>
                </c:pt>
                <c:pt idx="23">
                  <c:v>0.93047999999999997</c:v>
                </c:pt>
                <c:pt idx="24">
                  <c:v>0.97050000000000003</c:v>
                </c:pt>
              </c:numCache>
            </c:numRef>
          </c:xVal>
          <c:yVal>
            <c:numRef>
              <c:f>Графики!$R$7:$R$31</c:f>
              <c:numCache>
                <c:formatCode>General</c:formatCode>
                <c:ptCount val="25"/>
                <c:pt idx="0">
                  <c:v>6.0278742660941473</c:v>
                </c:pt>
                <c:pt idx="1">
                  <c:v>6.1418294237429967</c:v>
                </c:pt>
                <c:pt idx="2">
                  <c:v>6.2601187320804614</c:v>
                </c:pt>
                <c:pt idx="3">
                  <c:v>6.3828837739554327</c:v>
                </c:pt>
                <c:pt idx="4">
                  <c:v>6.510219846592431</c:v>
                </c:pt>
                <c:pt idx="5">
                  <c:v>6.6421780312171315</c:v>
                </c:pt>
                <c:pt idx="6">
                  <c:v>6.7787674560549283</c:v>
                </c:pt>
                <c:pt idx="7">
                  <c:v>6.9199577430989763</c:v>
                </c:pt>
                <c:pt idx="8">
                  <c:v>7.0656816225596382</c:v>
                </c:pt>
                <c:pt idx="9">
                  <c:v>7.2158376934518573</c:v>
                </c:pt>
                <c:pt idx="10">
                  <c:v>7.3702933044062569</c:v>
                </c:pt>
                <c:pt idx="11">
                  <c:v>7.5288875255285364</c:v>
                </c:pt>
                <c:pt idx="12">
                  <c:v>7.6914341799746619</c:v>
                </c:pt>
                <c:pt idx="13">
                  <c:v>7.8577249028198155</c:v>
                </c:pt>
                <c:pt idx="14">
                  <c:v>8.0275321947115348</c:v>
                </c:pt>
                <c:pt idx="15">
                  <c:v>8.2006124386216808</c:v>
                </c:pt>
                <c:pt idx="16">
                  <c:v>8.376708849636838</c:v>
                </c:pt>
                <c:pt idx="17">
                  <c:v>8.5555543300268919</c:v>
                </c:pt>
                <c:pt idx="18">
                  <c:v>8.7368742046722119</c:v>
                </c:pt>
                <c:pt idx="19">
                  <c:v>8.9203888151729505</c:v>
                </c:pt>
                <c:pt idx="20">
                  <c:v>9.1058159544742612</c:v>
                </c:pt>
                <c:pt idx="21">
                  <c:v>9.2928731274891287</c:v>
                </c:pt>
                <c:pt idx="22">
                  <c:v>9.481279626868746</c:v>
                </c:pt>
                <c:pt idx="23">
                  <c:v>9.6707584166543121</c:v>
                </c:pt>
                <c:pt idx="24">
                  <c:v>9.8610378199552482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2-46C2-B087-98CA33796444}"/>
            </c:ext>
          </c:extLst>
        </c:ser>
        <c:ser>
          <c:idx val="2"/>
          <c:order val="2"/>
          <c:tx>
            <c:v>СМО-3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Графики!$D$7:$D$31</c:f>
              <c:numCache>
                <c:formatCode>General</c:formatCode>
                <c:ptCount val="25"/>
                <c:pt idx="0">
                  <c:v>1.0020000000000001E-2</c:v>
                </c:pt>
                <c:pt idx="1">
                  <c:v>5.0040000000000001E-2</c:v>
                </c:pt>
                <c:pt idx="2">
                  <c:v>9.0060000000000001E-2</c:v>
                </c:pt>
                <c:pt idx="3">
                  <c:v>0.13008</c:v>
                </c:pt>
                <c:pt idx="4">
                  <c:v>0.1701</c:v>
                </c:pt>
                <c:pt idx="5">
                  <c:v>0.21012000000000003</c:v>
                </c:pt>
                <c:pt idx="6">
                  <c:v>0.25013999999999997</c:v>
                </c:pt>
                <c:pt idx="7">
                  <c:v>0.29015999999999997</c:v>
                </c:pt>
                <c:pt idx="8">
                  <c:v>0.33018000000000003</c:v>
                </c:pt>
                <c:pt idx="9">
                  <c:v>0.37019999999999997</c:v>
                </c:pt>
                <c:pt idx="10">
                  <c:v>0.41022000000000003</c:v>
                </c:pt>
                <c:pt idx="11">
                  <c:v>0.45023999999999997</c:v>
                </c:pt>
                <c:pt idx="12">
                  <c:v>0.49026000000000003</c:v>
                </c:pt>
                <c:pt idx="13">
                  <c:v>0.53027999999999997</c:v>
                </c:pt>
                <c:pt idx="14">
                  <c:v>0.57030000000000003</c:v>
                </c:pt>
                <c:pt idx="15">
                  <c:v>0.61031999999999997</c:v>
                </c:pt>
                <c:pt idx="16">
                  <c:v>0.65034000000000003</c:v>
                </c:pt>
                <c:pt idx="17">
                  <c:v>0.69035999999999997</c:v>
                </c:pt>
                <c:pt idx="18">
                  <c:v>0.73038000000000003</c:v>
                </c:pt>
                <c:pt idx="19">
                  <c:v>0.77039999999999997</c:v>
                </c:pt>
                <c:pt idx="20">
                  <c:v>0.81041999999999992</c:v>
                </c:pt>
                <c:pt idx="21">
                  <c:v>0.85044000000000008</c:v>
                </c:pt>
                <c:pt idx="22">
                  <c:v>0.89045999999999992</c:v>
                </c:pt>
                <c:pt idx="23">
                  <c:v>0.93047999999999997</c:v>
                </c:pt>
                <c:pt idx="24">
                  <c:v>0.97050000000000003</c:v>
                </c:pt>
              </c:numCache>
            </c:numRef>
          </c:xVal>
          <c:yVal>
            <c:numRef>
              <c:f>Графики!$AC$7:$AC$31</c:f>
              <c:numCache>
                <c:formatCode>General</c:formatCode>
                <c:ptCount val="25"/>
                <c:pt idx="0">
                  <c:v>6.032550253572543</c:v>
                </c:pt>
                <c:pt idx="1">
                  <c:v>6.1661562440877864</c:v>
                </c:pt>
                <c:pt idx="2">
                  <c:v>6.3058086294407074</c:v>
                </c:pt>
                <c:pt idx="3">
                  <c:v>6.451905986270047</c:v>
                </c:pt>
                <c:pt idx="4">
                  <c:v>6.6048566905244526</c:v>
                </c:pt>
                <c:pt idx="5">
                  <c:v>6.7650703737402971</c:v>
                </c:pt>
                <c:pt idx="6">
                  <c:v>6.9329500837100673</c:v>
                </c:pt>
                <c:pt idx="7">
                  <c:v>7.1088852465337373</c:v>
                </c:pt>
                <c:pt idx="8">
                  <c:v>7.2932455252179862</c:v>
                </c:pt>
                <c:pt idx="9">
                  <c:v>7.4863756618342867</c:v>
                </c:pt>
                <c:pt idx="10">
                  <c:v>7.6885913757865989</c:v>
                </c:pt>
                <c:pt idx="11">
                  <c:v>7.9001763705966299</c:v>
                </c:pt>
                <c:pt idx="12">
                  <c:v>8.1213804769310229</c:v>
                </c:pt>
                <c:pt idx="13">
                  <c:v>8.3524189319073496</c:v>
                </c:pt>
                <c:pt idx="14">
                  <c:v>8.5934727658062595</c:v>
                </c:pt>
                <c:pt idx="15">
                  <c:v>8.8446902390446436</c:v>
                </c:pt>
                <c:pt idx="16">
                  <c:v>9.1061892464018754</c:v>
                </c:pt>
                <c:pt idx="17">
                  <c:v>9.3780605835748716</c:v>
                </c:pt>
                <c:pt idx="18">
                  <c:v>9.6603719543540141</c:v>
                </c:pt>
                <c:pt idx="19">
                  <c:v>9.9531725858221076</c:v>
                </c:pt>
                <c:pt idx="20">
                  <c:v>10.256498314290683</c:v>
                </c:pt>
                <c:pt idx="21">
                  <c:v>10.570377006075882</c:v>
                </c:pt>
                <c:pt idx="22">
                  <c:v>10.894834184172071</c:v>
                </c:pt>
                <c:pt idx="23">
                  <c:v>11.229898743603423</c:v>
                </c:pt>
                <c:pt idx="24">
                  <c:v>11.575608653720103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A2-46C2-B087-98CA3379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20848"/>
        <c:axId val="379823800"/>
      </c:scatterChart>
      <c:valAx>
        <c:axId val="3798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Нагрузка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823800"/>
        <c:crosses val="autoZero"/>
        <c:crossBetween val="midCat"/>
      </c:valAx>
      <c:valAx>
        <c:axId val="3798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пребывания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82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Вероятность</a:t>
            </a:r>
            <a:r>
              <a:rPr lang="ru-RU" baseline="0"/>
              <a:t> потерь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СМО-2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Графики!$D$7:$D$31</c:f>
              <c:numCache>
                <c:formatCode>General</c:formatCode>
                <c:ptCount val="25"/>
                <c:pt idx="0">
                  <c:v>1.0020000000000001E-2</c:v>
                </c:pt>
                <c:pt idx="1">
                  <c:v>5.0040000000000001E-2</c:v>
                </c:pt>
                <c:pt idx="2">
                  <c:v>9.0060000000000001E-2</c:v>
                </c:pt>
                <c:pt idx="3">
                  <c:v>0.13008</c:v>
                </c:pt>
                <c:pt idx="4">
                  <c:v>0.1701</c:v>
                </c:pt>
                <c:pt idx="5">
                  <c:v>0.21012000000000003</c:v>
                </c:pt>
                <c:pt idx="6">
                  <c:v>0.25013999999999997</c:v>
                </c:pt>
                <c:pt idx="7">
                  <c:v>0.29015999999999997</c:v>
                </c:pt>
                <c:pt idx="8">
                  <c:v>0.33018000000000003</c:v>
                </c:pt>
                <c:pt idx="9">
                  <c:v>0.37019999999999997</c:v>
                </c:pt>
                <c:pt idx="10">
                  <c:v>0.41022000000000003</c:v>
                </c:pt>
                <c:pt idx="11">
                  <c:v>0.45023999999999997</c:v>
                </c:pt>
                <c:pt idx="12">
                  <c:v>0.49026000000000003</c:v>
                </c:pt>
                <c:pt idx="13">
                  <c:v>0.53027999999999997</c:v>
                </c:pt>
                <c:pt idx="14">
                  <c:v>0.57030000000000003</c:v>
                </c:pt>
                <c:pt idx="15">
                  <c:v>0.61031999999999997</c:v>
                </c:pt>
                <c:pt idx="16">
                  <c:v>0.65034000000000003</c:v>
                </c:pt>
                <c:pt idx="17">
                  <c:v>0.69035999999999997</c:v>
                </c:pt>
                <c:pt idx="18">
                  <c:v>0.73038000000000003</c:v>
                </c:pt>
                <c:pt idx="19">
                  <c:v>0.77039999999999997</c:v>
                </c:pt>
                <c:pt idx="20">
                  <c:v>0.81041999999999992</c:v>
                </c:pt>
                <c:pt idx="21">
                  <c:v>0.85044000000000008</c:v>
                </c:pt>
                <c:pt idx="22">
                  <c:v>0.89045999999999992</c:v>
                </c:pt>
                <c:pt idx="23">
                  <c:v>0.93047999999999997</c:v>
                </c:pt>
                <c:pt idx="24">
                  <c:v>0.97050000000000003</c:v>
                </c:pt>
              </c:numCache>
            </c:numRef>
          </c:xVal>
          <c:yVal>
            <c:numRef>
              <c:f>Графики!$O$7:$O$31</c:f>
              <c:numCache>
                <c:formatCode>General</c:formatCode>
                <c:ptCount val="25"/>
                <c:pt idx="0">
                  <c:v>4.5513975591484029E-10</c:v>
                </c:pt>
                <c:pt idx="1">
                  <c:v>2.7784913266443667E-7</c:v>
                </c:pt>
                <c:pt idx="2">
                  <c:v>2.8600811612460733E-6</c:v>
                </c:pt>
                <c:pt idx="3">
                  <c:v>1.2207939795958977E-5</c:v>
                </c:pt>
                <c:pt idx="4">
                  <c:v>3.4994530252497039E-5</c:v>
                </c:pt>
                <c:pt idx="5">
                  <c:v>7.9847644579788575E-5</c:v>
                </c:pt>
                <c:pt idx="6">
                  <c:v>1.5709262439446162E-4</c:v>
                </c:pt>
                <c:pt idx="7">
                  <c:v>2.7849621526958253E-4</c:v>
                </c:pt>
                <c:pt idx="8">
                  <c:v>4.5701214109378338E-4</c:v>
                </c:pt>
                <c:pt idx="9">
                  <c:v>7.0652936800732005E-4</c:v>
                </c:pt>
                <c:pt idx="10">
                  <c:v>1.0416242653258651E-3</c:v>
                </c:pt>
                <c:pt idx="11">
                  <c:v>1.4773180905356912E-3</c:v>
                </c:pt>
                <c:pt idx="12">
                  <c:v>2.0288414136439867E-3</c:v>
                </c:pt>
                <c:pt idx="13">
                  <c:v>2.7114072412677522E-3</c:v>
                </c:pt>
                <c:pt idx="14">
                  <c:v>3.5399946933364159E-3</c:v>
                </c:pt>
                <c:pt idx="15">
                  <c:v>4.5291451181465074E-3</c:v>
                </c:pt>
                <c:pt idx="16">
                  <c:v>5.6927725005000559E-3</c:v>
                </c:pt>
                <c:pt idx="17">
                  <c:v>7.0439899215050047E-3</c:v>
                </c:pt>
                <c:pt idx="18">
                  <c:v>8.5949536690555946E-3</c:v>
                </c:pt>
                <c:pt idx="19">
                  <c:v>1.0356726379705626E-2</c:v>
                </c:pt>
                <c:pt idx="20">
                  <c:v>1.2339160322935897E-2</c:v>
                </c:pt>
                <c:pt idx="21">
                  <c:v>1.4550801627322158E-2</c:v>
                </c:pt>
                <c:pt idx="22">
                  <c:v>1.6998815906232853E-2</c:v>
                </c:pt>
                <c:pt idx="23">
                  <c:v>1.9688935380998022E-2</c:v>
                </c:pt>
                <c:pt idx="24">
                  <c:v>2.2625427235083543E-2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5-4DA8-9384-B97B75254498}"/>
            </c:ext>
          </c:extLst>
        </c:ser>
        <c:ser>
          <c:idx val="1"/>
          <c:order val="1"/>
          <c:tx>
            <c:v>СМО-3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Графики!$D$7:$D$31</c:f>
              <c:numCache>
                <c:formatCode>General</c:formatCode>
                <c:ptCount val="25"/>
                <c:pt idx="0">
                  <c:v>1.0020000000000001E-2</c:v>
                </c:pt>
                <c:pt idx="1">
                  <c:v>5.0040000000000001E-2</c:v>
                </c:pt>
                <c:pt idx="2">
                  <c:v>9.0060000000000001E-2</c:v>
                </c:pt>
                <c:pt idx="3">
                  <c:v>0.13008</c:v>
                </c:pt>
                <c:pt idx="4">
                  <c:v>0.1701</c:v>
                </c:pt>
                <c:pt idx="5">
                  <c:v>0.21012000000000003</c:v>
                </c:pt>
                <c:pt idx="6">
                  <c:v>0.25013999999999997</c:v>
                </c:pt>
                <c:pt idx="7">
                  <c:v>0.29015999999999997</c:v>
                </c:pt>
                <c:pt idx="8">
                  <c:v>0.33018000000000003</c:v>
                </c:pt>
                <c:pt idx="9">
                  <c:v>0.37019999999999997</c:v>
                </c:pt>
                <c:pt idx="10">
                  <c:v>0.41022000000000003</c:v>
                </c:pt>
                <c:pt idx="11">
                  <c:v>0.45023999999999997</c:v>
                </c:pt>
                <c:pt idx="12">
                  <c:v>0.49026000000000003</c:v>
                </c:pt>
                <c:pt idx="13">
                  <c:v>0.53027999999999997</c:v>
                </c:pt>
                <c:pt idx="14">
                  <c:v>0.57030000000000003</c:v>
                </c:pt>
                <c:pt idx="15">
                  <c:v>0.61031999999999997</c:v>
                </c:pt>
                <c:pt idx="16">
                  <c:v>0.65034000000000003</c:v>
                </c:pt>
                <c:pt idx="17">
                  <c:v>0.69035999999999997</c:v>
                </c:pt>
                <c:pt idx="18">
                  <c:v>0.73038000000000003</c:v>
                </c:pt>
                <c:pt idx="19">
                  <c:v>0.77039999999999997</c:v>
                </c:pt>
                <c:pt idx="20">
                  <c:v>0.81041999999999992</c:v>
                </c:pt>
                <c:pt idx="21">
                  <c:v>0.85044000000000008</c:v>
                </c:pt>
                <c:pt idx="22">
                  <c:v>0.89045999999999992</c:v>
                </c:pt>
                <c:pt idx="23">
                  <c:v>0.93047999999999997</c:v>
                </c:pt>
                <c:pt idx="24">
                  <c:v>0.97050000000000003</c:v>
                </c:pt>
              </c:numCache>
            </c:numRef>
          </c:xVal>
          <c:yVal>
            <c:numRef>
              <c:f>Графики!$Z$7:$Z$31</c:f>
              <c:numCache>
                <c:formatCode>General</c:formatCode>
                <c:ptCount val="25"/>
                <c:pt idx="0">
                  <c:v>4.5490158262039997E-12</c:v>
                </c:pt>
                <c:pt idx="1">
                  <c:v>1.3824573782762298E-8</c:v>
                </c:pt>
                <c:pt idx="2">
                  <c:v>2.5526918290500407E-7</c:v>
                </c:pt>
                <c:pt idx="3">
                  <c:v>1.5683479018669332E-6</c:v>
                </c:pt>
                <c:pt idx="4">
                  <c:v>5.8577466196370819E-6</c:v>
                </c:pt>
                <c:pt idx="5">
                  <c:v>1.6448409515169841E-5</c:v>
                </c:pt>
                <c:pt idx="6">
                  <c:v>3.8373378102787754E-5</c:v>
                </c:pt>
                <c:pt idx="7">
                  <c:v>7.8590470721016234E-5</c:v>
                </c:pt>
                <c:pt idx="8">
                  <c:v>1.4612885697115198E-4</c:v>
                </c:pt>
                <c:pt idx="9">
                  <c:v>2.5216721093651139E-4</c:v>
                </c:pt>
                <c:pt idx="10">
                  <c:v>4.1004589908551518E-4</c:v>
                </c:pt>
                <c:pt idx="11">
                  <c:v>6.3521654356721107E-4</c:v>
                </c:pt>
                <c:pt idx="12">
                  <c:v>9.4513325701868576E-4</c:v>
                </c:pt>
                <c:pt idx="13">
                  <c:v>1.3590908199878945E-3</c:v>
                </c:pt>
                <c:pt idx="14">
                  <c:v>1.898016010496449E-3</c:v>
                </c:pt>
                <c:pt idx="15">
                  <c:v>2.5842191400666905E-3</c:v>
                </c:pt>
                <c:pt idx="16">
                  <c:v>3.4411135480157434E-3</c:v>
                </c:pt>
                <c:pt idx="17">
                  <c:v>4.492911309676894E-3</c:v>
                </c:pt>
                <c:pt idx="18">
                  <c:v>5.7643036890179262E-3</c:v>
                </c:pt>
                <c:pt idx="19">
                  <c:v>7.2801348899251385E-3</c:v>
                </c:pt>
                <c:pt idx="20">
                  <c:v>9.0650774262083927E-3</c:v>
                </c:pt>
                <c:pt idx="21">
                  <c:v>1.1143316946392668E-2</c:v>
                </c:pt>
                <c:pt idx="22">
                  <c:v>1.3538253638130434E-2</c:v>
                </c:pt>
                <c:pt idx="23">
                  <c:v>1.6272226433412158E-2</c:v>
                </c:pt>
                <c:pt idx="24">
                  <c:v>1.9366265183882986E-2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F5-4DA8-9384-B97B75254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779312"/>
        <c:axId val="528056928"/>
      </c:scatterChart>
      <c:valAx>
        <c:axId val="5307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Нагрузка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056928"/>
        <c:crosses val="autoZero"/>
        <c:crossBetween val="midCat"/>
      </c:valAx>
      <c:valAx>
        <c:axId val="528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потерь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77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9525</xdr:rowOff>
    </xdr:from>
    <xdr:to>
      <xdr:col>7</xdr:col>
      <xdr:colOff>942975</xdr:colOff>
      <xdr:row>46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C252AD-3BC1-4655-A9CB-3FE716936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952499</xdr:colOff>
      <xdr:row>31</xdr:row>
      <xdr:rowOff>9525</xdr:rowOff>
    </xdr:from>
    <xdr:to>
      <xdr:col>13</xdr:col>
      <xdr:colOff>752474</xdr:colOff>
      <xdr:row>46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4AB9B85-5441-4044-9387-C782A1A91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114299</xdr:rowOff>
    </xdr:from>
    <xdr:to>
      <xdr:col>6</xdr:col>
      <xdr:colOff>0</xdr:colOff>
      <xdr:row>64</xdr:row>
      <xdr:rowOff>66674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BC03AD5-7455-465B-AB3A-8EA72DF98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opLeftCell="H13" workbookViewId="0">
      <selection activeCell="U30" activeCellId="4" sqref="U24 U26 U27 U29 U30"/>
    </sheetView>
  </sheetViews>
  <sheetFormatPr defaultRowHeight="15" x14ac:dyDescent="0.25"/>
  <cols>
    <col min="20" max="20" width="9.7109375" customWidth="1"/>
  </cols>
  <sheetData>
    <row r="1" spans="1:28" x14ac:dyDescent="0.25">
      <c r="A1" s="18" t="s">
        <v>0</v>
      </c>
      <c r="B1" s="18"/>
      <c r="C1" s="18"/>
      <c r="D1" s="18"/>
      <c r="E1" s="18"/>
      <c r="F1" t="s">
        <v>1</v>
      </c>
      <c r="G1" t="s">
        <v>3</v>
      </c>
      <c r="H1">
        <f>LEN(G1)</f>
        <v>7</v>
      </c>
      <c r="J1" s="17" t="s">
        <v>18</v>
      </c>
      <c r="K1" s="17"/>
      <c r="L1" s="17"/>
      <c r="M1" s="17"/>
      <c r="N1" s="17"/>
      <c r="O1" s="17"/>
      <c r="P1" s="17"/>
      <c r="Q1" s="17"/>
      <c r="R1" s="4"/>
    </row>
    <row r="2" spans="1:28" x14ac:dyDescent="0.25">
      <c r="A2" t="s">
        <v>5</v>
      </c>
      <c r="B2">
        <f xml:space="preserve"> 2 + MOD(H1,7)</f>
        <v>2</v>
      </c>
      <c r="F2" t="s">
        <v>2</v>
      </c>
      <c r="G2" t="s">
        <v>4</v>
      </c>
      <c r="H2">
        <f>LEN(G2)</f>
        <v>6</v>
      </c>
      <c r="J2" s="4" t="s">
        <v>19</v>
      </c>
      <c r="K2" s="4">
        <f>B4*B3/B2</f>
        <v>0.89999999999999991</v>
      </c>
      <c r="L2" s="4"/>
      <c r="M2" s="17" t="s">
        <v>20</v>
      </c>
      <c r="N2" s="17"/>
      <c r="O2" s="17"/>
      <c r="P2" s="17"/>
      <c r="Q2" s="17"/>
      <c r="R2" s="17"/>
    </row>
    <row r="3" spans="1:28" x14ac:dyDescent="0.25">
      <c r="A3" t="s">
        <v>6</v>
      </c>
      <c r="B3">
        <f>H2</f>
        <v>6</v>
      </c>
      <c r="J3" s="4" t="s">
        <v>21</v>
      </c>
      <c r="K3" s="4">
        <f xml:space="preserve"> POWER(POWER((B2*K2),B2)/(FACT(B2)*(1-K2)) + ( (POWER((B2*K2),0)/FACT(0)) + (POWER((B2*K2),1)/FACT(1)) ),-1)</f>
        <v>5.2631578947368474E-2</v>
      </c>
      <c r="L3" s="4"/>
      <c r="M3" s="17" t="s">
        <v>22</v>
      </c>
      <c r="N3" s="17"/>
      <c r="O3" s="17"/>
      <c r="P3" s="17"/>
      <c r="Q3" s="17"/>
      <c r="R3" s="17"/>
    </row>
    <row r="4" spans="1:28" x14ac:dyDescent="0.25">
      <c r="A4" t="s">
        <v>7</v>
      </c>
      <c r="B4">
        <f>B2*0.9/H2</f>
        <v>0.3</v>
      </c>
      <c r="C4">
        <f>1/B4</f>
        <v>3.3333333333333335</v>
      </c>
      <c r="J4" s="4" t="s">
        <v>23</v>
      </c>
      <c r="K4" s="4">
        <f xml:space="preserve"> K3*POWER((B2*K2),B2)/(FACT(B2)*(1-K2))</f>
        <v>0.85263157894736841</v>
      </c>
      <c r="L4" s="4"/>
      <c r="M4" s="17" t="s">
        <v>24</v>
      </c>
      <c r="N4" s="17"/>
      <c r="O4" s="17"/>
      <c r="P4" s="17"/>
      <c r="Q4" s="17"/>
      <c r="R4" s="17"/>
    </row>
    <row r="5" spans="1:28" x14ac:dyDescent="0.25">
      <c r="A5" t="s">
        <v>8</v>
      </c>
      <c r="B5">
        <f>H2/(H2+H1)</f>
        <v>0.46153846153846156</v>
      </c>
      <c r="J5" s="4" t="s">
        <v>25</v>
      </c>
      <c r="K5" s="4">
        <f>K4*B3/(B2*(1-K2))</f>
        <v>25.57894736842103</v>
      </c>
      <c r="L5" s="4"/>
      <c r="M5" s="17" t="s">
        <v>26</v>
      </c>
      <c r="N5" s="17"/>
      <c r="O5" s="17"/>
      <c r="P5" s="17"/>
      <c r="Q5" s="17"/>
      <c r="R5" s="17"/>
    </row>
    <row r="6" spans="1:28" x14ac:dyDescent="0.25">
      <c r="A6" t="s">
        <v>9</v>
      </c>
      <c r="B6" t="s">
        <v>10</v>
      </c>
      <c r="J6" s="4" t="s">
        <v>27</v>
      </c>
      <c r="K6" s="4">
        <f xml:space="preserve"> K5 + B3</f>
        <v>31.57894736842103</v>
      </c>
      <c r="L6" s="4"/>
      <c r="M6" s="17" t="s">
        <v>28</v>
      </c>
      <c r="N6" s="17"/>
      <c r="O6" s="17"/>
      <c r="P6" s="17"/>
      <c r="Q6" s="17"/>
      <c r="R6" s="17"/>
    </row>
    <row r="7" spans="1:28" x14ac:dyDescent="0.25">
      <c r="A7" t="s">
        <v>11</v>
      </c>
      <c r="B7">
        <f xml:space="preserve"> 3 + MOD(H2,5)</f>
        <v>4</v>
      </c>
      <c r="J7" s="4" t="s">
        <v>29</v>
      </c>
      <c r="K7" s="4">
        <f>B4*K5</f>
        <v>7.673684210526309</v>
      </c>
      <c r="L7" s="4"/>
      <c r="M7" s="17" t="s">
        <v>30</v>
      </c>
      <c r="N7" s="17"/>
      <c r="O7" s="17"/>
      <c r="P7" s="17"/>
      <c r="Q7" s="17"/>
      <c r="R7" s="17"/>
    </row>
    <row r="8" spans="1:28" x14ac:dyDescent="0.25">
      <c r="A8" t="s">
        <v>12</v>
      </c>
      <c r="B8">
        <f>9 - B7</f>
        <v>5</v>
      </c>
      <c r="J8" s="4" t="s">
        <v>31</v>
      </c>
      <c r="K8" s="4">
        <f xml:space="preserve"> B4*K6</f>
        <v>9.4736842105263079</v>
      </c>
      <c r="L8" s="4"/>
      <c r="M8" s="17" t="s">
        <v>32</v>
      </c>
      <c r="N8" s="17"/>
      <c r="O8" s="17"/>
      <c r="P8" s="17"/>
      <c r="Q8" s="17"/>
      <c r="R8" s="17"/>
    </row>
    <row r="9" spans="1:28" x14ac:dyDescent="0.25">
      <c r="A9" t="s">
        <v>13</v>
      </c>
      <c r="B9">
        <f>1-B5</f>
        <v>0.53846153846153844</v>
      </c>
      <c r="J9" s="4"/>
      <c r="K9" s="4"/>
      <c r="L9" s="4"/>
      <c r="M9" s="17"/>
      <c r="N9" s="17"/>
      <c r="O9" s="17"/>
      <c r="P9" s="17"/>
      <c r="Q9" s="17"/>
      <c r="R9" s="17"/>
    </row>
    <row r="10" spans="1:28" x14ac:dyDescent="0.25">
      <c r="J10" s="17" t="s">
        <v>33</v>
      </c>
      <c r="K10" s="17"/>
      <c r="L10" s="17"/>
      <c r="M10" s="17"/>
      <c r="N10" s="17"/>
      <c r="O10" s="17"/>
      <c r="P10" s="17"/>
      <c r="Q10" s="17"/>
      <c r="R10" s="4"/>
      <c r="T10" s="17" t="s">
        <v>59</v>
      </c>
      <c r="U10" s="17"/>
      <c r="V10" s="17"/>
      <c r="W10" s="17"/>
      <c r="X10" s="17"/>
      <c r="Y10" s="17"/>
      <c r="Z10" s="17"/>
      <c r="AA10" s="17"/>
      <c r="AB10" s="4"/>
    </row>
    <row r="11" spans="1:28" x14ac:dyDescent="0.25">
      <c r="A11" t="s">
        <v>17</v>
      </c>
      <c r="B11">
        <v>2</v>
      </c>
      <c r="J11" s="4" t="s">
        <v>7</v>
      </c>
      <c r="K11" s="4">
        <f>$B$4*$B$5</f>
        <v>0.13846153846153847</v>
      </c>
      <c r="L11" s="4"/>
      <c r="M11" s="17" t="s">
        <v>40</v>
      </c>
      <c r="N11" s="17"/>
      <c r="O11" s="17"/>
      <c r="P11" s="17"/>
      <c r="Q11" s="17"/>
      <c r="R11" s="17"/>
      <c r="T11" s="4" t="s">
        <v>7</v>
      </c>
      <c r="U11" s="4">
        <f>$B$4*$B$5</f>
        <v>0.13846153846153847</v>
      </c>
      <c r="V11" s="4"/>
      <c r="W11" s="17" t="s">
        <v>40</v>
      </c>
      <c r="X11" s="17"/>
      <c r="Y11" s="17"/>
      <c r="Z11" s="17"/>
      <c r="AA11" s="17"/>
      <c r="AB11" s="17"/>
    </row>
    <row r="12" spans="1:28" x14ac:dyDescent="0.25">
      <c r="A12" t="s">
        <v>15</v>
      </c>
      <c r="B12">
        <f>2/(1+B11*B11)</f>
        <v>0.4</v>
      </c>
      <c r="J12" s="5" t="s">
        <v>34</v>
      </c>
      <c r="K12" s="4">
        <f xml:space="preserve"> 1/$B$3</f>
        <v>0.16666666666666666</v>
      </c>
      <c r="L12" s="4"/>
      <c r="M12" s="17" t="s">
        <v>41</v>
      </c>
      <c r="N12" s="17"/>
      <c r="O12" s="17"/>
      <c r="P12" s="17"/>
      <c r="Q12" s="17"/>
      <c r="R12" s="17"/>
      <c r="T12" s="5" t="s">
        <v>34</v>
      </c>
      <c r="U12" s="4">
        <f xml:space="preserve"> 2/$B$3</f>
        <v>0.33333333333333331</v>
      </c>
      <c r="V12" s="4"/>
      <c r="W12" s="17" t="s">
        <v>41</v>
      </c>
      <c r="X12" s="17"/>
      <c r="Y12" s="17"/>
      <c r="Z12" s="17"/>
      <c r="AA12" s="17"/>
      <c r="AB12" s="17"/>
    </row>
    <row r="13" spans="1:28" x14ac:dyDescent="0.25">
      <c r="A13" t="s">
        <v>8</v>
      </c>
      <c r="B13">
        <v>0.4</v>
      </c>
      <c r="J13" s="4"/>
      <c r="K13" s="4"/>
      <c r="L13" s="4"/>
      <c r="M13" s="17"/>
      <c r="N13" s="17"/>
      <c r="O13" s="17"/>
      <c r="P13" s="17"/>
      <c r="Q13" s="17"/>
      <c r="R13" s="17"/>
      <c r="T13" s="4"/>
      <c r="U13" s="4"/>
      <c r="V13" s="4"/>
      <c r="W13" s="17"/>
      <c r="X13" s="17"/>
      <c r="Y13" s="17"/>
      <c r="Z13" s="17"/>
      <c r="AA13" s="17"/>
      <c r="AB13" s="17"/>
    </row>
    <row r="14" spans="1:28" x14ac:dyDescent="0.25">
      <c r="A14" t="s">
        <v>14</v>
      </c>
      <c r="B14">
        <f xml:space="preserve"> ( 1 + SQRT((B11*B11-1)*(1-B13)/2*B13))*B3</f>
        <v>9.6000000000000014</v>
      </c>
      <c r="J14" s="4" t="s">
        <v>35</v>
      </c>
      <c r="K14" s="4">
        <v>0.28035500000000002</v>
      </c>
      <c r="L14" s="4"/>
      <c r="M14" s="17" t="s">
        <v>42</v>
      </c>
      <c r="N14" s="17"/>
      <c r="O14" s="17"/>
      <c r="P14" s="17"/>
      <c r="Q14" s="17"/>
      <c r="R14" s="17"/>
      <c r="T14" s="4" t="s">
        <v>35</v>
      </c>
      <c r="U14" s="4">
        <v>0.25565500000000002</v>
      </c>
      <c r="V14" s="4"/>
      <c r="W14" s="17" t="s">
        <v>42</v>
      </c>
      <c r="X14" s="17"/>
      <c r="Y14" s="17"/>
      <c r="Z14" s="17"/>
      <c r="AA14" s="17"/>
      <c r="AB14" s="17"/>
    </row>
    <row r="15" spans="1:28" x14ac:dyDescent="0.25">
      <c r="A15" t="s">
        <v>16</v>
      </c>
      <c r="B15">
        <f xml:space="preserve"> ( 1 - SQRT((B11*B11-1)*B13/2*(1-B13)))*B3</f>
        <v>2.3999999999999995</v>
      </c>
      <c r="J15" s="4" t="s">
        <v>36</v>
      </c>
      <c r="K15" s="4">
        <v>0.23275999999999999</v>
      </c>
      <c r="L15" s="4"/>
      <c r="M15" s="17" t="s">
        <v>43</v>
      </c>
      <c r="N15" s="17"/>
      <c r="O15" s="17"/>
      <c r="P15" s="17"/>
      <c r="Q15" s="17"/>
      <c r="R15" s="17"/>
      <c r="T15" s="4" t="s">
        <v>36</v>
      </c>
      <c r="U15" s="4">
        <v>0.15038099999999999</v>
      </c>
      <c r="V15" s="4"/>
      <c r="W15" s="17" t="s">
        <v>66</v>
      </c>
      <c r="X15" s="17"/>
      <c r="Y15" s="17"/>
      <c r="Z15" s="17"/>
      <c r="AA15" s="17"/>
      <c r="AB15" s="17"/>
    </row>
    <row r="16" spans="1:28" x14ac:dyDescent="0.25">
      <c r="J16" s="4" t="s">
        <v>37</v>
      </c>
      <c r="K16" s="4">
        <v>0.193245</v>
      </c>
      <c r="L16" s="4"/>
      <c r="M16" s="17" t="s">
        <v>45</v>
      </c>
      <c r="N16" s="17"/>
      <c r="O16" s="17"/>
      <c r="P16" s="17"/>
      <c r="Q16" s="17"/>
      <c r="R16" s="17"/>
      <c r="S16" t="s">
        <v>44</v>
      </c>
      <c r="T16" s="4" t="s">
        <v>60</v>
      </c>
      <c r="U16" s="4">
        <v>0.106235</v>
      </c>
      <c r="V16" s="4"/>
      <c r="W16" s="17" t="s">
        <v>66</v>
      </c>
      <c r="X16" s="17"/>
      <c r="Y16" s="17"/>
      <c r="Z16" s="17"/>
      <c r="AA16" s="17"/>
      <c r="AB16" s="17"/>
    </row>
    <row r="17" spans="1:28" x14ac:dyDescent="0.25">
      <c r="A17" s="1"/>
      <c r="B17" s="1"/>
      <c r="C17" s="1"/>
      <c r="D17" s="1"/>
      <c r="E17" s="1"/>
      <c r="F17" s="1"/>
      <c r="G17" s="1"/>
      <c r="J17" s="4" t="s">
        <v>38</v>
      </c>
      <c r="K17" s="4">
        <v>0.160439</v>
      </c>
      <c r="L17" s="4"/>
      <c r="M17" s="17" t="s">
        <v>46</v>
      </c>
      <c r="N17" s="17"/>
      <c r="O17" s="17"/>
      <c r="P17" s="17"/>
      <c r="Q17" s="17"/>
      <c r="R17" s="17"/>
      <c r="T17" s="4" t="s">
        <v>38</v>
      </c>
      <c r="U17" s="4">
        <v>0.10680000000000001</v>
      </c>
      <c r="V17" s="4"/>
      <c r="W17" s="17" t="s">
        <v>45</v>
      </c>
      <c r="X17" s="17"/>
      <c r="Y17" s="17"/>
      <c r="Z17" s="17"/>
      <c r="AA17" s="17"/>
      <c r="AB17" s="17"/>
    </row>
    <row r="18" spans="1:28" x14ac:dyDescent="0.25">
      <c r="J18" s="4" t="s">
        <v>39</v>
      </c>
      <c r="K18" s="4">
        <v>0.13320199999999999</v>
      </c>
      <c r="L18" s="4"/>
      <c r="M18" s="17" t="s">
        <v>47</v>
      </c>
      <c r="N18" s="17"/>
      <c r="O18" s="17"/>
      <c r="P18" s="17"/>
      <c r="Q18" s="17"/>
      <c r="R18" s="17"/>
      <c r="T18" s="4" t="s">
        <v>61</v>
      </c>
      <c r="U18" s="4">
        <v>0.10663499999999999</v>
      </c>
      <c r="V18" s="4"/>
      <c r="W18" s="17" t="s">
        <v>45</v>
      </c>
      <c r="X18" s="17"/>
      <c r="Y18" s="17"/>
      <c r="Z18" s="17"/>
      <c r="AA18" s="17"/>
      <c r="AB18" s="17"/>
    </row>
    <row r="19" spans="1:28" x14ac:dyDescent="0.25">
      <c r="J19" s="4"/>
      <c r="K19" s="4"/>
      <c r="L19" s="4"/>
      <c r="M19" s="17"/>
      <c r="N19" s="17"/>
      <c r="O19" s="17"/>
      <c r="P19" s="17"/>
      <c r="Q19" s="17"/>
      <c r="R19" s="17"/>
      <c r="T19" s="4" t="s">
        <v>62</v>
      </c>
      <c r="U19" s="4">
        <v>8.1235000000000002E-2</v>
      </c>
      <c r="V19" s="4"/>
      <c r="W19" s="17" t="s">
        <v>46</v>
      </c>
      <c r="X19" s="17"/>
      <c r="Y19" s="17"/>
      <c r="Z19" s="17"/>
      <c r="AA19" s="17"/>
      <c r="AB19" s="17"/>
    </row>
    <row r="20" spans="1:28" x14ac:dyDescent="0.25">
      <c r="J20" s="5" t="s">
        <v>48</v>
      </c>
      <c r="K20" s="4">
        <f>K18</f>
        <v>0.13320199999999999</v>
      </c>
      <c r="L20" s="4"/>
      <c r="M20" s="17" t="s">
        <v>49</v>
      </c>
      <c r="N20" s="17"/>
      <c r="O20" s="17"/>
      <c r="P20" s="17"/>
      <c r="Q20" s="17"/>
      <c r="R20" s="17"/>
      <c r="T20" t="s">
        <v>63</v>
      </c>
      <c r="U20">
        <v>8.8691000000000006E-2</v>
      </c>
      <c r="W20" s="17" t="s">
        <v>46</v>
      </c>
      <c r="X20" s="17"/>
      <c r="Y20" s="17"/>
      <c r="Z20" s="17"/>
      <c r="AA20" s="17"/>
      <c r="AB20" s="17"/>
    </row>
    <row r="21" spans="1:28" x14ac:dyDescent="0.25">
      <c r="J21" s="4" t="s">
        <v>53</v>
      </c>
      <c r="K21" s="4">
        <f xml:space="preserve"> K11 * K20</f>
        <v>1.8443353846153844E-2</v>
      </c>
      <c r="L21" s="4"/>
      <c r="M21" s="17" t="s">
        <v>54</v>
      </c>
      <c r="N21" s="17"/>
      <c r="O21" s="17"/>
      <c r="P21" s="17"/>
      <c r="Q21" s="17"/>
      <c r="R21" s="17"/>
      <c r="T21" t="s">
        <v>64</v>
      </c>
      <c r="U21">
        <v>3.3756000000000001E-2</v>
      </c>
      <c r="W21" s="17" t="s">
        <v>47</v>
      </c>
      <c r="X21" s="17"/>
      <c r="Y21" s="17"/>
      <c r="Z21" s="17"/>
      <c r="AA21" s="17"/>
      <c r="AB21" s="17"/>
    </row>
    <row r="22" spans="1:28" x14ac:dyDescent="0.25">
      <c r="J22" s="6" t="s">
        <v>52</v>
      </c>
      <c r="K22" s="4">
        <f xml:space="preserve"> K15+K16+K17+K18</f>
        <v>0.71964600000000001</v>
      </c>
      <c r="L22" s="4"/>
      <c r="M22" s="17" t="s">
        <v>20</v>
      </c>
      <c r="N22" s="17"/>
      <c r="O22" s="17"/>
      <c r="P22" s="17"/>
      <c r="Q22" s="17"/>
      <c r="R22" s="17"/>
      <c r="T22" t="s">
        <v>65</v>
      </c>
      <c r="U22">
        <v>7.0610999999999993E-2</v>
      </c>
      <c r="W22" s="17" t="s">
        <v>47</v>
      </c>
      <c r="X22" s="17"/>
      <c r="Y22" s="17"/>
      <c r="Z22" s="17"/>
      <c r="AA22" s="17"/>
      <c r="AB22" s="17"/>
    </row>
    <row r="23" spans="1:28" x14ac:dyDescent="0.25">
      <c r="J23" s="4" t="s">
        <v>50</v>
      </c>
      <c r="K23" s="4">
        <f xml:space="preserve"> 1 * K16 + 2 * K17 + 3 * K18</f>
        <v>0.91372900000000001</v>
      </c>
      <c r="L23" s="4"/>
      <c r="M23" s="17" t="s">
        <v>51</v>
      </c>
      <c r="N23" s="17"/>
      <c r="O23" s="17"/>
      <c r="P23" s="17"/>
      <c r="Q23" s="17"/>
      <c r="R23" s="17"/>
    </row>
    <row r="24" spans="1:28" x14ac:dyDescent="0.25">
      <c r="J24" s="4" t="s">
        <v>31</v>
      </c>
      <c r="K24" s="4">
        <f xml:space="preserve"> 1*K15+2*K16+3*K17+4*K18</f>
        <v>1.6333749999999998</v>
      </c>
      <c r="L24" s="4"/>
      <c r="M24" s="17" t="s">
        <v>32</v>
      </c>
      <c r="N24" s="17"/>
      <c r="O24" s="17"/>
      <c r="P24" s="17"/>
      <c r="Q24" s="17"/>
      <c r="R24" s="17"/>
      <c r="T24" s="5" t="s">
        <v>48</v>
      </c>
      <c r="U24" s="4">
        <f>U22</f>
        <v>7.0610999999999993E-2</v>
      </c>
      <c r="V24" s="4"/>
      <c r="W24" s="17" t="s">
        <v>49</v>
      </c>
      <c r="X24" s="17"/>
      <c r="Y24" s="17"/>
      <c r="Z24" s="17"/>
      <c r="AA24" s="17"/>
      <c r="AB24" s="17"/>
    </row>
    <row r="25" spans="1:28" x14ac:dyDescent="0.25">
      <c r="J25" s="4" t="s">
        <v>55</v>
      </c>
      <c r="K25" s="4">
        <f>K23/(K11-K21)</f>
        <v>7.6132546324390322</v>
      </c>
      <c r="L25" s="4"/>
      <c r="M25" s="17" t="s">
        <v>26</v>
      </c>
      <c r="N25" s="17"/>
      <c r="O25" s="17"/>
      <c r="P25" s="17"/>
      <c r="Q25" s="17"/>
      <c r="R25" s="17"/>
      <c r="T25" s="4" t="s">
        <v>53</v>
      </c>
      <c r="U25" s="4">
        <f xml:space="preserve"> U11 * U24</f>
        <v>9.7769076923076917E-3</v>
      </c>
      <c r="V25" s="4"/>
      <c r="W25" s="17" t="s">
        <v>54</v>
      </c>
      <c r="X25" s="17"/>
      <c r="Y25" s="17"/>
      <c r="Z25" s="17"/>
      <c r="AA25" s="17"/>
      <c r="AB25" s="17"/>
    </row>
    <row r="26" spans="1:28" x14ac:dyDescent="0.25">
      <c r="J26" s="4" t="s">
        <v>56</v>
      </c>
      <c r="K26" s="4">
        <f>K24/(K11-K21)</f>
        <v>13.609395986403083</v>
      </c>
      <c r="L26" s="4"/>
      <c r="M26" s="17" t="s">
        <v>28</v>
      </c>
      <c r="N26" s="17"/>
      <c r="O26" s="17"/>
      <c r="P26" s="17"/>
      <c r="Q26" s="17"/>
      <c r="R26" s="17"/>
      <c r="T26" s="6" t="s">
        <v>52</v>
      </c>
      <c r="U26" s="4">
        <f xml:space="preserve"> SUM(U15:U22)</f>
        <v>0.74434399999999989</v>
      </c>
      <c r="V26" s="4"/>
      <c r="W26" s="17" t="s">
        <v>20</v>
      </c>
      <c r="X26" s="17"/>
      <c r="Y26" s="17"/>
      <c r="Z26" s="17"/>
      <c r="AA26" s="17"/>
      <c r="AB26" s="17"/>
    </row>
    <row r="27" spans="1:28" x14ac:dyDescent="0.25">
      <c r="T27" s="4" t="s">
        <v>50</v>
      </c>
      <c r="U27" s="4">
        <f xml:space="preserve"> 1*(U17+U18)+2*(U19+U20)+3*(U21+U22)</f>
        <v>0.86638800000000005</v>
      </c>
      <c r="V27" s="4"/>
      <c r="W27" s="17" t="s">
        <v>51</v>
      </c>
      <c r="X27" s="17"/>
      <c r="Y27" s="17"/>
      <c r="Z27" s="17"/>
      <c r="AA27" s="17"/>
      <c r="AB27" s="17"/>
    </row>
    <row r="28" spans="1:28" x14ac:dyDescent="0.25">
      <c r="T28" s="4" t="s">
        <v>31</v>
      </c>
      <c r="U28" s="4">
        <f xml:space="preserve"> 1*(U15+U16)+2*(U17+U18)+3*(U19+U20)+4*(U21+U22)</f>
        <v>1.6107320000000001</v>
      </c>
      <c r="V28" s="4"/>
      <c r="W28" s="17" t="s">
        <v>32</v>
      </c>
      <c r="X28" s="17"/>
      <c r="Y28" s="17"/>
      <c r="Z28" s="17"/>
      <c r="AA28" s="17"/>
      <c r="AB28" s="17"/>
    </row>
    <row r="29" spans="1:28" x14ac:dyDescent="0.25">
      <c r="T29" s="4" t="s">
        <v>55</v>
      </c>
      <c r="U29" s="4">
        <f>U27/(U11-U25)</f>
        <v>6.7326454979203181</v>
      </c>
      <c r="V29" s="4"/>
      <c r="W29" s="17" t="s">
        <v>26</v>
      </c>
      <c r="X29" s="17"/>
      <c r="Y29" s="17"/>
      <c r="Z29" s="17"/>
      <c r="AA29" s="17"/>
      <c r="AB29" s="17"/>
    </row>
    <row r="30" spans="1:28" x14ac:dyDescent="0.25">
      <c r="T30" s="4" t="s">
        <v>56</v>
      </c>
      <c r="U30" s="4">
        <f>U28/(U11-U25)</f>
        <v>12.516894911005449</v>
      </c>
      <c r="V30" s="4"/>
      <c r="W30" s="17" t="s">
        <v>28</v>
      </c>
      <c r="X30" s="17"/>
      <c r="Y30" s="17"/>
      <c r="Z30" s="17"/>
      <c r="AA30" s="17"/>
      <c r="AB30" s="17"/>
    </row>
    <row r="32" spans="1:28" x14ac:dyDescent="0.25">
      <c r="J32" s="17" t="s">
        <v>57</v>
      </c>
      <c r="K32" s="17"/>
      <c r="L32" s="17"/>
      <c r="M32" s="17"/>
      <c r="N32" s="17"/>
      <c r="O32" s="17"/>
      <c r="P32" s="17"/>
      <c r="Q32" s="17"/>
      <c r="R32" s="4"/>
      <c r="T32" s="17" t="s">
        <v>69</v>
      </c>
      <c r="U32" s="17"/>
      <c r="V32" s="17"/>
      <c r="W32" s="17"/>
      <c r="X32" s="17"/>
      <c r="Y32" s="17"/>
      <c r="Z32" s="17"/>
      <c r="AA32" s="17"/>
      <c r="AB32" s="4"/>
    </row>
    <row r="33" spans="10:28" x14ac:dyDescent="0.25">
      <c r="J33" s="4" t="s">
        <v>7</v>
      </c>
      <c r="K33" s="4">
        <f>$B$4*(1-$B$5)</f>
        <v>0.16153846153846152</v>
      </c>
      <c r="L33" s="4"/>
      <c r="M33" s="17" t="s">
        <v>40</v>
      </c>
      <c r="N33" s="17"/>
      <c r="O33" s="17"/>
      <c r="P33" s="17"/>
      <c r="Q33" s="17"/>
      <c r="R33" s="17"/>
      <c r="T33" s="4" t="s">
        <v>7</v>
      </c>
      <c r="U33" s="4">
        <f>$B$4*(1-$B$5)</f>
        <v>0.16153846153846152</v>
      </c>
      <c r="V33" s="4"/>
      <c r="W33" s="17" t="s">
        <v>40</v>
      </c>
      <c r="X33" s="17"/>
      <c r="Y33" s="17"/>
      <c r="Z33" s="17"/>
      <c r="AA33" s="17"/>
      <c r="AB33" s="17"/>
    </row>
    <row r="34" spans="10:28" x14ac:dyDescent="0.25">
      <c r="J34" s="5" t="s">
        <v>34</v>
      </c>
      <c r="K34" s="4">
        <f xml:space="preserve"> 1/$B$3</f>
        <v>0.16666666666666666</v>
      </c>
      <c r="L34" s="4"/>
      <c r="M34" s="17" t="s">
        <v>41</v>
      </c>
      <c r="N34" s="17"/>
      <c r="O34" s="17"/>
      <c r="P34" s="17"/>
      <c r="Q34" s="17"/>
      <c r="R34" s="17"/>
      <c r="T34" s="5" t="s">
        <v>70</v>
      </c>
      <c r="U34" s="4">
        <f>1/9.6</f>
        <v>0.10416666666666667</v>
      </c>
      <c r="V34" s="4"/>
      <c r="W34" s="17" t="s">
        <v>73</v>
      </c>
      <c r="X34" s="17"/>
      <c r="Y34" s="17"/>
      <c r="Z34" s="17"/>
      <c r="AA34" s="17"/>
      <c r="AB34" s="17"/>
    </row>
    <row r="35" spans="10:28" x14ac:dyDescent="0.25">
      <c r="J35" s="4"/>
      <c r="K35" s="4"/>
      <c r="L35" s="4"/>
      <c r="M35" s="17"/>
      <c r="N35" s="17"/>
      <c r="O35" s="17"/>
      <c r="P35" s="17"/>
      <c r="Q35" s="17"/>
      <c r="R35" s="17"/>
      <c r="T35" s="5" t="s">
        <v>71</v>
      </c>
      <c r="U35">
        <f>1/3.7</f>
        <v>0.27027027027027023</v>
      </c>
      <c r="W35" s="17" t="s">
        <v>74</v>
      </c>
      <c r="X35" s="17"/>
      <c r="Y35" s="17"/>
      <c r="Z35" s="17"/>
      <c r="AA35" s="17"/>
      <c r="AB35" s="17"/>
    </row>
    <row r="36" spans="10:28" x14ac:dyDescent="0.25">
      <c r="J36" s="4" t="s">
        <v>35</v>
      </c>
      <c r="K36" s="4">
        <v>0.180144</v>
      </c>
      <c r="L36" s="4"/>
      <c r="M36" s="17" t="s">
        <v>42</v>
      </c>
      <c r="N36" s="17"/>
      <c r="O36" s="17"/>
      <c r="P36" s="17"/>
      <c r="Q36" s="17"/>
      <c r="R36" s="17"/>
      <c r="T36" s="7" t="s">
        <v>72</v>
      </c>
      <c r="U36">
        <v>0.4</v>
      </c>
      <c r="W36" s="18" t="s">
        <v>75</v>
      </c>
      <c r="X36" s="18"/>
      <c r="Y36" s="18"/>
      <c r="Z36" s="18"/>
      <c r="AA36" s="18"/>
      <c r="AB36" s="18"/>
    </row>
    <row r="37" spans="10:28" x14ac:dyDescent="0.25">
      <c r="J37" s="4" t="s">
        <v>67</v>
      </c>
      <c r="K37" s="4">
        <v>0.17452500000000001</v>
      </c>
      <c r="L37" s="4"/>
      <c r="M37" s="17" t="s">
        <v>43</v>
      </c>
      <c r="N37" s="17"/>
      <c r="O37" s="17"/>
      <c r="P37" s="17"/>
      <c r="Q37" s="17"/>
      <c r="R37" s="17"/>
    </row>
    <row r="38" spans="10:28" x14ac:dyDescent="0.25">
      <c r="J38" s="4" t="s">
        <v>37</v>
      </c>
      <c r="K38" s="4">
        <v>0.16908100000000001</v>
      </c>
      <c r="L38" s="4"/>
      <c r="M38" s="17" t="s">
        <v>45</v>
      </c>
      <c r="N38" s="17"/>
      <c r="O38" s="17"/>
      <c r="P38" s="17"/>
      <c r="Q38" s="17"/>
      <c r="R38" s="17"/>
      <c r="T38" t="s">
        <v>77</v>
      </c>
      <c r="U38">
        <f>U36*U33</f>
        <v>6.4615384615384616E-2</v>
      </c>
      <c r="W38" s="19" t="s">
        <v>83</v>
      </c>
      <c r="X38" s="19"/>
      <c r="Y38" s="19"/>
      <c r="Z38" s="19"/>
      <c r="AA38" s="19"/>
      <c r="AB38" s="19"/>
    </row>
    <row r="39" spans="10:28" x14ac:dyDescent="0.25">
      <c r="J39" s="4" t="s">
        <v>58</v>
      </c>
      <c r="K39" s="4">
        <v>0.16380700000000001</v>
      </c>
      <c r="L39" s="4"/>
      <c r="M39" s="17" t="s">
        <v>46</v>
      </c>
      <c r="N39" s="17"/>
      <c r="O39" s="17"/>
      <c r="P39" s="17"/>
      <c r="Q39" s="17"/>
      <c r="R39" s="17"/>
      <c r="T39" t="s">
        <v>78</v>
      </c>
      <c r="U39">
        <f>(1-U36)*U33</f>
        <v>9.6923076923076903E-2</v>
      </c>
      <c r="W39" s="19"/>
      <c r="X39" s="19"/>
      <c r="Y39" s="19"/>
      <c r="Z39" s="19"/>
      <c r="AA39" s="19"/>
      <c r="AB39" s="19"/>
    </row>
    <row r="40" spans="10:28" x14ac:dyDescent="0.25">
      <c r="J40" s="4" t="s">
        <v>39</v>
      </c>
      <c r="K40" s="4">
        <v>0.158697</v>
      </c>
      <c r="L40" s="4"/>
      <c r="M40" s="17" t="s">
        <v>47</v>
      </c>
      <c r="N40" s="17"/>
      <c r="O40" s="17"/>
      <c r="P40" s="17"/>
      <c r="Q40" s="17"/>
      <c r="R40" s="17"/>
      <c r="T40" s="5" t="s">
        <v>79</v>
      </c>
      <c r="U40">
        <f>U36*U34</f>
        <v>4.1666666666666671E-2</v>
      </c>
      <c r="W40" s="19"/>
      <c r="X40" s="19"/>
      <c r="Y40" s="19"/>
      <c r="Z40" s="19"/>
      <c r="AA40" s="19"/>
      <c r="AB40" s="19"/>
    </row>
    <row r="41" spans="10:28" x14ac:dyDescent="0.25">
      <c r="J41" s="4" t="s">
        <v>68</v>
      </c>
      <c r="K41" s="4">
        <v>0.15374599999999999</v>
      </c>
      <c r="L41" s="4"/>
      <c r="M41" s="3"/>
      <c r="N41" s="3"/>
      <c r="O41" s="3"/>
      <c r="P41" s="3"/>
      <c r="Q41" s="3"/>
      <c r="R41" s="3"/>
      <c r="T41" s="5" t="s">
        <v>80</v>
      </c>
      <c r="U41">
        <f>U36*U35</f>
        <v>0.1081081081081081</v>
      </c>
      <c r="W41" s="19"/>
      <c r="X41" s="19"/>
      <c r="Y41" s="19"/>
      <c r="Z41" s="19"/>
      <c r="AA41" s="19"/>
      <c r="AB41" s="19"/>
    </row>
    <row r="42" spans="10:28" x14ac:dyDescent="0.25">
      <c r="T42" s="5" t="s">
        <v>81</v>
      </c>
      <c r="U42">
        <f>(1-U36)*U34</f>
        <v>6.25E-2</v>
      </c>
      <c r="W42" s="19"/>
      <c r="X42" s="19"/>
      <c r="Y42" s="19"/>
      <c r="Z42" s="19"/>
      <c r="AA42" s="19"/>
      <c r="AB42" s="19"/>
    </row>
    <row r="43" spans="10:28" x14ac:dyDescent="0.25">
      <c r="J43" s="5" t="s">
        <v>48</v>
      </c>
      <c r="K43" s="4">
        <f>K41</f>
        <v>0.15374599999999999</v>
      </c>
      <c r="L43" s="4"/>
      <c r="M43" s="17" t="s">
        <v>49</v>
      </c>
      <c r="N43" s="17"/>
      <c r="O43" s="17"/>
      <c r="P43" s="17"/>
      <c r="Q43" s="17"/>
      <c r="R43" s="17"/>
      <c r="T43" s="5" t="s">
        <v>82</v>
      </c>
      <c r="U43">
        <f>(1-U36)*U35</f>
        <v>0.16216216216216214</v>
      </c>
      <c r="W43" s="19"/>
      <c r="X43" s="19"/>
      <c r="Y43" s="19"/>
      <c r="Z43" s="19"/>
      <c r="AA43" s="19"/>
      <c r="AB43" s="19"/>
    </row>
    <row r="44" spans="10:28" x14ac:dyDescent="0.25">
      <c r="J44" s="4" t="s">
        <v>53</v>
      </c>
      <c r="K44" s="4">
        <f xml:space="preserve"> K33 * K43</f>
        <v>2.4835892307692304E-2</v>
      </c>
      <c r="L44" s="4"/>
      <c r="M44" s="17" t="s">
        <v>54</v>
      </c>
      <c r="N44" s="17"/>
      <c r="O44" s="17"/>
      <c r="P44" s="17"/>
      <c r="Q44" s="17"/>
      <c r="R44" s="17"/>
    </row>
    <row r="45" spans="10:28" x14ac:dyDescent="0.25">
      <c r="J45" s="6" t="s">
        <v>52</v>
      </c>
      <c r="K45" s="4">
        <f xml:space="preserve"> K37+K38+K39+K40+K41</f>
        <v>0.81985599999999992</v>
      </c>
      <c r="L45" s="4"/>
      <c r="M45" s="17" t="s">
        <v>20</v>
      </c>
      <c r="N45" s="17"/>
      <c r="O45" s="17"/>
      <c r="P45" s="17"/>
      <c r="Q45" s="17"/>
      <c r="R45" s="17"/>
      <c r="T45" t="s">
        <v>35</v>
      </c>
      <c r="U45">
        <v>0.36002699999999999</v>
      </c>
      <c r="W45" s="17" t="s">
        <v>42</v>
      </c>
      <c r="X45" s="17"/>
      <c r="Y45" s="17"/>
      <c r="Z45" s="17"/>
      <c r="AA45" s="17"/>
      <c r="AB45" s="17"/>
    </row>
    <row r="46" spans="10:28" x14ac:dyDescent="0.25">
      <c r="J46" s="4" t="s">
        <v>50</v>
      </c>
      <c r="K46" s="4">
        <f xml:space="preserve"> 1 * K38 + 2 * K39 + 3 * K40+4*K41</f>
        <v>1.5877699999999999</v>
      </c>
      <c r="L46" s="4"/>
      <c r="M46" s="17" t="s">
        <v>51</v>
      </c>
      <c r="N46" s="17"/>
      <c r="O46" s="17"/>
      <c r="P46" s="17"/>
      <c r="Q46" s="17"/>
      <c r="R46" s="17"/>
      <c r="T46" t="s">
        <v>67</v>
      </c>
      <c r="U46">
        <v>0.20023299999999999</v>
      </c>
      <c r="W46" s="17" t="s">
        <v>66</v>
      </c>
      <c r="X46" s="17"/>
      <c r="Y46" s="17"/>
      <c r="Z46" s="17"/>
      <c r="AA46" s="17"/>
      <c r="AB46" s="17"/>
    </row>
    <row r="47" spans="10:28" x14ac:dyDescent="0.25">
      <c r="J47" s="4" t="s">
        <v>31</v>
      </c>
      <c r="K47" s="4">
        <f xml:space="preserve"> 1*K37+2*K38+3*K39+4*K40+5*K41</f>
        <v>2.4076259999999996</v>
      </c>
      <c r="L47" s="4"/>
      <c r="M47" s="17" t="s">
        <v>32</v>
      </c>
      <c r="N47" s="17"/>
      <c r="O47" s="17"/>
      <c r="P47" s="17"/>
      <c r="Q47" s="17"/>
      <c r="R47" s="17"/>
      <c r="T47" t="s">
        <v>37</v>
      </c>
      <c r="U47">
        <v>0.138046</v>
      </c>
      <c r="W47" s="17" t="s">
        <v>66</v>
      </c>
      <c r="X47" s="17"/>
      <c r="Y47" s="17"/>
      <c r="Z47" s="17"/>
      <c r="AA47" s="17"/>
      <c r="AB47" s="17"/>
    </row>
    <row r="48" spans="10:28" x14ac:dyDescent="0.25">
      <c r="J48" s="4" t="s">
        <v>55</v>
      </c>
      <c r="K48" s="4">
        <f>K46/(K33-K44)</f>
        <v>11.614778046487677</v>
      </c>
      <c r="L48" s="4"/>
      <c r="M48" s="17" t="s">
        <v>26</v>
      </c>
      <c r="N48" s="17"/>
      <c r="O48" s="17"/>
      <c r="P48" s="17"/>
      <c r="Q48" s="17"/>
      <c r="R48" s="17"/>
      <c r="T48" t="s">
        <v>58</v>
      </c>
      <c r="U48">
        <v>0.10588400000000001</v>
      </c>
      <c r="W48" s="17" t="s">
        <v>45</v>
      </c>
      <c r="X48" s="17"/>
      <c r="Y48" s="17"/>
      <c r="Z48" s="17"/>
      <c r="AA48" s="17"/>
      <c r="AB48" s="17"/>
    </row>
    <row r="49" spans="10:28" x14ac:dyDescent="0.25">
      <c r="J49" s="4" t="s">
        <v>56</v>
      </c>
      <c r="K49" s="4">
        <f>K47/(K33-K44)</f>
        <v>17.612148868509252</v>
      </c>
      <c r="L49" s="4"/>
      <c r="M49" s="17" t="s">
        <v>28</v>
      </c>
      <c r="N49" s="17"/>
      <c r="O49" s="17"/>
      <c r="P49" s="17"/>
      <c r="Q49" s="17"/>
      <c r="R49" s="17"/>
      <c r="T49" t="s">
        <v>39</v>
      </c>
      <c r="U49">
        <v>5.6585000000000003E-2</v>
      </c>
      <c r="W49" s="17" t="s">
        <v>45</v>
      </c>
      <c r="X49" s="17"/>
      <c r="Y49" s="17"/>
      <c r="Z49" s="17"/>
      <c r="AA49" s="17"/>
      <c r="AB49" s="17"/>
    </row>
    <row r="50" spans="10:28" x14ac:dyDescent="0.25">
      <c r="T50" t="s">
        <v>68</v>
      </c>
      <c r="U50">
        <v>5.4545999999999997E-2</v>
      </c>
      <c r="W50" s="17" t="s">
        <v>46</v>
      </c>
      <c r="X50" s="17"/>
      <c r="Y50" s="17"/>
      <c r="Z50" s="17"/>
      <c r="AA50" s="17"/>
      <c r="AB50" s="17"/>
    </row>
    <row r="51" spans="10:28" x14ac:dyDescent="0.25">
      <c r="T51" t="s">
        <v>84</v>
      </c>
      <c r="U51">
        <v>2.4593E-2</v>
      </c>
      <c r="W51" s="17" t="s">
        <v>46</v>
      </c>
      <c r="X51" s="17"/>
      <c r="Y51" s="17"/>
      <c r="Z51" s="17"/>
      <c r="AA51" s="17"/>
      <c r="AB51" s="17"/>
    </row>
    <row r="52" spans="10:28" x14ac:dyDescent="0.25">
      <c r="T52" t="s">
        <v>85</v>
      </c>
      <c r="U52">
        <v>2.7696999999999999E-2</v>
      </c>
      <c r="W52" s="17" t="s">
        <v>47</v>
      </c>
      <c r="X52" s="17"/>
      <c r="Y52" s="17"/>
      <c r="Z52" s="17"/>
      <c r="AA52" s="17"/>
      <c r="AB52" s="17"/>
    </row>
    <row r="53" spans="10:28" x14ac:dyDescent="0.25">
      <c r="T53" t="s">
        <v>86</v>
      </c>
      <c r="U53">
        <v>1.119E-2</v>
      </c>
      <c r="W53" s="17" t="s">
        <v>47</v>
      </c>
      <c r="X53" s="17"/>
      <c r="Y53" s="17"/>
      <c r="Z53" s="17"/>
      <c r="AA53" s="17"/>
      <c r="AB53" s="17"/>
    </row>
    <row r="54" spans="10:28" x14ac:dyDescent="0.25">
      <c r="T54" t="s">
        <v>87</v>
      </c>
      <c r="U54">
        <v>1.7187000000000001E-2</v>
      </c>
      <c r="W54" s="17" t="s">
        <v>89</v>
      </c>
      <c r="X54" s="17"/>
      <c r="Y54" s="17"/>
      <c r="Z54" s="17"/>
      <c r="AA54" s="17"/>
      <c r="AB54" s="17"/>
    </row>
    <row r="55" spans="10:28" x14ac:dyDescent="0.25">
      <c r="T55" t="s">
        <v>88</v>
      </c>
      <c r="U55">
        <v>4.0130000000000001E-3</v>
      </c>
      <c r="W55" s="17" t="s">
        <v>89</v>
      </c>
      <c r="X55" s="17"/>
      <c r="Y55" s="17"/>
      <c r="Z55" s="17"/>
      <c r="AA55" s="17"/>
      <c r="AB55" s="17"/>
    </row>
    <row r="56" spans="10:28" x14ac:dyDescent="0.25">
      <c r="W56" s="18"/>
      <c r="X56" s="18"/>
      <c r="Y56" s="18"/>
      <c r="Z56" s="18"/>
      <c r="AA56" s="18"/>
      <c r="AB56" s="18"/>
    </row>
    <row r="57" spans="10:28" x14ac:dyDescent="0.25">
      <c r="T57" s="5" t="s">
        <v>48</v>
      </c>
      <c r="U57" s="4">
        <f>U55+U54</f>
        <v>2.12E-2</v>
      </c>
      <c r="V57" s="4"/>
      <c r="W57" s="17" t="s">
        <v>49</v>
      </c>
      <c r="X57" s="17"/>
      <c r="Y57" s="17"/>
      <c r="Z57" s="17"/>
      <c r="AA57" s="17"/>
      <c r="AB57" s="17"/>
    </row>
    <row r="58" spans="10:28" x14ac:dyDescent="0.25">
      <c r="T58" s="4" t="s">
        <v>53</v>
      </c>
      <c r="U58" s="4">
        <f xml:space="preserve"> U33 * U57</f>
        <v>3.424615384615384E-3</v>
      </c>
      <c r="V58" s="4"/>
      <c r="W58" s="17" t="s">
        <v>54</v>
      </c>
      <c r="X58" s="17"/>
      <c r="Y58" s="17"/>
      <c r="Z58" s="17"/>
      <c r="AA58" s="17"/>
      <c r="AB58" s="17"/>
    </row>
    <row r="59" spans="10:28" x14ac:dyDescent="0.25">
      <c r="T59" s="6" t="s">
        <v>52</v>
      </c>
      <c r="U59" s="4">
        <f xml:space="preserve"> SUM(U46:U55)</f>
        <v>0.63997399999999993</v>
      </c>
      <c r="V59" s="4"/>
      <c r="W59" s="17" t="s">
        <v>20</v>
      </c>
      <c r="X59" s="17"/>
      <c r="Y59" s="17"/>
      <c r="Z59" s="17"/>
      <c r="AA59" s="17"/>
      <c r="AB59" s="17"/>
    </row>
    <row r="60" spans="10:28" x14ac:dyDescent="0.25">
      <c r="T60" s="4" t="s">
        <v>50</v>
      </c>
      <c r="U60" s="4">
        <f xml:space="preserve"> 1*(U48+U49)+2*(U50+U51)+3*(U52+U53)+4*(U54+U55)</f>
        <v>0.52220800000000001</v>
      </c>
      <c r="V60" s="4"/>
      <c r="W60" s="17" t="s">
        <v>51</v>
      </c>
      <c r="X60" s="17"/>
      <c r="Y60" s="17"/>
      <c r="Z60" s="17"/>
      <c r="AA60" s="17"/>
      <c r="AB60" s="17"/>
    </row>
    <row r="61" spans="10:28" x14ac:dyDescent="0.25">
      <c r="T61" s="4" t="s">
        <v>31</v>
      </c>
      <c r="U61" s="4">
        <f xml:space="preserve"> 1*(U46+U47)+ 2*(U48+U49)+3*(U50+U51)+4*(U52+U53)+5*(U54+U55)</f>
        <v>1.162182</v>
      </c>
      <c r="V61" s="4"/>
      <c r="W61" s="17" t="s">
        <v>32</v>
      </c>
      <c r="X61" s="17"/>
      <c r="Y61" s="17"/>
      <c r="Z61" s="17"/>
      <c r="AA61" s="17"/>
      <c r="AB61" s="17"/>
    </row>
    <row r="62" spans="10:28" x14ac:dyDescent="0.25">
      <c r="T62" s="4" t="s">
        <v>55</v>
      </c>
      <c r="U62" s="4">
        <f>U60/(U33-U58)</f>
        <v>3.3027341545527085</v>
      </c>
      <c r="V62" s="4"/>
      <c r="W62" s="17" t="s">
        <v>26</v>
      </c>
      <c r="X62" s="17"/>
      <c r="Y62" s="17"/>
      <c r="Z62" s="17"/>
      <c r="AA62" s="17"/>
      <c r="AB62" s="17"/>
    </row>
    <row r="63" spans="10:28" x14ac:dyDescent="0.25">
      <c r="T63" s="4" t="s">
        <v>56</v>
      </c>
      <c r="U63" s="4">
        <f>U61/(U33-U58)</f>
        <v>7.350286064568861</v>
      </c>
      <c r="V63" s="4"/>
      <c r="W63" s="17" t="s">
        <v>28</v>
      </c>
      <c r="X63" s="17"/>
      <c r="Y63" s="17"/>
      <c r="Z63" s="17"/>
      <c r="AA63" s="17"/>
      <c r="AB63" s="17"/>
    </row>
    <row r="66" spans="20:31" ht="15.75" thickBot="1" x14ac:dyDescent="0.3">
      <c r="T66" s="8"/>
      <c r="U66" s="9">
        <v>0</v>
      </c>
      <c r="V66" s="9">
        <v>1</v>
      </c>
      <c r="W66" s="9">
        <v>2</v>
      </c>
      <c r="X66" s="9">
        <v>3</v>
      </c>
      <c r="Y66" s="9">
        <v>4</v>
      </c>
      <c r="Z66" s="9">
        <v>5</v>
      </c>
      <c r="AA66" s="9">
        <v>6</v>
      </c>
      <c r="AB66" s="9">
        <v>7</v>
      </c>
      <c r="AC66" s="9">
        <v>8</v>
      </c>
      <c r="AD66" s="9">
        <v>9</v>
      </c>
      <c r="AE66" s="10">
        <v>10</v>
      </c>
    </row>
    <row r="67" spans="20:31" ht="16.5" thickTop="1" thickBot="1" x14ac:dyDescent="0.3">
      <c r="T67" s="2">
        <v>0</v>
      </c>
      <c r="U67" s="11">
        <v>0</v>
      </c>
      <c r="V67" s="4">
        <f>$U$38</f>
        <v>6.4615384615384616E-2</v>
      </c>
      <c r="W67" s="4">
        <f>$U$39</f>
        <v>9.6923076923076903E-2</v>
      </c>
      <c r="X67" s="4"/>
      <c r="Y67" s="4"/>
      <c r="Z67" s="4"/>
      <c r="AA67" s="4"/>
      <c r="AB67" s="4"/>
      <c r="AC67" s="4"/>
      <c r="AD67" s="4"/>
      <c r="AE67" s="12"/>
    </row>
    <row r="68" spans="20:31" ht="16.5" thickTop="1" thickBot="1" x14ac:dyDescent="0.3">
      <c r="T68" s="2">
        <v>1</v>
      </c>
      <c r="U68" s="4">
        <f>U34</f>
        <v>0.10416666666666667</v>
      </c>
      <c r="V68" s="11">
        <v>1</v>
      </c>
      <c r="W68" s="4"/>
      <c r="X68" s="4">
        <f>$U$38</f>
        <v>6.4615384615384616E-2</v>
      </c>
      <c r="Y68" s="4"/>
      <c r="Z68" s="4"/>
      <c r="AA68" s="4"/>
      <c r="AB68" s="4"/>
      <c r="AC68" s="4"/>
      <c r="AD68" s="4"/>
      <c r="AE68" s="12"/>
    </row>
    <row r="69" spans="20:31" ht="16.5" thickTop="1" thickBot="1" x14ac:dyDescent="0.3">
      <c r="T69" s="2">
        <v>2</v>
      </c>
      <c r="U69" s="4">
        <f>U35</f>
        <v>0.27027027027027023</v>
      </c>
      <c r="V69" s="4"/>
      <c r="W69" s="11">
        <v>2</v>
      </c>
      <c r="X69" s="4"/>
      <c r="Y69" s="4">
        <f>$U$39</f>
        <v>9.6923076923076903E-2</v>
      </c>
      <c r="Z69" s="4"/>
      <c r="AA69" s="4"/>
      <c r="AB69" s="4"/>
      <c r="AC69" s="4"/>
      <c r="AD69" s="4"/>
      <c r="AE69" s="12"/>
    </row>
    <row r="70" spans="20:31" ht="16.5" thickTop="1" thickBot="1" x14ac:dyDescent="0.3">
      <c r="T70" s="2">
        <v>3</v>
      </c>
      <c r="U70" s="4"/>
      <c r="V70" s="4">
        <f>$U$40</f>
        <v>4.1666666666666671E-2</v>
      </c>
      <c r="W70" s="4">
        <f>$U$42</f>
        <v>6.25E-2</v>
      </c>
      <c r="X70" s="11">
        <v>3</v>
      </c>
      <c r="Y70" s="4"/>
      <c r="Z70" s="4">
        <f>$U$38</f>
        <v>6.4615384615384616E-2</v>
      </c>
      <c r="AA70" s="4"/>
      <c r="AB70" s="4"/>
      <c r="AC70" s="4"/>
      <c r="AD70" s="4"/>
      <c r="AE70" s="12"/>
    </row>
    <row r="71" spans="20:31" ht="16.5" thickTop="1" thickBot="1" x14ac:dyDescent="0.3">
      <c r="T71" s="2">
        <v>4</v>
      </c>
      <c r="U71" s="4"/>
      <c r="V71" s="4">
        <f>$U$41</f>
        <v>0.1081081081081081</v>
      </c>
      <c r="W71" s="4">
        <f>$U$43</f>
        <v>0.16216216216216214</v>
      </c>
      <c r="X71" s="4"/>
      <c r="Y71" s="11">
        <v>4</v>
      </c>
      <c r="Z71" s="4"/>
      <c r="AA71" s="4">
        <f>$U$39</f>
        <v>9.6923076923076903E-2</v>
      </c>
      <c r="AB71" s="4"/>
      <c r="AC71" s="4"/>
      <c r="AD71" s="4"/>
      <c r="AE71" s="12"/>
    </row>
    <row r="72" spans="20:31" ht="16.5" thickTop="1" thickBot="1" x14ac:dyDescent="0.3">
      <c r="T72" s="2">
        <v>5</v>
      </c>
      <c r="U72" s="4"/>
      <c r="V72" s="4"/>
      <c r="W72" s="4"/>
      <c r="X72" s="4">
        <f>$U$40</f>
        <v>4.1666666666666671E-2</v>
      </c>
      <c r="Y72" s="4">
        <f>$U$42</f>
        <v>6.25E-2</v>
      </c>
      <c r="Z72" s="11">
        <v>5</v>
      </c>
      <c r="AA72" s="4"/>
      <c r="AB72" s="4">
        <f>$U$38</f>
        <v>6.4615384615384616E-2</v>
      </c>
      <c r="AC72" s="4"/>
      <c r="AD72" s="4"/>
      <c r="AE72" s="12"/>
    </row>
    <row r="73" spans="20:31" ht="16.5" thickTop="1" thickBot="1" x14ac:dyDescent="0.3">
      <c r="T73" s="2">
        <v>6</v>
      </c>
      <c r="U73" s="4"/>
      <c r="V73" s="4"/>
      <c r="W73" s="4"/>
      <c r="X73" s="4">
        <f>$U$41</f>
        <v>0.1081081081081081</v>
      </c>
      <c r="Y73" s="4">
        <f>$U$43</f>
        <v>0.16216216216216214</v>
      </c>
      <c r="Z73" s="4"/>
      <c r="AA73" s="11">
        <v>6</v>
      </c>
      <c r="AB73" s="4"/>
      <c r="AC73" s="4">
        <f>$U$39</f>
        <v>9.6923076923076903E-2</v>
      </c>
      <c r="AD73" s="4"/>
      <c r="AE73" s="12"/>
    </row>
    <row r="74" spans="20:31" ht="16.5" thickTop="1" thickBot="1" x14ac:dyDescent="0.3">
      <c r="T74" s="2">
        <v>7</v>
      </c>
      <c r="U74" s="4"/>
      <c r="V74" s="4"/>
      <c r="W74" s="4"/>
      <c r="X74" s="4"/>
      <c r="Y74" s="4"/>
      <c r="Z74" s="4">
        <f>$U$40</f>
        <v>4.1666666666666671E-2</v>
      </c>
      <c r="AA74" s="4">
        <f>$U$42</f>
        <v>6.25E-2</v>
      </c>
      <c r="AB74" s="11">
        <v>7</v>
      </c>
      <c r="AC74" s="4"/>
      <c r="AD74" s="4">
        <f>$U$38</f>
        <v>6.4615384615384616E-2</v>
      </c>
      <c r="AE74" s="12"/>
    </row>
    <row r="75" spans="20:31" ht="16.5" thickTop="1" thickBot="1" x14ac:dyDescent="0.3">
      <c r="T75" s="2">
        <v>8</v>
      </c>
      <c r="U75" s="4"/>
      <c r="V75" s="4"/>
      <c r="W75" s="4"/>
      <c r="X75" s="4"/>
      <c r="Y75" s="4"/>
      <c r="Z75" s="4">
        <f>$U$41</f>
        <v>0.1081081081081081</v>
      </c>
      <c r="AA75" s="4">
        <f>$U$43</f>
        <v>0.16216216216216214</v>
      </c>
      <c r="AB75" s="4"/>
      <c r="AC75" s="11">
        <v>8</v>
      </c>
      <c r="AD75" s="4"/>
      <c r="AE75" s="12">
        <f>$U$39</f>
        <v>9.6923076923076903E-2</v>
      </c>
    </row>
    <row r="76" spans="20:31" ht="16.5" thickTop="1" thickBot="1" x14ac:dyDescent="0.3">
      <c r="T76" s="2">
        <v>9</v>
      </c>
      <c r="U76" s="4"/>
      <c r="V76" s="4"/>
      <c r="W76" s="4"/>
      <c r="X76" s="4"/>
      <c r="Y76" s="4"/>
      <c r="Z76" s="4"/>
      <c r="AA76" s="4"/>
      <c r="AB76" s="4">
        <f>$U$40</f>
        <v>4.1666666666666671E-2</v>
      </c>
      <c r="AC76" s="4">
        <f>$U$42</f>
        <v>6.25E-2</v>
      </c>
      <c r="AD76" s="11">
        <v>9</v>
      </c>
      <c r="AE76" s="12"/>
    </row>
    <row r="77" spans="20:31" ht="15.75" thickTop="1" x14ac:dyDescent="0.25">
      <c r="T77" s="13">
        <v>10</v>
      </c>
      <c r="U77" s="14"/>
      <c r="V77" s="14"/>
      <c r="W77" s="14"/>
      <c r="X77" s="14"/>
      <c r="Y77" s="14"/>
      <c r="Z77" s="14"/>
      <c r="AA77" s="14"/>
      <c r="AB77" s="14">
        <f>$U$41</f>
        <v>0.1081081081081081</v>
      </c>
      <c r="AC77" s="14">
        <f>$U$43</f>
        <v>0.16216216216216214</v>
      </c>
      <c r="AD77" s="14"/>
      <c r="AE77" s="15">
        <v>10</v>
      </c>
    </row>
  </sheetData>
  <mergeCells count="88">
    <mergeCell ref="W61:AB61"/>
    <mergeCell ref="W62:AB62"/>
    <mergeCell ref="W63:AB63"/>
    <mergeCell ref="W45:AB45"/>
    <mergeCell ref="W46:AB46"/>
    <mergeCell ref="W47:AB47"/>
    <mergeCell ref="W48:AB48"/>
    <mergeCell ref="W49:AB49"/>
    <mergeCell ref="W50:AB50"/>
    <mergeCell ref="W51:AB51"/>
    <mergeCell ref="W52:AB52"/>
    <mergeCell ref="W53:AB53"/>
    <mergeCell ref="W54:AB54"/>
    <mergeCell ref="W55:AB55"/>
    <mergeCell ref="W56:AB56"/>
    <mergeCell ref="W38:AB43"/>
    <mergeCell ref="W57:AB57"/>
    <mergeCell ref="W58:AB58"/>
    <mergeCell ref="W59:AB59"/>
    <mergeCell ref="W60:AB60"/>
    <mergeCell ref="T32:AA32"/>
    <mergeCell ref="W33:AB33"/>
    <mergeCell ref="W34:AB34"/>
    <mergeCell ref="W35:AB35"/>
    <mergeCell ref="W36:AB36"/>
    <mergeCell ref="M45:R45"/>
    <mergeCell ref="M46:R46"/>
    <mergeCell ref="M47:R47"/>
    <mergeCell ref="M48:R48"/>
    <mergeCell ref="M49:R49"/>
    <mergeCell ref="W28:AB28"/>
    <mergeCell ref="W29:AB29"/>
    <mergeCell ref="W30:AB30"/>
    <mergeCell ref="W20:AB20"/>
    <mergeCell ref="W21:AB21"/>
    <mergeCell ref="W22:AB22"/>
    <mergeCell ref="W24:AB24"/>
    <mergeCell ref="W25:AB25"/>
    <mergeCell ref="M44:R44"/>
    <mergeCell ref="T10:AA10"/>
    <mergeCell ref="W11:AB11"/>
    <mergeCell ref="W12:AB12"/>
    <mergeCell ref="W13:AB13"/>
    <mergeCell ref="W14:AB14"/>
    <mergeCell ref="W15:AB15"/>
    <mergeCell ref="W16:AB16"/>
    <mergeCell ref="W17:AB17"/>
    <mergeCell ref="W18:AB18"/>
    <mergeCell ref="W19:AB19"/>
    <mergeCell ref="W26:AB26"/>
    <mergeCell ref="W27:AB27"/>
    <mergeCell ref="M38:R38"/>
    <mergeCell ref="M39:R39"/>
    <mergeCell ref="M40:R40"/>
    <mergeCell ref="M26:R26"/>
    <mergeCell ref="M25:R25"/>
    <mergeCell ref="M23:R23"/>
    <mergeCell ref="M24:R24"/>
    <mergeCell ref="M43:R43"/>
    <mergeCell ref="M36:R36"/>
    <mergeCell ref="M37:R37"/>
    <mergeCell ref="J32:Q32"/>
    <mergeCell ref="M33:R33"/>
    <mergeCell ref="M34:R34"/>
    <mergeCell ref="M35:R35"/>
    <mergeCell ref="M13:R13"/>
    <mergeCell ref="M9:R9"/>
    <mergeCell ref="M22:R22"/>
    <mergeCell ref="M20:R20"/>
    <mergeCell ref="M16:R16"/>
    <mergeCell ref="M17:R17"/>
    <mergeCell ref="M18:R18"/>
    <mergeCell ref="M19:R19"/>
    <mergeCell ref="M11:R11"/>
    <mergeCell ref="M12:R12"/>
    <mergeCell ref="M14:R14"/>
    <mergeCell ref="M15:R15"/>
    <mergeCell ref="M21:R21"/>
    <mergeCell ref="A1:E1"/>
    <mergeCell ref="J1:Q1"/>
    <mergeCell ref="M2:R2"/>
    <mergeCell ref="M3:R3"/>
    <mergeCell ref="M4:R4"/>
    <mergeCell ref="M5:R5"/>
    <mergeCell ref="M6:R6"/>
    <mergeCell ref="M7:R7"/>
    <mergeCell ref="M8:R8"/>
    <mergeCell ref="J10:Q1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D8" sqref="D8"/>
    </sheetView>
  </sheetViews>
  <sheetFormatPr defaultRowHeight="15" x14ac:dyDescent="0.25"/>
  <cols>
    <col min="1" max="1" width="13" customWidth="1"/>
    <col min="2" max="2" width="19.140625" customWidth="1"/>
    <col min="3" max="3" width="20" customWidth="1"/>
    <col min="4" max="4" width="37" customWidth="1"/>
  </cols>
  <sheetData>
    <row r="1" spans="1:7" x14ac:dyDescent="0.25">
      <c r="A1" s="18" t="s">
        <v>18</v>
      </c>
      <c r="B1" s="18"/>
      <c r="C1" s="18"/>
      <c r="D1" s="18"/>
    </row>
    <row r="2" spans="1:7" x14ac:dyDescent="0.25">
      <c r="A2" t="s">
        <v>116</v>
      </c>
      <c r="B2" t="s">
        <v>117</v>
      </c>
      <c r="C2" t="s">
        <v>118</v>
      </c>
      <c r="D2" t="s">
        <v>119</v>
      </c>
      <c r="E2">
        <f>B9</f>
        <v>0.13320199999999999</v>
      </c>
      <c r="F2">
        <f>B23</f>
        <v>7.0610999999999993E-2</v>
      </c>
      <c r="G2" t="s">
        <v>49</v>
      </c>
    </row>
    <row r="3" spans="1:7" x14ac:dyDescent="0.25">
      <c r="A3" t="s">
        <v>19</v>
      </c>
      <c r="B3">
        <v>0.89999999999999991</v>
      </c>
      <c r="C3" s="16" t="s">
        <v>120</v>
      </c>
      <c r="D3" t="s">
        <v>20</v>
      </c>
      <c r="E3">
        <f>B10</f>
        <v>0.71964600000000001</v>
      </c>
      <c r="F3">
        <f>B24</f>
        <v>0.74434399999999989</v>
      </c>
      <c r="G3" t="s">
        <v>20</v>
      </c>
    </row>
    <row r="4" spans="1:7" x14ac:dyDescent="0.25">
      <c r="A4" t="s">
        <v>25</v>
      </c>
      <c r="B4">
        <v>25.57894736842103</v>
      </c>
      <c r="C4" s="16" t="s">
        <v>121</v>
      </c>
      <c r="D4" t="s">
        <v>26</v>
      </c>
      <c r="E4">
        <f>B11</f>
        <v>0.91372900000000001</v>
      </c>
      <c r="F4">
        <f>B25</f>
        <v>0.86638800000000005</v>
      </c>
      <c r="G4" t="s">
        <v>51</v>
      </c>
    </row>
    <row r="5" spans="1:7" x14ac:dyDescent="0.25">
      <c r="A5" t="s">
        <v>27</v>
      </c>
      <c r="B5">
        <v>31.57894736842103</v>
      </c>
      <c r="C5" s="16" t="s">
        <v>122</v>
      </c>
      <c r="D5" t="s">
        <v>28</v>
      </c>
      <c r="E5">
        <f>B12</f>
        <v>7.6132546324390322</v>
      </c>
      <c r="F5">
        <f>B26</f>
        <v>6.7326454979203181</v>
      </c>
      <c r="G5" t="s">
        <v>26</v>
      </c>
    </row>
    <row r="6" spans="1:7" x14ac:dyDescent="0.25">
      <c r="A6" t="s">
        <v>29</v>
      </c>
      <c r="B6">
        <v>7.673684210526309</v>
      </c>
      <c r="C6" s="16" t="s">
        <v>123</v>
      </c>
      <c r="D6" t="s">
        <v>30</v>
      </c>
      <c r="E6">
        <f>B13</f>
        <v>13.609395986403083</v>
      </c>
      <c r="F6">
        <f>B27</f>
        <v>12.516894911005449</v>
      </c>
      <c r="G6" t="s">
        <v>28</v>
      </c>
    </row>
    <row r="7" spans="1:7" x14ac:dyDescent="0.25">
      <c r="A7" s="18" t="s">
        <v>33</v>
      </c>
      <c r="B7" s="18"/>
      <c r="C7" s="18"/>
      <c r="D7" s="18"/>
    </row>
    <row r="8" spans="1:7" x14ac:dyDescent="0.25">
      <c r="A8" t="s">
        <v>116</v>
      </c>
      <c r="B8" t="s">
        <v>117</v>
      </c>
      <c r="C8" t="s">
        <v>118</v>
      </c>
      <c r="D8" t="s">
        <v>119</v>
      </c>
    </row>
    <row r="9" spans="1:7" x14ac:dyDescent="0.25">
      <c r="A9" t="s">
        <v>48</v>
      </c>
      <c r="B9">
        <v>0.13320199999999999</v>
      </c>
      <c r="C9" s="16" t="s">
        <v>124</v>
      </c>
      <c r="D9" t="s">
        <v>49</v>
      </c>
    </row>
    <row r="10" spans="1:7" x14ac:dyDescent="0.25">
      <c r="A10" t="s">
        <v>52</v>
      </c>
      <c r="B10">
        <v>0.71964600000000001</v>
      </c>
      <c r="C10" s="16" t="s">
        <v>125</v>
      </c>
      <c r="D10" t="s">
        <v>20</v>
      </c>
    </row>
    <row r="11" spans="1:7" x14ac:dyDescent="0.25">
      <c r="A11" t="s">
        <v>50</v>
      </c>
      <c r="B11">
        <v>0.91372900000000001</v>
      </c>
      <c r="C11" s="16" t="s">
        <v>126</v>
      </c>
      <c r="D11" t="s">
        <v>51</v>
      </c>
    </row>
    <row r="12" spans="1:7" x14ac:dyDescent="0.25">
      <c r="A12" t="s">
        <v>55</v>
      </c>
      <c r="B12">
        <v>7.6132546324390322</v>
      </c>
      <c r="C12" s="16" t="s">
        <v>127</v>
      </c>
      <c r="D12" t="s">
        <v>26</v>
      </c>
    </row>
    <row r="13" spans="1:7" x14ac:dyDescent="0.25">
      <c r="A13" t="s">
        <v>56</v>
      </c>
      <c r="B13">
        <v>13.609395986403083</v>
      </c>
      <c r="C13" s="16" t="s">
        <v>128</v>
      </c>
      <c r="D13" t="s">
        <v>28</v>
      </c>
    </row>
    <row r="14" spans="1:7" x14ac:dyDescent="0.25">
      <c r="A14" s="18" t="s">
        <v>57</v>
      </c>
      <c r="B14" s="18"/>
      <c r="C14" s="18"/>
      <c r="D14" s="18"/>
    </row>
    <row r="15" spans="1:7" x14ac:dyDescent="0.25">
      <c r="A15" t="s">
        <v>116</v>
      </c>
      <c r="B15" t="s">
        <v>117</v>
      </c>
      <c r="C15" t="s">
        <v>118</v>
      </c>
      <c r="D15" t="s">
        <v>119</v>
      </c>
    </row>
    <row r="16" spans="1:7" x14ac:dyDescent="0.25">
      <c r="A16" t="s">
        <v>48</v>
      </c>
      <c r="B16">
        <v>0.15374599999999999</v>
      </c>
      <c r="C16" s="16" t="s">
        <v>129</v>
      </c>
      <c r="D16" t="s">
        <v>49</v>
      </c>
    </row>
    <row r="17" spans="1:4" x14ac:dyDescent="0.25">
      <c r="A17" t="s">
        <v>52</v>
      </c>
      <c r="B17">
        <v>0.81985599999999992</v>
      </c>
      <c r="C17" s="16" t="s">
        <v>130</v>
      </c>
      <c r="D17" t="s">
        <v>20</v>
      </c>
    </row>
    <row r="18" spans="1:4" x14ac:dyDescent="0.25">
      <c r="A18" t="s">
        <v>50</v>
      </c>
      <c r="B18">
        <v>1.5877699999999999</v>
      </c>
      <c r="C18" s="16" t="s">
        <v>131</v>
      </c>
      <c r="D18" t="s">
        <v>51</v>
      </c>
    </row>
    <row r="19" spans="1:4" x14ac:dyDescent="0.25">
      <c r="A19" t="s">
        <v>55</v>
      </c>
      <c r="B19">
        <v>11.614778046487677</v>
      </c>
      <c r="C19" s="16" t="s">
        <v>132</v>
      </c>
      <c r="D19" t="s">
        <v>26</v>
      </c>
    </row>
    <row r="20" spans="1:4" x14ac:dyDescent="0.25">
      <c r="A20" t="s">
        <v>56</v>
      </c>
      <c r="B20">
        <v>17.612148868509252</v>
      </c>
      <c r="C20" s="16" t="s">
        <v>133</v>
      </c>
      <c r="D20" t="s">
        <v>28</v>
      </c>
    </row>
    <row r="21" spans="1:4" x14ac:dyDescent="0.25">
      <c r="A21" s="18" t="s">
        <v>59</v>
      </c>
      <c r="B21" s="18"/>
      <c r="C21" s="18"/>
      <c r="D21" s="18"/>
    </row>
    <row r="22" spans="1:4" x14ac:dyDescent="0.25">
      <c r="A22" t="s">
        <v>116</v>
      </c>
      <c r="B22" t="s">
        <v>117</v>
      </c>
      <c r="C22" t="s">
        <v>118</v>
      </c>
      <c r="D22" t="s">
        <v>119</v>
      </c>
    </row>
    <row r="23" spans="1:4" x14ac:dyDescent="0.25">
      <c r="A23" t="s">
        <v>48</v>
      </c>
      <c r="B23">
        <v>7.0610999999999993E-2</v>
      </c>
      <c r="C23" s="16" t="s">
        <v>139</v>
      </c>
      <c r="D23" t="s">
        <v>49</v>
      </c>
    </row>
    <row r="24" spans="1:4" x14ac:dyDescent="0.25">
      <c r="A24" t="s">
        <v>52</v>
      </c>
      <c r="B24">
        <v>0.74434399999999989</v>
      </c>
      <c r="C24" s="16" t="s">
        <v>140</v>
      </c>
      <c r="D24" t="s">
        <v>20</v>
      </c>
    </row>
    <row r="25" spans="1:4" x14ac:dyDescent="0.25">
      <c r="A25" t="s">
        <v>50</v>
      </c>
      <c r="B25">
        <v>0.86638800000000005</v>
      </c>
      <c r="C25" s="16" t="s">
        <v>141</v>
      </c>
      <c r="D25" t="s">
        <v>51</v>
      </c>
    </row>
    <row r="26" spans="1:4" x14ac:dyDescent="0.25">
      <c r="A26" t="s">
        <v>55</v>
      </c>
      <c r="B26">
        <v>6.7326454979203181</v>
      </c>
      <c r="C26" s="16" t="s">
        <v>142</v>
      </c>
      <c r="D26" t="s">
        <v>26</v>
      </c>
    </row>
    <row r="27" spans="1:4" x14ac:dyDescent="0.25">
      <c r="A27" t="s">
        <v>56</v>
      </c>
      <c r="B27">
        <v>12.516894911005449</v>
      </c>
      <c r="C27" s="16" t="s">
        <v>143</v>
      </c>
      <c r="D27" t="s">
        <v>28</v>
      </c>
    </row>
    <row r="28" spans="1:4" x14ac:dyDescent="0.25">
      <c r="A28" s="18" t="s">
        <v>69</v>
      </c>
      <c r="B28" s="18"/>
      <c r="C28" s="18"/>
      <c r="D28" s="18"/>
    </row>
    <row r="29" spans="1:4" x14ac:dyDescent="0.25">
      <c r="A29" t="s">
        <v>116</v>
      </c>
      <c r="B29" t="s">
        <v>117</v>
      </c>
      <c r="C29" t="s">
        <v>118</v>
      </c>
      <c r="D29" t="s">
        <v>119</v>
      </c>
    </row>
    <row r="30" spans="1:4" x14ac:dyDescent="0.25">
      <c r="A30" t="s">
        <v>48</v>
      </c>
      <c r="B30" s="4">
        <v>2.12E-2</v>
      </c>
      <c r="C30" s="16" t="s">
        <v>134</v>
      </c>
      <c r="D30" t="s">
        <v>49</v>
      </c>
    </row>
    <row r="31" spans="1:4" x14ac:dyDescent="0.25">
      <c r="A31" t="s">
        <v>52</v>
      </c>
      <c r="B31" s="4">
        <v>0.63997399999999993</v>
      </c>
      <c r="C31" s="16" t="s">
        <v>135</v>
      </c>
      <c r="D31" t="s">
        <v>20</v>
      </c>
    </row>
    <row r="32" spans="1:4" x14ac:dyDescent="0.25">
      <c r="A32" t="s">
        <v>50</v>
      </c>
      <c r="B32" s="4">
        <v>0.52220800000000001</v>
      </c>
      <c r="C32" s="16" t="s">
        <v>136</v>
      </c>
      <c r="D32" t="s">
        <v>51</v>
      </c>
    </row>
    <row r="33" spans="1:4" x14ac:dyDescent="0.25">
      <c r="A33" t="s">
        <v>55</v>
      </c>
      <c r="B33" s="4">
        <v>3.3027341545527085</v>
      </c>
      <c r="C33" s="16" t="s">
        <v>137</v>
      </c>
      <c r="D33" t="s">
        <v>26</v>
      </c>
    </row>
    <row r="34" spans="1:4" x14ac:dyDescent="0.25">
      <c r="A34" t="s">
        <v>56</v>
      </c>
      <c r="B34" s="4">
        <v>7.350286064568861</v>
      </c>
      <c r="C34" s="16" t="s">
        <v>138</v>
      </c>
      <c r="D34" t="s">
        <v>28</v>
      </c>
    </row>
  </sheetData>
  <mergeCells count="5">
    <mergeCell ref="A21:D21"/>
    <mergeCell ref="A28:D28"/>
    <mergeCell ref="A14:D14"/>
    <mergeCell ref="A1:D1"/>
    <mergeCell ref="A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opLeftCell="A46" workbookViewId="0">
      <selection activeCell="H64" sqref="H64"/>
    </sheetView>
  </sheetViews>
  <sheetFormatPr defaultRowHeight="15" x14ac:dyDescent="0.25"/>
  <cols>
    <col min="3" max="3" width="12.28515625" customWidth="1"/>
    <col min="4" max="4" width="10.42578125" customWidth="1"/>
    <col min="5" max="5" width="11.140625" customWidth="1"/>
    <col min="6" max="6" width="16.42578125" customWidth="1"/>
    <col min="7" max="7" width="14.28515625" customWidth="1"/>
    <col min="8" max="8" width="20.28515625" customWidth="1"/>
    <col min="9" max="9" width="17.28515625" customWidth="1"/>
    <col min="10" max="10" width="11" bestFit="1" customWidth="1"/>
    <col min="11" max="11" width="10.28515625" customWidth="1"/>
    <col min="14" max="14" width="12" bestFit="1" customWidth="1"/>
    <col min="15" max="15" width="24.140625" customWidth="1"/>
    <col min="16" max="16" width="25.140625" customWidth="1"/>
    <col min="17" max="17" width="33.140625" customWidth="1"/>
    <col min="18" max="18" width="30.5703125" customWidth="1"/>
    <col min="25" max="25" width="10.7109375" customWidth="1"/>
    <col min="26" max="26" width="24.7109375" customWidth="1"/>
    <col min="27" max="27" width="26.5703125" customWidth="1"/>
    <col min="28" max="28" width="33.85546875" customWidth="1"/>
    <col min="29" max="29" width="29.42578125" customWidth="1"/>
  </cols>
  <sheetData>
    <row r="1" spans="1:29" x14ac:dyDescent="0.25">
      <c r="A1" t="s">
        <v>90</v>
      </c>
      <c r="B1">
        <v>6</v>
      </c>
      <c r="C1">
        <f>1/B1</f>
        <v>0.16666666666666666</v>
      </c>
    </row>
    <row r="2" spans="1:29" x14ac:dyDescent="0.25">
      <c r="A2" t="s">
        <v>93</v>
      </c>
      <c r="B2">
        <v>2</v>
      </c>
    </row>
    <row r="3" spans="1:29" x14ac:dyDescent="0.25">
      <c r="A3" t="s">
        <v>76</v>
      </c>
      <c r="B3">
        <f>0.4615</f>
        <v>0.46150000000000002</v>
      </c>
    </row>
    <row r="6" spans="1:29" x14ac:dyDescent="0.25">
      <c r="A6" t="s">
        <v>102</v>
      </c>
      <c r="B6" t="s">
        <v>100</v>
      </c>
      <c r="C6" t="s">
        <v>101</v>
      </c>
      <c r="D6" t="s">
        <v>91</v>
      </c>
      <c r="E6" t="s">
        <v>92</v>
      </c>
      <c r="F6" t="s">
        <v>105</v>
      </c>
      <c r="G6" t="s">
        <v>106</v>
      </c>
      <c r="H6" t="s">
        <v>104</v>
      </c>
      <c r="I6" t="s">
        <v>95</v>
      </c>
      <c r="J6" t="s">
        <v>96</v>
      </c>
      <c r="K6" t="s">
        <v>97</v>
      </c>
      <c r="L6" t="s">
        <v>98</v>
      </c>
      <c r="M6" t="s">
        <v>99</v>
      </c>
      <c r="N6" t="s">
        <v>94</v>
      </c>
      <c r="O6" t="s">
        <v>107</v>
      </c>
      <c r="P6" t="s">
        <v>108</v>
      </c>
      <c r="Q6" t="s">
        <v>109</v>
      </c>
      <c r="R6" t="s">
        <v>110</v>
      </c>
      <c r="S6" t="s">
        <v>95</v>
      </c>
      <c r="T6" t="s">
        <v>96</v>
      </c>
      <c r="U6" t="s">
        <v>97</v>
      </c>
      <c r="V6" t="s">
        <v>98</v>
      </c>
      <c r="W6" t="s">
        <v>99</v>
      </c>
      <c r="X6" t="s">
        <v>111</v>
      </c>
      <c r="Y6" t="s">
        <v>103</v>
      </c>
      <c r="Z6" t="s">
        <v>112</v>
      </c>
      <c r="AA6" t="s">
        <v>113</v>
      </c>
      <c r="AB6" t="s">
        <v>114</v>
      </c>
      <c r="AC6" t="s">
        <v>115</v>
      </c>
    </row>
    <row r="7" spans="1:29" x14ac:dyDescent="0.25">
      <c r="A7">
        <v>1.67E-3</v>
      </c>
      <c r="B7">
        <f>$B$3*A7</f>
        <v>7.7070500000000011E-4</v>
      </c>
      <c r="C7">
        <f>(1-$B$3)*A7</f>
        <v>8.9929499999999993E-4</v>
      </c>
      <c r="D7">
        <f t="shared" ref="D7:D31" si="0">A7*$B$1</f>
        <v>1.0020000000000001E-2</v>
      </c>
      <c r="E7">
        <f t="shared" ref="E7:E31" si="1">MIN(A7*$B$1/$B$2,1)</f>
        <v>5.0100000000000006E-3</v>
      </c>
      <c r="F7">
        <f xml:space="preserve"> POWER(POWER(($B$2*E7),$B$2)/(FACT($B$2)*(1-E7)) + ( (POWER(($B$2*E7),0)/FACT(0)) + (POWER(($B$2*E7),1)/FACT(1)) ),-1)</f>
        <v>0.99002994995074689</v>
      </c>
      <c r="G7">
        <f xml:space="preserve"> F7*POWER(($B$2*E7),$B$2)/(FACT($B$2)*(1-E7))</f>
        <v>4.9949950746758759E-5</v>
      </c>
      <c r="H7">
        <f>G7*$B$1/($B$2*(1-E7)) + $B$1</f>
        <v>6.0001506043801847</v>
      </c>
      <c r="I7">
        <f t="shared" ref="I7:I31" si="2">J7*$C$1/B7</f>
        <v>0.99537577000210475</v>
      </c>
      <c r="J7">
        <f t="shared" ref="J7:J31" si="3" xml:space="preserve"> 1 / ($C$1/B7 + 1 + B7/$C$1 + POWER(B7/$C$1,2) + POWER(B7/$C$1,3))</f>
        <v>4.6028464969168339E-3</v>
      </c>
      <c r="K7">
        <f t="shared" ref="K7:K31" si="4" xml:space="preserve"> J7*B7/$C$1</f>
        <v>2.1284620856437735E-5</v>
      </c>
      <c r="L7">
        <f t="shared" ref="L7:L31" si="5">J7*POWER(B7/$C$1,2)</f>
        <v>9.8424982302965074E-8</v>
      </c>
      <c r="M7">
        <f t="shared" ref="M7:M31" si="6">J7*POWER(B7/$C$1,3)</f>
        <v>4.5513975591484029E-10</v>
      </c>
      <c r="N7">
        <f>J7+K7+L7+M7</f>
        <v>4.6242299978953303E-3</v>
      </c>
      <c r="O7">
        <f>M7</f>
        <v>4.5513975591484029E-10</v>
      </c>
      <c r="P7">
        <f>O7*B7</f>
        <v>3.5077848558234703E-13</v>
      </c>
      <c r="Q7">
        <f>J7+2*K7+3*L7+4*M7</f>
        <v>4.6457128341356423E-3</v>
      </c>
      <c r="R7">
        <f xml:space="preserve"> Q7/(B7-P7)</f>
        <v>6.0278742660941473</v>
      </c>
      <c r="S7">
        <f t="shared" ref="S7:S31" si="7">T7*$C$1/C7</f>
        <v>0.99460423000454901</v>
      </c>
      <c r="T7">
        <f t="shared" ref="T7:T31" si="8" xml:space="preserve"> 1 / ($C$1/C7 + 1 + C7/$C$1 + POWER(C7/$C$1,2) + POWER(C7/$C$1,3))</f>
        <v>5.3666556661316452E-3</v>
      </c>
      <c r="U7">
        <f t="shared" ref="U7:U31" si="9" xml:space="preserve"> T7*C7/$C$1</f>
        <v>2.8957239643643143E-5</v>
      </c>
      <c r="V7">
        <f t="shared" ref="V7:V31" si="10">T7*POWER(C7/$C$1,2)</f>
        <v>1.5624660495198038E-7</v>
      </c>
      <c r="W7">
        <f t="shared" ref="W7:W31" si="11">T7*POWER(C7/$C$1,3)</f>
        <v>8.4307074360174731E-10</v>
      </c>
      <c r="X7">
        <f t="shared" ref="X7:X31" si="12">T7*POWER(C7/$C$1,4)</f>
        <v>4.5490158262039997E-12</v>
      </c>
      <c r="Y7">
        <f>SUM(T7:X7)</f>
        <v>5.3957699999999994E-3</v>
      </c>
      <c r="Z7">
        <f>X7</f>
        <v>4.5490158262039997E-12</v>
      </c>
      <c r="AA7">
        <f>Z7*C7</f>
        <v>4.0909071874261257E-15</v>
      </c>
      <c r="AB7">
        <f>T7+2*U7+3*V7+4*W7+5*X7</f>
        <v>5.4250422802618412E-3</v>
      </c>
      <c r="AC7">
        <f xml:space="preserve"> AB7/(C7-AA7)</f>
        <v>6.032550253572543</v>
      </c>
    </row>
    <row r="8" spans="1:29" x14ac:dyDescent="0.25">
      <c r="A8">
        <v>8.3400000000000002E-3</v>
      </c>
      <c r="B8">
        <f t="shared" ref="B8:B31" si="13">$B$3*A8</f>
        <v>3.8489100000000001E-3</v>
      </c>
      <c r="C8">
        <f t="shared" ref="C8:C31" si="14">(1-$B$3)*A8</f>
        <v>4.4910899999999997E-3</v>
      </c>
      <c r="D8">
        <f t="shared" si="0"/>
        <v>5.0040000000000001E-2</v>
      </c>
      <c r="E8">
        <f t="shared" si="1"/>
        <v>2.5020000000000001E-2</v>
      </c>
      <c r="F8">
        <f t="shared" ref="F8:F31" si="15" xml:space="preserve"> POWER(POWER(($B$2*E8),$B$2)/(FACT($B$2)*(1-E8)) + ( (POWER(($B$2*E8),0)/FACT(0)) + (POWER(($B$2*E8),1)/FACT(1)) ),-1)</f>
        <v>0.95118144036213914</v>
      </c>
      <c r="G8">
        <f t="shared" ref="G8:G31" si="16" xml:space="preserve"> F8*POWER(($B$2*E8),$B$2)/(FACT($B$2)*(1-E8))</f>
        <v>1.2214403621392752E-3</v>
      </c>
      <c r="H8">
        <f t="shared" ref="H8:H31" si="17">G8*$B$1/($B$2*(1-E8)) + $B$1</f>
        <v>6.0037583551318159</v>
      </c>
      <c r="I8">
        <f t="shared" si="2"/>
        <v>0.97690654641649799</v>
      </c>
      <c r="J8">
        <f t="shared" si="3"/>
        <v>2.2560152253407541E-2</v>
      </c>
      <c r="K8">
        <f t="shared" si="4"/>
        <v>5.20991973657977E-4</v>
      </c>
      <c r="L8">
        <f t="shared" si="5"/>
        <v>1.2031507303991547E-5</v>
      </c>
      <c r="M8">
        <f t="shared" si="6"/>
        <v>2.7784913266443667E-7</v>
      </c>
      <c r="N8">
        <f t="shared" ref="N8:N31" si="18">J8+K8+L8+M8</f>
        <v>2.3093453583502174E-2</v>
      </c>
      <c r="O8">
        <f t="shared" ref="O8:O31" si="19">M8</f>
        <v>2.7784913266443667E-7</v>
      </c>
      <c r="P8">
        <f t="shared" ref="P8:P31" si="20">O8*B8</f>
        <v>1.0694163052034769E-9</v>
      </c>
      <c r="Q8">
        <f t="shared" ref="Q8:Q31" si="21">J8+2*K8+3*L8+4*M8</f>
        <v>2.3639342119166129E-2</v>
      </c>
      <c r="R8">
        <f t="shared" ref="R8:R31" si="22" xml:space="preserve"> Q8/(B8-P8)</f>
        <v>6.1418294237429967</v>
      </c>
      <c r="S8">
        <f t="shared" si="7"/>
        <v>0.97305347382457397</v>
      </c>
      <c r="T8">
        <f t="shared" si="8"/>
        <v>2.6220424354552834E-2</v>
      </c>
      <c r="U8">
        <f t="shared" si="9"/>
        <v>7.0654971368693214E-4</v>
      </c>
      <c r="V8">
        <f t="shared" si="10"/>
        <v>1.9039070121853462E-5</v>
      </c>
      <c r="W8">
        <f t="shared" si="11"/>
        <v>5.1303706460132911E-7</v>
      </c>
      <c r="X8">
        <f t="shared" si="12"/>
        <v>1.3824573782762298E-8</v>
      </c>
      <c r="Y8">
        <f t="shared" ref="Y8:Y31" si="23">SUM(T8:X8)</f>
        <v>2.6946540000000008E-2</v>
      </c>
      <c r="Z8">
        <f t="shared" ref="Z8:Z31" si="24">X8</f>
        <v>1.3824573782762298E-8</v>
      </c>
      <c r="AA8">
        <f t="shared" ref="AA8:AA31" si="25">Z8*C8</f>
        <v>6.2087405070025928E-11</v>
      </c>
      <c r="AB8">
        <f t="shared" ref="AB8:AB31" si="26">T8+2*U8+3*V8+4*W8+5*X8</f>
        <v>2.7692762263419577E-2</v>
      </c>
      <c r="AC8">
        <f t="shared" ref="AC8:AC30" si="27" xml:space="preserve"> AB8/(C8-AA8)</f>
        <v>6.1661562440877864</v>
      </c>
    </row>
    <row r="9" spans="1:29" x14ac:dyDescent="0.25">
      <c r="A9">
        <v>1.5010000000000001E-2</v>
      </c>
      <c r="B9">
        <f t="shared" si="13"/>
        <v>6.927115000000001E-3</v>
      </c>
      <c r="C9">
        <f t="shared" si="14"/>
        <v>8.0828849999999997E-3</v>
      </c>
      <c r="D9">
        <f t="shared" si="0"/>
        <v>9.0060000000000001E-2</v>
      </c>
      <c r="E9">
        <f t="shared" si="1"/>
        <v>4.5030000000000001E-2</v>
      </c>
      <c r="F9">
        <f t="shared" si="15"/>
        <v>0.91382065586633865</v>
      </c>
      <c r="G9">
        <f t="shared" si="16"/>
        <v>3.8806558663387653E-3</v>
      </c>
      <c r="H9">
        <f t="shared" si="17"/>
        <v>6.0121909249494916</v>
      </c>
      <c r="I9">
        <f t="shared" si="2"/>
        <v>0.9584374288726667</v>
      </c>
      <c r="J9">
        <f t="shared" si="3"/>
        <v>3.9835237740631704E-2</v>
      </c>
      <c r="K9">
        <f t="shared" si="4"/>
        <v>1.6556596372901762E-3</v>
      </c>
      <c r="L9">
        <f t="shared" si="5"/>
        <v>6.881366825020404E-5</v>
      </c>
      <c r="M9">
        <f t="shared" si="6"/>
        <v>2.8600811612460733E-6</v>
      </c>
      <c r="N9">
        <f t="shared" si="18"/>
        <v>4.1562571127333331E-2</v>
      </c>
      <c r="O9">
        <f t="shared" si="19"/>
        <v>2.8600811612460733E-6</v>
      </c>
      <c r="P9">
        <f t="shared" si="20"/>
        <v>1.9812111113285096E-8</v>
      </c>
      <c r="Q9">
        <f t="shared" si="21"/>
        <v>4.3364438344607653E-2</v>
      </c>
      <c r="R9">
        <f t="shared" si="22"/>
        <v>6.2601187320804614</v>
      </c>
      <c r="S9">
        <f t="shared" si="7"/>
        <v>0.95150294526918311</v>
      </c>
      <c r="T9">
        <f t="shared" si="8"/>
        <v>4.6145333302632603E-2</v>
      </c>
      <c r="U9">
        <f t="shared" si="9"/>
        <v>2.2379245342310969E-3</v>
      </c>
      <c r="V9">
        <f t="shared" si="10"/>
        <v>1.0853331989321114E-4</v>
      </c>
      <c r="W9">
        <f t="shared" si="11"/>
        <v>5.2635740601902269E-6</v>
      </c>
      <c r="X9">
        <f t="shared" si="12"/>
        <v>2.5526918290500407E-7</v>
      </c>
      <c r="Y9">
        <f t="shared" si="23"/>
        <v>4.8497310000000009E-2</v>
      </c>
      <c r="Z9">
        <f t="shared" si="24"/>
        <v>2.5526918290500407E-7</v>
      </c>
      <c r="AA9">
        <f t="shared" si="25"/>
        <v>2.0633114494651136E-9</v>
      </c>
      <c r="AB9">
        <f t="shared" si="26"/>
        <v>5.0969112972929713E-2</v>
      </c>
      <c r="AC9">
        <f t="shared" si="27"/>
        <v>6.3058086294407074</v>
      </c>
    </row>
    <row r="10" spans="1:29" x14ac:dyDescent="0.25">
      <c r="A10">
        <v>2.1680000000000001E-2</v>
      </c>
      <c r="B10">
        <f t="shared" si="13"/>
        <v>1.0005320000000002E-2</v>
      </c>
      <c r="C10">
        <f t="shared" si="14"/>
        <v>1.167468E-2</v>
      </c>
      <c r="D10">
        <f t="shared" si="0"/>
        <v>0.13008</v>
      </c>
      <c r="E10">
        <f t="shared" si="1"/>
        <v>6.5040000000000001E-2</v>
      </c>
      <c r="F10">
        <f t="shared" si="15"/>
        <v>0.87786374220686547</v>
      </c>
      <c r="G10">
        <f t="shared" si="16"/>
        <v>7.9437422068654711E-3</v>
      </c>
      <c r="H10">
        <f t="shared" si="17"/>
        <v>6.0254890333496585</v>
      </c>
      <c r="I10">
        <f t="shared" si="2"/>
        <v>0.93996881286606504</v>
      </c>
      <c r="J10">
        <f t="shared" si="3"/>
        <v>5.6428132576470599E-2</v>
      </c>
      <c r="K10">
        <f t="shared" si="4"/>
        <v>3.3874891405800771E-3</v>
      </c>
      <c r="L10">
        <f t="shared" si="5"/>
        <v>2.0335747708817201E-4</v>
      </c>
      <c r="M10">
        <f t="shared" si="6"/>
        <v>1.2207939795958977E-5</v>
      </c>
      <c r="N10">
        <f t="shared" si="18"/>
        <v>6.00311871339348E-2</v>
      </c>
      <c r="O10">
        <f t="shared" si="19"/>
        <v>1.2207939795958977E-5</v>
      </c>
      <c r="P10">
        <f t="shared" si="20"/>
        <v>1.221443441993043E-7</v>
      </c>
      <c r="Q10">
        <f t="shared" si="21"/>
        <v>6.3862015048079104E-2</v>
      </c>
      <c r="R10">
        <f t="shared" si="22"/>
        <v>6.3828837739554327</v>
      </c>
      <c r="S10">
        <f t="shared" si="7"/>
        <v>0.92995348834790192</v>
      </c>
      <c r="T10">
        <f t="shared" si="8"/>
        <v>6.5141456348072904E-2</v>
      </c>
      <c r="U10">
        <f t="shared" si="9"/>
        <v>4.5630339455863186E-3</v>
      </c>
      <c r="V10">
        <f t="shared" si="10"/>
        <v>3.1963176686314608E-4</v>
      </c>
      <c r="W10">
        <f t="shared" si="11"/>
        <v>2.2389591575771004E-5</v>
      </c>
      <c r="X10">
        <f t="shared" si="12"/>
        <v>1.5683479018669332E-6</v>
      </c>
      <c r="Y10">
        <f t="shared" si="23"/>
        <v>7.0048079999999999E-2</v>
      </c>
      <c r="Z10">
        <f t="shared" si="24"/>
        <v>1.5683479018669332E-6</v>
      </c>
      <c r="AA10">
        <f t="shared" si="25"/>
        <v>1.8309959882967847E-8</v>
      </c>
      <c r="AB10">
        <f t="shared" si="26"/>
        <v>7.5323819645647411E-2</v>
      </c>
      <c r="AC10">
        <f t="shared" si="27"/>
        <v>6.451905986270047</v>
      </c>
    </row>
    <row r="11" spans="1:29" x14ac:dyDescent="0.25">
      <c r="A11">
        <v>2.835E-2</v>
      </c>
      <c r="B11">
        <f t="shared" si="13"/>
        <v>1.3083525E-2</v>
      </c>
      <c r="C11">
        <f t="shared" si="14"/>
        <v>1.5266475E-2</v>
      </c>
      <c r="D11">
        <f t="shared" si="0"/>
        <v>0.1701</v>
      </c>
      <c r="E11">
        <f t="shared" si="1"/>
        <v>8.5050000000000001E-2</v>
      </c>
      <c r="F11">
        <f t="shared" si="15"/>
        <v>0.84323303073591094</v>
      </c>
      <c r="G11">
        <f t="shared" si="16"/>
        <v>1.3333030735910788E-2</v>
      </c>
      <c r="H11">
        <f t="shared" si="17"/>
        <v>6.0437172437922646</v>
      </c>
      <c r="I11">
        <f t="shared" si="2"/>
        <v>0.92150159711086865</v>
      </c>
      <c r="J11">
        <f t="shared" si="3"/>
        <v>7.2338935100039872E-2</v>
      </c>
      <c r="K11">
        <f t="shared" si="4"/>
        <v>5.6786895951284949E-3</v>
      </c>
      <c r="L11">
        <f t="shared" si="5"/>
        <v>4.4578366371062129E-4</v>
      </c>
      <c r="M11">
        <f t="shared" si="6"/>
        <v>3.4994530252497039E-5</v>
      </c>
      <c r="N11">
        <f t="shared" si="18"/>
        <v>7.8498402889131472E-2</v>
      </c>
      <c r="O11">
        <f t="shared" si="19"/>
        <v>3.4994530252497039E-5</v>
      </c>
      <c r="P11">
        <f t="shared" si="20"/>
        <v>4.5785181142180133E-7</v>
      </c>
      <c r="Q11">
        <f t="shared" si="21"/>
        <v>8.5173643402438715E-2</v>
      </c>
      <c r="R11">
        <f t="shared" si="22"/>
        <v>6.510219846592431</v>
      </c>
      <c r="S11">
        <f t="shared" si="7"/>
        <v>0.90840700774661964</v>
      </c>
      <c r="T11">
        <f t="shared" si="8"/>
        <v>8.3209037241531447E-2</v>
      </c>
      <c r="U11">
        <f t="shared" si="9"/>
        <v>7.6218521209314525E-3</v>
      </c>
      <c r="V11">
        <f t="shared" si="10"/>
        <v>6.9815288914738219E-4</v>
      </c>
      <c r="W11">
        <f t="shared" si="11"/>
        <v>6.3950001770077692E-5</v>
      </c>
      <c r="X11">
        <f t="shared" si="12"/>
        <v>5.8577466196370819E-6</v>
      </c>
      <c r="Y11">
        <f t="shared" si="23"/>
        <v>9.1598850000000009E-2</v>
      </c>
      <c r="Z11">
        <f t="shared" si="24"/>
        <v>5.8577466196370819E-6</v>
      </c>
      <c r="AA11">
        <f t="shared" si="25"/>
        <v>8.9427142325024021E-8</v>
      </c>
      <c r="AB11">
        <f t="shared" si="26"/>
        <v>0.10083228889101499</v>
      </c>
      <c r="AC11">
        <f t="shared" si="27"/>
        <v>6.6048566905244526</v>
      </c>
    </row>
    <row r="12" spans="1:29" x14ac:dyDescent="0.25">
      <c r="A12">
        <v>3.5020000000000003E-2</v>
      </c>
      <c r="B12">
        <f t="shared" si="13"/>
        <v>1.6161730000000003E-2</v>
      </c>
      <c r="C12">
        <f t="shared" si="14"/>
        <v>1.885827E-2</v>
      </c>
      <c r="D12">
        <f t="shared" si="0"/>
        <v>0.21012000000000003</v>
      </c>
      <c r="E12">
        <f t="shared" si="1"/>
        <v>0.10506000000000001</v>
      </c>
      <c r="F12">
        <f t="shared" si="15"/>
        <v>0.80985647838126418</v>
      </c>
      <c r="G12">
        <f t="shared" si="16"/>
        <v>1.9976478381264366E-2</v>
      </c>
      <c r="H12">
        <f t="shared" si="17"/>
        <v>6.0669647519876113</v>
      </c>
      <c r="I12">
        <f t="shared" si="2"/>
        <v>0.90303736285643688</v>
      </c>
      <c r="J12">
        <f t="shared" si="3"/>
        <v>8.7567876230386588E-2</v>
      </c>
      <c r="K12">
        <f t="shared" si="4"/>
        <v>8.4914902338535572E-3</v>
      </c>
      <c r="L12">
        <f t="shared" si="5"/>
        <v>8.2342303474306844E-4</v>
      </c>
      <c r="M12">
        <f t="shared" si="6"/>
        <v>7.9847644579788575E-5</v>
      </c>
      <c r="N12">
        <f t="shared" si="18"/>
        <v>9.6962637143562999E-2</v>
      </c>
      <c r="O12">
        <f t="shared" si="19"/>
        <v>7.9847644579788575E-5</v>
      </c>
      <c r="P12">
        <f t="shared" si="20"/>
        <v>1.2904760728345066E-6</v>
      </c>
      <c r="Q12">
        <f t="shared" si="21"/>
        <v>0.10734051638064207</v>
      </c>
      <c r="R12">
        <f t="shared" si="22"/>
        <v>6.6421780312171315</v>
      </c>
      <c r="S12">
        <f t="shared" si="7"/>
        <v>0.88686682840951514</v>
      </c>
      <c r="T12">
        <f t="shared" si="8"/>
        <v>0.10034864462514184</v>
      </c>
      <c r="U12">
        <f t="shared" si="9"/>
        <v>1.1354411006849842E-2</v>
      </c>
      <c r="V12">
        <f t="shared" si="10"/>
        <v>1.2847472907488772E-3</v>
      </c>
      <c r="W12">
        <f t="shared" si="11"/>
        <v>1.4536866774426499E-4</v>
      </c>
      <c r="X12">
        <f t="shared" si="12"/>
        <v>1.6448409515169841E-5</v>
      </c>
      <c r="Y12">
        <f t="shared" si="23"/>
        <v>0.11314961999999999</v>
      </c>
      <c r="Z12">
        <f t="shared" si="24"/>
        <v>1.6448409515169841E-5</v>
      </c>
      <c r="AA12">
        <f t="shared" si="25"/>
        <v>3.1018854770764195E-7</v>
      </c>
      <c r="AB12">
        <f t="shared" si="26"/>
        <v>0.12757542522964105</v>
      </c>
      <c r="AC12">
        <f t="shared" si="27"/>
        <v>6.7650703737402971</v>
      </c>
    </row>
    <row r="13" spans="1:29" x14ac:dyDescent="0.25">
      <c r="A13">
        <v>4.1689999999999998E-2</v>
      </c>
      <c r="B13">
        <f t="shared" si="13"/>
        <v>1.9239935E-2</v>
      </c>
      <c r="C13">
        <f t="shared" si="14"/>
        <v>2.2450064999999998E-2</v>
      </c>
      <c r="D13">
        <f t="shared" si="0"/>
        <v>0.25013999999999997</v>
      </c>
      <c r="E13">
        <f t="shared" si="1"/>
        <v>0.12506999999999999</v>
      </c>
      <c r="F13">
        <f t="shared" si="15"/>
        <v>0.77766716737625208</v>
      </c>
      <c r="G13">
        <f t="shared" si="16"/>
        <v>2.7807167376252134E-2</v>
      </c>
      <c r="H13">
        <f t="shared" si="17"/>
        <v>6.0953464872947052</v>
      </c>
      <c r="I13">
        <f t="shared" si="2"/>
        <v>0.88457852471129417</v>
      </c>
      <c r="J13">
        <f t="shared" si="3"/>
        <v>0.10211539990704716</v>
      </c>
      <c r="K13">
        <f t="shared" si="4"/>
        <v>1.1788161940263562E-2</v>
      </c>
      <c r="L13">
        <f t="shared" si="5"/>
        <v>1.3608208170008686E-3</v>
      </c>
      <c r="M13">
        <f t="shared" si="6"/>
        <v>1.5709262439446162E-4</v>
      </c>
      <c r="N13">
        <f t="shared" si="18"/>
        <v>0.11542147528870605</v>
      </c>
      <c r="O13">
        <f t="shared" si="19"/>
        <v>1.5709262439446162E-4</v>
      </c>
      <c r="P13">
        <f t="shared" si="20"/>
        <v>3.0224518823288559E-6</v>
      </c>
      <c r="Q13">
        <f t="shared" si="21"/>
        <v>0.13040255673615475</v>
      </c>
      <c r="R13">
        <f t="shared" si="22"/>
        <v>6.7787674560549283</v>
      </c>
      <c r="S13">
        <f t="shared" si="7"/>
        <v>0.86533798337810253</v>
      </c>
      <c r="T13">
        <f t="shared" si="8"/>
        <v>0.11656136384284393</v>
      </c>
      <c r="U13">
        <f t="shared" si="9"/>
        <v>1.5700861168562976E-2</v>
      </c>
      <c r="V13">
        <f t="shared" si="10"/>
        <v>2.1149121227412885E-3</v>
      </c>
      <c r="W13">
        <f t="shared" si="11"/>
        <v>2.8487948774897942E-4</v>
      </c>
      <c r="X13">
        <f t="shared" si="12"/>
        <v>3.8373378102787754E-5</v>
      </c>
      <c r="Y13">
        <f t="shared" si="23"/>
        <v>0.13470038999999995</v>
      </c>
      <c r="Z13">
        <f t="shared" si="24"/>
        <v>3.8373378102787754E-5</v>
      </c>
      <c r="AA13">
        <f t="shared" si="25"/>
        <v>8.6148483267716172E-7</v>
      </c>
      <c r="AB13">
        <f t="shared" si="26"/>
        <v>0.1556392073897036</v>
      </c>
      <c r="AC13">
        <f t="shared" si="27"/>
        <v>6.9329500837100673</v>
      </c>
    </row>
    <row r="14" spans="1:29" x14ac:dyDescent="0.25">
      <c r="A14">
        <v>4.836E-2</v>
      </c>
      <c r="B14">
        <f t="shared" si="13"/>
        <v>2.231814E-2</v>
      </c>
      <c r="C14">
        <f t="shared" si="14"/>
        <v>2.604186E-2</v>
      </c>
      <c r="D14">
        <f t="shared" si="0"/>
        <v>0.29015999999999997</v>
      </c>
      <c r="E14">
        <f t="shared" si="1"/>
        <v>0.14507999999999999</v>
      </c>
      <c r="F14">
        <f t="shared" si="15"/>
        <v>0.74660285744227473</v>
      </c>
      <c r="G14">
        <f t="shared" si="16"/>
        <v>3.6762857442274761E-2</v>
      </c>
      <c r="H14">
        <f t="shared" si="17"/>
        <v>6.1290045528550321</v>
      </c>
      <c r="I14">
        <f t="shared" si="2"/>
        <v>0.86612845310513098</v>
      </c>
      <c r="J14">
        <f t="shared" si="3"/>
        <v>0.1159822564463025</v>
      </c>
      <c r="K14">
        <f t="shared" si="4"/>
        <v>1.5531049421306892E-2</v>
      </c>
      <c r="L14">
        <f t="shared" si="5"/>
        <v>2.0797448119898769E-3</v>
      </c>
      <c r="M14">
        <f t="shared" si="6"/>
        <v>2.7849621526958253E-4</v>
      </c>
      <c r="N14">
        <f t="shared" si="18"/>
        <v>0.13387154689486885</v>
      </c>
      <c r="O14">
        <f t="shared" si="19"/>
        <v>2.7849621526958253E-4</v>
      </c>
      <c r="P14">
        <f t="shared" si="20"/>
        <v>6.215517521856681E-6</v>
      </c>
      <c r="Q14">
        <f t="shared" si="21"/>
        <v>0.15439757458596426</v>
      </c>
      <c r="R14">
        <f t="shared" si="22"/>
        <v>6.9199577430989763</v>
      </c>
      <c r="S14">
        <f t="shared" si="7"/>
        <v>0.84382743047072095</v>
      </c>
      <c r="T14">
        <f t="shared" si="8"/>
        <v>0.1318490148508695</v>
      </c>
      <c r="U14">
        <f t="shared" si="9"/>
        <v>2.0601561515305587E-2</v>
      </c>
      <c r="V14">
        <f t="shared" si="10"/>
        <v>3.2190178845778556E-3</v>
      </c>
      <c r="W14">
        <f t="shared" si="11"/>
        <v>5.0297527852603602E-4</v>
      </c>
      <c r="X14">
        <f t="shared" si="12"/>
        <v>7.8590470721016234E-5</v>
      </c>
      <c r="Y14">
        <f t="shared" si="23"/>
        <v>0.15625115999999997</v>
      </c>
      <c r="Z14">
        <f t="shared" si="24"/>
        <v>7.8590470721016234E-5</v>
      </c>
      <c r="AA14">
        <f t="shared" si="25"/>
        <v>2.0466420358508037E-6</v>
      </c>
      <c r="AB14">
        <f t="shared" si="26"/>
        <v>0.18511404500292347</v>
      </c>
      <c r="AC14">
        <f t="shared" si="27"/>
        <v>7.1088852465337373</v>
      </c>
    </row>
    <row r="15" spans="1:29" x14ac:dyDescent="0.25">
      <c r="A15">
        <v>5.5030000000000003E-2</v>
      </c>
      <c r="B15">
        <f t="shared" si="13"/>
        <v>2.5396345000000001E-2</v>
      </c>
      <c r="C15">
        <f t="shared" si="14"/>
        <v>2.9633655000000002E-2</v>
      </c>
      <c r="D15">
        <f t="shared" si="0"/>
        <v>0.33018000000000003</v>
      </c>
      <c r="E15">
        <f t="shared" si="1"/>
        <v>0.16509000000000001</v>
      </c>
      <c r="F15">
        <f t="shared" si="15"/>
        <v>0.71660558411796527</v>
      </c>
      <c r="G15">
        <f t="shared" si="16"/>
        <v>4.678558411796515E-2</v>
      </c>
      <c r="H15">
        <f t="shared" si="17"/>
        <v>6.1681100386315837</v>
      </c>
      <c r="I15">
        <f t="shared" si="2"/>
        <v>0.8476915686280263</v>
      </c>
      <c r="J15">
        <f t="shared" si="3"/>
        <v>0.1291696051828112</v>
      </c>
      <c r="K15">
        <f t="shared" si="4"/>
        <v>1.9682615140418771E-2</v>
      </c>
      <c r="L15">
        <f t="shared" si="5"/>
        <v>2.9991989076497911E-3</v>
      </c>
      <c r="M15">
        <f t="shared" si="6"/>
        <v>4.5701214109378338E-4</v>
      </c>
      <c r="N15">
        <f t="shared" si="18"/>
        <v>0.15230843137197356</v>
      </c>
      <c r="O15">
        <f t="shared" si="19"/>
        <v>4.5701214109378338E-4</v>
      </c>
      <c r="P15">
        <f t="shared" si="20"/>
        <v>1.1606438004406401E-5</v>
      </c>
      <c r="Q15">
        <f t="shared" si="21"/>
        <v>0.17936048075097324</v>
      </c>
      <c r="R15">
        <f t="shared" si="22"/>
        <v>7.0656816225596382</v>
      </c>
      <c r="S15">
        <f t="shared" si="7"/>
        <v>0.82234419885697119</v>
      </c>
      <c r="T15">
        <f t="shared" si="8"/>
        <v>0.14621438568107328</v>
      </c>
      <c r="U15">
        <f t="shared" si="9"/>
        <v>2.5997199967859194E-2</v>
      </c>
      <c r="V15">
        <f t="shared" si="10"/>
        <v>4.6223523288813038E-3</v>
      </c>
      <c r="W15">
        <f t="shared" si="11"/>
        <v>8.2186316521509067E-4</v>
      </c>
      <c r="X15">
        <f t="shared" si="12"/>
        <v>1.4612885697115198E-4</v>
      </c>
      <c r="Y15">
        <f t="shared" si="23"/>
        <v>0.17780193000000002</v>
      </c>
      <c r="Z15">
        <f t="shared" si="24"/>
        <v>1.4612885697115198E-4</v>
      </c>
      <c r="AA15">
        <f t="shared" si="25"/>
        <v>4.3303321330274628E-6</v>
      </c>
      <c r="AB15">
        <f t="shared" si="26"/>
        <v>0.21609393954915171</v>
      </c>
      <c r="AC15">
        <f t="shared" si="27"/>
        <v>7.2932455252179862</v>
      </c>
    </row>
    <row r="16" spans="1:29" x14ac:dyDescent="0.25">
      <c r="A16">
        <v>6.1699999999999998E-2</v>
      </c>
      <c r="B16">
        <f t="shared" si="13"/>
        <v>2.8474550000000001E-2</v>
      </c>
      <c r="C16">
        <f t="shared" si="14"/>
        <v>3.3225449999999997E-2</v>
      </c>
      <c r="D16">
        <f t="shared" si="0"/>
        <v>0.37019999999999997</v>
      </c>
      <c r="E16">
        <f t="shared" si="1"/>
        <v>0.18509999999999999</v>
      </c>
      <c r="F16">
        <f t="shared" si="15"/>
        <v>0.68762129778077796</v>
      </c>
      <c r="G16">
        <f t="shared" si="16"/>
        <v>5.7821297780777985E-2</v>
      </c>
      <c r="H16">
        <f t="shared" si="17"/>
        <v>6.21286525137113</v>
      </c>
      <c r="I16">
        <f t="shared" si="2"/>
        <v>0.82927340863489474</v>
      </c>
      <c r="J16">
        <f t="shared" si="3"/>
        <v>0.14167912282706846</v>
      </c>
      <c r="K16">
        <f t="shared" si="4"/>
        <v>2.4205495601373014E-2</v>
      </c>
      <c r="L16">
        <f t="shared" si="5"/>
        <v>4.1354435686564561E-3</v>
      </c>
      <c r="M16">
        <f t="shared" si="6"/>
        <v>7.0652936800732005E-4</v>
      </c>
      <c r="N16">
        <f t="shared" si="18"/>
        <v>0.17072659136510526</v>
      </c>
      <c r="O16">
        <f t="shared" si="19"/>
        <v>7.0652936800732005E-4</v>
      </c>
      <c r="P16">
        <f t="shared" si="20"/>
        <v>2.0118105815792837E-5</v>
      </c>
      <c r="Q16">
        <f t="shared" si="21"/>
        <v>0.20532256220781314</v>
      </c>
      <c r="R16">
        <f t="shared" si="22"/>
        <v>7.2158376934518573</v>
      </c>
      <c r="S16">
        <f t="shared" si="7"/>
        <v>0.80089946721093652</v>
      </c>
      <c r="T16">
        <f t="shared" si="8"/>
        <v>0.15966147121706165</v>
      </c>
      <c r="U16">
        <f t="shared" si="9"/>
        <v>3.1828945373093526E-2</v>
      </c>
      <c r="V16">
        <f t="shared" si="10"/>
        <v>6.3451861982787017E-3</v>
      </c>
      <c r="W16">
        <f t="shared" si="11"/>
        <v>1.2649300006295943E-3</v>
      </c>
      <c r="X16">
        <f t="shared" si="12"/>
        <v>2.5216721093651139E-4</v>
      </c>
      <c r="Y16">
        <f t="shared" si="23"/>
        <v>0.19935269999999999</v>
      </c>
      <c r="Z16">
        <f t="shared" si="24"/>
        <v>2.5216721093651139E-4</v>
      </c>
      <c r="AA16">
        <f t="shared" si="25"/>
        <v>8.378369058610512E-6</v>
      </c>
      <c r="AB16">
        <f t="shared" si="26"/>
        <v>0.24867547661528572</v>
      </c>
      <c r="AC16">
        <f t="shared" si="27"/>
        <v>7.4863756618342867</v>
      </c>
    </row>
    <row r="17" spans="1:29" x14ac:dyDescent="0.25">
      <c r="A17">
        <v>6.837E-2</v>
      </c>
      <c r="B17">
        <f t="shared" si="13"/>
        <v>3.1552755000000002E-2</v>
      </c>
      <c r="C17">
        <f t="shared" si="14"/>
        <v>3.6817244999999998E-2</v>
      </c>
      <c r="D17">
        <f t="shared" si="0"/>
        <v>0.41022000000000003</v>
      </c>
      <c r="E17">
        <f t="shared" si="1"/>
        <v>0.20511000000000001</v>
      </c>
      <c r="F17">
        <f t="shared" si="15"/>
        <v>0.65959953863132825</v>
      </c>
      <c r="G17">
        <f t="shared" si="16"/>
        <v>6.9819538631328282E-2</v>
      </c>
      <c r="H17">
        <f t="shared" si="17"/>
        <v>6.2635064171067505</v>
      </c>
      <c r="I17">
        <f t="shared" si="2"/>
        <v>0.81088066669147518</v>
      </c>
      <c r="J17">
        <f t="shared" si="3"/>
        <v>0.15351311406211668</v>
      </c>
      <c r="K17">
        <f t="shared" si="4"/>
        <v>2.9062570063734139E-2</v>
      </c>
      <c r="L17">
        <f t="shared" si="5"/>
        <v>5.502024917348026E-3</v>
      </c>
      <c r="M17">
        <f t="shared" si="6"/>
        <v>1.0416242653258651E-3</v>
      </c>
      <c r="N17">
        <f t="shared" si="18"/>
        <v>0.18911933330852471</v>
      </c>
      <c r="O17">
        <f t="shared" si="19"/>
        <v>1.0416242653258651E-3</v>
      </c>
      <c r="P17">
        <f t="shared" si="20"/>
        <v>3.2866115245882018E-5</v>
      </c>
      <c r="Q17">
        <f t="shared" si="21"/>
        <v>0.23231082600293249</v>
      </c>
      <c r="R17">
        <f t="shared" si="22"/>
        <v>7.3702933044062569</v>
      </c>
      <c r="S17">
        <f t="shared" si="7"/>
        <v>0.77950657589908545</v>
      </c>
      <c r="T17">
        <f t="shared" si="8"/>
        <v>0.17219570750392635</v>
      </c>
      <c r="U17">
        <f t="shared" si="9"/>
        <v>3.8038629306722367E-2</v>
      </c>
      <c r="V17">
        <f t="shared" si="10"/>
        <v>8.4028652078986642E-3</v>
      </c>
      <c r="W17">
        <f t="shared" si="11"/>
        <v>1.8562220823670865E-3</v>
      </c>
      <c r="X17">
        <f t="shared" si="12"/>
        <v>4.1004589908551518E-4</v>
      </c>
      <c r="Y17">
        <f t="shared" si="23"/>
        <v>0.22090346999999996</v>
      </c>
      <c r="Z17">
        <f t="shared" si="24"/>
        <v>4.1004589908551518E-4</v>
      </c>
      <c r="AA17">
        <f t="shared" si="25"/>
        <v>1.5096760327876687E-5</v>
      </c>
      <c r="AB17">
        <f t="shared" si="26"/>
        <v>0.28295667956596304</v>
      </c>
      <c r="AC17">
        <f t="shared" si="27"/>
        <v>7.6885913757865989</v>
      </c>
    </row>
    <row r="18" spans="1:29" x14ac:dyDescent="0.25">
      <c r="A18">
        <v>7.5039999999999996E-2</v>
      </c>
      <c r="B18">
        <f t="shared" si="13"/>
        <v>3.4630960000000002E-2</v>
      </c>
      <c r="C18">
        <f t="shared" si="14"/>
        <v>4.0409039999999993E-2</v>
      </c>
      <c r="D18">
        <f t="shared" si="0"/>
        <v>0.45023999999999997</v>
      </c>
      <c r="E18">
        <f t="shared" si="1"/>
        <v>0.22511999999999999</v>
      </c>
      <c r="F18">
        <f t="shared" si="15"/>
        <v>0.63249314352879715</v>
      </c>
      <c r="G18">
        <f t="shared" si="16"/>
        <v>8.2733143528797168E-2</v>
      </c>
      <c r="H18">
        <f t="shared" si="17"/>
        <v>6.3203069256999687</v>
      </c>
      <c r="I18">
        <f t="shared" si="2"/>
        <v>0.79252120566220363</v>
      </c>
      <c r="J18">
        <f t="shared" si="3"/>
        <v>0.16467462103463731</v>
      </c>
      <c r="K18">
        <f t="shared" si="4"/>
        <v>3.4217041284394102E-2</v>
      </c>
      <c r="L18">
        <f t="shared" si="5"/>
        <v>7.1098139282292049E-3</v>
      </c>
      <c r="M18">
        <f t="shared" si="6"/>
        <v>1.4773180905356912E-3</v>
      </c>
      <c r="N18">
        <f t="shared" si="18"/>
        <v>0.20747879433779631</v>
      </c>
      <c r="O18">
        <f t="shared" si="19"/>
        <v>1.4773180905356912E-3</v>
      </c>
      <c r="P18">
        <f t="shared" si="20"/>
        <v>5.1160943700617906E-5</v>
      </c>
      <c r="Q18">
        <f t="shared" si="21"/>
        <v>0.26034741775025588</v>
      </c>
      <c r="R18">
        <f t="shared" si="22"/>
        <v>7.5288875255285364</v>
      </c>
      <c r="S18">
        <f t="shared" si="7"/>
        <v>0.75818097654356731</v>
      </c>
      <c r="T18">
        <f t="shared" si="8"/>
        <v>0.18382419245032841</v>
      </c>
      <c r="U18">
        <f t="shared" si="9"/>
        <v>4.4568954874158108E-2</v>
      </c>
      <c r="V18">
        <f t="shared" si="10"/>
        <v>1.0805932081608297E-2</v>
      </c>
      <c r="W18">
        <f t="shared" si="11"/>
        <v>2.6199440503379572E-3</v>
      </c>
      <c r="X18">
        <f t="shared" si="12"/>
        <v>6.3521654356721107E-4</v>
      </c>
      <c r="Y18">
        <f t="shared" si="23"/>
        <v>0.24245423999999999</v>
      </c>
      <c r="Z18">
        <f t="shared" si="24"/>
        <v>6.3521654356721107E-4</v>
      </c>
      <c r="AA18">
        <f t="shared" si="25"/>
        <v>2.5668490717669172E-5</v>
      </c>
      <c r="AB18">
        <f t="shared" si="26"/>
        <v>0.31903575736265738</v>
      </c>
      <c r="AC18">
        <f t="shared" si="27"/>
        <v>7.9001763705966299</v>
      </c>
    </row>
    <row r="19" spans="1:29" x14ac:dyDescent="0.25">
      <c r="A19">
        <v>8.1710000000000005E-2</v>
      </c>
      <c r="B19">
        <f t="shared" si="13"/>
        <v>3.7709165000000003E-2</v>
      </c>
      <c r="C19">
        <f t="shared" si="14"/>
        <v>4.4000835000000002E-2</v>
      </c>
      <c r="D19">
        <f t="shared" si="0"/>
        <v>0.49026000000000003</v>
      </c>
      <c r="E19">
        <f t="shared" si="1"/>
        <v>0.24513000000000001</v>
      </c>
      <c r="F19">
        <f t="shared" si="15"/>
        <v>0.60625798109434348</v>
      </c>
      <c r="G19">
        <f t="shared" si="16"/>
        <v>9.6517981094343563E-2</v>
      </c>
      <c r="H19">
        <f t="shared" si="17"/>
        <v>6.3835812037609534</v>
      </c>
      <c r="I19">
        <f t="shared" si="2"/>
        <v>0.77420404549375554</v>
      </c>
      <c r="J19">
        <f t="shared" si="3"/>
        <v>0.17516752857114923</v>
      </c>
      <c r="K19">
        <f t="shared" si="4"/>
        <v>3.9632527425190092E-2</v>
      </c>
      <c r="L19">
        <f t="shared" si="5"/>
        <v>8.967057096261109E-3</v>
      </c>
      <c r="M19">
        <f t="shared" si="6"/>
        <v>2.0288414136439867E-3</v>
      </c>
      <c r="N19">
        <f t="shared" si="18"/>
        <v>0.22579595450624443</v>
      </c>
      <c r="O19">
        <f t="shared" si="19"/>
        <v>2.0288414136439867E-3</v>
      </c>
      <c r="P19">
        <f t="shared" si="20"/>
        <v>7.6505915625934353E-5</v>
      </c>
      <c r="Q19">
        <f t="shared" si="21"/>
        <v>0.28944912036488868</v>
      </c>
      <c r="R19">
        <f t="shared" si="22"/>
        <v>7.6914341799746619</v>
      </c>
      <c r="S19">
        <f t="shared" si="7"/>
        <v>0.73694012325701863</v>
      </c>
      <c r="T19">
        <f t="shared" si="8"/>
        <v>0.19455588460987047</v>
      </c>
      <c r="U19">
        <f t="shared" si="9"/>
        <v>5.1363728261987707E-2</v>
      </c>
      <c r="V19">
        <f t="shared" si="10"/>
        <v>1.3560281593443349E-2</v>
      </c>
      <c r="W19">
        <f t="shared" si="11"/>
        <v>3.5799822776798281E-3</v>
      </c>
      <c r="X19">
        <f t="shared" si="12"/>
        <v>9.4513325701868576E-4</v>
      </c>
      <c r="Y19">
        <f t="shared" si="23"/>
        <v>0.26400500999999998</v>
      </c>
      <c r="Z19">
        <f t="shared" si="24"/>
        <v>9.4513325701868576E-4</v>
      </c>
      <c r="AA19">
        <f t="shared" si="25"/>
        <v>4.1586652495091789E-5</v>
      </c>
      <c r="AB19">
        <f t="shared" si="26"/>
        <v>0.35700978130998873</v>
      </c>
      <c r="AC19">
        <f t="shared" si="27"/>
        <v>8.1213804769310229</v>
      </c>
    </row>
    <row r="20" spans="1:29" x14ac:dyDescent="0.25">
      <c r="A20">
        <v>8.838E-2</v>
      </c>
      <c r="B20">
        <f t="shared" si="13"/>
        <v>4.0787370000000003E-2</v>
      </c>
      <c r="C20">
        <f t="shared" si="14"/>
        <v>4.7592629999999997E-2</v>
      </c>
      <c r="D20">
        <f t="shared" si="0"/>
        <v>0.53027999999999997</v>
      </c>
      <c r="E20">
        <f t="shared" si="1"/>
        <v>0.26513999999999999</v>
      </c>
      <c r="F20">
        <f t="shared" si="15"/>
        <v>0.58085271195282739</v>
      </c>
      <c r="G20">
        <f t="shared" si="16"/>
        <v>0.11113271195282733</v>
      </c>
      <c r="H20">
        <f t="shared" si="17"/>
        <v>6.4536893229438013</v>
      </c>
      <c r="I20">
        <f t="shared" si="2"/>
        <v>0.75593932702222144</v>
      </c>
      <c r="J20">
        <f t="shared" si="3"/>
        <v>0.18499666217283808</v>
      </c>
      <c r="K20">
        <f t="shared" si="4"/>
        <v>4.5273163852851309E-2</v>
      </c>
      <c r="L20">
        <f t="shared" si="5"/>
        <v>1.1079439710821233E-2</v>
      </c>
      <c r="M20">
        <f t="shared" si="6"/>
        <v>2.7114072412677522E-3</v>
      </c>
      <c r="N20">
        <f t="shared" si="18"/>
        <v>0.24406067297777839</v>
      </c>
      <c r="O20">
        <f t="shared" si="19"/>
        <v>2.7114072412677522E-3</v>
      </c>
      <c r="P20">
        <f t="shared" si="20"/>
        <v>1.1059117037026709E-4</v>
      </c>
      <c r="Q20">
        <f t="shared" si="21"/>
        <v>0.31962693797607544</v>
      </c>
      <c r="R20">
        <f t="shared" si="22"/>
        <v>7.8577249028198155</v>
      </c>
      <c r="S20">
        <f t="shared" si="7"/>
        <v>0.71580331081998794</v>
      </c>
      <c r="T20">
        <f t="shared" si="8"/>
        <v>0.20440177274778409</v>
      </c>
      <c r="U20">
        <f t="shared" si="9"/>
        <v>5.8368107650376234E-2</v>
      </c>
      <c r="V20">
        <f t="shared" si="10"/>
        <v>1.666735050722715E-2</v>
      </c>
      <c r="W20">
        <f t="shared" si="11"/>
        <v>4.7594582746246445E-3</v>
      </c>
      <c r="X20">
        <f t="shared" si="12"/>
        <v>1.3590908199878945E-3</v>
      </c>
      <c r="Y20">
        <f t="shared" si="23"/>
        <v>0.28555578000000009</v>
      </c>
      <c r="Z20">
        <f t="shared" si="24"/>
        <v>1.3590908199878945E-3</v>
      </c>
      <c r="AA20">
        <f t="shared" si="25"/>
        <v>6.4682706532080469E-5</v>
      </c>
      <c r="AB20">
        <f t="shared" si="26"/>
        <v>0.3969733267686561</v>
      </c>
      <c r="AC20">
        <f t="shared" si="27"/>
        <v>8.3524189319073496</v>
      </c>
    </row>
    <row r="21" spans="1:29" x14ac:dyDescent="0.25">
      <c r="A21">
        <v>9.5049999999999996E-2</v>
      </c>
      <c r="B21">
        <f t="shared" si="13"/>
        <v>4.3865574999999997E-2</v>
      </c>
      <c r="C21">
        <f t="shared" si="14"/>
        <v>5.1184424999999999E-2</v>
      </c>
      <c r="D21">
        <f t="shared" si="0"/>
        <v>0.57030000000000003</v>
      </c>
      <c r="E21">
        <f t="shared" si="1"/>
        <v>0.28515000000000001</v>
      </c>
      <c r="F21">
        <f t="shared" si="15"/>
        <v>0.55623857137299149</v>
      </c>
      <c r="G21">
        <f t="shared" si="16"/>
        <v>0.12653857137299149</v>
      </c>
      <c r="H21">
        <f t="shared" si="17"/>
        <v>6.5310424762103576</v>
      </c>
      <c r="I21">
        <f t="shared" si="2"/>
        <v>0.73773825341632082</v>
      </c>
      <c r="J21">
        <f t="shared" si="3"/>
        <v>0.19416787611361577</v>
      </c>
      <c r="K21">
        <f t="shared" si="4"/>
        <v>5.110371319351513E-2</v>
      </c>
      <c r="L21">
        <f t="shared" si="5"/>
        <v>1.3450162583211762E-2</v>
      </c>
      <c r="M21">
        <f t="shared" si="6"/>
        <v>3.5399946933364159E-3</v>
      </c>
      <c r="N21">
        <f t="shared" si="18"/>
        <v>0.26226174658367907</v>
      </c>
      <c r="O21">
        <f t="shared" si="19"/>
        <v>3.5399946933364159E-3</v>
      </c>
      <c r="P21">
        <f t="shared" si="20"/>
        <v>1.5528390272015054E-4</v>
      </c>
      <c r="Q21">
        <f t="shared" si="21"/>
        <v>0.350885769023627</v>
      </c>
      <c r="R21">
        <f t="shared" si="22"/>
        <v>8.0275321947115348</v>
      </c>
      <c r="S21">
        <f t="shared" si="7"/>
        <v>0.69479146601049646</v>
      </c>
      <c r="T21">
        <f t="shared" si="8"/>
        <v>0.21337501009592583</v>
      </c>
      <c r="U21">
        <f t="shared" si="9"/>
        <v>6.5528863206774951E-2</v>
      </c>
      <c r="V21">
        <f t="shared" si="10"/>
        <v>2.0124343104854597E-2</v>
      </c>
      <c r="W21">
        <f t="shared" si="11"/>
        <v>6.1803175819481835E-3</v>
      </c>
      <c r="X21">
        <f t="shared" si="12"/>
        <v>1.898016010496449E-3</v>
      </c>
      <c r="Y21">
        <f t="shared" si="23"/>
        <v>0.30710655000000003</v>
      </c>
      <c r="Z21">
        <f t="shared" si="24"/>
        <v>1.898016010496449E-3</v>
      </c>
      <c r="AA21">
        <f t="shared" si="25"/>
        <v>9.7148858138054701E-5</v>
      </c>
      <c r="AB21">
        <f t="shared" si="26"/>
        <v>0.43901711620431449</v>
      </c>
      <c r="AC21">
        <f t="shared" si="27"/>
        <v>8.5934727658062595</v>
      </c>
    </row>
    <row r="22" spans="1:29" x14ac:dyDescent="0.25">
      <c r="A22">
        <v>0.10172</v>
      </c>
      <c r="B22">
        <f t="shared" si="13"/>
        <v>4.6943780000000004E-2</v>
      </c>
      <c r="C22">
        <f t="shared" si="14"/>
        <v>5.477622E-2</v>
      </c>
      <c r="D22">
        <f t="shared" si="0"/>
        <v>0.61031999999999997</v>
      </c>
      <c r="E22">
        <f t="shared" si="1"/>
        <v>0.30515999999999999</v>
      </c>
      <c r="F22">
        <f t="shared" si="15"/>
        <v>0.53237917190229556</v>
      </c>
      <c r="G22">
        <f t="shared" si="16"/>
        <v>0.1426991719022955</v>
      </c>
      <c r="H22">
        <f t="shared" si="17"/>
        <v>6.6161094866543184</v>
      </c>
      <c r="I22">
        <f t="shared" si="2"/>
        <v>0.71961301115208598</v>
      </c>
      <c r="J22">
        <f t="shared" si="3"/>
        <v>0.20268812928396646</v>
      </c>
      <c r="K22">
        <f t="shared" si="4"/>
        <v>5.7089681698308484E-2</v>
      </c>
      <c r="L22">
        <f t="shared" si="5"/>
        <v>1.608003274749252E-2</v>
      </c>
      <c r="M22">
        <f t="shared" si="6"/>
        <v>4.5291451181465074E-3</v>
      </c>
      <c r="N22">
        <f t="shared" si="18"/>
        <v>0.28038698884791396</v>
      </c>
      <c r="O22">
        <f t="shared" si="19"/>
        <v>4.5291451181465074E-3</v>
      </c>
      <c r="P22">
        <f t="shared" si="20"/>
        <v>2.1261519201434367E-4</v>
      </c>
      <c r="Q22">
        <f t="shared" si="21"/>
        <v>0.38322417139564702</v>
      </c>
      <c r="R22">
        <f t="shared" si="22"/>
        <v>8.2006124386216808</v>
      </c>
      <c r="S22">
        <f t="shared" si="7"/>
        <v>0.67392689914006665</v>
      </c>
      <c r="T22">
        <f t="shared" si="8"/>
        <v>0.22149100854728462</v>
      </c>
      <c r="U22">
        <f t="shared" si="9"/>
        <v>7.2794641273247668E-2</v>
      </c>
      <c r="V22">
        <f t="shared" si="10"/>
        <v>2.3924491711226965E-2</v>
      </c>
      <c r="W22">
        <f t="shared" si="11"/>
        <v>7.8629593281740687E-3</v>
      </c>
      <c r="X22">
        <f t="shared" si="12"/>
        <v>2.5842191400666905E-3</v>
      </c>
      <c r="Y22">
        <f t="shared" si="23"/>
        <v>0.32865731999999998</v>
      </c>
      <c r="Z22">
        <f t="shared" si="24"/>
        <v>2.5842191400666905E-3</v>
      </c>
      <c r="AA22">
        <f t="shared" si="25"/>
        <v>1.4155375614450385E-4</v>
      </c>
      <c r="AB22">
        <f t="shared" si="26"/>
        <v>0.48322669924049061</v>
      </c>
      <c r="AC22">
        <f t="shared" si="27"/>
        <v>8.8446902390446436</v>
      </c>
    </row>
    <row r="23" spans="1:29" x14ac:dyDescent="0.25">
      <c r="A23">
        <v>0.10839</v>
      </c>
      <c r="B23">
        <f t="shared" si="13"/>
        <v>5.0021985000000005E-2</v>
      </c>
      <c r="C23">
        <f t="shared" si="14"/>
        <v>5.8368014999999995E-2</v>
      </c>
      <c r="D23">
        <f t="shared" si="0"/>
        <v>0.65034000000000003</v>
      </c>
      <c r="E23">
        <f t="shared" si="1"/>
        <v>0.32517000000000001</v>
      </c>
      <c r="F23">
        <f t="shared" si="15"/>
        <v>0.50924032388297347</v>
      </c>
      <c r="G23">
        <f t="shared" si="16"/>
        <v>0.1595803238829735</v>
      </c>
      <c r="H23">
        <f t="shared" si="17"/>
        <v>6.709424553811953</v>
      </c>
      <c r="I23">
        <f t="shared" si="2"/>
        <v>0.70157667268377055</v>
      </c>
      <c r="J23">
        <f t="shared" si="3"/>
        <v>0.21056554678402492</v>
      </c>
      <c r="K23">
        <f t="shared" si="4"/>
        <v>6.3197439736483771E-2</v>
      </c>
      <c r="L23">
        <f t="shared" si="5"/>
        <v>1.8967568295220772E-2</v>
      </c>
      <c r="M23">
        <f t="shared" si="6"/>
        <v>5.6927725005000559E-3</v>
      </c>
      <c r="N23">
        <f t="shared" si="18"/>
        <v>0.2984233273162295</v>
      </c>
      <c r="O23">
        <f t="shared" si="19"/>
        <v>5.6927725005000559E-3</v>
      </c>
      <c r="P23">
        <f t="shared" si="20"/>
        <v>2.8476378062842632E-4</v>
      </c>
      <c r="Q23">
        <f t="shared" si="21"/>
        <v>0.41663422114465504</v>
      </c>
      <c r="R23">
        <f t="shared" si="22"/>
        <v>8.376708849636838</v>
      </c>
      <c r="S23">
        <f t="shared" si="7"/>
        <v>0.65323302354801582</v>
      </c>
      <c r="T23">
        <f t="shared" si="8"/>
        <v>0.22876748950167564</v>
      </c>
      <c r="U23">
        <f t="shared" si="9"/>
        <v>8.0116225552476869E-2</v>
      </c>
      <c r="V23">
        <f t="shared" si="10"/>
        <v>2.8057350328742119E-2</v>
      </c>
      <c r="W23">
        <f t="shared" si="11"/>
        <v>9.8259110690896486E-3</v>
      </c>
      <c r="X23">
        <f t="shared" si="12"/>
        <v>3.4411135480157434E-3</v>
      </c>
      <c r="Y23">
        <f t="shared" si="23"/>
        <v>0.35020809000000003</v>
      </c>
      <c r="Z23">
        <f t="shared" si="24"/>
        <v>3.4411135480157434E-3</v>
      </c>
      <c r="AA23">
        <f t="shared" si="25"/>
        <v>2.0085096718728613E-4</v>
      </c>
      <c r="AB23">
        <f t="shared" si="26"/>
        <v>0.52968120360929305</v>
      </c>
      <c r="AC23">
        <f t="shared" si="27"/>
        <v>9.1061892464018754</v>
      </c>
    </row>
    <row r="24" spans="1:29" x14ac:dyDescent="0.25">
      <c r="A24">
        <v>0.11506</v>
      </c>
      <c r="B24">
        <f t="shared" si="13"/>
        <v>5.3100189999999999E-2</v>
      </c>
      <c r="C24">
        <f t="shared" si="14"/>
        <v>6.1959809999999997E-2</v>
      </c>
      <c r="D24">
        <f t="shared" si="0"/>
        <v>0.69035999999999997</v>
      </c>
      <c r="E24">
        <f t="shared" si="1"/>
        <v>0.34517999999999999</v>
      </c>
      <c r="F24">
        <f t="shared" si="15"/>
        <v>0.48678987198739204</v>
      </c>
      <c r="G24">
        <f t="shared" si="16"/>
        <v>0.17714987198739202</v>
      </c>
      <c r="H24">
        <f t="shared" si="17"/>
        <v>6.811596493635161</v>
      </c>
      <c r="I24">
        <f t="shared" si="2"/>
        <v>0.68364308321914002</v>
      </c>
      <c r="J24">
        <f t="shared" si="3"/>
        <v>0.2178094656667329</v>
      </c>
      <c r="K24">
        <f t="shared" si="4"/>
        <v>6.9394344064211966E-2</v>
      </c>
      <c r="L24">
        <f t="shared" si="5"/>
        <v>2.2109117128410165E-2</v>
      </c>
      <c r="M24">
        <f t="shared" si="6"/>
        <v>7.0439899215050047E-3</v>
      </c>
      <c r="N24">
        <f t="shared" si="18"/>
        <v>0.31635691678086003</v>
      </c>
      <c r="O24">
        <f t="shared" si="19"/>
        <v>7.0439899215050047E-3</v>
      </c>
      <c r="P24">
        <f t="shared" si="20"/>
        <v>3.7403720319000082E-4</v>
      </c>
      <c r="Q24">
        <f t="shared" si="21"/>
        <v>0.45110146486640734</v>
      </c>
      <c r="R24">
        <f t="shared" si="22"/>
        <v>8.5555543300268919</v>
      </c>
      <c r="S24">
        <f t="shared" si="7"/>
        <v>0.63273405130967686</v>
      </c>
      <c r="T24">
        <f t="shared" si="8"/>
        <v>0.23522448959806699</v>
      </c>
      <c r="U24">
        <f t="shared" si="9"/>
        <v>8.7446788097059247E-2</v>
      </c>
      <c r="V24">
        <f t="shared" si="10"/>
        <v>3.250911825362432E-2</v>
      </c>
      <c r="W24">
        <f t="shared" si="11"/>
        <v>1.2085552741572568E-2</v>
      </c>
      <c r="X24">
        <f t="shared" si="12"/>
        <v>4.492911309676894E-3</v>
      </c>
      <c r="Y24">
        <f t="shared" si="23"/>
        <v>0.37175886000000008</v>
      </c>
      <c r="Z24">
        <f t="shared" si="24"/>
        <v>4.492911309676894E-3</v>
      </c>
      <c r="AA24">
        <f t="shared" si="25"/>
        <v>2.7837993109443152E-4</v>
      </c>
      <c r="AB24">
        <f t="shared" si="26"/>
        <v>0.57845218806773313</v>
      </c>
      <c r="AC24">
        <f t="shared" si="27"/>
        <v>9.3780605835748716</v>
      </c>
    </row>
    <row r="25" spans="1:29" x14ac:dyDescent="0.25">
      <c r="A25">
        <v>0.12173</v>
      </c>
      <c r="B25">
        <f t="shared" si="13"/>
        <v>5.6178395000000006E-2</v>
      </c>
      <c r="C25">
        <f t="shared" si="14"/>
        <v>6.5551604999999999E-2</v>
      </c>
      <c r="D25">
        <f t="shared" si="0"/>
        <v>0.73038000000000003</v>
      </c>
      <c r="E25">
        <f t="shared" si="1"/>
        <v>0.36519000000000001</v>
      </c>
      <c r="F25">
        <f t="shared" si="15"/>
        <v>0.46499754612911015</v>
      </c>
      <c r="G25">
        <f t="shared" si="16"/>
        <v>0.19537754612911024</v>
      </c>
      <c r="H25">
        <f t="shared" si="17"/>
        <v>6.9233197939341391</v>
      </c>
      <c r="I25">
        <f t="shared" si="2"/>
        <v>0.66582673421336147</v>
      </c>
      <c r="J25">
        <f t="shared" si="3"/>
        <v>0.22443046365718944</v>
      </c>
      <c r="K25">
        <f t="shared" si="4"/>
        <v>7.564885942420041E-2</v>
      </c>
      <c r="L25">
        <f t="shared" si="5"/>
        <v>2.5498989036193225E-2</v>
      </c>
      <c r="M25">
        <f t="shared" si="6"/>
        <v>8.5949536690555946E-3</v>
      </c>
      <c r="N25">
        <f t="shared" si="18"/>
        <v>0.3341732657866387</v>
      </c>
      <c r="O25">
        <f t="shared" si="19"/>
        <v>8.5949536690555946E-3</v>
      </c>
      <c r="P25">
        <f t="shared" si="20"/>
        <v>4.828507022269045E-4</v>
      </c>
      <c r="Q25">
        <f t="shared" si="21"/>
        <v>0.48660496429039229</v>
      </c>
      <c r="R25">
        <f t="shared" si="22"/>
        <v>8.7368742046722119</v>
      </c>
      <c r="S25">
        <f t="shared" si="7"/>
        <v>0.61245467368901774</v>
      </c>
      <c r="T25">
        <f t="shared" si="8"/>
        <v>0.24088432110039834</v>
      </c>
      <c r="U25">
        <f t="shared" si="9"/>
        <v>9.474212320479887E-2</v>
      </c>
      <c r="V25">
        <f t="shared" si="10"/>
        <v>3.7262989423093862E-2</v>
      </c>
      <c r="W25">
        <f t="shared" si="11"/>
        <v>1.465589258269096E-2</v>
      </c>
      <c r="X25">
        <f t="shared" si="12"/>
        <v>5.7643036890179262E-3</v>
      </c>
      <c r="Y25">
        <f t="shared" si="23"/>
        <v>0.39330962999999997</v>
      </c>
      <c r="Z25">
        <f t="shared" si="24"/>
        <v>5.7643036890179262E-3</v>
      </c>
      <c r="AA25">
        <f t="shared" si="25"/>
        <v>3.7785935852254594E-4</v>
      </c>
      <c r="AB25">
        <f t="shared" si="26"/>
        <v>0.62960262455513105</v>
      </c>
      <c r="AC25">
        <f t="shared" si="27"/>
        <v>9.6603719543540141</v>
      </c>
    </row>
    <row r="26" spans="1:29" x14ac:dyDescent="0.25">
      <c r="A26">
        <v>0.12839999999999999</v>
      </c>
      <c r="B26">
        <f t="shared" si="13"/>
        <v>5.92566E-2</v>
      </c>
      <c r="C26">
        <f t="shared" si="14"/>
        <v>6.9143399999999994E-2</v>
      </c>
      <c r="D26">
        <f t="shared" si="0"/>
        <v>0.77039999999999997</v>
      </c>
      <c r="E26">
        <f t="shared" si="1"/>
        <v>0.38519999999999999</v>
      </c>
      <c r="F26">
        <f t="shared" si="15"/>
        <v>0.44383482529598617</v>
      </c>
      <c r="G26">
        <f t="shared" si="16"/>
        <v>0.21423482529598614</v>
      </c>
      <c r="H26">
        <f t="shared" si="17"/>
        <v>7.0453878918151567</v>
      </c>
      <c r="I26">
        <f t="shared" si="2"/>
        <v>0.64814262635434994</v>
      </c>
      <c r="J26">
        <f t="shared" si="3"/>
        <v>0.23044037011697505</v>
      </c>
      <c r="K26">
        <f t="shared" si="4"/>
        <v>8.193067701524126E-2</v>
      </c>
      <c r="L26">
        <f t="shared" si="5"/>
        <v>2.9129600133728076E-2</v>
      </c>
      <c r="M26">
        <f t="shared" si="6"/>
        <v>1.0356726379705626E-2</v>
      </c>
      <c r="N26">
        <f t="shared" si="18"/>
        <v>0.35185737364565001</v>
      </c>
      <c r="O26">
        <f t="shared" si="19"/>
        <v>1.0356726379705626E-2</v>
      </c>
      <c r="P26">
        <f t="shared" si="20"/>
        <v>6.1370439239166437E-4</v>
      </c>
      <c r="Q26">
        <f t="shared" si="21"/>
        <v>0.52311743006746436</v>
      </c>
      <c r="R26">
        <f t="shared" si="22"/>
        <v>8.9203888151729505</v>
      </c>
      <c r="S26">
        <f t="shared" si="7"/>
        <v>0.59241973488992528</v>
      </c>
      <c r="T26">
        <f t="shared" si="8"/>
        <v>0.24577148818432831</v>
      </c>
      <c r="U26">
        <f t="shared" si="9"/>
        <v>0.10196085789674571</v>
      </c>
      <c r="V26">
        <f t="shared" si="10"/>
        <v>4.229952229138708E-2</v>
      </c>
      <c r="W26">
        <f t="shared" si="11"/>
        <v>1.7548396737613759E-2</v>
      </c>
      <c r="X26">
        <f t="shared" si="12"/>
        <v>7.2801348899251385E-3</v>
      </c>
      <c r="Y26">
        <f t="shared" si="23"/>
        <v>0.41486039999999996</v>
      </c>
      <c r="Z26">
        <f t="shared" si="24"/>
        <v>7.2801348899251385E-3</v>
      </c>
      <c r="AA26">
        <f t="shared" si="25"/>
        <v>5.0337327874804981E-4</v>
      </c>
      <c r="AB26">
        <f t="shared" si="26"/>
        <v>0.68318603225206176</v>
      </c>
      <c r="AC26">
        <f t="shared" si="27"/>
        <v>9.9531725858221076</v>
      </c>
    </row>
    <row r="27" spans="1:29" x14ac:dyDescent="0.25">
      <c r="A27">
        <v>0.13507</v>
      </c>
      <c r="B27">
        <f t="shared" si="13"/>
        <v>6.2334805E-2</v>
      </c>
      <c r="C27">
        <f t="shared" si="14"/>
        <v>7.2735194999999989E-2</v>
      </c>
      <c r="D27">
        <f t="shared" si="0"/>
        <v>0.81041999999999992</v>
      </c>
      <c r="E27">
        <f t="shared" si="1"/>
        <v>0.40520999999999996</v>
      </c>
      <c r="F27">
        <f t="shared" si="15"/>
        <v>0.42327481301727155</v>
      </c>
      <c r="G27">
        <f t="shared" si="16"/>
        <v>0.23369481301727144</v>
      </c>
      <c r="H27">
        <f t="shared" si="17"/>
        <v>7.1787091898851934</v>
      </c>
      <c r="I27">
        <f t="shared" si="2"/>
        <v>0.63060612491556367</v>
      </c>
      <c r="J27">
        <f t="shared" si="3"/>
        <v>0.23585225897050383</v>
      </c>
      <c r="K27">
        <f t="shared" si="4"/>
        <v>8.8210827430415154E-2</v>
      </c>
      <c r="L27">
        <f t="shared" si="5"/>
        <v>3.2991628360581476E-2</v>
      </c>
      <c r="M27">
        <f t="shared" si="6"/>
        <v>1.2339160322935897E-2</v>
      </c>
      <c r="N27">
        <f t="shared" si="18"/>
        <v>0.36939387508443633</v>
      </c>
      <c r="O27">
        <f t="shared" si="19"/>
        <v>1.2339160322935897E-2</v>
      </c>
      <c r="P27">
        <f t="shared" si="20"/>
        <v>7.691591525939461E-4</v>
      </c>
      <c r="Q27">
        <f t="shared" si="21"/>
        <v>0.56060544020482217</v>
      </c>
      <c r="R27">
        <f t="shared" si="22"/>
        <v>9.1058159544742612</v>
      </c>
      <c r="S27">
        <f t="shared" si="7"/>
        <v>0.57265390742620847</v>
      </c>
      <c r="T27">
        <f t="shared" si="8"/>
        <v>0.24991256174494331</v>
      </c>
      <c r="U27">
        <f t="shared" si="9"/>
        <v>0.10906463346880793</v>
      </c>
      <c r="V27">
        <f t="shared" si="10"/>
        <v>4.7597024297743623E-2</v>
      </c>
      <c r="W27">
        <f t="shared" si="11"/>
        <v>2.077187306229672E-2</v>
      </c>
      <c r="X27">
        <f t="shared" si="12"/>
        <v>9.0650774262083927E-3</v>
      </c>
      <c r="Y27">
        <f t="shared" si="23"/>
        <v>0.43641116999999996</v>
      </c>
      <c r="Z27">
        <f t="shared" si="24"/>
        <v>9.0650774262083927E-3</v>
      </c>
      <c r="AA27">
        <f t="shared" si="25"/>
        <v>6.593501742853655E-4</v>
      </c>
      <c r="AB27">
        <f t="shared" si="26"/>
        <v>0.73924578095601889</v>
      </c>
      <c r="AC27">
        <f t="shared" si="27"/>
        <v>10.256498314290683</v>
      </c>
    </row>
    <row r="28" spans="1:29" x14ac:dyDescent="0.25">
      <c r="A28">
        <v>0.14174</v>
      </c>
      <c r="B28">
        <f t="shared" si="13"/>
        <v>6.5413010000000008E-2</v>
      </c>
      <c r="C28">
        <f t="shared" si="14"/>
        <v>7.6326989999999997E-2</v>
      </c>
      <c r="D28">
        <f t="shared" si="0"/>
        <v>0.85044000000000008</v>
      </c>
      <c r="E28">
        <f t="shared" si="1"/>
        <v>0.42522000000000004</v>
      </c>
      <c r="F28">
        <f t="shared" si="15"/>
        <v>0.40329212332131176</v>
      </c>
      <c r="G28">
        <f t="shared" si="16"/>
        <v>0.25373212332131184</v>
      </c>
      <c r="H28">
        <f t="shared" si="17"/>
        <v>7.3243264726746506</v>
      </c>
      <c r="I28">
        <f t="shared" si="2"/>
        <v>0.61323281039413624</v>
      </c>
      <c r="J28">
        <f t="shared" si="3"/>
        <v>0.24068042375183848</v>
      </c>
      <c r="K28">
        <f t="shared" si="4"/>
        <v>9.4461785794099501E-2</v>
      </c>
      <c r="L28">
        <f t="shared" si="5"/>
        <v>3.7074178432603737E-2</v>
      </c>
      <c r="M28">
        <f t="shared" si="6"/>
        <v>1.4550801627322158E-2</v>
      </c>
      <c r="N28">
        <f t="shared" si="18"/>
        <v>0.38676718960586387</v>
      </c>
      <c r="O28">
        <f t="shared" si="19"/>
        <v>1.4550801627322158E-2</v>
      </c>
      <c r="P28">
        <f t="shared" si="20"/>
        <v>9.5181173235604072E-4</v>
      </c>
      <c r="Q28">
        <f t="shared" si="21"/>
        <v>0.59902973714713736</v>
      </c>
      <c r="R28">
        <f t="shared" si="22"/>
        <v>9.2928731274891287</v>
      </c>
      <c r="S28">
        <f t="shared" si="7"/>
        <v>0.55318137694639269</v>
      </c>
      <c r="T28">
        <f t="shared" si="8"/>
        <v>0.25333601655824128</v>
      </c>
      <c r="U28">
        <f t="shared" si="9"/>
        <v>0.11601825361488431</v>
      </c>
      <c r="V28">
        <f t="shared" si="10"/>
        <v>5.3131944500884432E-2</v>
      </c>
      <c r="W28">
        <f t="shared" si="11"/>
        <v>2.4332408379597367E-2</v>
      </c>
      <c r="X28">
        <f t="shared" si="12"/>
        <v>1.1143316946392668E-2</v>
      </c>
      <c r="Y28">
        <f t="shared" si="23"/>
        <v>0.45796194000000007</v>
      </c>
      <c r="Z28">
        <f t="shared" si="24"/>
        <v>1.1143316946392668E-2</v>
      </c>
      <c r="AA28">
        <f t="shared" si="25"/>
        <v>8.505358411341437E-4</v>
      </c>
      <c r="AB28">
        <f t="shared" si="26"/>
        <v>0.79781457554101598</v>
      </c>
      <c r="AC28">
        <f t="shared" si="27"/>
        <v>10.570377006075882</v>
      </c>
    </row>
    <row r="29" spans="1:29" x14ac:dyDescent="0.25">
      <c r="A29">
        <v>0.14840999999999999</v>
      </c>
      <c r="B29">
        <f t="shared" si="13"/>
        <v>6.8491214999999994E-2</v>
      </c>
      <c r="C29">
        <f t="shared" si="14"/>
        <v>7.9918784999999992E-2</v>
      </c>
      <c r="D29">
        <f t="shared" si="0"/>
        <v>0.89045999999999992</v>
      </c>
      <c r="E29">
        <f t="shared" si="1"/>
        <v>0.44522999999999996</v>
      </c>
      <c r="F29">
        <f t="shared" si="15"/>
        <v>0.38386277616711523</v>
      </c>
      <c r="G29">
        <f t="shared" si="16"/>
        <v>0.27432277616711526</v>
      </c>
      <c r="H29">
        <f t="shared" si="17"/>
        <v>7.4834405762772782</v>
      </c>
      <c r="I29">
        <f t="shared" si="2"/>
        <v>0.59603832732987527</v>
      </c>
      <c r="J29">
        <f t="shared" si="3"/>
        <v>0.24494033535234516</v>
      </c>
      <c r="K29">
        <f t="shared" si="4"/>
        <v>0.10065756702473742</v>
      </c>
      <c r="L29">
        <f t="shared" si="5"/>
        <v>4.1364954386809205E-2</v>
      </c>
      <c r="M29">
        <f t="shared" si="6"/>
        <v>1.6998815906232853E-2</v>
      </c>
      <c r="N29">
        <f t="shared" si="18"/>
        <v>0.40396167267012467</v>
      </c>
      <c r="O29">
        <f t="shared" si="19"/>
        <v>1.6998815906232853E-2</v>
      </c>
      <c r="P29">
        <f t="shared" si="20"/>
        <v>1.1642695549792142E-3</v>
      </c>
      <c r="Q29">
        <f t="shared" si="21"/>
        <v>0.63834559618717912</v>
      </c>
      <c r="R29">
        <f t="shared" si="22"/>
        <v>9.481279626868746</v>
      </c>
      <c r="S29">
        <f t="shared" si="7"/>
        <v>0.53402554363813048</v>
      </c>
      <c r="T29">
        <f t="shared" si="8"/>
        <v>0.25607203563914321</v>
      </c>
      <c r="U29">
        <f t="shared" si="9"/>
        <v>0.12278979576454213</v>
      </c>
      <c r="V29">
        <f t="shared" si="10"/>
        <v>5.8879267727402117E-2</v>
      </c>
      <c r="W29">
        <f t="shared" si="11"/>
        <v>2.8233357230782127E-2</v>
      </c>
      <c r="X29">
        <f t="shared" si="12"/>
        <v>1.3538253638130434E-2</v>
      </c>
      <c r="Y29">
        <f t="shared" si="23"/>
        <v>0.47951271000000001</v>
      </c>
      <c r="Z29">
        <f t="shared" si="24"/>
        <v>1.3538253638130434E-2</v>
      </c>
      <c r="AA29">
        <f t="shared" si="25"/>
        <v>1.0819607817812139E-3</v>
      </c>
      <c r="AB29">
        <f t="shared" si="26"/>
        <v>0.85891412746421447</v>
      </c>
      <c r="AC29">
        <f t="shared" si="27"/>
        <v>10.894834184172071</v>
      </c>
    </row>
    <row r="30" spans="1:29" x14ac:dyDescent="0.25">
      <c r="A30">
        <v>0.15508</v>
      </c>
      <c r="B30">
        <f t="shared" si="13"/>
        <v>7.1569419999999995E-2</v>
      </c>
      <c r="C30">
        <f t="shared" si="14"/>
        <v>8.3510580000000001E-2</v>
      </c>
      <c r="D30">
        <f t="shared" si="0"/>
        <v>0.93047999999999997</v>
      </c>
      <c r="E30">
        <f t="shared" si="1"/>
        <v>0.46523999999999999</v>
      </c>
      <c r="F30">
        <f t="shared" si="15"/>
        <v>0.36496410144413199</v>
      </c>
      <c r="G30">
        <f t="shared" si="16"/>
        <v>0.29544410144413197</v>
      </c>
      <c r="H30">
        <f t="shared" si="17"/>
        <v>7.6574394201742759</v>
      </c>
      <c r="I30">
        <f t="shared" si="2"/>
        <v>0.57903823411381294</v>
      </c>
      <c r="J30">
        <f t="shared" si="3"/>
        <v>0.24864858344009885</v>
      </c>
      <c r="K30">
        <f t="shared" si="4"/>
        <v>0.10677380940377687</v>
      </c>
      <c r="L30">
        <f t="shared" si="5"/>
        <v>4.585043766131313E-2</v>
      </c>
      <c r="M30">
        <f t="shared" si="6"/>
        <v>1.9688935380998022E-2</v>
      </c>
      <c r="N30">
        <f t="shared" si="18"/>
        <v>0.42096176588618689</v>
      </c>
      <c r="O30">
        <f t="shared" si="19"/>
        <v>1.9688935380998022E-2</v>
      </c>
      <c r="P30">
        <f t="shared" si="20"/>
        <v>1.4091256856355074E-3</v>
      </c>
      <c r="Q30">
        <f t="shared" si="21"/>
        <v>0.67850325675558409</v>
      </c>
      <c r="R30">
        <f t="shared" si="22"/>
        <v>9.6707584166543121</v>
      </c>
      <c r="S30">
        <f t="shared" si="7"/>
        <v>0.5152087464334123</v>
      </c>
      <c r="T30">
        <f t="shared" si="8"/>
        <v>0.25815228741436314</v>
      </c>
      <c r="U30">
        <f t="shared" si="9"/>
        <v>0.12935068350180101</v>
      </c>
      <c r="V30">
        <f t="shared" si="10"/>
        <v>6.4812903615790993E-2</v>
      </c>
      <c r="W30">
        <f t="shared" si="11"/>
        <v>3.2475379034632816E-2</v>
      </c>
      <c r="X30">
        <f t="shared" si="12"/>
        <v>1.6272226433412158E-2</v>
      </c>
      <c r="Y30">
        <f t="shared" si="23"/>
        <v>0.50106348000000012</v>
      </c>
      <c r="Z30">
        <f t="shared" si="24"/>
        <v>1.6272226433412158E-2</v>
      </c>
      <c r="AA30">
        <f t="shared" si="25"/>
        <v>1.3589030673455808E-3</v>
      </c>
      <c r="AB30">
        <f t="shared" si="26"/>
        <v>0.92255501357093017</v>
      </c>
      <c r="AC30">
        <f t="shared" si="27"/>
        <v>11.229898743603423</v>
      </c>
    </row>
    <row r="31" spans="1:29" x14ac:dyDescent="0.25">
      <c r="A31">
        <v>0.16175</v>
      </c>
      <c r="B31">
        <f t="shared" si="13"/>
        <v>7.4647625000000009E-2</v>
      </c>
      <c r="C31">
        <f t="shared" si="14"/>
        <v>8.7102374999999996E-2</v>
      </c>
      <c r="D31">
        <f t="shared" si="0"/>
        <v>0.97050000000000003</v>
      </c>
      <c r="E31">
        <f t="shared" si="1"/>
        <v>0.48525000000000001</v>
      </c>
      <c r="F31">
        <f t="shared" si="15"/>
        <v>0.34657465073219995</v>
      </c>
      <c r="G31">
        <f t="shared" si="16"/>
        <v>0.31707465073219993</v>
      </c>
      <c r="H31">
        <f t="shared" si="17"/>
        <v>7.8479338556514806</v>
      </c>
      <c r="I31">
        <f t="shared" si="2"/>
        <v>0.56224785644625563</v>
      </c>
      <c r="J31">
        <f t="shared" si="3"/>
        <v>0.2518228028703236</v>
      </c>
      <c r="K31">
        <f t="shared" si="4"/>
        <v>0.11278784493067705</v>
      </c>
      <c r="L31">
        <f t="shared" si="5"/>
        <v>5.0516068517660002E-2</v>
      </c>
      <c r="M31">
        <f t="shared" si="6"/>
        <v>2.2625427235083543E-2</v>
      </c>
      <c r="N31">
        <f t="shared" si="18"/>
        <v>0.4377521435537442</v>
      </c>
      <c r="O31">
        <f t="shared" si="19"/>
        <v>2.2625427235083543E-2</v>
      </c>
      <c r="P31">
        <f t="shared" si="20"/>
        <v>1.6889344077093034E-3</v>
      </c>
      <c r="Q31">
        <f t="shared" si="21"/>
        <v>0.71944840722499181</v>
      </c>
      <c r="R31">
        <f t="shared" si="22"/>
        <v>9.8610378199552482</v>
      </c>
      <c r="S31">
        <f t="shared" si="7"/>
        <v>0.4967520151838829</v>
      </c>
      <c r="T31">
        <f t="shared" si="8"/>
        <v>0.25960968185131356</v>
      </c>
      <c r="U31">
        <f t="shared" si="9"/>
        <v>0.13567571917346286</v>
      </c>
      <c r="V31">
        <f t="shared" si="10"/>
        <v>7.0906064219049922E-2</v>
      </c>
      <c r="W31">
        <f t="shared" si="11"/>
        <v>3.7056519572290614E-2</v>
      </c>
      <c r="X31">
        <f t="shared" si="12"/>
        <v>1.9366265183882986E-2</v>
      </c>
      <c r="Y31">
        <f t="shared" si="23"/>
        <v>0.52261424999999984</v>
      </c>
      <c r="Z31">
        <f t="shared" si="24"/>
        <v>1.9366265183882986E-2</v>
      </c>
      <c r="AA31">
        <f t="shared" si="25"/>
        <v>1.6868476923960196E-3</v>
      </c>
      <c r="AB31">
        <f t="shared" si="26"/>
        <v>0.98873671706396637</v>
      </c>
      <c r="AC31">
        <f xml:space="preserve"> AB31/(C31-AA31)</f>
        <v>11.575608653720103</v>
      </c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Сравнение</vt:lpstr>
      <vt:lpstr>Графики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2017-10-19T19:11:13Z</dcterms:created>
  <dcterms:modified xsi:type="dcterms:W3CDTF">2017-11-02T21:23:12Z</dcterms:modified>
</cp:coreProperties>
</file>